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fraunhofer.sharepoint.com/sites/LCALIBVarianten/Freigegebene Dokumente/General/05_Revision_JoIE3/Supplements/"/>
    </mc:Choice>
  </mc:AlternateContent>
  <xr:revisionPtr revIDLastSave="1352" documentId="8_{3DA83D96-1823-4847-97DD-570913524882}" xr6:coauthVersionLast="47" xr6:coauthVersionMax="47" xr10:uidLastSave="{EC54A3E3-C1CE-4297-9865-F5047887C7FB}"/>
  <bookViews>
    <workbookView xWindow="-120" yWindow="-120" windowWidth="51840" windowHeight="21120" activeTab="3" xr2:uid="{00000000-000D-0000-FFFF-FFFF00000000}"/>
  </bookViews>
  <sheets>
    <sheet name="CoverSheet" sheetId="50" r:id="rId1"/>
    <sheet name="Readme" sheetId="54" r:id="rId2"/>
    <sheet name="Cell parameters" sheetId="10" r:id="rId3"/>
    <sheet name="CAM Characteristics" sheetId="36" r:id="rId4"/>
    <sheet name="Tables Figures" sheetId="27" r:id="rId5"/>
    <sheet name="GREET" sheetId="38" r:id="rId6"/>
    <sheet name="Sankey Diagram Data" sheetId="37" r:id="rId7"/>
    <sheet name="LCIA" sheetId="24" r:id="rId8"/>
    <sheet name="Ecoinvent 3.10" sheetId="39" r:id="rId9"/>
    <sheet name="NCA" sheetId="34" r:id="rId10"/>
    <sheet name="NMC532" sheetId="33" r:id="rId11"/>
    <sheet name="NMC622" sheetId="13" r:id="rId12"/>
    <sheet name="NMC811" sheetId="12" r:id="rId13"/>
    <sheet name="NMC900" sheetId="14" r:id="rId14"/>
    <sheet name="LFP" sheetId="15" r:id="rId15"/>
    <sheet name="NaNFM422" sheetId="48" r:id="rId16"/>
    <sheet name="NMC900Li" sheetId="49" r:id="rId17"/>
    <sheet name="Summary" sheetId="16" r:id="rId18"/>
    <sheet name="Sensitivity Analysis" sheetId="51" r:id="rId19"/>
    <sheet name="EcoInvent_refined" sheetId="53" r:id="rId20"/>
    <sheet name="EcoInvent_raw" sheetId="52" r:id="rId21"/>
    <sheet name="Tabelle2" sheetId="19" state="hidden" r:id="rId22"/>
  </sheet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36" l="1"/>
  <c r="F24" i="36"/>
  <c r="F28" i="36"/>
  <c r="C27" i="36"/>
  <c r="BB36" i="24"/>
  <c r="IK294" i="24"/>
  <c r="IJ294" i="24"/>
  <c r="IK292" i="24"/>
  <c r="IJ292" i="24"/>
  <c r="IK291" i="24"/>
  <c r="IJ291" i="24"/>
  <c r="IK288" i="24"/>
  <c r="IK287" i="24" s="1"/>
  <c r="IJ288" i="24"/>
  <c r="IJ287" i="24" s="1"/>
  <c r="HR294" i="24"/>
  <c r="HQ294" i="24"/>
  <c r="HR292" i="24"/>
  <c r="HQ292" i="24"/>
  <c r="HR291" i="24"/>
  <c r="HQ291" i="24"/>
  <c r="HR288" i="24"/>
  <c r="HR287" i="24" s="1"/>
  <c r="HQ288" i="24"/>
  <c r="HQ287" i="24"/>
  <c r="GY294" i="24"/>
  <c r="GX294" i="24"/>
  <c r="GX287" i="24" s="1"/>
  <c r="GY292" i="24"/>
  <c r="GX292" i="24"/>
  <c r="GY291" i="24"/>
  <c r="GX291" i="24"/>
  <c r="GY288" i="24"/>
  <c r="GY287" i="24" s="1"/>
  <c r="GX288" i="24"/>
  <c r="GF294" i="24"/>
  <c r="GE294" i="24"/>
  <c r="GF292" i="24"/>
  <c r="GE292" i="24"/>
  <c r="GF291" i="24"/>
  <c r="GE291" i="24"/>
  <c r="GF288" i="24"/>
  <c r="GE288" i="24"/>
  <c r="GE287" i="24" s="1"/>
  <c r="GF287" i="24"/>
  <c r="FM294" i="24"/>
  <c r="FL294" i="24"/>
  <c r="FM292" i="24"/>
  <c r="FL292" i="24"/>
  <c r="FM291" i="24"/>
  <c r="FL291" i="24"/>
  <c r="FM288" i="24"/>
  <c r="FM287" i="24" s="1"/>
  <c r="FL288" i="24"/>
  <c r="FL287" i="24" s="1"/>
  <c r="ET294" i="24"/>
  <c r="ES294" i="24"/>
  <c r="ET292" i="24"/>
  <c r="ES292" i="24"/>
  <c r="ET291" i="24"/>
  <c r="ES291" i="24"/>
  <c r="ET288" i="24"/>
  <c r="ET287" i="24" s="1"/>
  <c r="ES288" i="24"/>
  <c r="ES287" i="24" s="1"/>
  <c r="EA294" i="24"/>
  <c r="DZ294" i="24"/>
  <c r="EA292" i="24"/>
  <c r="DZ292" i="24"/>
  <c r="EA291" i="24"/>
  <c r="DZ291" i="24"/>
  <c r="EA288" i="24"/>
  <c r="DZ288" i="24"/>
  <c r="EA287" i="24"/>
  <c r="DZ287" i="24"/>
  <c r="DH294" i="24"/>
  <c r="DG294" i="24"/>
  <c r="DH292" i="24"/>
  <c r="DG292" i="24"/>
  <c r="DH291" i="24"/>
  <c r="DH287" i="24" s="1"/>
  <c r="DG291" i="24"/>
  <c r="DH288" i="24"/>
  <c r="DG288" i="24"/>
  <c r="DG287" i="24"/>
  <c r="CO294" i="24"/>
  <c r="CN294" i="24"/>
  <c r="CO292" i="24"/>
  <c r="CN292" i="24"/>
  <c r="CO291" i="24"/>
  <c r="CN291" i="24"/>
  <c r="CO288" i="24"/>
  <c r="CN288" i="24"/>
  <c r="CN287" i="24" s="1"/>
  <c r="CO287" i="24"/>
  <c r="BV294" i="24"/>
  <c r="BU294" i="24"/>
  <c r="BV292" i="24"/>
  <c r="BU292" i="24"/>
  <c r="BV291" i="24"/>
  <c r="BU291" i="24"/>
  <c r="BV288" i="24"/>
  <c r="BV287" i="24" s="1"/>
  <c r="BU288" i="24"/>
  <c r="BU287" i="24" s="1"/>
  <c r="BC287" i="24"/>
  <c r="BB287" i="24"/>
  <c r="IK221" i="24"/>
  <c r="IJ221" i="24"/>
  <c r="HR221" i="24"/>
  <c r="HQ221" i="24"/>
  <c r="GY221" i="24"/>
  <c r="GX221" i="24"/>
  <c r="GF221" i="24"/>
  <c r="GE221" i="24"/>
  <c r="FM221" i="24"/>
  <c r="FL221" i="24"/>
  <c r="ET221" i="24"/>
  <c r="ES221" i="24"/>
  <c r="EA221" i="24"/>
  <c r="DZ221" i="24"/>
  <c r="DH221" i="24"/>
  <c r="DG221" i="24"/>
  <c r="CO221" i="24"/>
  <c r="CN221" i="24"/>
  <c r="BV221" i="24"/>
  <c r="BU221" i="24"/>
  <c r="BC221" i="24"/>
  <c r="BB221" i="24"/>
  <c r="AU11" i="24"/>
  <c r="AU9" i="24"/>
  <c r="AU68" i="24"/>
  <c r="CQ49" i="24" l="1"/>
  <c r="CP49" i="24"/>
  <c r="BX49" i="24"/>
  <c r="BW49" i="24"/>
  <c r="AE49" i="51"/>
  <c r="AO49" i="51"/>
  <c r="BX52" i="24"/>
  <c r="BX68" i="24" s="1"/>
  <c r="BX50" i="24"/>
  <c r="U17" i="51"/>
  <c r="U37" i="51"/>
  <c r="U16" i="51"/>
  <c r="U53" i="51"/>
  <c r="AD53" i="51" s="1"/>
  <c r="BV53" i="24"/>
  <c r="BU36" i="24"/>
  <c r="BU11" i="24" s="1"/>
  <c r="BU9" i="24" s="1"/>
  <c r="BV36" i="24"/>
  <c r="U67" i="51"/>
  <c r="AN36" i="51"/>
  <c r="AP15" i="51"/>
  <c r="AO15" i="51"/>
  <c r="AN15" i="51"/>
  <c r="AM15" i="51"/>
  <c r="AL15" i="51"/>
  <c r="AK15" i="51"/>
  <c r="AJ15" i="51"/>
  <c r="AI15" i="51"/>
  <c r="AD37" i="51"/>
  <c r="AD36" i="51" s="1"/>
  <c r="BT11" i="24"/>
  <c r="BT9" i="24"/>
  <c r="BT68" i="24"/>
  <c r="BS68" i="24"/>
  <c r="NN36" i="24"/>
  <c r="NM36" i="24"/>
  <c r="MU36" i="24"/>
  <c r="MT36" i="24"/>
  <c r="MB36" i="24"/>
  <c r="MA36" i="24"/>
  <c r="LI36" i="24"/>
  <c r="LH36" i="24"/>
  <c r="KP36" i="24"/>
  <c r="KO36" i="24"/>
  <c r="JW36" i="24"/>
  <c r="JV36" i="24"/>
  <c r="JD36" i="24"/>
  <c r="JC36" i="24"/>
  <c r="IK36" i="24"/>
  <c r="IJ36" i="24"/>
  <c r="HR36" i="24"/>
  <c r="HQ36" i="24"/>
  <c r="GY36" i="24"/>
  <c r="GX36" i="24"/>
  <c r="FM36" i="24"/>
  <c r="FL36" i="24"/>
  <c r="ET36" i="24"/>
  <c r="ES36" i="24"/>
  <c r="EA36" i="24"/>
  <c r="DZ36" i="24"/>
  <c r="DH36" i="24"/>
  <c r="DG36" i="24"/>
  <c r="CO36" i="24"/>
  <c r="CN36" i="24"/>
  <c r="BC36" i="24"/>
  <c r="AR36" i="24"/>
  <c r="AR15" i="24"/>
  <c r="AR23" i="24"/>
  <c r="BT70" i="24"/>
  <c r="AT67" i="24"/>
  <c r="BB44" i="24"/>
  <c r="BB20" i="24"/>
  <c r="BB106" i="24"/>
  <c r="L35" i="39" l="1"/>
  <c r="DP17" i="24" l="1"/>
  <c r="X39" i="24"/>
  <c r="W10" i="24" l="1"/>
  <c r="R47" i="39"/>
  <c r="CP52" i="24"/>
  <c r="M9" i="39"/>
  <c r="BM201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W16" i="24"/>
  <c r="M22" i="39"/>
  <c r="AV4" i="52"/>
  <c r="AV5" i="52"/>
  <c r="AV6" i="52"/>
  <c r="AV7" i="52"/>
  <c r="AV8" i="52"/>
  <c r="AV9" i="52"/>
  <c r="AV10" i="52"/>
  <c r="AV11" i="52"/>
  <c r="AV12" i="52"/>
  <c r="AV13" i="52"/>
  <c r="AV14" i="52"/>
  <c r="AV15" i="52"/>
  <c r="AV16" i="52"/>
  <c r="AV17" i="52"/>
  <c r="AV18" i="52"/>
  <c r="AV19" i="52"/>
  <c r="AV20" i="52"/>
  <c r="AV21" i="52"/>
  <c r="AV3" i="52"/>
  <c r="AR21" i="52" l="1"/>
  <c r="AM21" i="52"/>
  <c r="AR4" i="52"/>
  <c r="AR5" i="52"/>
  <c r="AR6" i="52"/>
  <c r="AR7" i="52"/>
  <c r="AR8" i="52"/>
  <c r="AR9" i="52"/>
  <c r="AR10" i="52"/>
  <c r="AR11" i="52"/>
  <c r="AR12" i="52"/>
  <c r="AR13" i="52"/>
  <c r="AR14" i="52"/>
  <c r="AR15" i="52"/>
  <c r="AR16" i="52"/>
  <c r="AR17" i="52"/>
  <c r="AR18" i="52"/>
  <c r="AR19" i="52"/>
  <c r="AR20" i="52"/>
  <c r="AR3" i="52"/>
  <c r="D13" i="51" l="1"/>
  <c r="D11" i="51" s="1"/>
  <c r="AM4" i="52" l="1"/>
  <c r="AM5" i="52"/>
  <c r="AM6" i="52"/>
  <c r="AM7" i="52"/>
  <c r="AM8" i="52"/>
  <c r="AM9" i="52"/>
  <c r="AM10" i="52"/>
  <c r="AM11" i="52"/>
  <c r="AM12" i="52"/>
  <c r="AM13" i="52"/>
  <c r="AM14" i="52"/>
  <c r="AM15" i="52"/>
  <c r="AM16" i="52"/>
  <c r="AM17" i="52"/>
  <c r="AM18" i="52"/>
  <c r="AM19" i="52"/>
  <c r="AM20" i="52"/>
  <c r="AM3" i="52"/>
  <c r="M23" i="39" l="1"/>
  <c r="AI53" i="51"/>
  <c r="AJ53" i="51"/>
  <c r="AK53" i="51"/>
  <c r="AL53" i="51"/>
  <c r="AM53" i="51"/>
  <c r="AN53" i="51"/>
  <c r="AO53" i="51"/>
  <c r="AP53" i="51"/>
  <c r="AI37" i="51"/>
  <c r="AJ37" i="51"/>
  <c r="AK37" i="51"/>
  <c r="AL37" i="51"/>
  <c r="AM37" i="51"/>
  <c r="AN37" i="51"/>
  <c r="AO37" i="51"/>
  <c r="AP37" i="51"/>
  <c r="AI38" i="51"/>
  <c r="AJ38" i="51"/>
  <c r="AK38" i="51"/>
  <c r="AL38" i="51"/>
  <c r="AM38" i="51"/>
  <c r="AN38" i="51"/>
  <c r="AO38" i="51"/>
  <c r="AP38" i="51"/>
  <c r="AI16" i="51"/>
  <c r="AJ16" i="51"/>
  <c r="AK16" i="51"/>
  <c r="AL16" i="51"/>
  <c r="AM16" i="51"/>
  <c r="AN16" i="51"/>
  <c r="AO16" i="51"/>
  <c r="AP16" i="51"/>
  <c r="AI17" i="51"/>
  <c r="AJ17" i="51"/>
  <c r="AK17" i="51"/>
  <c r="AL17" i="51"/>
  <c r="AM17" i="51"/>
  <c r="AN17" i="51"/>
  <c r="AO17" i="51"/>
  <c r="AP17" i="51"/>
  <c r="AJ45" i="51"/>
  <c r="AK45" i="51"/>
  <c r="AL45" i="51"/>
  <c r="AM45" i="51"/>
  <c r="AN45" i="51"/>
  <c r="AO45" i="51"/>
  <c r="AP45" i="51"/>
  <c r="AI45" i="51"/>
  <c r="AJ19" i="51"/>
  <c r="AK19" i="51"/>
  <c r="AL19" i="51"/>
  <c r="AM19" i="51"/>
  <c r="AN19" i="51"/>
  <c r="AO19" i="51"/>
  <c r="AP19" i="51"/>
  <c r="AJ21" i="51"/>
  <c r="AK21" i="51"/>
  <c r="AL21" i="51"/>
  <c r="AM21" i="51"/>
  <c r="AN21" i="51"/>
  <c r="AO21" i="51"/>
  <c r="AP21" i="51"/>
  <c r="AJ22" i="51"/>
  <c r="AK22" i="51"/>
  <c r="AL22" i="51"/>
  <c r="AM22" i="51"/>
  <c r="AN22" i="51"/>
  <c r="AO22" i="51"/>
  <c r="AP22" i="51"/>
  <c r="AJ23" i="51"/>
  <c r="AK23" i="51"/>
  <c r="AL23" i="51"/>
  <c r="AM23" i="51"/>
  <c r="AN23" i="51"/>
  <c r="AO23" i="51"/>
  <c r="AP23" i="51"/>
  <c r="AI19" i="51"/>
  <c r="AI21" i="51"/>
  <c r="AI22" i="51"/>
  <c r="AI23" i="51"/>
  <c r="AF45" i="51"/>
  <c r="AF21" i="51"/>
  <c r="AE45" i="51"/>
  <c r="AD23" i="51"/>
  <c r="AD21" i="51"/>
  <c r="AD19" i="51"/>
  <c r="AC45" i="51"/>
  <c r="AC21" i="51"/>
  <c r="AB45" i="51"/>
  <c r="AB21" i="51"/>
  <c r="AA45" i="51"/>
  <c r="Z45" i="51"/>
  <c r="Y45" i="51"/>
  <c r="Y21" i="51"/>
  <c r="V10" i="51"/>
  <c r="V12" i="51"/>
  <c r="V13" i="51"/>
  <c r="V14" i="51"/>
  <c r="V18" i="51"/>
  <c r="V20" i="51"/>
  <c r="V24" i="51"/>
  <c r="V25" i="51"/>
  <c r="V26" i="51"/>
  <c r="V27" i="51"/>
  <c r="V28" i="51"/>
  <c r="V29" i="51"/>
  <c r="V30" i="51"/>
  <c r="V31" i="51"/>
  <c r="V32" i="51"/>
  <c r="V39" i="51"/>
  <c r="V40" i="51"/>
  <c r="V41" i="51"/>
  <c r="V42" i="51"/>
  <c r="V43" i="51"/>
  <c r="V44" i="51"/>
  <c r="V50" i="51"/>
  <c r="V51" i="51"/>
  <c r="V54" i="51"/>
  <c r="V55" i="51"/>
  <c r="V56" i="51"/>
  <c r="V57" i="51"/>
  <c r="V59" i="51"/>
  <c r="V60" i="51"/>
  <c r="V61" i="51"/>
  <c r="V62" i="51"/>
  <c r="V63" i="51"/>
  <c r="V64" i="51"/>
  <c r="V66" i="51"/>
  <c r="V67" i="51"/>
  <c r="U10" i="51"/>
  <c r="U12" i="51"/>
  <c r="U13" i="51"/>
  <c r="U14" i="51"/>
  <c r="AF16" i="51"/>
  <c r="AF15" i="51" s="1"/>
  <c r="U18" i="51"/>
  <c r="U20" i="51"/>
  <c r="U24" i="51"/>
  <c r="U25" i="51"/>
  <c r="AD25" i="51" s="1"/>
  <c r="AN25" i="51" s="1"/>
  <c r="U26" i="51"/>
  <c r="U27" i="51"/>
  <c r="AF27" i="51" s="1"/>
  <c r="AP27" i="51" s="1"/>
  <c r="U28" i="51"/>
  <c r="U29" i="51"/>
  <c r="AD29" i="51" s="1"/>
  <c r="AN29" i="51" s="1"/>
  <c r="U30" i="51"/>
  <c r="U31" i="51"/>
  <c r="U32" i="51"/>
  <c r="U38" i="51"/>
  <c r="AE38" i="51" s="1"/>
  <c r="U39" i="51"/>
  <c r="U40" i="51"/>
  <c r="AC40" i="51" s="1"/>
  <c r="AM40" i="51" s="1"/>
  <c r="U41" i="51"/>
  <c r="U42" i="51"/>
  <c r="AE42" i="51" s="1"/>
  <c r="AO42" i="51" s="1"/>
  <c r="U43" i="51"/>
  <c r="U44" i="51"/>
  <c r="U50" i="51"/>
  <c r="U51" i="51"/>
  <c r="AF51" i="51" s="1"/>
  <c r="AP51" i="51" s="1"/>
  <c r="U54" i="51"/>
  <c r="Z54" i="51" s="1"/>
  <c r="AJ54" i="51" s="1"/>
  <c r="U55" i="51"/>
  <c r="AA55" i="51" s="1"/>
  <c r="AK55" i="51" s="1"/>
  <c r="U56" i="51"/>
  <c r="U57" i="51"/>
  <c r="U59" i="51"/>
  <c r="U60" i="51"/>
  <c r="U61" i="51"/>
  <c r="U62" i="51"/>
  <c r="AC62" i="51" s="1"/>
  <c r="AM62" i="51" s="1"/>
  <c r="U63" i="51"/>
  <c r="AE63" i="51" s="1"/>
  <c r="AO63" i="51" s="1"/>
  <c r="U64" i="51"/>
  <c r="U66" i="51"/>
  <c r="S67" i="51"/>
  <c r="R67" i="51"/>
  <c r="Q67" i="51"/>
  <c r="P67" i="51"/>
  <c r="O67" i="51"/>
  <c r="N67" i="51"/>
  <c r="M67" i="51"/>
  <c r="L67" i="51"/>
  <c r="K67" i="51"/>
  <c r="J67" i="51"/>
  <c r="I67" i="51"/>
  <c r="H67" i="51"/>
  <c r="G67" i="51"/>
  <c r="F67" i="51"/>
  <c r="E67" i="51"/>
  <c r="D67" i="51"/>
  <c r="S66" i="51"/>
  <c r="R66" i="51"/>
  <c r="Q66" i="51"/>
  <c r="P66" i="51"/>
  <c r="P65" i="51" s="1"/>
  <c r="O66" i="51"/>
  <c r="N66" i="51"/>
  <c r="N65" i="51" s="1"/>
  <c r="M66" i="51"/>
  <c r="AC66" i="51" s="1"/>
  <c r="AM66" i="51" s="1"/>
  <c r="L66" i="51"/>
  <c r="K66" i="51"/>
  <c r="J66" i="51"/>
  <c r="I66" i="51"/>
  <c r="H66" i="51"/>
  <c r="H65" i="51" s="1"/>
  <c r="G66" i="51"/>
  <c r="F66" i="51"/>
  <c r="E66" i="51"/>
  <c r="Y66" i="51" s="1"/>
  <c r="AI66" i="51" s="1"/>
  <c r="D66" i="51"/>
  <c r="S65" i="51"/>
  <c r="R65" i="51"/>
  <c r="Q65" i="51"/>
  <c r="O65" i="51"/>
  <c r="J65" i="51"/>
  <c r="D65" i="51"/>
  <c r="S64" i="51"/>
  <c r="AF64" i="51" s="1"/>
  <c r="AP64" i="51" s="1"/>
  <c r="R64" i="51"/>
  <c r="Q64" i="51"/>
  <c r="AE64" i="51" s="1"/>
  <c r="AO64" i="51" s="1"/>
  <c r="P64" i="51"/>
  <c r="O64" i="51"/>
  <c r="AD64" i="51" s="1"/>
  <c r="AN64" i="51" s="1"/>
  <c r="N64" i="51"/>
  <c r="M64" i="51"/>
  <c r="AC64" i="51" s="1"/>
  <c r="AM64" i="51" s="1"/>
  <c r="L64" i="51"/>
  <c r="K64" i="51"/>
  <c r="AB64" i="51" s="1"/>
  <c r="AL64" i="51" s="1"/>
  <c r="J64" i="51"/>
  <c r="I64" i="51"/>
  <c r="AA64" i="51" s="1"/>
  <c r="AK64" i="51" s="1"/>
  <c r="H64" i="51"/>
  <c r="G64" i="51"/>
  <c r="Z64" i="51" s="1"/>
  <c r="AJ64" i="51" s="1"/>
  <c r="F64" i="51"/>
  <c r="E64" i="51"/>
  <c r="Y64" i="51" s="1"/>
  <c r="AI64" i="51" s="1"/>
  <c r="D64" i="51"/>
  <c r="S63" i="51"/>
  <c r="AF63" i="51" s="1"/>
  <c r="AP63" i="51" s="1"/>
  <c r="R63" i="51"/>
  <c r="Q62" i="51"/>
  <c r="P62" i="51"/>
  <c r="O61" i="51"/>
  <c r="AD61" i="51" s="1"/>
  <c r="AN61" i="51" s="1"/>
  <c r="N61" i="51"/>
  <c r="M61" i="51"/>
  <c r="L61" i="51"/>
  <c r="K61" i="51"/>
  <c r="J61" i="51"/>
  <c r="I61" i="51"/>
  <c r="H61" i="51"/>
  <c r="G61" i="51"/>
  <c r="Z61" i="51" s="1"/>
  <c r="AJ61" i="51" s="1"/>
  <c r="F61" i="51"/>
  <c r="E61" i="51"/>
  <c r="D61" i="51"/>
  <c r="Q60" i="51"/>
  <c r="P60" i="51"/>
  <c r="O60" i="51"/>
  <c r="N60" i="51"/>
  <c r="M60" i="51"/>
  <c r="L60" i="51"/>
  <c r="K60" i="51"/>
  <c r="J60" i="51"/>
  <c r="I60" i="51"/>
  <c r="H60" i="51"/>
  <c r="G60" i="51"/>
  <c r="F60" i="51"/>
  <c r="E60" i="51"/>
  <c r="D60" i="51"/>
  <c r="Q59" i="51"/>
  <c r="P59" i="51"/>
  <c r="O59" i="51"/>
  <c r="N59" i="51"/>
  <c r="M59" i="51"/>
  <c r="L59" i="51"/>
  <c r="K59" i="51"/>
  <c r="J59" i="51"/>
  <c r="I59" i="51"/>
  <c r="H59" i="51"/>
  <c r="G59" i="51"/>
  <c r="F59" i="51"/>
  <c r="E59" i="51"/>
  <c r="D59" i="51"/>
  <c r="Q58" i="51"/>
  <c r="P58" i="51"/>
  <c r="O58" i="51"/>
  <c r="N58" i="51"/>
  <c r="M58" i="51"/>
  <c r="L58" i="51"/>
  <c r="K58" i="51"/>
  <c r="J58" i="51"/>
  <c r="I58" i="51"/>
  <c r="H58" i="51"/>
  <c r="G58" i="51"/>
  <c r="F58" i="51"/>
  <c r="E58" i="51"/>
  <c r="D58" i="51"/>
  <c r="Q57" i="51"/>
  <c r="P57" i="51"/>
  <c r="O57" i="51"/>
  <c r="N57" i="51"/>
  <c r="M57" i="51"/>
  <c r="L57" i="51"/>
  <c r="K57" i="51"/>
  <c r="J57" i="51"/>
  <c r="I57" i="51"/>
  <c r="H57" i="51"/>
  <c r="G57" i="51"/>
  <c r="F57" i="51"/>
  <c r="E57" i="51"/>
  <c r="D57" i="51"/>
  <c r="S56" i="51"/>
  <c r="AF56" i="51" s="1"/>
  <c r="AP56" i="51" s="1"/>
  <c r="R56" i="51"/>
  <c r="Q55" i="51"/>
  <c r="AE55" i="51" s="1"/>
  <c r="AO55" i="51" s="1"/>
  <c r="P55" i="51"/>
  <c r="M54" i="51"/>
  <c r="AC54" i="51" s="1"/>
  <c r="AM54" i="51" s="1"/>
  <c r="L54" i="51"/>
  <c r="K54" i="51"/>
  <c r="J54" i="51"/>
  <c r="O53" i="51"/>
  <c r="N53" i="51"/>
  <c r="M53" i="51"/>
  <c r="L53" i="51"/>
  <c r="K53" i="51"/>
  <c r="AB53" i="51" s="1"/>
  <c r="J53" i="51"/>
  <c r="I53" i="51"/>
  <c r="H53" i="51"/>
  <c r="G53" i="51"/>
  <c r="F53" i="51"/>
  <c r="E53" i="51"/>
  <c r="D53" i="51"/>
  <c r="Q51" i="51"/>
  <c r="P51" i="51"/>
  <c r="S50" i="51"/>
  <c r="R50" i="51"/>
  <c r="O50" i="51"/>
  <c r="N50" i="51"/>
  <c r="M50" i="51"/>
  <c r="L50" i="51"/>
  <c r="K50" i="51"/>
  <c r="J50" i="51"/>
  <c r="I50" i="51"/>
  <c r="H50" i="51"/>
  <c r="G50" i="51"/>
  <c r="F50" i="51"/>
  <c r="E50" i="51"/>
  <c r="D50" i="51"/>
  <c r="O48" i="51"/>
  <c r="N48" i="51"/>
  <c r="O47" i="51"/>
  <c r="N47" i="51"/>
  <c r="O46" i="51"/>
  <c r="N46" i="51"/>
  <c r="O45" i="51"/>
  <c r="AD45" i="51" s="1"/>
  <c r="N45" i="51"/>
  <c r="O43" i="51"/>
  <c r="N43" i="51"/>
  <c r="O41" i="51"/>
  <c r="AD41" i="51" s="1"/>
  <c r="AN41" i="51" s="1"/>
  <c r="N41" i="51"/>
  <c r="O40" i="51"/>
  <c r="N40" i="51"/>
  <c r="O37" i="51"/>
  <c r="N37" i="51"/>
  <c r="O36" i="51"/>
  <c r="N36" i="51"/>
  <c r="S35" i="51"/>
  <c r="R35" i="51"/>
  <c r="Q35" i="51"/>
  <c r="P35" i="51"/>
  <c r="M35" i="51"/>
  <c r="L35" i="51"/>
  <c r="K35" i="51"/>
  <c r="J35" i="51"/>
  <c r="I35" i="51"/>
  <c r="H35" i="51"/>
  <c r="G35" i="51"/>
  <c r="F35" i="51"/>
  <c r="E35" i="51"/>
  <c r="D35" i="51"/>
  <c r="S34" i="51"/>
  <c r="R34" i="51"/>
  <c r="Q34" i="51"/>
  <c r="P34" i="51"/>
  <c r="M34" i="51"/>
  <c r="L34" i="51"/>
  <c r="K34" i="51"/>
  <c r="J34" i="51"/>
  <c r="I34" i="51"/>
  <c r="H34" i="51"/>
  <c r="G34" i="51"/>
  <c r="F34" i="51"/>
  <c r="E34" i="51"/>
  <c r="D34" i="51"/>
  <c r="S33" i="51"/>
  <c r="R33" i="51"/>
  <c r="Q33" i="51"/>
  <c r="P33" i="51"/>
  <c r="M33" i="51"/>
  <c r="L33" i="51"/>
  <c r="K33" i="51"/>
  <c r="J33" i="51"/>
  <c r="I33" i="51"/>
  <c r="H33" i="51"/>
  <c r="G33" i="51"/>
  <c r="F33" i="51"/>
  <c r="E33" i="51"/>
  <c r="D33" i="51"/>
  <c r="S32" i="51"/>
  <c r="R32" i="51"/>
  <c r="Q32" i="51"/>
  <c r="P32" i="51"/>
  <c r="M32" i="51"/>
  <c r="L32" i="51"/>
  <c r="K32" i="51"/>
  <c r="J32" i="51"/>
  <c r="I32" i="51"/>
  <c r="H32" i="51"/>
  <c r="G32" i="51"/>
  <c r="F32" i="51"/>
  <c r="E32" i="51"/>
  <c r="D32" i="51"/>
  <c r="S31" i="51"/>
  <c r="R31" i="51"/>
  <c r="Q31" i="51"/>
  <c r="P31" i="51"/>
  <c r="M31" i="51"/>
  <c r="L31" i="51"/>
  <c r="K31" i="51"/>
  <c r="J31" i="51"/>
  <c r="I31" i="51"/>
  <c r="H31" i="51"/>
  <c r="G31" i="51"/>
  <c r="F31" i="51"/>
  <c r="E31" i="51"/>
  <c r="D31" i="51"/>
  <c r="S30" i="51"/>
  <c r="R30" i="51"/>
  <c r="Q30" i="51"/>
  <c r="P30" i="51"/>
  <c r="M30" i="51"/>
  <c r="AC30" i="51" s="1"/>
  <c r="AM30" i="51" s="1"/>
  <c r="L30" i="51"/>
  <c r="K30" i="51"/>
  <c r="J30" i="51"/>
  <c r="I30" i="51"/>
  <c r="H30" i="51"/>
  <c r="G30" i="51"/>
  <c r="F30" i="51"/>
  <c r="E30" i="51"/>
  <c r="Y30" i="51" s="1"/>
  <c r="AI30" i="51" s="1"/>
  <c r="D30" i="51"/>
  <c r="S29" i="51"/>
  <c r="AF29" i="51" s="1"/>
  <c r="AP29" i="51" s="1"/>
  <c r="R29" i="51"/>
  <c r="Q29" i="51"/>
  <c r="AE29" i="51" s="1"/>
  <c r="AO29" i="51" s="1"/>
  <c r="P29" i="51"/>
  <c r="M29" i="51"/>
  <c r="AC29" i="51" s="1"/>
  <c r="AM29" i="51" s="1"/>
  <c r="L29" i="51"/>
  <c r="K29" i="51"/>
  <c r="AB29" i="51" s="1"/>
  <c r="AL29" i="51" s="1"/>
  <c r="J29" i="51"/>
  <c r="I29" i="51"/>
  <c r="AA29" i="51" s="1"/>
  <c r="AK29" i="51" s="1"/>
  <c r="H29" i="51"/>
  <c r="G29" i="51"/>
  <c r="Z29" i="51" s="1"/>
  <c r="AJ29" i="51" s="1"/>
  <c r="F29" i="51"/>
  <c r="E29" i="51"/>
  <c r="Y29" i="51" s="1"/>
  <c r="AI29" i="51" s="1"/>
  <c r="D29" i="51"/>
  <c r="Q28" i="51"/>
  <c r="P28" i="51"/>
  <c r="E27" i="51"/>
  <c r="D27" i="51"/>
  <c r="S26" i="51"/>
  <c r="R26" i="51"/>
  <c r="M26" i="51"/>
  <c r="L26" i="51"/>
  <c r="K26" i="51"/>
  <c r="J26" i="51"/>
  <c r="I26" i="51"/>
  <c r="H26" i="51"/>
  <c r="G26" i="51"/>
  <c r="F26" i="51"/>
  <c r="E26" i="51"/>
  <c r="D26" i="51"/>
  <c r="S25" i="51"/>
  <c r="R25" i="51"/>
  <c r="Q25" i="51"/>
  <c r="P25" i="51"/>
  <c r="M25" i="51"/>
  <c r="L25" i="51"/>
  <c r="K25" i="51"/>
  <c r="J25" i="51"/>
  <c r="I25" i="51"/>
  <c r="H25" i="51"/>
  <c r="G25" i="51"/>
  <c r="F25" i="51"/>
  <c r="S24" i="51"/>
  <c r="R24" i="51"/>
  <c r="Q24" i="51"/>
  <c r="P24" i="51"/>
  <c r="M24" i="51"/>
  <c r="L24" i="51"/>
  <c r="K24" i="51"/>
  <c r="J24" i="51"/>
  <c r="I24" i="51"/>
  <c r="H24" i="51"/>
  <c r="G24" i="51"/>
  <c r="F24" i="51"/>
  <c r="E24" i="51"/>
  <c r="D24" i="51"/>
  <c r="S23" i="51"/>
  <c r="AF23" i="51" s="1"/>
  <c r="R23" i="51"/>
  <c r="Q23" i="51"/>
  <c r="AE23" i="51" s="1"/>
  <c r="P23" i="51"/>
  <c r="M23" i="51"/>
  <c r="AC23" i="51" s="1"/>
  <c r="L23" i="51"/>
  <c r="K23" i="51"/>
  <c r="AB23" i="51" s="1"/>
  <c r="J23" i="51"/>
  <c r="I23" i="51"/>
  <c r="AA23" i="51" s="1"/>
  <c r="H23" i="51"/>
  <c r="G23" i="51"/>
  <c r="Z23" i="51" s="1"/>
  <c r="F23" i="51"/>
  <c r="E23" i="51"/>
  <c r="Y23" i="51" s="1"/>
  <c r="D23" i="51"/>
  <c r="S22" i="51"/>
  <c r="R22" i="51"/>
  <c r="Q22" i="51"/>
  <c r="P22" i="51"/>
  <c r="M22" i="51"/>
  <c r="L22" i="51"/>
  <c r="K22" i="51"/>
  <c r="J22" i="51"/>
  <c r="I22" i="51"/>
  <c r="H22" i="51"/>
  <c r="G22" i="51"/>
  <c r="F22" i="51"/>
  <c r="E22" i="51"/>
  <c r="D22" i="51"/>
  <c r="Q21" i="51"/>
  <c r="AE21" i="51" s="1"/>
  <c r="P21" i="51"/>
  <c r="I21" i="51"/>
  <c r="AA21" i="51" s="1"/>
  <c r="H21" i="51"/>
  <c r="G21" i="51"/>
  <c r="Z21" i="51" s="1"/>
  <c r="F21" i="51"/>
  <c r="S20" i="51"/>
  <c r="R20" i="51"/>
  <c r="Q20" i="51"/>
  <c r="P20" i="51"/>
  <c r="M20" i="51"/>
  <c r="L20" i="51"/>
  <c r="K20" i="51"/>
  <c r="J20" i="51"/>
  <c r="I20" i="51"/>
  <c r="H20" i="51"/>
  <c r="G20" i="51"/>
  <c r="F20" i="51"/>
  <c r="E20" i="51"/>
  <c r="D20" i="51"/>
  <c r="S19" i="51"/>
  <c r="AF19" i="51" s="1"/>
  <c r="R19" i="51"/>
  <c r="Q19" i="51"/>
  <c r="AE19" i="51" s="1"/>
  <c r="P19" i="51"/>
  <c r="M19" i="51"/>
  <c r="AC19" i="51" s="1"/>
  <c r="L19" i="51"/>
  <c r="K19" i="51"/>
  <c r="AB19" i="51" s="1"/>
  <c r="J19" i="51"/>
  <c r="I19" i="51"/>
  <c r="AA19" i="51" s="1"/>
  <c r="H19" i="51"/>
  <c r="G19" i="51"/>
  <c r="Z19" i="51" s="1"/>
  <c r="F19" i="51"/>
  <c r="E19" i="51"/>
  <c r="Y19" i="51" s="1"/>
  <c r="D19" i="51"/>
  <c r="Q18" i="51"/>
  <c r="AE18" i="51" s="1"/>
  <c r="AO18" i="51" s="1"/>
  <c r="P18" i="51"/>
  <c r="S17" i="51"/>
  <c r="AF17" i="51" s="1"/>
  <c r="R17" i="51"/>
  <c r="M17" i="51"/>
  <c r="AC17" i="51" s="1"/>
  <c r="L17" i="51"/>
  <c r="K17" i="51"/>
  <c r="AB17" i="51" s="1"/>
  <c r="J17" i="51"/>
  <c r="E17" i="51"/>
  <c r="Y17" i="51" s="1"/>
  <c r="D17" i="51"/>
  <c r="I16" i="51"/>
  <c r="H16" i="51"/>
  <c r="G16" i="51"/>
  <c r="F16" i="51"/>
  <c r="S15" i="51"/>
  <c r="R15" i="51"/>
  <c r="Q15" i="51"/>
  <c r="P15" i="51"/>
  <c r="M15" i="51"/>
  <c r="L15" i="51"/>
  <c r="K15" i="51"/>
  <c r="J15" i="51"/>
  <c r="I15" i="51"/>
  <c r="H15" i="51"/>
  <c r="G15" i="51"/>
  <c r="F15" i="51"/>
  <c r="E15" i="51"/>
  <c r="D15" i="51"/>
  <c r="S14" i="51"/>
  <c r="AF14" i="51" s="1"/>
  <c r="AP14" i="51" s="1"/>
  <c r="R14" i="51"/>
  <c r="Q14" i="51"/>
  <c r="P14" i="51"/>
  <c r="O14" i="51"/>
  <c r="N14" i="51"/>
  <c r="M14" i="51"/>
  <c r="L14" i="51"/>
  <c r="K14" i="51"/>
  <c r="AB14" i="51" s="1"/>
  <c r="AL14" i="51" s="1"/>
  <c r="J14" i="51"/>
  <c r="I14" i="51"/>
  <c r="H14" i="51"/>
  <c r="G14" i="51"/>
  <c r="F14" i="51"/>
  <c r="E14" i="51"/>
  <c r="D14" i="51"/>
  <c r="S13" i="51"/>
  <c r="R13" i="51"/>
  <c r="Q13" i="51"/>
  <c r="P13" i="51"/>
  <c r="O13" i="51"/>
  <c r="N13" i="51"/>
  <c r="M13" i="51"/>
  <c r="L13" i="51"/>
  <c r="K13" i="51"/>
  <c r="J13" i="51"/>
  <c r="I13" i="51"/>
  <c r="H13" i="51"/>
  <c r="G13" i="51"/>
  <c r="F13" i="51"/>
  <c r="E13" i="51"/>
  <c r="S12" i="51"/>
  <c r="R12" i="51"/>
  <c r="Q12" i="51"/>
  <c r="P12" i="51"/>
  <c r="O12" i="51"/>
  <c r="N12" i="51"/>
  <c r="M12" i="51"/>
  <c r="L12" i="51"/>
  <c r="K12" i="51"/>
  <c r="J12" i="51"/>
  <c r="I12" i="51"/>
  <c r="H12" i="51"/>
  <c r="H11" i="51" s="1"/>
  <c r="G12" i="51"/>
  <c r="F12" i="51"/>
  <c r="E12" i="51"/>
  <c r="D12" i="51"/>
  <c r="L11" i="51"/>
  <c r="L9" i="51" s="1"/>
  <c r="J11" i="51"/>
  <c r="S10" i="51"/>
  <c r="R10" i="51"/>
  <c r="Q10" i="51"/>
  <c r="P10" i="51"/>
  <c r="O10" i="51"/>
  <c r="AD10" i="51" s="1"/>
  <c r="AN10" i="51" s="1"/>
  <c r="N10" i="51"/>
  <c r="M10" i="51"/>
  <c r="AC10" i="51" s="1"/>
  <c r="AM10" i="51" s="1"/>
  <c r="L10" i="51"/>
  <c r="K10" i="51"/>
  <c r="J10" i="51"/>
  <c r="I10" i="51"/>
  <c r="H10" i="51"/>
  <c r="G10" i="51"/>
  <c r="Z10" i="51" s="1"/>
  <c r="AJ10" i="51" s="1"/>
  <c r="F10" i="51"/>
  <c r="E10" i="51"/>
  <c r="Y10" i="51" s="1"/>
  <c r="AI10" i="51" s="1"/>
  <c r="D10" i="51"/>
  <c r="H329" i="37"/>
  <c r="H330" i="37"/>
  <c r="H331" i="37"/>
  <c r="H332" i="37"/>
  <c r="H334" i="37"/>
  <c r="H335" i="37"/>
  <c r="H336" i="37"/>
  <c r="H338" i="37"/>
  <c r="H339" i="37"/>
  <c r="H341" i="37"/>
  <c r="H343" i="37"/>
  <c r="H344" i="37"/>
  <c r="H345" i="37"/>
  <c r="H346" i="37"/>
  <c r="H348" i="37"/>
  <c r="H349" i="37"/>
  <c r="H350" i="37"/>
  <c r="H351" i="37"/>
  <c r="H353" i="37"/>
  <c r="H354" i="37"/>
  <c r="H356" i="37"/>
  <c r="H357" i="37"/>
  <c r="H358" i="37"/>
  <c r="H359" i="37"/>
  <c r="H360" i="37"/>
  <c r="H361" i="37"/>
  <c r="H363" i="37"/>
  <c r="H364" i="37"/>
  <c r="H365" i="37"/>
  <c r="H281" i="37"/>
  <c r="H282" i="37"/>
  <c r="H283" i="37"/>
  <c r="H284" i="37"/>
  <c r="H285" i="37"/>
  <c r="H287" i="37"/>
  <c r="H288" i="37"/>
  <c r="H289" i="37"/>
  <c r="H291" i="37"/>
  <c r="H292" i="37"/>
  <c r="H293" i="37"/>
  <c r="H295" i="37"/>
  <c r="H296" i="37"/>
  <c r="H297" i="37"/>
  <c r="H298" i="37"/>
  <c r="H299" i="37"/>
  <c r="H301" i="37"/>
  <c r="H302" i="37"/>
  <c r="H303" i="37"/>
  <c r="H304" i="37"/>
  <c r="H306" i="37"/>
  <c r="H307" i="37"/>
  <c r="H308" i="37"/>
  <c r="H309" i="37"/>
  <c r="H311" i="37"/>
  <c r="H312" i="37"/>
  <c r="H314" i="37"/>
  <c r="H315" i="37"/>
  <c r="H316" i="37"/>
  <c r="H317" i="37"/>
  <c r="H318" i="37"/>
  <c r="H319" i="37"/>
  <c r="H321" i="37"/>
  <c r="H322" i="37"/>
  <c r="H323" i="37"/>
  <c r="Z16" i="51" l="1"/>
  <c r="AA30" i="51"/>
  <c r="AK30" i="51" s="1"/>
  <c r="AF30" i="51"/>
  <c r="AP30" i="51" s="1"/>
  <c r="AB30" i="51"/>
  <c r="AL30" i="51" s="1"/>
  <c r="AB66" i="51"/>
  <c r="AL66" i="51" s="1"/>
  <c r="AF66" i="51"/>
  <c r="AP66" i="51" s="1"/>
  <c r="Z30" i="51"/>
  <c r="AJ30" i="51" s="1"/>
  <c r="AE30" i="51"/>
  <c r="AO30" i="51" s="1"/>
  <c r="AC13" i="51"/>
  <c r="AM13" i="51" s="1"/>
  <c r="Y13" i="51"/>
  <c r="AI13" i="51" s="1"/>
  <c r="AB13" i="51"/>
  <c r="AL13" i="51" s="1"/>
  <c r="AF13" i="51"/>
  <c r="AP13" i="51" s="1"/>
  <c r="AA24" i="51"/>
  <c r="AK24" i="51" s="1"/>
  <c r="AF24" i="51"/>
  <c r="AP24" i="51" s="1"/>
  <c r="Z26" i="51"/>
  <c r="AJ26" i="51" s="1"/>
  <c r="AF26" i="51"/>
  <c r="AP26" i="51" s="1"/>
  <c r="Y32" i="51"/>
  <c r="AI32" i="51" s="1"/>
  <c r="AC32" i="51"/>
  <c r="AM32" i="51" s="1"/>
  <c r="AE51" i="51"/>
  <c r="AO51" i="51" s="1"/>
  <c r="Y60" i="51"/>
  <c r="AI60" i="51" s="1"/>
  <c r="AC60" i="51"/>
  <c r="AM60" i="51" s="1"/>
  <c r="AA67" i="51"/>
  <c r="AK67" i="51" s="1"/>
  <c r="AE67" i="51"/>
  <c r="AO67" i="51" s="1"/>
  <c r="AB24" i="51"/>
  <c r="AL24" i="51" s="1"/>
  <c r="AA26" i="51"/>
  <c r="AK26" i="51" s="1"/>
  <c r="Z32" i="51"/>
  <c r="AJ32" i="51" s="1"/>
  <c r="AE32" i="51"/>
  <c r="AO32" i="51" s="1"/>
  <c r="Z60" i="51"/>
  <c r="AJ60" i="51" s="1"/>
  <c r="AD60" i="51"/>
  <c r="AN60" i="51" s="1"/>
  <c r="AB67" i="51"/>
  <c r="AL67" i="51" s="1"/>
  <c r="AL65" i="51" s="1"/>
  <c r="AF67" i="51"/>
  <c r="AP67" i="51" s="1"/>
  <c r="Z13" i="51"/>
  <c r="AJ13" i="51" s="1"/>
  <c r="AB26" i="51"/>
  <c r="AL26" i="51" s="1"/>
  <c r="AF32" i="51"/>
  <c r="AP32" i="51" s="1"/>
  <c r="AA60" i="51"/>
  <c r="AK60" i="51" s="1"/>
  <c r="Y67" i="51"/>
  <c r="AI67" i="51" s="1"/>
  <c r="AI65" i="51" s="1"/>
  <c r="AA10" i="51"/>
  <c r="AK10" i="51" s="1"/>
  <c r="AE10" i="51"/>
  <c r="AO10" i="51" s="1"/>
  <c r="AC18" i="51"/>
  <c r="AM18" i="51" s="1"/>
  <c r="Y18" i="51"/>
  <c r="AI18" i="51" s="1"/>
  <c r="Y24" i="51"/>
  <c r="AI24" i="51" s="1"/>
  <c r="AA32" i="51"/>
  <c r="AK32" i="51" s="1"/>
  <c r="AC67" i="51"/>
  <c r="AM67" i="51" s="1"/>
  <c r="AM65" i="51" s="1"/>
  <c r="AA13" i="51"/>
  <c r="AK13" i="51" s="1"/>
  <c r="AE13" i="51"/>
  <c r="AO13" i="51" s="1"/>
  <c r="Z24" i="51"/>
  <c r="AJ24" i="51" s="1"/>
  <c r="AE24" i="51"/>
  <c r="AO24" i="51" s="1"/>
  <c r="Y26" i="51"/>
  <c r="AI26" i="51" s="1"/>
  <c r="AC26" i="51"/>
  <c r="AM26" i="51" s="1"/>
  <c r="AB32" i="51"/>
  <c r="AL32" i="51" s="1"/>
  <c r="AB60" i="51"/>
  <c r="AL60" i="51" s="1"/>
  <c r="Z67" i="51"/>
  <c r="AJ67" i="51" s="1"/>
  <c r="AD67" i="51"/>
  <c r="AN67" i="51" s="1"/>
  <c r="AD13" i="51"/>
  <c r="AN13" i="51" s="1"/>
  <c r="AC24" i="51"/>
  <c r="AM24" i="51" s="1"/>
  <c r="AE60" i="51"/>
  <c r="AO60" i="51" s="1"/>
  <c r="AB10" i="51"/>
  <c r="AL10" i="51" s="1"/>
  <c r="AF10" i="51"/>
  <c r="AP10" i="51" s="1"/>
  <c r="K65" i="51"/>
  <c r="Z66" i="51"/>
  <c r="AJ66" i="51" s="1"/>
  <c r="AD66" i="51"/>
  <c r="AN66" i="51" s="1"/>
  <c r="AF12" i="51"/>
  <c r="AP12" i="51" s="1"/>
  <c r="AA20" i="51"/>
  <c r="AK20" i="51" s="1"/>
  <c r="AF20" i="51"/>
  <c r="AP20" i="51" s="1"/>
  <c r="AC25" i="51"/>
  <c r="AM25" i="51" s="1"/>
  <c r="AB31" i="51"/>
  <c r="AL31" i="51" s="1"/>
  <c r="AD43" i="51"/>
  <c r="AN43" i="51" s="1"/>
  <c r="AB50" i="51"/>
  <c r="AL50" i="51" s="1"/>
  <c r="Z57" i="51"/>
  <c r="AJ57" i="51" s="1"/>
  <c r="AD57" i="51"/>
  <c r="AN57" i="51" s="1"/>
  <c r="AB59" i="51"/>
  <c r="AL59" i="51" s="1"/>
  <c r="AB12" i="51"/>
  <c r="AL12" i="51" s="1"/>
  <c r="AA66" i="51"/>
  <c r="AK66" i="51" s="1"/>
  <c r="AE66" i="51"/>
  <c r="Y12" i="51"/>
  <c r="AI12" i="51" s="1"/>
  <c r="AC12" i="51"/>
  <c r="AM12" i="51" s="1"/>
  <c r="AB20" i="51"/>
  <c r="AL20" i="51" s="1"/>
  <c r="Z25" i="51"/>
  <c r="AJ25" i="51" s="1"/>
  <c r="AE25" i="51"/>
  <c r="AO25" i="51" s="1"/>
  <c r="Y31" i="51"/>
  <c r="AI31" i="51" s="1"/>
  <c r="AC31" i="51"/>
  <c r="AM31" i="51" s="1"/>
  <c r="Y50" i="51"/>
  <c r="AI50" i="51" s="1"/>
  <c r="AC50" i="51"/>
  <c r="AM50" i="51" s="1"/>
  <c r="AA57" i="51"/>
  <c r="AK57" i="51" s="1"/>
  <c r="AE57" i="51"/>
  <c r="AO57" i="51" s="1"/>
  <c r="Y59" i="51"/>
  <c r="AI59" i="51" s="1"/>
  <c r="AC59" i="51"/>
  <c r="AM59" i="51" s="1"/>
  <c r="Z12" i="51"/>
  <c r="AJ12" i="51" s="1"/>
  <c r="AD12" i="51"/>
  <c r="AN12" i="51" s="1"/>
  <c r="Y20" i="51"/>
  <c r="AI20" i="51" s="1"/>
  <c r="AC20" i="51"/>
  <c r="AM20" i="51" s="1"/>
  <c r="AA25" i="51"/>
  <c r="AK25" i="51" s="1"/>
  <c r="AF25" i="51"/>
  <c r="AP25" i="51" s="1"/>
  <c r="Z31" i="51"/>
  <c r="AJ31" i="51" s="1"/>
  <c r="AE31" i="51"/>
  <c r="AO31" i="51" s="1"/>
  <c r="Z50" i="51"/>
  <c r="AJ50" i="51" s="1"/>
  <c r="AD50" i="51"/>
  <c r="AN50" i="51" s="1"/>
  <c r="AB57" i="51"/>
  <c r="AL57" i="51" s="1"/>
  <c r="Z59" i="51"/>
  <c r="AJ59" i="51" s="1"/>
  <c r="AD59" i="51"/>
  <c r="AN59" i="51" s="1"/>
  <c r="R49" i="51"/>
  <c r="AA12" i="51"/>
  <c r="AK12" i="51" s="1"/>
  <c r="AE12" i="51"/>
  <c r="AO12" i="51" s="1"/>
  <c r="Z20" i="51"/>
  <c r="AJ20" i="51" s="1"/>
  <c r="AE20" i="51"/>
  <c r="AO20" i="51" s="1"/>
  <c r="AB25" i="51"/>
  <c r="AL25" i="51" s="1"/>
  <c r="AA31" i="51"/>
  <c r="AK31" i="51" s="1"/>
  <c r="AF31" i="51"/>
  <c r="AP31" i="51" s="1"/>
  <c r="AA50" i="51"/>
  <c r="AK50" i="51" s="1"/>
  <c r="AF50" i="51"/>
  <c r="AP50" i="51" s="1"/>
  <c r="Y57" i="51"/>
  <c r="AI57" i="51" s="1"/>
  <c r="AC57" i="51"/>
  <c r="AM57" i="51" s="1"/>
  <c r="AA59" i="51"/>
  <c r="AK59" i="51" s="1"/>
  <c r="AE59" i="51"/>
  <c r="AO59" i="51" s="1"/>
  <c r="Y14" i="51"/>
  <c r="AI14" i="51" s="1"/>
  <c r="AC14" i="51"/>
  <c r="AM14" i="51" s="1"/>
  <c r="AA16" i="51"/>
  <c r="Y27" i="51"/>
  <c r="AI27" i="51" s="1"/>
  <c r="Y53" i="51"/>
  <c r="Y52" i="51" s="1"/>
  <c r="AC53" i="51"/>
  <c r="AA61" i="51"/>
  <c r="AK61" i="51" s="1"/>
  <c r="AE62" i="51"/>
  <c r="AO62" i="51" s="1"/>
  <c r="Z14" i="51"/>
  <c r="AJ14" i="51" s="1"/>
  <c r="AD14" i="51"/>
  <c r="AN14" i="51" s="1"/>
  <c r="AE28" i="51"/>
  <c r="AO28" i="51" s="1"/>
  <c r="AD40" i="51"/>
  <c r="AN40" i="51" s="1"/>
  <c r="Z53" i="51"/>
  <c r="AB61" i="51"/>
  <c r="AL61" i="51" s="1"/>
  <c r="AA14" i="51"/>
  <c r="AK14" i="51" s="1"/>
  <c r="AE14" i="51"/>
  <c r="AO14" i="51" s="1"/>
  <c r="AA53" i="51"/>
  <c r="AB54" i="51"/>
  <c r="AL54" i="51" s="1"/>
  <c r="Y61" i="51"/>
  <c r="AI61" i="51" s="1"/>
  <c r="AC61" i="51"/>
  <c r="AM61" i="51" s="1"/>
  <c r="Y16" i="51"/>
  <c r="Y15" i="51" s="1"/>
  <c r="Y11" i="51" s="1"/>
  <c r="Y25" i="51"/>
  <c r="AI25" i="51" s="1"/>
  <c r="Y37" i="51"/>
  <c r="Z18" i="51"/>
  <c r="AJ18" i="51" s="1"/>
  <c r="Z27" i="51"/>
  <c r="AJ27" i="51" s="1"/>
  <c r="Z39" i="51"/>
  <c r="AJ39" i="51" s="1"/>
  <c r="Z51" i="51"/>
  <c r="AJ51" i="51" s="1"/>
  <c r="AA42" i="51"/>
  <c r="AK42" i="51" s="1"/>
  <c r="AA63" i="51"/>
  <c r="AK63" i="51" s="1"/>
  <c r="AB16" i="51"/>
  <c r="AB15" i="51" s="1"/>
  <c r="AB37" i="51"/>
  <c r="AC27" i="51"/>
  <c r="AM27" i="51" s="1"/>
  <c r="AC39" i="51"/>
  <c r="AM39" i="51" s="1"/>
  <c r="AC51" i="51"/>
  <c r="AM51" i="51" s="1"/>
  <c r="AD28" i="51"/>
  <c r="AN28" i="51" s="1"/>
  <c r="AF44" i="51"/>
  <c r="AP44" i="51" s="1"/>
  <c r="AF57" i="51"/>
  <c r="AP57" i="51" s="1"/>
  <c r="S11" i="51"/>
  <c r="S9" i="51" s="1"/>
  <c r="S6" i="51" s="1"/>
  <c r="S7" i="51" s="1"/>
  <c r="Y38" i="51"/>
  <c r="Z28" i="51"/>
  <c r="AJ28" i="51" s="1"/>
  <c r="Z40" i="51"/>
  <c r="AJ40" i="51" s="1"/>
  <c r="AA43" i="51"/>
  <c r="AK43" i="51" s="1"/>
  <c r="AA56" i="51"/>
  <c r="AK56" i="51" s="1"/>
  <c r="AB38" i="51"/>
  <c r="AC28" i="51"/>
  <c r="AM28" i="51" s="1"/>
  <c r="AD20" i="51"/>
  <c r="AN20" i="51" s="1"/>
  <c r="AD54" i="51"/>
  <c r="AN54" i="51" s="1"/>
  <c r="AD62" i="51"/>
  <c r="AN62" i="51" s="1"/>
  <c r="AE43" i="51"/>
  <c r="AO43" i="51" s="1"/>
  <c r="AE56" i="51"/>
  <c r="AO56" i="51" s="1"/>
  <c r="AF37" i="51"/>
  <c r="Y39" i="51"/>
  <c r="AI39" i="51" s="1"/>
  <c r="Y51" i="51"/>
  <c r="AI51" i="51" s="1"/>
  <c r="Z41" i="51"/>
  <c r="AJ41" i="51" s="1"/>
  <c r="Z62" i="51"/>
  <c r="AJ62" i="51" s="1"/>
  <c r="AA44" i="51"/>
  <c r="AK44" i="51" s="1"/>
  <c r="AB18" i="51"/>
  <c r="AL18" i="51" s="1"/>
  <c r="AB27" i="51"/>
  <c r="AL27" i="51" s="1"/>
  <c r="AB39" i="51"/>
  <c r="AL39" i="51" s="1"/>
  <c r="AB51" i="51"/>
  <c r="AL51" i="51" s="1"/>
  <c r="AC41" i="51"/>
  <c r="AM41" i="51" s="1"/>
  <c r="AD30" i="51"/>
  <c r="AN30" i="51" s="1"/>
  <c r="AD42" i="51"/>
  <c r="AN42" i="51" s="1"/>
  <c r="AD55" i="51"/>
  <c r="AN55" i="51" s="1"/>
  <c r="AD63" i="51"/>
  <c r="AN63" i="51" s="1"/>
  <c r="AE44" i="51"/>
  <c r="AO44" i="51" s="1"/>
  <c r="AF38" i="51"/>
  <c r="AF59" i="51"/>
  <c r="AP59" i="51" s="1"/>
  <c r="Y28" i="51"/>
  <c r="AI28" i="51" s="1"/>
  <c r="Y40" i="51"/>
  <c r="AI40" i="51" s="1"/>
  <c r="Z42" i="51"/>
  <c r="AJ42" i="51" s="1"/>
  <c r="Z55" i="51"/>
  <c r="AJ55" i="51" s="1"/>
  <c r="Z63" i="51"/>
  <c r="AJ63" i="51" s="1"/>
  <c r="AA37" i="51"/>
  <c r="AB28" i="51"/>
  <c r="AL28" i="51" s="1"/>
  <c r="AB40" i="51"/>
  <c r="AL40" i="51" s="1"/>
  <c r="AC42" i="51"/>
  <c r="AM42" i="51" s="1"/>
  <c r="AC55" i="51"/>
  <c r="AM55" i="51" s="1"/>
  <c r="AC63" i="51"/>
  <c r="AM63" i="51" s="1"/>
  <c r="AD31" i="51"/>
  <c r="AN31" i="51" s="1"/>
  <c r="AD56" i="51"/>
  <c r="AN56" i="51" s="1"/>
  <c r="AE16" i="51"/>
  <c r="AE15" i="51" s="1"/>
  <c r="AE37" i="51"/>
  <c r="AF18" i="51"/>
  <c r="AF39" i="51"/>
  <c r="AP39" i="51" s="1"/>
  <c r="AF60" i="51"/>
  <c r="AP60" i="51" s="1"/>
  <c r="Y41" i="51"/>
  <c r="AI41" i="51" s="1"/>
  <c r="Y54" i="51"/>
  <c r="AI54" i="51" s="1"/>
  <c r="Y62" i="51"/>
  <c r="AI62" i="51" s="1"/>
  <c r="Z43" i="51"/>
  <c r="AJ43" i="51" s="1"/>
  <c r="Z56" i="51"/>
  <c r="AJ56" i="51" s="1"/>
  <c r="AA17" i="51"/>
  <c r="AA38" i="51"/>
  <c r="AB41" i="51"/>
  <c r="AL41" i="51" s="1"/>
  <c r="AB62" i="51"/>
  <c r="AL62" i="51" s="1"/>
  <c r="AC43" i="51"/>
  <c r="AM43" i="51" s="1"/>
  <c r="AC56" i="51"/>
  <c r="AM56" i="51" s="1"/>
  <c r="AD24" i="51"/>
  <c r="AN24" i="51" s="1"/>
  <c r="AD32" i="51"/>
  <c r="AN32" i="51" s="1"/>
  <c r="AD44" i="51"/>
  <c r="AN44" i="51" s="1"/>
  <c r="AE17" i="51"/>
  <c r="AE26" i="51"/>
  <c r="AO26" i="51" s="1"/>
  <c r="AE50" i="51"/>
  <c r="AO50" i="51" s="1"/>
  <c r="AF28" i="51"/>
  <c r="AP28" i="51" s="1"/>
  <c r="AF40" i="51"/>
  <c r="AP40" i="51" s="1"/>
  <c r="AF53" i="51"/>
  <c r="AF61" i="51"/>
  <c r="AP61" i="51" s="1"/>
  <c r="Y42" i="51"/>
  <c r="AI42" i="51" s="1"/>
  <c r="Y55" i="51"/>
  <c r="AI55" i="51" s="1"/>
  <c r="Y63" i="51"/>
  <c r="AI63" i="51" s="1"/>
  <c r="Z44" i="51"/>
  <c r="AJ44" i="51" s="1"/>
  <c r="AA18" i="51"/>
  <c r="AK18" i="51" s="1"/>
  <c r="AA27" i="51"/>
  <c r="AK27" i="51" s="1"/>
  <c r="AA39" i="51"/>
  <c r="AK39" i="51" s="1"/>
  <c r="AA51" i="51"/>
  <c r="AK51" i="51" s="1"/>
  <c r="AB42" i="51"/>
  <c r="AL42" i="51" s="1"/>
  <c r="AB55" i="51"/>
  <c r="AL55" i="51" s="1"/>
  <c r="AB63" i="51"/>
  <c r="AL63" i="51" s="1"/>
  <c r="AC44" i="51"/>
  <c r="AM44" i="51" s="1"/>
  <c r="AD16" i="51"/>
  <c r="AD15" i="51" s="1"/>
  <c r="AE27" i="51"/>
  <c r="AO27" i="51" s="1"/>
  <c r="AE39" i="51"/>
  <c r="AO39" i="51" s="1"/>
  <c r="AF41" i="51"/>
  <c r="AP41" i="51" s="1"/>
  <c r="AF54" i="51"/>
  <c r="AP54" i="51" s="1"/>
  <c r="AF62" i="51"/>
  <c r="AP62" i="51" s="1"/>
  <c r="Y43" i="51"/>
  <c r="AI43" i="51" s="1"/>
  <c r="Y56" i="51"/>
  <c r="AI56" i="51" s="1"/>
  <c r="Z37" i="51"/>
  <c r="AA28" i="51"/>
  <c r="AK28" i="51" s="1"/>
  <c r="AA40" i="51"/>
  <c r="AK40" i="51" s="1"/>
  <c r="AB43" i="51"/>
  <c r="AL43" i="51" s="1"/>
  <c r="AB56" i="51"/>
  <c r="AL56" i="51" s="1"/>
  <c r="AC16" i="51"/>
  <c r="AC15" i="51" s="1"/>
  <c r="AC37" i="51"/>
  <c r="AD17" i="51"/>
  <c r="AD26" i="51"/>
  <c r="AN26" i="51" s="1"/>
  <c r="AD38" i="51"/>
  <c r="AE40" i="51"/>
  <c r="AO40" i="51" s="1"/>
  <c r="AE53" i="51"/>
  <c r="AE61" i="51"/>
  <c r="AO61" i="51" s="1"/>
  <c r="AF42" i="51"/>
  <c r="AP42" i="51" s="1"/>
  <c r="AF55" i="51"/>
  <c r="AP55" i="51" s="1"/>
  <c r="Y44" i="51"/>
  <c r="AI44" i="51" s="1"/>
  <c r="Z17" i="51"/>
  <c r="Z38" i="51"/>
  <c r="AA41" i="51"/>
  <c r="AK41" i="51" s="1"/>
  <c r="AA54" i="51"/>
  <c r="AK54" i="51" s="1"/>
  <c r="AA62" i="51"/>
  <c r="AK62" i="51" s="1"/>
  <c r="AB44" i="51"/>
  <c r="AL44" i="51" s="1"/>
  <c r="AC38" i="51"/>
  <c r="AD18" i="51"/>
  <c r="AN18" i="51" s="1"/>
  <c r="AD27" i="51"/>
  <c r="AN27" i="51" s="1"/>
  <c r="AD39" i="51"/>
  <c r="AN39" i="51" s="1"/>
  <c r="AD51" i="51"/>
  <c r="AN51" i="51" s="1"/>
  <c r="AE41" i="51"/>
  <c r="AE54" i="51"/>
  <c r="AF43" i="51"/>
  <c r="AP43" i="51" s="1"/>
  <c r="D9" i="51"/>
  <c r="S49" i="51"/>
  <c r="L65" i="51"/>
  <c r="N52" i="51"/>
  <c r="N49" i="51" s="1"/>
  <c r="F11" i="51"/>
  <c r="F9" i="51" s="1"/>
  <c r="H9" i="51"/>
  <c r="P11" i="51"/>
  <c r="P9" i="51" s="1"/>
  <c r="R11" i="51"/>
  <c r="R9" i="51" s="1"/>
  <c r="R6" i="51" s="1"/>
  <c r="R7" i="51" s="1"/>
  <c r="N11" i="51"/>
  <c r="N9" i="51" s="1"/>
  <c r="M11" i="51"/>
  <c r="M9" i="51" s="1"/>
  <c r="M65" i="51"/>
  <c r="J9" i="51"/>
  <c r="E65" i="51"/>
  <c r="G52" i="51"/>
  <c r="G49" i="51" s="1"/>
  <c r="F52" i="51"/>
  <c r="F65" i="51"/>
  <c r="E11" i="51"/>
  <c r="E9" i="51" s="1"/>
  <c r="G65" i="51"/>
  <c r="D52" i="51"/>
  <c r="D49" i="51" s="1"/>
  <c r="K11" i="51"/>
  <c r="Q11" i="51"/>
  <c r="Q9" i="51" s="1"/>
  <c r="F49" i="51"/>
  <c r="O52" i="51"/>
  <c r="O49" i="51" s="1"/>
  <c r="L52" i="51"/>
  <c r="L49" i="51" s="1"/>
  <c r="L6" i="51" s="1"/>
  <c r="L7" i="51" s="1"/>
  <c r="P52" i="51"/>
  <c r="P49" i="51" s="1"/>
  <c r="H52" i="51"/>
  <c r="H49" i="51" s="1"/>
  <c r="J52" i="51"/>
  <c r="J49" i="51" s="1"/>
  <c r="I11" i="51"/>
  <c r="I9" i="51" s="1"/>
  <c r="K9" i="51"/>
  <c r="O11" i="51"/>
  <c r="O9" i="51" s="1"/>
  <c r="O6" i="51" s="1"/>
  <c r="O7" i="51" s="1"/>
  <c r="I65" i="51"/>
  <c r="G11" i="51"/>
  <c r="G9" i="51" s="1"/>
  <c r="I52" i="51"/>
  <c r="I49" i="51" s="1"/>
  <c r="K52" i="51"/>
  <c r="K49" i="51" s="1"/>
  <c r="E52" i="51"/>
  <c r="E49" i="51" s="1"/>
  <c r="M52" i="51"/>
  <c r="M49" i="51" s="1"/>
  <c r="Q52" i="51"/>
  <c r="Q49" i="51" s="1"/>
  <c r="Q6" i="51" s="1"/>
  <c r="Q7" i="51" s="1"/>
  <c r="X56" i="24"/>
  <c r="Y56" i="24"/>
  <c r="Z56" i="24"/>
  <c r="AA56" i="24"/>
  <c r="AB56" i="24"/>
  <c r="AC56" i="24"/>
  <c r="AD56" i="24"/>
  <c r="AE56" i="24"/>
  <c r="AF56" i="24"/>
  <c r="AG56" i="24"/>
  <c r="IA56" i="24" s="1"/>
  <c r="AH56" i="24"/>
  <c r="IZ56" i="24" s="1"/>
  <c r="AI56" i="24"/>
  <c r="JR56" i="24" s="1"/>
  <c r="AJ56" i="24"/>
  <c r="KE56" i="24" s="1"/>
  <c r="AK56" i="24"/>
  <c r="KX56" i="24" s="1"/>
  <c r="AL56" i="24"/>
  <c r="LW56" i="24" s="1"/>
  <c r="AM56" i="24"/>
  <c r="MP56" i="24" s="1"/>
  <c r="AN56" i="24"/>
  <c r="ND56" i="24" s="1"/>
  <c r="IK200" i="24"/>
  <c r="IJ200" i="24"/>
  <c r="NF56" i="24"/>
  <c r="NI56" i="24"/>
  <c r="NK56" i="24"/>
  <c r="NN56" i="24"/>
  <c r="NP56" i="24"/>
  <c r="MO56" i="24"/>
  <c r="MW56" i="24"/>
  <c r="KZ56" i="24"/>
  <c r="LA56" i="24"/>
  <c r="LI56" i="24"/>
  <c r="LJ56" i="24"/>
  <c r="JM56" i="24"/>
  <c r="JX56" i="24"/>
  <c r="IG56" i="24"/>
  <c r="NR45" i="24"/>
  <c r="NQ45" i="24"/>
  <c r="NP45" i="24"/>
  <c r="NO45" i="24"/>
  <c r="NR21" i="24"/>
  <c r="NQ21" i="24"/>
  <c r="MY45" i="24"/>
  <c r="MX45" i="24"/>
  <c r="MW45" i="24"/>
  <c r="MV45" i="24"/>
  <c r="MY21" i="24"/>
  <c r="MX21" i="24"/>
  <c r="MF45" i="24"/>
  <c r="ME45" i="24"/>
  <c r="MD45" i="24"/>
  <c r="MC45" i="24"/>
  <c r="MF21" i="24"/>
  <c r="ME21" i="24"/>
  <c r="LM45" i="24"/>
  <c r="LL45" i="24"/>
  <c r="LK45" i="24"/>
  <c r="LJ45" i="24"/>
  <c r="LM21" i="24"/>
  <c r="LL21" i="24"/>
  <c r="KT45" i="24"/>
  <c r="KS45" i="24"/>
  <c r="KR45" i="24"/>
  <c r="KQ45" i="24"/>
  <c r="KT21" i="24"/>
  <c r="KS21" i="24"/>
  <c r="KA45" i="24"/>
  <c r="JZ45" i="24"/>
  <c r="JY45" i="24"/>
  <c r="JX45" i="24"/>
  <c r="KA21" i="24"/>
  <c r="JZ21" i="24"/>
  <c r="JH45" i="24"/>
  <c r="JG45" i="24"/>
  <c r="JF45" i="24"/>
  <c r="JE45" i="24"/>
  <c r="JH21" i="24"/>
  <c r="JG21" i="24"/>
  <c r="IO45" i="24"/>
  <c r="IN45" i="24"/>
  <c r="IM45" i="24"/>
  <c r="IL45" i="24"/>
  <c r="IO21" i="24"/>
  <c r="IN21" i="24"/>
  <c r="HR266" i="24"/>
  <c r="HQ266" i="24"/>
  <c r="HR200" i="24"/>
  <c r="HQ200" i="24"/>
  <c r="HV45" i="24"/>
  <c r="HU45" i="24"/>
  <c r="HT45" i="24"/>
  <c r="HS45" i="24"/>
  <c r="HV21" i="24"/>
  <c r="HU21" i="24"/>
  <c r="GY266" i="24"/>
  <c r="GX266" i="24"/>
  <c r="GY200" i="24"/>
  <c r="GX200" i="24"/>
  <c r="HC45" i="24"/>
  <c r="HB45" i="24"/>
  <c r="HA45" i="24"/>
  <c r="GZ45" i="24"/>
  <c r="HC21" i="24"/>
  <c r="HB21" i="24"/>
  <c r="GF266" i="24"/>
  <c r="GE266" i="24"/>
  <c r="GF200" i="24"/>
  <c r="GE200" i="24"/>
  <c r="GE22" i="24"/>
  <c r="GF22" i="24"/>
  <c r="GJ45" i="24"/>
  <c r="GI45" i="24"/>
  <c r="GH45" i="24"/>
  <c r="GG45" i="24"/>
  <c r="GJ21" i="24"/>
  <c r="GI21" i="24"/>
  <c r="FM200" i="24"/>
  <c r="FL200" i="24"/>
  <c r="FM266" i="24"/>
  <c r="FL266" i="24"/>
  <c r="FL22" i="24"/>
  <c r="FM22" i="24"/>
  <c r="FQ45" i="24"/>
  <c r="FP45" i="24"/>
  <c r="FO45" i="24"/>
  <c r="FN45" i="24"/>
  <c r="FQ21" i="24"/>
  <c r="FP21" i="24"/>
  <c r="ET266" i="24"/>
  <c r="ES266" i="24"/>
  <c r="ET200" i="24"/>
  <c r="ES200" i="24"/>
  <c r="M31" i="39"/>
  <c r="W56" i="24" s="1"/>
  <c r="M32" i="39"/>
  <c r="M33" i="39"/>
  <c r="M34" i="39"/>
  <c r="P68" i="49"/>
  <c r="O68" i="49"/>
  <c r="P67" i="49"/>
  <c r="O67" i="49"/>
  <c r="P32" i="49"/>
  <c r="O32" i="49"/>
  <c r="P31" i="49"/>
  <c r="O31" i="49"/>
  <c r="Z15" i="51" l="1"/>
  <c r="AA15" i="51"/>
  <c r="Z65" i="51"/>
  <c r="LD56" i="24"/>
  <c r="LC56" i="24"/>
  <c r="KY56" i="24"/>
  <c r="LE56" i="24"/>
  <c r="LK56" i="24"/>
  <c r="LB56" i="24"/>
  <c r="AP65" i="51"/>
  <c r="LH56" i="24"/>
  <c r="LG56" i="24"/>
  <c r="MD56" i="24"/>
  <c r="NC56" i="24"/>
  <c r="KQ56" i="24"/>
  <c r="KL56" i="24"/>
  <c r="IH56" i="24"/>
  <c r="KK56" i="24"/>
  <c r="KR56" i="24"/>
  <c r="IF56" i="24"/>
  <c r="AI36" i="51"/>
  <c r="HZ56" i="24"/>
  <c r="KP56" i="24"/>
  <c r="KH56" i="24"/>
  <c r="Y65" i="51"/>
  <c r="JF56" i="24"/>
  <c r="KO56" i="24"/>
  <c r="KG56" i="24"/>
  <c r="LF56" i="24"/>
  <c r="NJ56" i="24"/>
  <c r="AC65" i="51"/>
  <c r="KJ56" i="24"/>
  <c r="KI56" i="24"/>
  <c r="IY56" i="24"/>
  <c r="KN56" i="24"/>
  <c r="KF56" i="24"/>
  <c r="AJ36" i="51"/>
  <c r="AA65" i="51"/>
  <c r="IX56" i="24"/>
  <c r="KM56" i="24"/>
  <c r="LU56" i="24"/>
  <c r="NH56" i="24"/>
  <c r="AK65" i="51"/>
  <c r="IM56" i="24"/>
  <c r="IE56" i="24"/>
  <c r="JD56" i="24"/>
  <c r="IV56" i="24"/>
  <c r="JU56" i="24"/>
  <c r="AE36" i="51"/>
  <c r="AO41" i="51"/>
  <c r="AO36" i="51" s="1"/>
  <c r="AD65" i="51"/>
  <c r="AE65" i="51"/>
  <c r="AO66" i="51"/>
  <c r="AO65" i="51" s="1"/>
  <c r="AL36" i="51"/>
  <c r="IL56" i="24"/>
  <c r="ID56" i="24"/>
  <c r="JC56" i="24"/>
  <c r="IU56" i="24"/>
  <c r="JQ56" i="24"/>
  <c r="NO56" i="24"/>
  <c r="NG56" i="24"/>
  <c r="AK36" i="51"/>
  <c r="JW56" i="24"/>
  <c r="JV56" i="24"/>
  <c r="IK56" i="24"/>
  <c r="IC56" i="24"/>
  <c r="JB56" i="24"/>
  <c r="IT56" i="24"/>
  <c r="JP56" i="24"/>
  <c r="AP36" i="51"/>
  <c r="AN65" i="51"/>
  <c r="IW56" i="24"/>
  <c r="AO54" i="51"/>
  <c r="IJ56" i="24"/>
  <c r="IB56" i="24"/>
  <c r="JA56" i="24"/>
  <c r="IS56" i="24"/>
  <c r="JO56" i="24"/>
  <c r="MC56" i="24"/>
  <c r="NM56" i="24"/>
  <c r="NE56" i="24"/>
  <c r="AM36" i="51"/>
  <c r="AF65" i="51"/>
  <c r="AJ65" i="51"/>
  <c r="JE56" i="24"/>
  <c r="AP18" i="51"/>
  <c r="II56" i="24"/>
  <c r="JY56" i="24"/>
  <c r="JN56" i="24"/>
  <c r="LV56" i="24"/>
  <c r="NL56" i="24"/>
  <c r="AB65" i="51"/>
  <c r="J6" i="51"/>
  <c r="J7" i="51" s="1"/>
  <c r="Y36" i="51"/>
  <c r="M6" i="51"/>
  <c r="M7" i="51" s="1"/>
  <c r="D6" i="51"/>
  <c r="D7" i="51" s="1"/>
  <c r="AA36" i="51"/>
  <c r="P6" i="51"/>
  <c r="P7" i="51" s="1"/>
  <c r="N6" i="51"/>
  <c r="N7" i="51" s="1"/>
  <c r="Z36" i="51"/>
  <c r="AB36" i="51"/>
  <c r="AF36" i="51"/>
  <c r="AC36" i="51"/>
  <c r="F6" i="51"/>
  <c r="F7" i="51" s="1"/>
  <c r="K6" i="51"/>
  <c r="K7" i="51" s="1"/>
  <c r="H6" i="51"/>
  <c r="H7" i="51" s="1"/>
  <c r="E6" i="51"/>
  <c r="E7" i="51" s="1"/>
  <c r="G6" i="51"/>
  <c r="G7" i="51" s="1"/>
  <c r="I6" i="51"/>
  <c r="I7" i="51" s="1"/>
  <c r="MB56" i="24"/>
  <c r="LT56" i="24"/>
  <c r="MU56" i="24"/>
  <c r="MM56" i="24"/>
  <c r="MA56" i="24"/>
  <c r="LS56" i="24"/>
  <c r="MT56" i="24"/>
  <c r="ML56" i="24"/>
  <c r="MV56" i="24"/>
  <c r="LZ56" i="24"/>
  <c r="LR56" i="24"/>
  <c r="MK56" i="24"/>
  <c r="JT56" i="24"/>
  <c r="JL56" i="24"/>
  <c r="LY56" i="24"/>
  <c r="LQ56" i="24"/>
  <c r="MR56" i="24"/>
  <c r="MJ56" i="24"/>
  <c r="JS56" i="24"/>
  <c r="LX56" i="24"/>
  <c r="MQ56" i="24"/>
  <c r="MN56" i="24"/>
  <c r="MS56" i="24"/>
  <c r="EA266" i="24"/>
  <c r="DZ266" i="24"/>
  <c r="EA200" i="24"/>
  <c r="DZ200" i="24"/>
  <c r="DH266" i="24"/>
  <c r="DG266" i="24"/>
  <c r="DH200" i="24"/>
  <c r="DG200" i="24"/>
  <c r="CO266" i="24"/>
  <c r="CN266" i="24"/>
  <c r="CO200" i="24"/>
  <c r="CN200" i="24"/>
  <c r="BV266" i="24"/>
  <c r="BU266" i="24"/>
  <c r="BV200" i="24"/>
  <c r="BU200" i="24"/>
  <c r="BZ45" i="24"/>
  <c r="BY45" i="24"/>
  <c r="BZ21" i="24"/>
  <c r="BY21" i="24"/>
  <c r="BX45" i="24"/>
  <c r="BW45" i="24"/>
  <c r="X51" i="24"/>
  <c r="BZ51" i="24" s="1"/>
  <c r="Y51" i="24"/>
  <c r="CD51" i="24" s="1"/>
  <c r="Z51" i="24"/>
  <c r="DD51" i="24" s="1"/>
  <c r="AA51" i="24"/>
  <c r="DP51" i="24" s="1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X55" i="24"/>
  <c r="BZ55" i="24" s="1"/>
  <c r="Y55" i="24"/>
  <c r="CR55" i="24" s="1"/>
  <c r="Z55" i="24"/>
  <c r="DL55" i="24" s="1"/>
  <c r="AA55" i="24"/>
  <c r="EE55" i="24" s="1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X62" i="24"/>
  <c r="BM62" i="24" s="1"/>
  <c r="Y62" i="24"/>
  <c r="CD62" i="24" s="1"/>
  <c r="Z62" i="24"/>
  <c r="DD62" i="24" s="1"/>
  <c r="AA62" i="24"/>
  <c r="DQ62" i="24" s="1"/>
  <c r="AB62" i="24"/>
  <c r="AC62" i="24"/>
  <c r="AD62" i="24"/>
  <c r="AE62" i="24"/>
  <c r="AF62" i="24"/>
  <c r="X63" i="24"/>
  <c r="BM63" i="24" s="1"/>
  <c r="Y63" i="24"/>
  <c r="CH63" i="24" s="1"/>
  <c r="Z63" i="24"/>
  <c r="DD63" i="24" s="1"/>
  <c r="AA63" i="24"/>
  <c r="DP63" i="24" s="1"/>
  <c r="AB63" i="24"/>
  <c r="AC63" i="24"/>
  <c r="AD63" i="24"/>
  <c r="AE63" i="24"/>
  <c r="AF63" i="24"/>
  <c r="AG63" i="24"/>
  <c r="AH63" i="24"/>
  <c r="AI63" i="24"/>
  <c r="AJ63" i="24"/>
  <c r="AK63" i="24"/>
  <c r="AL63" i="24"/>
  <c r="AM63" i="24"/>
  <c r="AN63" i="24"/>
  <c r="BZ39" i="24"/>
  <c r="Y39" i="24"/>
  <c r="CH39" i="24" s="1"/>
  <c r="Z39" i="24"/>
  <c r="DD39" i="24" s="1"/>
  <c r="AA39" i="24"/>
  <c r="DR39" i="24" s="1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X28" i="24"/>
  <c r="BM28" i="24" s="1"/>
  <c r="BM116" i="24" s="1"/>
  <c r="Y28" i="24"/>
  <c r="CF28" i="24" s="1"/>
  <c r="Z28" i="24"/>
  <c r="DD28" i="24" s="1"/>
  <c r="AA28" i="24"/>
  <c r="DQ28" i="24" s="1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X18" i="24"/>
  <c r="BZ18" i="24" s="1"/>
  <c r="Y18" i="24"/>
  <c r="CD18" i="24" s="1"/>
  <c r="Z18" i="24"/>
  <c r="DD18" i="24" s="1"/>
  <c r="AA18" i="24"/>
  <c r="DR18" i="24" s="1"/>
  <c r="AB18" i="24"/>
  <c r="AC18" i="24"/>
  <c r="AD18" i="24"/>
  <c r="AE18" i="24"/>
  <c r="AF18" i="24"/>
  <c r="AG18" i="24"/>
  <c r="AH18" i="24"/>
  <c r="AI18" i="24"/>
  <c r="AJ18" i="24"/>
  <c r="AK18" i="24"/>
  <c r="AL18" i="24"/>
  <c r="AM18" i="24"/>
  <c r="AN18" i="24"/>
  <c r="S21" i="10"/>
  <c r="N89" i="39"/>
  <c r="O89" i="39"/>
  <c r="P89" i="39"/>
  <c r="Q89" i="39"/>
  <c r="R89" i="39"/>
  <c r="S89" i="39"/>
  <c r="T89" i="39"/>
  <c r="U89" i="39"/>
  <c r="V89" i="39"/>
  <c r="N90" i="39"/>
  <c r="O90" i="39"/>
  <c r="P90" i="39"/>
  <c r="Q90" i="39"/>
  <c r="R90" i="39"/>
  <c r="S90" i="39"/>
  <c r="T90" i="39"/>
  <c r="U90" i="39"/>
  <c r="V90" i="39"/>
  <c r="W90" i="39"/>
  <c r="X90" i="39"/>
  <c r="Y90" i="39"/>
  <c r="Z90" i="39"/>
  <c r="AA90" i="39"/>
  <c r="AB90" i="39"/>
  <c r="AC90" i="39"/>
  <c r="AD90" i="39"/>
  <c r="AE90" i="39"/>
  <c r="N92" i="39"/>
  <c r="O92" i="39"/>
  <c r="P92" i="39"/>
  <c r="Q92" i="39"/>
  <c r="R92" i="39"/>
  <c r="S92" i="39"/>
  <c r="T92" i="39"/>
  <c r="U92" i="39"/>
  <c r="V92" i="39"/>
  <c r="W92" i="39"/>
  <c r="X92" i="39"/>
  <c r="Y92" i="39"/>
  <c r="Z92" i="39"/>
  <c r="AA92" i="39"/>
  <c r="AB92" i="39"/>
  <c r="AC92" i="39"/>
  <c r="AD92" i="39"/>
  <c r="AE92" i="39"/>
  <c r="N93" i="39"/>
  <c r="O93" i="39"/>
  <c r="P93" i="39"/>
  <c r="Q93" i="39"/>
  <c r="R93" i="39"/>
  <c r="S93" i="39"/>
  <c r="T93" i="39"/>
  <c r="U93" i="39"/>
  <c r="V93" i="39"/>
  <c r="W93" i="39"/>
  <c r="X93" i="39"/>
  <c r="Y93" i="39"/>
  <c r="Z93" i="39"/>
  <c r="AA93" i="39"/>
  <c r="AB93" i="39"/>
  <c r="AC93" i="39"/>
  <c r="AD93" i="39"/>
  <c r="AE93" i="39"/>
  <c r="N94" i="39"/>
  <c r="O94" i="39"/>
  <c r="P94" i="39"/>
  <c r="Q94" i="39"/>
  <c r="R94" i="39"/>
  <c r="S94" i="39"/>
  <c r="T94" i="39"/>
  <c r="U94" i="39"/>
  <c r="V94" i="39"/>
  <c r="W94" i="39"/>
  <c r="X94" i="39"/>
  <c r="Y94" i="39"/>
  <c r="Z94" i="39"/>
  <c r="AA94" i="39"/>
  <c r="AB94" i="39"/>
  <c r="AC94" i="39"/>
  <c r="AD94" i="39"/>
  <c r="AE94" i="39"/>
  <c r="N95" i="39"/>
  <c r="O95" i="39"/>
  <c r="P95" i="39"/>
  <c r="Q95" i="39"/>
  <c r="R95" i="39"/>
  <c r="S95" i="39"/>
  <c r="T95" i="39"/>
  <c r="U95" i="39"/>
  <c r="V95" i="39"/>
  <c r="W95" i="39"/>
  <c r="X95" i="39"/>
  <c r="Y95" i="39"/>
  <c r="Z95" i="39"/>
  <c r="AA95" i="39"/>
  <c r="AB95" i="39"/>
  <c r="AC95" i="39"/>
  <c r="AD95" i="39"/>
  <c r="AE95" i="39"/>
  <c r="N96" i="39"/>
  <c r="O96" i="39"/>
  <c r="P96" i="39"/>
  <c r="Q96" i="39"/>
  <c r="R96" i="39"/>
  <c r="S96" i="39"/>
  <c r="T96" i="39"/>
  <c r="U96" i="39"/>
  <c r="V96" i="39"/>
  <c r="W96" i="39"/>
  <c r="X96" i="39"/>
  <c r="Y96" i="39"/>
  <c r="Z96" i="39"/>
  <c r="AA96" i="39"/>
  <c r="AB96" i="39"/>
  <c r="AC96" i="39"/>
  <c r="AD96" i="39"/>
  <c r="AE96" i="39"/>
  <c r="N97" i="39"/>
  <c r="O97" i="39"/>
  <c r="P97" i="39"/>
  <c r="Q97" i="39"/>
  <c r="R97" i="39"/>
  <c r="S97" i="39"/>
  <c r="T97" i="39"/>
  <c r="U97" i="39"/>
  <c r="V97" i="39"/>
  <c r="W97" i="39"/>
  <c r="X97" i="39"/>
  <c r="Y97" i="39"/>
  <c r="Z97" i="39"/>
  <c r="AA97" i="39"/>
  <c r="AB97" i="39"/>
  <c r="AC97" i="39"/>
  <c r="AD97" i="39"/>
  <c r="AE97" i="39"/>
  <c r="N98" i="39"/>
  <c r="O98" i="39"/>
  <c r="P98" i="39"/>
  <c r="Q98" i="39"/>
  <c r="R98" i="39"/>
  <c r="S98" i="39"/>
  <c r="T98" i="39"/>
  <c r="U98" i="39"/>
  <c r="V98" i="39"/>
  <c r="W98" i="39"/>
  <c r="X98" i="39"/>
  <c r="Y98" i="39"/>
  <c r="Z98" i="39"/>
  <c r="AA98" i="39"/>
  <c r="AB98" i="39"/>
  <c r="AC98" i="39"/>
  <c r="AD98" i="39"/>
  <c r="AE98" i="39"/>
  <c r="N99" i="39"/>
  <c r="O99" i="39"/>
  <c r="P99" i="39"/>
  <c r="Q99" i="39"/>
  <c r="R99" i="39"/>
  <c r="S99" i="39"/>
  <c r="T99" i="39"/>
  <c r="U99" i="39"/>
  <c r="V99" i="39"/>
  <c r="W99" i="39"/>
  <c r="X99" i="39"/>
  <c r="Y99" i="39"/>
  <c r="Z99" i="39"/>
  <c r="AA99" i="39"/>
  <c r="AB99" i="39"/>
  <c r="AC99" i="39"/>
  <c r="AD99" i="39"/>
  <c r="AE99" i="39"/>
  <c r="N100" i="39"/>
  <c r="O100" i="39"/>
  <c r="P100" i="39"/>
  <c r="Q100" i="39"/>
  <c r="R100" i="39"/>
  <c r="S100" i="39"/>
  <c r="T100" i="39"/>
  <c r="U100" i="39"/>
  <c r="V100" i="39"/>
  <c r="W100" i="39"/>
  <c r="X100" i="39"/>
  <c r="Y100" i="39"/>
  <c r="Z100" i="39"/>
  <c r="AA100" i="39"/>
  <c r="AB100" i="39"/>
  <c r="AC100" i="39"/>
  <c r="AD100" i="39"/>
  <c r="AE100" i="39"/>
  <c r="N101" i="39"/>
  <c r="O101" i="39"/>
  <c r="P101" i="39"/>
  <c r="Q101" i="39"/>
  <c r="R101" i="39"/>
  <c r="S101" i="39"/>
  <c r="T101" i="39"/>
  <c r="U101" i="39"/>
  <c r="V101" i="39"/>
  <c r="W101" i="39"/>
  <c r="X101" i="39"/>
  <c r="Y101" i="39"/>
  <c r="Z101" i="39"/>
  <c r="AA101" i="39"/>
  <c r="AB101" i="39"/>
  <c r="AC101" i="39"/>
  <c r="AD101" i="39"/>
  <c r="AE101" i="39"/>
  <c r="L90" i="39"/>
  <c r="L92" i="39"/>
  <c r="L93" i="39"/>
  <c r="L94" i="39"/>
  <c r="L95" i="39"/>
  <c r="L96" i="39"/>
  <c r="L97" i="39"/>
  <c r="L98" i="39"/>
  <c r="L99" i="39"/>
  <c r="L100" i="39"/>
  <c r="L101" i="39"/>
  <c r="N81" i="39"/>
  <c r="O81" i="39"/>
  <c r="P81" i="39"/>
  <c r="Q81" i="39"/>
  <c r="R81" i="39"/>
  <c r="S81" i="39"/>
  <c r="T81" i="39"/>
  <c r="U81" i="39"/>
  <c r="V81" i="39"/>
  <c r="W81" i="39"/>
  <c r="X81" i="39"/>
  <c r="Y81" i="39"/>
  <c r="Z81" i="39"/>
  <c r="AA81" i="39"/>
  <c r="AB81" i="39"/>
  <c r="AC81" i="39"/>
  <c r="AD81" i="39"/>
  <c r="AE81" i="39"/>
  <c r="N82" i="39"/>
  <c r="O82" i="39"/>
  <c r="P82" i="39"/>
  <c r="Q82" i="39"/>
  <c r="R82" i="39"/>
  <c r="S82" i="39"/>
  <c r="T82" i="39"/>
  <c r="U82" i="39"/>
  <c r="V82" i="39"/>
  <c r="W82" i="39"/>
  <c r="X82" i="39"/>
  <c r="Y82" i="39"/>
  <c r="Z82" i="39"/>
  <c r="AA82" i="39"/>
  <c r="AB82" i="39"/>
  <c r="AC82" i="39"/>
  <c r="AD82" i="39"/>
  <c r="AE82" i="39"/>
  <c r="L82" i="39"/>
  <c r="N76" i="39"/>
  <c r="O76" i="39"/>
  <c r="P76" i="39"/>
  <c r="Q76" i="39"/>
  <c r="R76" i="39"/>
  <c r="S76" i="39"/>
  <c r="T76" i="39"/>
  <c r="U76" i="39"/>
  <c r="V76" i="39"/>
  <c r="W76" i="39"/>
  <c r="X76" i="39"/>
  <c r="Y76" i="39"/>
  <c r="Z76" i="39"/>
  <c r="AA76" i="39"/>
  <c r="AB76" i="39"/>
  <c r="AC76" i="39"/>
  <c r="AD76" i="39"/>
  <c r="AE76" i="39"/>
  <c r="N77" i="39"/>
  <c r="O77" i="39"/>
  <c r="P77" i="39"/>
  <c r="Q77" i="39"/>
  <c r="R77" i="39"/>
  <c r="S77" i="39"/>
  <c r="T77" i="39"/>
  <c r="U77" i="39"/>
  <c r="V77" i="39"/>
  <c r="W77" i="39"/>
  <c r="X77" i="39"/>
  <c r="Y77" i="39"/>
  <c r="Z77" i="39"/>
  <c r="AA77" i="39"/>
  <c r="AB77" i="39"/>
  <c r="AC77" i="39"/>
  <c r="AD77" i="39"/>
  <c r="AE77" i="39"/>
  <c r="L77" i="39"/>
  <c r="L78" i="39"/>
  <c r="L79" i="39"/>
  <c r="L80" i="39"/>
  <c r="L81" i="39"/>
  <c r="L83" i="39"/>
  <c r="L84" i="39"/>
  <c r="L85" i="39"/>
  <c r="L86" i="39"/>
  <c r="L87" i="39"/>
  <c r="L88" i="39"/>
  <c r="L89" i="39"/>
  <c r="N62" i="39"/>
  <c r="O62" i="39"/>
  <c r="P62" i="39"/>
  <c r="Q62" i="39"/>
  <c r="R62" i="39"/>
  <c r="S62" i="39"/>
  <c r="T62" i="39"/>
  <c r="U62" i="39"/>
  <c r="V62" i="39"/>
  <c r="W62" i="39"/>
  <c r="X62" i="39"/>
  <c r="Y62" i="39"/>
  <c r="Z62" i="39"/>
  <c r="AA62" i="39"/>
  <c r="AB62" i="39"/>
  <c r="AC62" i="39"/>
  <c r="AD62" i="39"/>
  <c r="AE62" i="39"/>
  <c r="N63" i="39"/>
  <c r="O63" i="39"/>
  <c r="P63" i="39"/>
  <c r="Q63" i="39"/>
  <c r="R63" i="39"/>
  <c r="S63" i="39"/>
  <c r="T63" i="39"/>
  <c r="U63" i="39"/>
  <c r="V63" i="39"/>
  <c r="W63" i="39"/>
  <c r="X63" i="39"/>
  <c r="Y63" i="39"/>
  <c r="Z63" i="39"/>
  <c r="AA63" i="39"/>
  <c r="AB63" i="39"/>
  <c r="AC63" i="39"/>
  <c r="AD63" i="39"/>
  <c r="AE63" i="39"/>
  <c r="N64" i="39"/>
  <c r="O64" i="39"/>
  <c r="P64" i="39"/>
  <c r="Q64" i="39"/>
  <c r="R64" i="39"/>
  <c r="S64" i="39"/>
  <c r="T64" i="39"/>
  <c r="U64" i="39"/>
  <c r="V64" i="39"/>
  <c r="W64" i="39"/>
  <c r="X64" i="39"/>
  <c r="Y64" i="39"/>
  <c r="Z64" i="39"/>
  <c r="AA64" i="39"/>
  <c r="AB64" i="39"/>
  <c r="AC64" i="39"/>
  <c r="AD64" i="39"/>
  <c r="AE64" i="39"/>
  <c r="L63" i="39"/>
  <c r="L64" i="39"/>
  <c r="AE57" i="39"/>
  <c r="AD57" i="39"/>
  <c r="AC57" i="39"/>
  <c r="AB57" i="39"/>
  <c r="AA57" i="39"/>
  <c r="Z57" i="39"/>
  <c r="Y57" i="39"/>
  <c r="X57" i="39"/>
  <c r="W57" i="39"/>
  <c r="V57" i="39"/>
  <c r="U57" i="39"/>
  <c r="T57" i="39"/>
  <c r="S57" i="39"/>
  <c r="R57" i="39"/>
  <c r="Q57" i="39"/>
  <c r="P57" i="39"/>
  <c r="O57" i="39"/>
  <c r="N57" i="39"/>
  <c r="V56" i="39"/>
  <c r="U56" i="39"/>
  <c r="T56" i="39"/>
  <c r="S56" i="39"/>
  <c r="R56" i="39"/>
  <c r="Q56" i="39"/>
  <c r="P56" i="39"/>
  <c r="O56" i="39"/>
  <c r="N56" i="39"/>
  <c r="L57" i="39"/>
  <c r="N48" i="39"/>
  <c r="O48" i="39"/>
  <c r="P48" i="39"/>
  <c r="Q48" i="39"/>
  <c r="R48" i="39"/>
  <c r="S48" i="39"/>
  <c r="T48" i="39"/>
  <c r="U48" i="39"/>
  <c r="V48" i="39"/>
  <c r="W48" i="39"/>
  <c r="X48" i="39"/>
  <c r="Y48" i="39"/>
  <c r="Z48" i="39"/>
  <c r="AA48" i="39"/>
  <c r="AB48" i="39"/>
  <c r="AC48" i="39"/>
  <c r="AD48" i="39"/>
  <c r="AE48" i="39"/>
  <c r="N49" i="39"/>
  <c r="O49" i="39"/>
  <c r="P49" i="39"/>
  <c r="Q49" i="39"/>
  <c r="R49" i="39"/>
  <c r="S49" i="39"/>
  <c r="T49" i="39"/>
  <c r="U49" i="39"/>
  <c r="V49" i="39"/>
  <c r="W49" i="39"/>
  <c r="X49" i="39"/>
  <c r="Y49" i="39"/>
  <c r="Z49" i="39"/>
  <c r="AA49" i="39"/>
  <c r="AB49" i="39"/>
  <c r="AC49" i="39"/>
  <c r="AD49" i="39"/>
  <c r="AE49" i="39"/>
  <c r="L49" i="39"/>
  <c r="N43" i="39"/>
  <c r="O43" i="39"/>
  <c r="P43" i="39"/>
  <c r="Q43" i="39"/>
  <c r="R43" i="39"/>
  <c r="S43" i="39"/>
  <c r="T43" i="39"/>
  <c r="U43" i="39"/>
  <c r="V43" i="39"/>
  <c r="W43" i="39"/>
  <c r="X43" i="39"/>
  <c r="Y43" i="39"/>
  <c r="Z43" i="39"/>
  <c r="AA43" i="39"/>
  <c r="AB43" i="39"/>
  <c r="AC43" i="39"/>
  <c r="AD43" i="39"/>
  <c r="AE43" i="39"/>
  <c r="N44" i="39"/>
  <c r="O44" i="39"/>
  <c r="P44" i="39"/>
  <c r="Q44" i="39"/>
  <c r="R44" i="39"/>
  <c r="S44" i="39"/>
  <c r="T44" i="39"/>
  <c r="U44" i="39"/>
  <c r="V44" i="39"/>
  <c r="W44" i="39"/>
  <c r="X44" i="39"/>
  <c r="Y44" i="39"/>
  <c r="Z44" i="39"/>
  <c r="AA44" i="39"/>
  <c r="AB44" i="39"/>
  <c r="AC44" i="39"/>
  <c r="AD44" i="39"/>
  <c r="AE44" i="39"/>
  <c r="L44" i="39"/>
  <c r="L43" i="39"/>
  <c r="M24" i="39"/>
  <c r="M57" i="39" s="1"/>
  <c r="CJ56" i="24"/>
  <c r="M98" i="39"/>
  <c r="M99" i="39"/>
  <c r="M100" i="39"/>
  <c r="M101" i="39"/>
  <c r="M30" i="39"/>
  <c r="M96" i="39" s="1"/>
  <c r="M16" i="39"/>
  <c r="M11" i="39"/>
  <c r="M77" i="39" s="1"/>
  <c r="M12" i="39"/>
  <c r="M45" i="39" s="1"/>
  <c r="M13" i="39"/>
  <c r="M46" i="39" s="1"/>
  <c r="M14" i="39"/>
  <c r="M47" i="39" s="1"/>
  <c r="M15" i="39"/>
  <c r="M48" i="39" s="1"/>
  <c r="M17" i="39"/>
  <c r="M50" i="39" s="1"/>
  <c r="M18" i="39"/>
  <c r="M19" i="39"/>
  <c r="M20" i="39"/>
  <c r="C348" i="37"/>
  <c r="C353" i="37"/>
  <c r="C359" i="37"/>
  <c r="R22" i="27"/>
  <c r="R21" i="27"/>
  <c r="S20" i="27"/>
  <c r="R20" i="27"/>
  <c r="S19" i="27"/>
  <c r="R19" i="27"/>
  <c r="S13" i="27"/>
  <c r="R13" i="27"/>
  <c r="R15" i="27"/>
  <c r="P15" i="27"/>
  <c r="N15" i="27"/>
  <c r="L15" i="27"/>
  <c r="J15" i="27"/>
  <c r="H15" i="27"/>
  <c r="F15" i="27"/>
  <c r="D15" i="27"/>
  <c r="S12" i="27"/>
  <c r="R12" i="27"/>
  <c r="R3" i="27"/>
  <c r="K25" i="48"/>
  <c r="K4" i="48"/>
  <c r="N38" i="48"/>
  <c r="M38" i="48"/>
  <c r="N37" i="48"/>
  <c r="M37" i="48"/>
  <c r="I29" i="48"/>
  <c r="I28" i="48"/>
  <c r="I27" i="48"/>
  <c r="I26" i="48"/>
  <c r="F25" i="48"/>
  <c r="N17" i="48"/>
  <c r="M17" i="48"/>
  <c r="N16" i="48"/>
  <c r="M16" i="48"/>
  <c r="I8" i="48"/>
  <c r="I7" i="48"/>
  <c r="I6" i="48"/>
  <c r="I5" i="48"/>
  <c r="F4" i="48"/>
  <c r="C296" i="37"/>
  <c r="C307" i="37"/>
  <c r="C316" i="37"/>
  <c r="M6" i="38"/>
  <c r="M19" i="38" s="1"/>
  <c r="M4" i="38"/>
  <c r="M17" i="38" s="1"/>
  <c r="P22" i="27"/>
  <c r="P21" i="27"/>
  <c r="Q20" i="27"/>
  <c r="P20" i="27"/>
  <c r="Q13" i="27"/>
  <c r="P13" i="27"/>
  <c r="Q12" i="27"/>
  <c r="P12" i="27"/>
  <c r="P3" i="27"/>
  <c r="I68" i="36"/>
  <c r="G66" i="36"/>
  <c r="C67" i="36"/>
  <c r="I86" i="36"/>
  <c r="I83" i="36"/>
  <c r="I77" i="36"/>
  <c r="Q60" i="10"/>
  <c r="Q81" i="10" s="1"/>
  <c r="Q82" i="10" s="1"/>
  <c r="P60" i="10"/>
  <c r="P81" i="10" s="1"/>
  <c r="P82" i="10" s="1"/>
  <c r="I13" i="36"/>
  <c r="I24" i="36" s="1"/>
  <c r="I19" i="36"/>
  <c r="I21" i="36" s="1"/>
  <c r="I22" i="36" s="1"/>
  <c r="P15" i="24" s="1"/>
  <c r="Q89" i="10"/>
  <c r="P89" i="10"/>
  <c r="Q54" i="10"/>
  <c r="P54" i="10"/>
  <c r="Q46" i="10"/>
  <c r="P46" i="10"/>
  <c r="Q73" i="10"/>
  <c r="P73" i="10"/>
  <c r="Q72" i="10"/>
  <c r="P72" i="10"/>
  <c r="Q19" i="10"/>
  <c r="P19" i="10"/>
  <c r="Q18" i="10"/>
  <c r="Q23" i="10" s="1"/>
  <c r="Q24" i="10" s="1"/>
  <c r="P18" i="10"/>
  <c r="P23" i="10" s="1"/>
  <c r="P24" i="10" s="1"/>
  <c r="Q14" i="10"/>
  <c r="P14" i="10"/>
  <c r="Q13" i="10"/>
  <c r="Q17" i="10" s="1"/>
  <c r="P13" i="10"/>
  <c r="P17" i="10" s="1"/>
  <c r="M32" i="36"/>
  <c r="M43" i="36"/>
  <c r="J130" i="36" s="1"/>
  <c r="S89" i="10"/>
  <c r="R89" i="10"/>
  <c r="M42" i="36"/>
  <c r="M31" i="36"/>
  <c r="M30" i="36"/>
  <c r="J86" i="36"/>
  <c r="J83" i="36"/>
  <c r="J77" i="36"/>
  <c r="J66" i="36"/>
  <c r="J19" i="36"/>
  <c r="J21" i="36" s="1"/>
  <c r="J22" i="36" s="1"/>
  <c r="S15" i="24" s="1"/>
  <c r="J13" i="36"/>
  <c r="J17" i="36" s="1"/>
  <c r="S73" i="10"/>
  <c r="R73" i="10"/>
  <c r="S72" i="10"/>
  <c r="R72" i="10"/>
  <c r="S54" i="10"/>
  <c r="R54" i="10"/>
  <c r="S19" i="10"/>
  <c r="R19" i="10"/>
  <c r="S18" i="10"/>
  <c r="S23" i="10" s="1"/>
  <c r="S24" i="10" s="1"/>
  <c r="R18" i="10"/>
  <c r="R23" i="10" s="1"/>
  <c r="R24" i="10" s="1"/>
  <c r="S14" i="10"/>
  <c r="R14" i="10"/>
  <c r="S13" i="10"/>
  <c r="S17" i="10" s="1"/>
  <c r="R13" i="10"/>
  <c r="R17" i="10" s="1"/>
  <c r="S46" i="10"/>
  <c r="R46" i="10"/>
  <c r="N3" i="27"/>
  <c r="L3" i="27"/>
  <c r="J3" i="27"/>
  <c r="H3" i="27"/>
  <c r="F3" i="27"/>
  <c r="D3" i="27"/>
  <c r="M20" i="36"/>
  <c r="M19" i="36"/>
  <c r="H13" i="36"/>
  <c r="O89" i="10"/>
  <c r="N89" i="10"/>
  <c r="M89" i="10"/>
  <c r="L89" i="10"/>
  <c r="K89" i="10"/>
  <c r="J89" i="10"/>
  <c r="I89" i="10"/>
  <c r="H89" i="10"/>
  <c r="M25" i="36"/>
  <c r="NC45" i="24"/>
  <c r="ND45" i="24"/>
  <c r="NE45" i="24"/>
  <c r="NF45" i="24"/>
  <c r="NG45" i="24"/>
  <c r="NH45" i="24"/>
  <c r="NI45" i="24"/>
  <c r="NJ45" i="24"/>
  <c r="NK45" i="24"/>
  <c r="NL45" i="24"/>
  <c r="NM19" i="24"/>
  <c r="NN19" i="24"/>
  <c r="NC21" i="24"/>
  <c r="ND21" i="24"/>
  <c r="NI21" i="24"/>
  <c r="NJ21" i="24"/>
  <c r="NK21" i="24"/>
  <c r="NL21" i="24"/>
  <c r="NM21" i="24"/>
  <c r="NN21" i="24"/>
  <c r="NM22" i="24"/>
  <c r="NN22" i="24"/>
  <c r="NM23" i="24"/>
  <c r="NN23" i="24"/>
  <c r="MJ45" i="24"/>
  <c r="MK45" i="24"/>
  <c r="ML45" i="24"/>
  <c r="MM45" i="24"/>
  <c r="MN45" i="24"/>
  <c r="MO45" i="24"/>
  <c r="MP45" i="24"/>
  <c r="MQ45" i="24"/>
  <c r="MR45" i="24"/>
  <c r="MS45" i="24"/>
  <c r="MT19" i="24"/>
  <c r="MU19" i="24"/>
  <c r="MJ21" i="24"/>
  <c r="MK21" i="24"/>
  <c r="MP21" i="24"/>
  <c r="MQ21" i="24"/>
  <c r="MR21" i="24"/>
  <c r="MS21" i="24"/>
  <c r="MT21" i="24"/>
  <c r="MU21" i="24"/>
  <c r="MT22" i="24"/>
  <c r="MU22" i="24"/>
  <c r="MT23" i="24"/>
  <c r="MU23" i="24"/>
  <c r="LQ45" i="24"/>
  <c r="LR45" i="24"/>
  <c r="LS45" i="24"/>
  <c r="LT45" i="24"/>
  <c r="LU45" i="24"/>
  <c r="LV45" i="24"/>
  <c r="LW45" i="24"/>
  <c r="LX45" i="24"/>
  <c r="LY45" i="24"/>
  <c r="LZ45" i="24"/>
  <c r="MA19" i="24"/>
  <c r="MB19" i="24"/>
  <c r="LQ21" i="24"/>
  <c r="LR21" i="24"/>
  <c r="LW21" i="24"/>
  <c r="LX21" i="24"/>
  <c r="LY21" i="24"/>
  <c r="LZ21" i="24"/>
  <c r="MA21" i="24"/>
  <c r="MB21" i="24"/>
  <c r="MA22" i="24"/>
  <c r="MB22" i="24"/>
  <c r="MA23" i="24"/>
  <c r="MB23" i="24"/>
  <c r="KX45" i="24"/>
  <c r="KY45" i="24"/>
  <c r="KZ45" i="24"/>
  <c r="LA45" i="24"/>
  <c r="LB45" i="24"/>
  <c r="LC45" i="24"/>
  <c r="LD45" i="24"/>
  <c r="LE45" i="24"/>
  <c r="LF45" i="24"/>
  <c r="LG45" i="24"/>
  <c r="LH19" i="24"/>
  <c r="LI19" i="24"/>
  <c r="KX21" i="24"/>
  <c r="KY21" i="24"/>
  <c r="LD21" i="24"/>
  <c r="LE21" i="24"/>
  <c r="LF21" i="24"/>
  <c r="LG21" i="24"/>
  <c r="LH21" i="24"/>
  <c r="LI21" i="24"/>
  <c r="LH22" i="24"/>
  <c r="LI22" i="24"/>
  <c r="LH23" i="24"/>
  <c r="LI23" i="24"/>
  <c r="KE45" i="24"/>
  <c r="KF45" i="24"/>
  <c r="KG45" i="24"/>
  <c r="KH45" i="24"/>
  <c r="KI45" i="24"/>
  <c r="KJ45" i="24"/>
  <c r="KK45" i="24"/>
  <c r="KL45" i="24"/>
  <c r="KM45" i="24"/>
  <c r="KN45" i="24"/>
  <c r="KO19" i="24"/>
  <c r="KP19" i="24"/>
  <c r="KE21" i="24"/>
  <c r="KF21" i="24"/>
  <c r="KK21" i="24"/>
  <c r="KL21" i="24"/>
  <c r="KM21" i="24"/>
  <c r="KN21" i="24"/>
  <c r="KO21" i="24"/>
  <c r="KP21" i="24"/>
  <c r="KO22" i="24"/>
  <c r="KP22" i="24"/>
  <c r="KO23" i="24"/>
  <c r="KP23" i="24"/>
  <c r="JL45" i="24"/>
  <c r="JM45" i="24"/>
  <c r="JN45" i="24"/>
  <c r="JO45" i="24"/>
  <c r="JP45" i="24"/>
  <c r="JQ45" i="24"/>
  <c r="JR45" i="24"/>
  <c r="JS45" i="24"/>
  <c r="JT45" i="24"/>
  <c r="JU45" i="24"/>
  <c r="JV19" i="24"/>
  <c r="JW19" i="24"/>
  <c r="JL21" i="24"/>
  <c r="JM21" i="24"/>
  <c r="JR21" i="24"/>
  <c r="JS21" i="24"/>
  <c r="JT21" i="24"/>
  <c r="JU21" i="24"/>
  <c r="JV21" i="24"/>
  <c r="JW21" i="24"/>
  <c r="JV22" i="24"/>
  <c r="JW22" i="24"/>
  <c r="JV23" i="24"/>
  <c r="JW23" i="24"/>
  <c r="IS45" i="24"/>
  <c r="IT45" i="24"/>
  <c r="IU45" i="24"/>
  <c r="IV45" i="24"/>
  <c r="IW45" i="24"/>
  <c r="IX45" i="24"/>
  <c r="IY45" i="24"/>
  <c r="IZ45" i="24"/>
  <c r="JA45" i="24"/>
  <c r="JB45" i="24"/>
  <c r="JC19" i="24"/>
  <c r="JD19" i="24"/>
  <c r="IS21" i="24"/>
  <c r="IT21" i="24"/>
  <c r="IY21" i="24"/>
  <c r="IZ21" i="24"/>
  <c r="JA21" i="24"/>
  <c r="JB21" i="24"/>
  <c r="JC21" i="24"/>
  <c r="JD21" i="24"/>
  <c r="JC22" i="24"/>
  <c r="JD22" i="24"/>
  <c r="JC23" i="24"/>
  <c r="JD23" i="24"/>
  <c r="HZ45" i="24"/>
  <c r="IA45" i="24"/>
  <c r="IB45" i="24"/>
  <c r="IC45" i="24"/>
  <c r="ID45" i="24"/>
  <c r="IE45" i="24"/>
  <c r="IF45" i="24"/>
  <c r="IG45" i="24"/>
  <c r="IH45" i="24"/>
  <c r="II45" i="24"/>
  <c r="IJ22" i="24"/>
  <c r="IK22" i="24"/>
  <c r="IJ23" i="24"/>
  <c r="IK23" i="24"/>
  <c r="IJ19" i="24"/>
  <c r="IK19" i="24"/>
  <c r="HZ21" i="24"/>
  <c r="IA21" i="24"/>
  <c r="IF21" i="24"/>
  <c r="IG21" i="24"/>
  <c r="IH21" i="24"/>
  <c r="II21" i="24"/>
  <c r="IJ21" i="24"/>
  <c r="IK21" i="24"/>
  <c r="IK266" i="24"/>
  <c r="IJ266" i="24"/>
  <c r="AG10" i="24"/>
  <c r="AH10" i="24"/>
  <c r="AI10" i="24"/>
  <c r="AJ10" i="24"/>
  <c r="AK10" i="24"/>
  <c r="AL10" i="24"/>
  <c r="AM10" i="24"/>
  <c r="AN10" i="24"/>
  <c r="AG12" i="24"/>
  <c r="AH12" i="24"/>
  <c r="AI12" i="24"/>
  <c r="AJ12" i="24"/>
  <c r="AK12" i="24"/>
  <c r="AL12" i="24"/>
  <c r="AM12" i="24"/>
  <c r="AN12" i="24"/>
  <c r="AG13" i="24"/>
  <c r="AH13" i="24"/>
  <c r="AI13" i="24"/>
  <c r="AJ13" i="24"/>
  <c r="AK13" i="24"/>
  <c r="AL13" i="24"/>
  <c r="AM13" i="24"/>
  <c r="AN13" i="24"/>
  <c r="AG14" i="24"/>
  <c r="AH14" i="24"/>
  <c r="AI14" i="24"/>
  <c r="AJ14" i="24"/>
  <c r="AK14" i="24"/>
  <c r="AL14" i="24"/>
  <c r="AM14" i="24"/>
  <c r="AN14" i="24"/>
  <c r="AG17" i="24"/>
  <c r="AH17" i="24"/>
  <c r="AI17" i="24"/>
  <c r="AJ17" i="24"/>
  <c r="AK17" i="24"/>
  <c r="AL17" i="24"/>
  <c r="AM17" i="24"/>
  <c r="AN17" i="24"/>
  <c r="AG20" i="24"/>
  <c r="IJ20" i="24" s="1"/>
  <c r="AH20" i="24"/>
  <c r="JC20" i="24" s="1"/>
  <c r="AI20" i="24"/>
  <c r="AJ20" i="24"/>
  <c r="KO20" i="24" s="1"/>
  <c r="AK20" i="24"/>
  <c r="AL20" i="24"/>
  <c r="AM20" i="24"/>
  <c r="MT20" i="24" s="1"/>
  <c r="AN20" i="24"/>
  <c r="AG24" i="24"/>
  <c r="IK24" i="24" s="1"/>
  <c r="AH24" i="24"/>
  <c r="JC24" i="24" s="1"/>
  <c r="AI24" i="24"/>
  <c r="AJ24" i="24"/>
  <c r="KP24" i="24" s="1"/>
  <c r="AK24" i="24"/>
  <c r="AL24" i="24"/>
  <c r="AM24" i="24"/>
  <c r="AN24" i="24"/>
  <c r="AG25" i="24"/>
  <c r="HZ25" i="24" s="1"/>
  <c r="AH25" i="24"/>
  <c r="JC25" i="24" s="1"/>
  <c r="AI25" i="24"/>
  <c r="JV25" i="24" s="1"/>
  <c r="AJ25" i="24"/>
  <c r="KP25" i="24" s="1"/>
  <c r="AK25" i="24"/>
  <c r="AL25" i="24"/>
  <c r="MB25" i="24" s="1"/>
  <c r="AM25" i="24"/>
  <c r="AN25" i="24"/>
  <c r="AG26" i="24"/>
  <c r="AH26" i="24"/>
  <c r="AI26" i="24"/>
  <c r="AJ26" i="24"/>
  <c r="AK26" i="24"/>
  <c r="AL26" i="24"/>
  <c r="AM26" i="24"/>
  <c r="AN26" i="24"/>
  <c r="AG27" i="24"/>
  <c r="AH27" i="24"/>
  <c r="AI27" i="24"/>
  <c r="AJ27" i="24"/>
  <c r="AK27" i="24"/>
  <c r="AL27" i="24"/>
  <c r="AM27" i="24"/>
  <c r="AN27" i="24"/>
  <c r="AG29" i="24"/>
  <c r="IJ29" i="24" s="1"/>
  <c r="AH29" i="24"/>
  <c r="JC29" i="24" s="1"/>
  <c r="AI29" i="24"/>
  <c r="AJ29" i="24"/>
  <c r="KO29" i="24" s="1"/>
  <c r="AK29" i="24"/>
  <c r="AL29" i="24"/>
  <c r="AM29" i="24"/>
  <c r="MT29" i="24" s="1"/>
  <c r="AN29" i="24"/>
  <c r="NM29" i="24" s="1"/>
  <c r="AG30" i="24"/>
  <c r="IK30" i="24" s="1"/>
  <c r="AH30" i="24"/>
  <c r="JD30" i="24" s="1"/>
  <c r="AI30" i="24"/>
  <c r="JV30" i="24" s="1"/>
  <c r="AJ30" i="24"/>
  <c r="KP30" i="24" s="1"/>
  <c r="AK30" i="24"/>
  <c r="AL30" i="24"/>
  <c r="MA30" i="24" s="1"/>
  <c r="AM30" i="24"/>
  <c r="AN30" i="24"/>
  <c r="AG31" i="24"/>
  <c r="IK31" i="24" s="1"/>
  <c r="AH31" i="24"/>
  <c r="AI31" i="24"/>
  <c r="AJ31" i="24"/>
  <c r="AK31" i="24"/>
  <c r="LI31" i="24" s="1"/>
  <c r="AL31" i="24"/>
  <c r="AM31" i="24"/>
  <c r="AN31" i="24"/>
  <c r="AG32" i="24"/>
  <c r="IK32" i="24" s="1"/>
  <c r="IK15" i="24" s="1"/>
  <c r="AH32" i="24"/>
  <c r="JC32" i="24" s="1"/>
  <c r="JC15" i="24" s="1"/>
  <c r="AI32" i="24"/>
  <c r="AJ32" i="24"/>
  <c r="KP32" i="24" s="1"/>
  <c r="KP15" i="24" s="1"/>
  <c r="AK32" i="24"/>
  <c r="AL32" i="24"/>
  <c r="AM32" i="24"/>
  <c r="AN32" i="24"/>
  <c r="AG37" i="24"/>
  <c r="AH37" i="24"/>
  <c r="AI37" i="24"/>
  <c r="AJ37" i="24"/>
  <c r="AK37" i="24"/>
  <c r="AL37" i="24"/>
  <c r="AM37" i="24"/>
  <c r="AN37" i="24"/>
  <c r="AG38" i="24"/>
  <c r="AH38" i="24"/>
  <c r="AI38" i="24"/>
  <c r="AJ38" i="24"/>
  <c r="AK38" i="24"/>
  <c r="AL38" i="24"/>
  <c r="AM38" i="24"/>
  <c r="AN38" i="24"/>
  <c r="AG40" i="24"/>
  <c r="AH40" i="24"/>
  <c r="AI40" i="24"/>
  <c r="AJ40" i="24"/>
  <c r="AK40" i="24"/>
  <c r="AL40" i="24"/>
  <c r="AM40" i="24"/>
  <c r="AN40" i="24"/>
  <c r="AG41" i="24"/>
  <c r="AH41" i="24"/>
  <c r="AI41" i="24"/>
  <c r="AJ41" i="24"/>
  <c r="AK41" i="24"/>
  <c r="AL41" i="24"/>
  <c r="AM41" i="24"/>
  <c r="AN41" i="24"/>
  <c r="AG42" i="24"/>
  <c r="AH42" i="24"/>
  <c r="AI42" i="24"/>
  <c r="AJ42" i="24"/>
  <c r="AK42" i="24"/>
  <c r="AL42" i="24"/>
  <c r="AM42" i="24"/>
  <c r="AN42" i="24"/>
  <c r="AG43" i="24"/>
  <c r="AH43" i="24"/>
  <c r="AI43" i="24"/>
  <c r="AJ43" i="24"/>
  <c r="AK43" i="24"/>
  <c r="AL43" i="24"/>
  <c r="AM43" i="24"/>
  <c r="AN43" i="24"/>
  <c r="AG44" i="24"/>
  <c r="AH44" i="24"/>
  <c r="AI44" i="24"/>
  <c r="AJ44" i="24"/>
  <c r="AK44" i="24"/>
  <c r="AL44" i="24"/>
  <c r="AM44" i="24"/>
  <c r="AN44" i="24"/>
  <c r="AG50" i="24"/>
  <c r="AH50" i="24"/>
  <c r="AI50" i="24"/>
  <c r="AJ50" i="24"/>
  <c r="AK50" i="24"/>
  <c r="AL50" i="24"/>
  <c r="AM50" i="24"/>
  <c r="AN50" i="24"/>
  <c r="AG54" i="24"/>
  <c r="AH54" i="24"/>
  <c r="AI54" i="24"/>
  <c r="AJ54" i="24"/>
  <c r="AK54" i="24"/>
  <c r="AL54" i="24"/>
  <c r="AM54" i="24"/>
  <c r="AN54" i="24"/>
  <c r="AG57" i="24"/>
  <c r="AH57" i="24"/>
  <c r="AI57" i="24"/>
  <c r="AJ57" i="24"/>
  <c r="AK57" i="24"/>
  <c r="AL57" i="24"/>
  <c r="AM57" i="24"/>
  <c r="AN57" i="24"/>
  <c r="AG59" i="24"/>
  <c r="AH59" i="24"/>
  <c r="AI59" i="24"/>
  <c r="AJ59" i="24"/>
  <c r="AK59" i="24"/>
  <c r="AL59" i="24"/>
  <c r="AM59" i="24"/>
  <c r="AN59" i="24"/>
  <c r="AG60" i="24"/>
  <c r="AH60" i="24"/>
  <c r="AI60" i="24"/>
  <c r="AJ60" i="24"/>
  <c r="AK60" i="24"/>
  <c r="AL60" i="24"/>
  <c r="AM60" i="24"/>
  <c r="AN60" i="24"/>
  <c r="AG64" i="24"/>
  <c r="AH64" i="24"/>
  <c r="AI64" i="24"/>
  <c r="AJ64" i="24"/>
  <c r="AK64" i="24"/>
  <c r="AL64" i="24"/>
  <c r="AM64" i="24"/>
  <c r="AN64" i="24"/>
  <c r="AG66" i="24"/>
  <c r="AH66" i="24"/>
  <c r="AI66" i="24"/>
  <c r="AJ66" i="24"/>
  <c r="AK66" i="24"/>
  <c r="AL66" i="24"/>
  <c r="AM66" i="24"/>
  <c r="AN66" i="24"/>
  <c r="AG67" i="24"/>
  <c r="AH67" i="24"/>
  <c r="AI67" i="24"/>
  <c r="AJ67" i="24"/>
  <c r="AK67" i="24"/>
  <c r="AL67" i="24"/>
  <c r="AM67" i="24"/>
  <c r="AN67" i="24"/>
  <c r="W71" i="39"/>
  <c r="X71" i="39"/>
  <c r="Y71" i="39"/>
  <c r="Z71" i="39"/>
  <c r="AA71" i="39"/>
  <c r="AB71" i="39"/>
  <c r="AC71" i="39"/>
  <c r="AD71" i="39"/>
  <c r="AE71" i="39"/>
  <c r="W72" i="39"/>
  <c r="X72" i="39"/>
  <c r="Y72" i="39"/>
  <c r="Z72" i="39"/>
  <c r="AA72" i="39"/>
  <c r="AB72" i="39"/>
  <c r="AC72" i="39"/>
  <c r="AD72" i="39"/>
  <c r="AE72" i="39"/>
  <c r="W73" i="39"/>
  <c r="X73" i="39"/>
  <c r="Y73" i="39"/>
  <c r="Z73" i="39"/>
  <c r="AA73" i="39"/>
  <c r="AB73" i="39"/>
  <c r="AC73" i="39"/>
  <c r="AD73" i="39"/>
  <c r="AE73" i="39"/>
  <c r="W74" i="39"/>
  <c r="X74" i="39"/>
  <c r="Y74" i="39"/>
  <c r="Z74" i="39"/>
  <c r="AA74" i="39"/>
  <c r="AB74" i="39"/>
  <c r="AC74" i="39"/>
  <c r="AD74" i="39"/>
  <c r="AE74" i="39"/>
  <c r="W75" i="39"/>
  <c r="X75" i="39"/>
  <c r="Y75" i="39"/>
  <c r="Z75" i="39"/>
  <c r="AA75" i="39"/>
  <c r="AB75" i="39"/>
  <c r="AC75" i="39"/>
  <c r="AD75" i="39"/>
  <c r="AE75" i="39"/>
  <c r="W78" i="39"/>
  <c r="X78" i="39"/>
  <c r="Y78" i="39"/>
  <c r="Z78" i="39"/>
  <c r="AA78" i="39"/>
  <c r="AB78" i="39"/>
  <c r="AC78" i="39"/>
  <c r="AD78" i="39"/>
  <c r="AE78" i="39"/>
  <c r="W79" i="39"/>
  <c r="X79" i="39"/>
  <c r="Y79" i="39"/>
  <c r="Z79" i="39"/>
  <c r="AA79" i="39"/>
  <c r="AB79" i="39"/>
  <c r="AC79" i="39"/>
  <c r="AD79" i="39"/>
  <c r="AE79" i="39"/>
  <c r="W80" i="39"/>
  <c r="X80" i="39"/>
  <c r="Y80" i="39"/>
  <c r="Z80" i="39"/>
  <c r="AA80" i="39"/>
  <c r="AB80" i="39"/>
  <c r="AC80" i="39"/>
  <c r="AD80" i="39"/>
  <c r="AE80" i="39"/>
  <c r="W83" i="39"/>
  <c r="X83" i="39"/>
  <c r="Y83" i="39"/>
  <c r="Z83" i="39"/>
  <c r="AA83" i="39"/>
  <c r="AB83" i="39"/>
  <c r="AC83" i="39"/>
  <c r="AD83" i="39"/>
  <c r="AE83" i="39"/>
  <c r="W84" i="39"/>
  <c r="X84" i="39"/>
  <c r="Y84" i="39"/>
  <c r="Z84" i="39"/>
  <c r="AA84" i="39"/>
  <c r="AB84" i="39"/>
  <c r="AC84" i="39"/>
  <c r="AD84" i="39"/>
  <c r="AE84" i="39"/>
  <c r="W85" i="39"/>
  <c r="X85" i="39"/>
  <c r="Y85" i="39"/>
  <c r="Z85" i="39"/>
  <c r="AA85" i="39"/>
  <c r="AB85" i="39"/>
  <c r="AC85" i="39"/>
  <c r="AD85" i="39"/>
  <c r="AE85" i="39"/>
  <c r="W86" i="39"/>
  <c r="X86" i="39"/>
  <c r="Y86" i="39"/>
  <c r="Z86" i="39"/>
  <c r="AA86" i="39"/>
  <c r="AB86" i="39"/>
  <c r="AC86" i="39"/>
  <c r="AD86" i="39"/>
  <c r="AE86" i="39"/>
  <c r="W87" i="39"/>
  <c r="X87" i="39"/>
  <c r="Y87" i="39"/>
  <c r="Z87" i="39"/>
  <c r="AA87" i="39"/>
  <c r="AB87" i="39"/>
  <c r="AC87" i="39"/>
  <c r="AD87" i="39"/>
  <c r="AE87" i="39"/>
  <c r="W88" i="39"/>
  <c r="X88" i="39"/>
  <c r="Y88" i="39"/>
  <c r="Z88" i="39"/>
  <c r="AA88" i="39"/>
  <c r="AB88" i="39"/>
  <c r="AC88" i="39"/>
  <c r="AD88" i="39"/>
  <c r="AE88" i="39"/>
  <c r="AE38" i="39"/>
  <c r="W38" i="39"/>
  <c r="X38" i="39"/>
  <c r="Y38" i="39"/>
  <c r="Z38" i="39"/>
  <c r="AA38" i="39"/>
  <c r="AB38" i="39"/>
  <c r="AC38" i="39"/>
  <c r="AD38" i="39"/>
  <c r="W39" i="39"/>
  <c r="X39" i="39"/>
  <c r="Y39" i="39"/>
  <c r="Z39" i="39"/>
  <c r="AA39" i="39"/>
  <c r="AB39" i="39"/>
  <c r="AC39" i="39"/>
  <c r="AD39" i="39"/>
  <c r="AE39" i="39"/>
  <c r="W40" i="39"/>
  <c r="X40" i="39"/>
  <c r="Y40" i="39"/>
  <c r="Z40" i="39"/>
  <c r="AA40" i="39"/>
  <c r="AB40" i="39"/>
  <c r="AC40" i="39"/>
  <c r="AD40" i="39"/>
  <c r="AE40" i="39"/>
  <c r="W41" i="39"/>
  <c r="X41" i="39"/>
  <c r="Y41" i="39"/>
  <c r="Z41" i="39"/>
  <c r="AA41" i="39"/>
  <c r="AB41" i="39"/>
  <c r="AC41" i="39"/>
  <c r="AD41" i="39"/>
  <c r="AE41" i="39"/>
  <c r="W42" i="39"/>
  <c r="X42" i="39"/>
  <c r="Y42" i="39"/>
  <c r="Z42" i="39"/>
  <c r="AA42" i="39"/>
  <c r="AB42" i="39"/>
  <c r="AC42" i="39"/>
  <c r="AD42" i="39"/>
  <c r="AE42" i="39"/>
  <c r="W45" i="39"/>
  <c r="X45" i="39"/>
  <c r="Y45" i="39"/>
  <c r="Z45" i="39"/>
  <c r="AA45" i="39"/>
  <c r="AB45" i="39"/>
  <c r="AC45" i="39"/>
  <c r="AD45" i="39"/>
  <c r="AE45" i="39"/>
  <c r="W46" i="39"/>
  <c r="X46" i="39"/>
  <c r="Y46" i="39"/>
  <c r="Z46" i="39"/>
  <c r="AA46" i="39"/>
  <c r="AB46" i="39"/>
  <c r="AC46" i="39"/>
  <c r="AD46" i="39"/>
  <c r="AE46" i="39"/>
  <c r="W47" i="39"/>
  <c r="X47" i="39"/>
  <c r="Y47" i="39"/>
  <c r="Z47" i="39"/>
  <c r="AA47" i="39"/>
  <c r="AB47" i="39"/>
  <c r="AC47" i="39"/>
  <c r="AD47" i="39"/>
  <c r="AE47" i="39"/>
  <c r="W50" i="39"/>
  <c r="X50" i="39"/>
  <c r="Y50" i="39"/>
  <c r="Z50" i="39"/>
  <c r="AA50" i="39"/>
  <c r="AB50" i="39"/>
  <c r="AC50" i="39"/>
  <c r="AD50" i="39"/>
  <c r="AE50" i="39"/>
  <c r="W51" i="39"/>
  <c r="X51" i="39"/>
  <c r="Y51" i="39"/>
  <c r="Z51" i="39"/>
  <c r="AA51" i="39"/>
  <c r="AB51" i="39"/>
  <c r="AC51" i="39"/>
  <c r="AD51" i="39"/>
  <c r="AE51" i="39"/>
  <c r="W52" i="39"/>
  <c r="X52" i="39"/>
  <c r="Y52" i="39"/>
  <c r="Z52" i="39"/>
  <c r="AA52" i="39"/>
  <c r="AB52" i="39"/>
  <c r="AC52" i="39"/>
  <c r="AD52" i="39"/>
  <c r="AE52" i="39"/>
  <c r="W53" i="39"/>
  <c r="X53" i="39"/>
  <c r="Y53" i="39"/>
  <c r="Z53" i="39"/>
  <c r="AA53" i="39"/>
  <c r="AB53" i="39"/>
  <c r="AC53" i="39"/>
  <c r="AD53" i="39"/>
  <c r="AE53" i="39"/>
  <c r="W54" i="39"/>
  <c r="X54" i="39"/>
  <c r="Y54" i="39"/>
  <c r="Z54" i="39"/>
  <c r="AA54" i="39"/>
  <c r="AB54" i="39"/>
  <c r="AC54" i="39"/>
  <c r="AD54" i="39"/>
  <c r="AE54" i="39"/>
  <c r="W55" i="39"/>
  <c r="X55" i="39"/>
  <c r="Y55" i="39"/>
  <c r="Z55" i="39"/>
  <c r="AA55" i="39"/>
  <c r="AB55" i="39"/>
  <c r="AC55" i="39"/>
  <c r="AD55" i="39"/>
  <c r="AE55" i="39"/>
  <c r="W59" i="39"/>
  <c r="X59" i="39"/>
  <c r="Y59" i="39"/>
  <c r="Z59" i="39"/>
  <c r="AA59" i="39"/>
  <c r="AB59" i="39"/>
  <c r="AC59" i="39"/>
  <c r="AD59" i="39"/>
  <c r="AE59" i="39"/>
  <c r="W60" i="39"/>
  <c r="X60" i="39"/>
  <c r="Y60" i="39"/>
  <c r="Z60" i="39"/>
  <c r="AA60" i="39"/>
  <c r="AB60" i="39"/>
  <c r="AC60" i="39"/>
  <c r="AD60" i="39"/>
  <c r="AE60" i="39"/>
  <c r="W61" i="39"/>
  <c r="X61" i="39"/>
  <c r="Y61" i="39"/>
  <c r="Z61" i="39"/>
  <c r="AA61" i="39"/>
  <c r="AB61" i="39"/>
  <c r="AC61" i="39"/>
  <c r="AD61" i="39"/>
  <c r="AE61" i="39"/>
  <c r="W65" i="39"/>
  <c r="X65" i="39"/>
  <c r="Y65" i="39"/>
  <c r="Z65" i="39"/>
  <c r="AA65" i="39"/>
  <c r="AB65" i="39"/>
  <c r="AC65" i="39"/>
  <c r="AD65" i="39"/>
  <c r="AE65" i="39"/>
  <c r="W66" i="39"/>
  <c r="X66" i="39"/>
  <c r="Y66" i="39"/>
  <c r="Z66" i="39"/>
  <c r="AA66" i="39"/>
  <c r="AB66" i="39"/>
  <c r="AC66" i="39"/>
  <c r="AD66" i="39"/>
  <c r="AE66" i="39"/>
  <c r="W67" i="39"/>
  <c r="X67" i="39"/>
  <c r="Y67" i="39"/>
  <c r="Z67" i="39"/>
  <c r="AA67" i="39"/>
  <c r="AB67" i="39"/>
  <c r="AC67" i="39"/>
  <c r="AD67" i="39"/>
  <c r="AE67" i="39"/>
  <c r="W68" i="39"/>
  <c r="X68" i="39"/>
  <c r="Y68" i="39"/>
  <c r="Z68" i="39"/>
  <c r="AA68" i="39"/>
  <c r="AB68" i="39"/>
  <c r="AC68" i="39"/>
  <c r="AD68" i="39"/>
  <c r="AE68" i="39"/>
  <c r="V38" i="39"/>
  <c r="AM58" i="24"/>
  <c r="AN11" i="51" l="1"/>
  <c r="AN9" i="51" s="1"/>
  <c r="AI11" i="51"/>
  <c r="AI9" i="51" s="1"/>
  <c r="AL11" i="51"/>
  <c r="AL9" i="51" s="1"/>
  <c r="AP11" i="51"/>
  <c r="AP9" i="51" s="1"/>
  <c r="AJ11" i="51"/>
  <c r="AJ9" i="51" s="1"/>
  <c r="Z91" i="39"/>
  <c r="X91" i="39"/>
  <c r="Y91" i="39"/>
  <c r="AE58" i="39"/>
  <c r="W58" i="39"/>
  <c r="AD58" i="39"/>
  <c r="AM11" i="51"/>
  <c r="AM9" i="51" s="1"/>
  <c r="AK11" i="51"/>
  <c r="AK9" i="51" s="1"/>
  <c r="AB58" i="39"/>
  <c r="AA58" i="39"/>
  <c r="AO11" i="51"/>
  <c r="AO9" i="51" s="1"/>
  <c r="AF11" i="51"/>
  <c r="AF9" i="51" s="1"/>
  <c r="AE11" i="51"/>
  <c r="AE9" i="51" s="1"/>
  <c r="Y9" i="51"/>
  <c r="Z11" i="51"/>
  <c r="Z9" i="51" s="1"/>
  <c r="AA11" i="51"/>
  <c r="AA9" i="51" s="1"/>
  <c r="AC11" i="51"/>
  <c r="AC9" i="51" s="1"/>
  <c r="AD11" i="51"/>
  <c r="AD9" i="51" s="1"/>
  <c r="AB11" i="51"/>
  <c r="AB9" i="51" s="1"/>
  <c r="IO60" i="24"/>
  <c r="IN60" i="24"/>
  <c r="IO59" i="24"/>
  <c r="IN59" i="24"/>
  <c r="IO57" i="24"/>
  <c r="IN57" i="24"/>
  <c r="IK54" i="24"/>
  <c r="IO54" i="24"/>
  <c r="IN54" i="24"/>
  <c r="IM54" i="24"/>
  <c r="IL54" i="24"/>
  <c r="IM53" i="24"/>
  <c r="IL53" i="24"/>
  <c r="IO53" i="24"/>
  <c r="IN53" i="24"/>
  <c r="IM50" i="24"/>
  <c r="IL50" i="24"/>
  <c r="IE44" i="24"/>
  <c r="IO44" i="24"/>
  <c r="IN44" i="24"/>
  <c r="IM44" i="24"/>
  <c r="IL44" i="24"/>
  <c r="IG43" i="24"/>
  <c r="IM43" i="24"/>
  <c r="IL43" i="24"/>
  <c r="IO43" i="24"/>
  <c r="IN43" i="24"/>
  <c r="IC42" i="24"/>
  <c r="IO42" i="24"/>
  <c r="IN42" i="24"/>
  <c r="IM42" i="24"/>
  <c r="IL42" i="24"/>
  <c r="IE41" i="24"/>
  <c r="IM41" i="24"/>
  <c r="IL41" i="24"/>
  <c r="IO41" i="24"/>
  <c r="IN41" i="24"/>
  <c r="IG40" i="24"/>
  <c r="IO40" i="24"/>
  <c r="IN40" i="24"/>
  <c r="IM40" i="24"/>
  <c r="IL40" i="24"/>
  <c r="IC38" i="24"/>
  <c r="IM38" i="24"/>
  <c r="IL38" i="24"/>
  <c r="IO38" i="24"/>
  <c r="IN38" i="24"/>
  <c r="IH37" i="24"/>
  <c r="IO37" i="24"/>
  <c r="IN37" i="24"/>
  <c r="IM37" i="24"/>
  <c r="IL37" i="24"/>
  <c r="IC27" i="24"/>
  <c r="IO27" i="24"/>
  <c r="IN27" i="24"/>
  <c r="IM27" i="24"/>
  <c r="IL27" i="24"/>
  <c r="IJ26" i="24"/>
  <c r="IM26" i="24"/>
  <c r="IL26" i="24"/>
  <c r="IB17" i="24"/>
  <c r="IM17" i="24"/>
  <c r="IL17" i="24"/>
  <c r="IK16" i="24"/>
  <c r="IO16" i="24"/>
  <c r="IN16" i="24"/>
  <c r="IM16" i="24"/>
  <c r="IL16" i="24"/>
  <c r="ML18" i="24"/>
  <c r="MT18" i="24"/>
  <c r="MM18" i="24"/>
  <c r="MU18" i="24"/>
  <c r="MN18" i="24"/>
  <c r="MO18" i="24"/>
  <c r="MP18" i="24"/>
  <c r="MX18" i="24"/>
  <c r="MQ18" i="24"/>
  <c r="MY18" i="24"/>
  <c r="MJ18" i="24"/>
  <c r="MR18" i="24"/>
  <c r="MK18" i="24"/>
  <c r="MS18" i="24"/>
  <c r="NG28" i="24"/>
  <c r="NH28" i="24"/>
  <c r="NI28" i="24"/>
  <c r="NQ28" i="24"/>
  <c r="NJ28" i="24"/>
  <c r="NR28" i="24"/>
  <c r="NC28" i="24"/>
  <c r="NK28" i="24"/>
  <c r="ND28" i="24"/>
  <c r="NL28" i="24"/>
  <c r="NE28" i="24"/>
  <c r="NM28" i="24"/>
  <c r="NF28" i="24"/>
  <c r="NN28" i="24"/>
  <c r="IE39" i="24"/>
  <c r="IM39" i="24"/>
  <c r="IF39" i="24"/>
  <c r="IN39" i="24"/>
  <c r="IG39" i="24"/>
  <c r="IO39" i="24"/>
  <c r="HZ39" i="24"/>
  <c r="IH39" i="24"/>
  <c r="IA39" i="24"/>
  <c r="II39" i="24"/>
  <c r="IB39" i="24"/>
  <c r="IJ39" i="24"/>
  <c r="IC39" i="24"/>
  <c r="IK39" i="24"/>
  <c r="ID39" i="24"/>
  <c r="IL39" i="24"/>
  <c r="IX63" i="24"/>
  <c r="JF63" i="24"/>
  <c r="IY63" i="24"/>
  <c r="IZ63" i="24"/>
  <c r="IS63" i="24"/>
  <c r="JA63" i="24"/>
  <c r="IT63" i="24"/>
  <c r="JB63" i="24"/>
  <c r="IU63" i="24"/>
  <c r="JC63" i="24"/>
  <c r="IV63" i="24"/>
  <c r="JD63" i="24"/>
  <c r="IW63" i="24"/>
  <c r="JE63" i="24"/>
  <c r="KE55" i="24"/>
  <c r="KT55" i="24"/>
  <c r="KS55" i="24"/>
  <c r="LE51" i="24"/>
  <c r="LM51" i="24"/>
  <c r="KX51" i="24"/>
  <c r="LF51" i="24"/>
  <c r="KY51" i="24"/>
  <c r="LG51" i="24"/>
  <c r="KZ51" i="24"/>
  <c r="LH51" i="24"/>
  <c r="LA51" i="24"/>
  <c r="LI51" i="24"/>
  <c r="LB51" i="24"/>
  <c r="LC51" i="24"/>
  <c r="LD51" i="24"/>
  <c r="LL51" i="24"/>
  <c r="KT53" i="24"/>
  <c r="KS53" i="24"/>
  <c r="KR53" i="24"/>
  <c r="KQ53" i="24"/>
  <c r="KQ17" i="24"/>
  <c r="KR17" i="24"/>
  <c r="NR60" i="24"/>
  <c r="NQ60" i="24"/>
  <c r="NQ59" i="24"/>
  <c r="NR59" i="24"/>
  <c r="NQ57" i="24"/>
  <c r="NR57" i="24"/>
  <c r="NQ54" i="24"/>
  <c r="NP54" i="24"/>
  <c r="NO54" i="24"/>
  <c r="NR54" i="24"/>
  <c r="NR53" i="24"/>
  <c r="NQ53" i="24"/>
  <c r="NP53" i="24"/>
  <c r="NO53" i="24"/>
  <c r="NP50" i="24"/>
  <c r="NO50" i="24"/>
  <c r="NQ44" i="24"/>
  <c r="NP44" i="24"/>
  <c r="NO44" i="24"/>
  <c r="NR44" i="24"/>
  <c r="NE43" i="24"/>
  <c r="NR43" i="24"/>
  <c r="NQ43" i="24"/>
  <c r="NP43" i="24"/>
  <c r="NO43" i="24"/>
  <c r="NQ42" i="24"/>
  <c r="NP42" i="24"/>
  <c r="NO42" i="24"/>
  <c r="NR42" i="24"/>
  <c r="NR41" i="24"/>
  <c r="NQ41" i="24"/>
  <c r="NP41" i="24"/>
  <c r="NO41" i="24"/>
  <c r="NQ40" i="24"/>
  <c r="NP40" i="24"/>
  <c r="NO40" i="24"/>
  <c r="NR40" i="24"/>
  <c r="NR38" i="24"/>
  <c r="NQ38" i="24"/>
  <c r="NP38" i="24"/>
  <c r="NO38" i="24"/>
  <c r="NQ37" i="24"/>
  <c r="NP37" i="24"/>
  <c r="NO37" i="24"/>
  <c r="NR37" i="24"/>
  <c r="NH27" i="24"/>
  <c r="NP27" i="24"/>
  <c r="NO27" i="24"/>
  <c r="NR27" i="24"/>
  <c r="NQ27" i="24"/>
  <c r="NP26" i="24"/>
  <c r="NO26" i="24"/>
  <c r="NP17" i="24"/>
  <c r="NO17" i="24"/>
  <c r="NP16" i="24"/>
  <c r="NO16" i="24"/>
  <c r="NR16" i="24"/>
  <c r="NQ16" i="24"/>
  <c r="LX18" i="24"/>
  <c r="MF18" i="24"/>
  <c r="LQ18" i="24"/>
  <c r="LY18" i="24"/>
  <c r="LR18" i="24"/>
  <c r="LZ18" i="24"/>
  <c r="LS18" i="24"/>
  <c r="MA18" i="24"/>
  <c r="LT18" i="24"/>
  <c r="MB18" i="24"/>
  <c r="LU18" i="24"/>
  <c r="LV18" i="24"/>
  <c r="LW18" i="24"/>
  <c r="ME18" i="24"/>
  <c r="ML28" i="24"/>
  <c r="MT28" i="24"/>
  <c r="MM28" i="24"/>
  <c r="MU28" i="24"/>
  <c r="MN28" i="24"/>
  <c r="MO28" i="24"/>
  <c r="MP28" i="24"/>
  <c r="MX28" i="24"/>
  <c r="MQ28" i="24"/>
  <c r="MY28" i="24"/>
  <c r="MJ28" i="24"/>
  <c r="MR28" i="24"/>
  <c r="MK28" i="24"/>
  <c r="MS28" i="24"/>
  <c r="NG39" i="24"/>
  <c r="NO39" i="24"/>
  <c r="NH39" i="24"/>
  <c r="NP39" i="24"/>
  <c r="NI39" i="24"/>
  <c r="NQ39" i="24"/>
  <c r="NJ39" i="24"/>
  <c r="NR39" i="24"/>
  <c r="NC39" i="24"/>
  <c r="NK39" i="24"/>
  <c r="ND39" i="24"/>
  <c r="NL39" i="24"/>
  <c r="NE39" i="24"/>
  <c r="NM39" i="24"/>
  <c r="NF39" i="24"/>
  <c r="NN39" i="24"/>
  <c r="IE63" i="24"/>
  <c r="IM63" i="24"/>
  <c r="IF63" i="24"/>
  <c r="IG63" i="24"/>
  <c r="HZ63" i="24"/>
  <c r="IH63" i="24"/>
  <c r="IA63" i="24"/>
  <c r="II63" i="24"/>
  <c r="IB63" i="24"/>
  <c r="IJ63" i="24"/>
  <c r="IC63" i="24"/>
  <c r="IK63" i="24"/>
  <c r="ID63" i="24"/>
  <c r="IL63" i="24"/>
  <c r="JN55" i="24"/>
  <c r="KA55" i="24"/>
  <c r="JZ55" i="24"/>
  <c r="KL51" i="24"/>
  <c r="KT51" i="24"/>
  <c r="KE51" i="24"/>
  <c r="KM51" i="24"/>
  <c r="KF51" i="24"/>
  <c r="KN51" i="24"/>
  <c r="KG51" i="24"/>
  <c r="KO51" i="24"/>
  <c r="KH51" i="24"/>
  <c r="KP51" i="24"/>
  <c r="KI51" i="24"/>
  <c r="KJ51" i="24"/>
  <c r="KK51" i="24"/>
  <c r="KS51" i="24"/>
  <c r="KT59" i="24"/>
  <c r="KS59" i="24"/>
  <c r="KE41" i="24"/>
  <c r="KT41" i="24"/>
  <c r="KS41" i="24"/>
  <c r="KR41" i="24"/>
  <c r="KQ41" i="24"/>
  <c r="KI27" i="24"/>
  <c r="KT27" i="24"/>
  <c r="KS27" i="24"/>
  <c r="KR27" i="24"/>
  <c r="KQ27" i="24"/>
  <c r="MY60" i="24"/>
  <c r="MX60" i="24"/>
  <c r="MY59" i="24"/>
  <c r="MX59" i="24"/>
  <c r="MY57" i="24"/>
  <c r="MX57" i="24"/>
  <c r="MW54" i="24"/>
  <c r="MV54" i="24"/>
  <c r="MY54" i="24"/>
  <c r="MX54" i="24"/>
  <c r="MY53" i="24"/>
  <c r="MX53" i="24"/>
  <c r="MW53" i="24"/>
  <c r="MV53" i="24"/>
  <c r="MW50" i="24"/>
  <c r="MV50" i="24"/>
  <c r="MO44" i="24"/>
  <c r="MW44" i="24"/>
  <c r="MV44" i="24"/>
  <c r="MY44" i="24"/>
  <c r="MX44" i="24"/>
  <c r="MQ43" i="24"/>
  <c r="MY43" i="24"/>
  <c r="MX43" i="24"/>
  <c r="MW43" i="24"/>
  <c r="MV43" i="24"/>
  <c r="MM42" i="24"/>
  <c r="MW42" i="24"/>
  <c r="MV42" i="24"/>
  <c r="MY42" i="24"/>
  <c r="MX42" i="24"/>
  <c r="MY41" i="24"/>
  <c r="MX41" i="24"/>
  <c r="MW41" i="24"/>
  <c r="MV41" i="24"/>
  <c r="MW40" i="24"/>
  <c r="MV40" i="24"/>
  <c r="MY40" i="24"/>
  <c r="MX40" i="24"/>
  <c r="MM38" i="24"/>
  <c r="MY38" i="24"/>
  <c r="MX38" i="24"/>
  <c r="MW38" i="24"/>
  <c r="MV38" i="24"/>
  <c r="MW37" i="24"/>
  <c r="MV37" i="24"/>
  <c r="MY37" i="24"/>
  <c r="MX37" i="24"/>
  <c r="MO27" i="24"/>
  <c r="MY27" i="24"/>
  <c r="MX27" i="24"/>
  <c r="MW27" i="24"/>
  <c r="MV27" i="24"/>
  <c r="MW26" i="24"/>
  <c r="MV26" i="24"/>
  <c r="MW17" i="24"/>
  <c r="MV17" i="24"/>
  <c r="MP16" i="24"/>
  <c r="MY16" i="24"/>
  <c r="MX16" i="24"/>
  <c r="MW16" i="24"/>
  <c r="MV16" i="24"/>
  <c r="LE18" i="24"/>
  <c r="LM18" i="24"/>
  <c r="KX18" i="24"/>
  <c r="LF18" i="24"/>
  <c r="KY18" i="24"/>
  <c r="LG18" i="24"/>
  <c r="KZ18" i="24"/>
  <c r="LH18" i="24"/>
  <c r="LA18" i="24"/>
  <c r="LI18" i="24"/>
  <c r="LB18" i="24"/>
  <c r="LC18" i="24"/>
  <c r="LD18" i="24"/>
  <c r="LL18" i="24"/>
  <c r="LX28" i="24"/>
  <c r="MF28" i="24"/>
  <c r="LQ28" i="24"/>
  <c r="LY28" i="24"/>
  <c r="LR28" i="24"/>
  <c r="LZ28" i="24"/>
  <c r="LS28" i="24"/>
  <c r="MA28" i="24"/>
  <c r="LT28" i="24"/>
  <c r="MB28" i="24"/>
  <c r="LU28" i="24"/>
  <c r="LV28" i="24"/>
  <c r="LW28" i="24"/>
  <c r="ME28" i="24"/>
  <c r="ML39" i="24"/>
  <c r="MT39" i="24"/>
  <c r="MM39" i="24"/>
  <c r="MU39" i="24"/>
  <c r="MN39" i="24"/>
  <c r="MV39" i="24"/>
  <c r="MO39" i="24"/>
  <c r="MW39" i="24"/>
  <c r="MP39" i="24"/>
  <c r="MX39" i="24"/>
  <c r="MQ39" i="24"/>
  <c r="MY39" i="24"/>
  <c r="MJ39" i="24"/>
  <c r="MR39" i="24"/>
  <c r="MK39" i="24"/>
  <c r="MS39" i="24"/>
  <c r="NG63" i="24"/>
  <c r="NO63" i="24"/>
  <c r="NH63" i="24"/>
  <c r="NP63" i="24"/>
  <c r="NI63" i="24"/>
  <c r="NJ63" i="24"/>
  <c r="NC63" i="24"/>
  <c r="NK63" i="24"/>
  <c r="ND63" i="24"/>
  <c r="NL63" i="24"/>
  <c r="NE63" i="24"/>
  <c r="NM63" i="24"/>
  <c r="NF63" i="24"/>
  <c r="NN63" i="24"/>
  <c r="IY55" i="24"/>
  <c r="JG55" i="24"/>
  <c r="JH55" i="24"/>
  <c r="JS51" i="24"/>
  <c r="KA51" i="24"/>
  <c r="JL51" i="24"/>
  <c r="JT51" i="24"/>
  <c r="JM51" i="24"/>
  <c r="JU51" i="24"/>
  <c r="JN51" i="24"/>
  <c r="JV51" i="24"/>
  <c r="JO51" i="24"/>
  <c r="JW51" i="24"/>
  <c r="JP51" i="24"/>
  <c r="JQ51" i="24"/>
  <c r="JR51" i="24"/>
  <c r="JZ51" i="24"/>
  <c r="KH54" i="24"/>
  <c r="KT54" i="24"/>
  <c r="KS54" i="24"/>
  <c r="KR54" i="24"/>
  <c r="KQ54" i="24"/>
  <c r="KH43" i="24"/>
  <c r="KT43" i="24"/>
  <c r="KS43" i="24"/>
  <c r="KR43" i="24"/>
  <c r="KQ43" i="24"/>
  <c r="KH40" i="24"/>
  <c r="KT40" i="24"/>
  <c r="KS40" i="24"/>
  <c r="KR40" i="24"/>
  <c r="KQ40" i="24"/>
  <c r="KQ26" i="24"/>
  <c r="KR26" i="24"/>
  <c r="MJ55" i="24"/>
  <c r="MY55" i="24"/>
  <c r="MX55" i="24"/>
  <c r="ME60" i="24"/>
  <c r="MF60" i="24"/>
  <c r="MF59" i="24"/>
  <c r="ME59" i="24"/>
  <c r="MF57" i="24"/>
  <c r="ME57" i="24"/>
  <c r="LU54" i="24"/>
  <c r="MF54" i="24"/>
  <c r="ME54" i="24"/>
  <c r="MD54" i="24"/>
  <c r="MC54" i="24"/>
  <c r="ME53" i="24"/>
  <c r="MD53" i="24"/>
  <c r="MC53" i="24"/>
  <c r="MF53" i="24"/>
  <c r="MD50" i="24"/>
  <c r="MC50" i="24"/>
  <c r="LS44" i="24"/>
  <c r="MF44" i="24"/>
  <c r="ME44" i="24"/>
  <c r="MD44" i="24"/>
  <c r="MC44" i="24"/>
  <c r="LU43" i="24"/>
  <c r="ME43" i="24"/>
  <c r="MD43" i="24"/>
  <c r="MC43" i="24"/>
  <c r="MF43" i="24"/>
  <c r="MF42" i="24"/>
  <c r="ME42" i="24"/>
  <c r="MD42" i="24"/>
  <c r="MC42" i="24"/>
  <c r="LS41" i="24"/>
  <c r="ME41" i="24"/>
  <c r="MD41" i="24"/>
  <c r="MC41" i="24"/>
  <c r="MF41" i="24"/>
  <c r="LU40" i="24"/>
  <c r="MF40" i="24"/>
  <c r="ME40" i="24"/>
  <c r="MD40" i="24"/>
  <c r="MC40" i="24"/>
  <c r="LQ38" i="24"/>
  <c r="ME38" i="24"/>
  <c r="MD38" i="24"/>
  <c r="MC38" i="24"/>
  <c r="MF38" i="24"/>
  <c r="LV37" i="24"/>
  <c r="MF37" i="24"/>
  <c r="ME37" i="24"/>
  <c r="MD37" i="24"/>
  <c r="MC37" i="24"/>
  <c r="MF27" i="24"/>
  <c r="ME27" i="24"/>
  <c r="MD27" i="24"/>
  <c r="MC27" i="24"/>
  <c r="MD26" i="24"/>
  <c r="MC26" i="24"/>
  <c r="MD17" i="24"/>
  <c r="MC17" i="24"/>
  <c r="LY16" i="24"/>
  <c r="MF16" i="24"/>
  <c r="ME16" i="24"/>
  <c r="MD16" i="24"/>
  <c r="MC16" i="24"/>
  <c r="KL18" i="24"/>
  <c r="KT18" i="24"/>
  <c r="KE18" i="24"/>
  <c r="KM18" i="24"/>
  <c r="KF18" i="24"/>
  <c r="KN18" i="24"/>
  <c r="KG18" i="24"/>
  <c r="KO18" i="24"/>
  <c r="KH18" i="24"/>
  <c r="KP18" i="24"/>
  <c r="KI18" i="24"/>
  <c r="KJ18" i="24"/>
  <c r="KK18" i="24"/>
  <c r="KS18" i="24"/>
  <c r="LE28" i="24"/>
  <c r="LM28" i="24"/>
  <c r="KX28" i="24"/>
  <c r="LF28" i="24"/>
  <c r="KY28" i="24"/>
  <c r="LG28" i="24"/>
  <c r="KZ28" i="24"/>
  <c r="LH28" i="24"/>
  <c r="LA28" i="24"/>
  <c r="LI28" i="24"/>
  <c r="LB28" i="24"/>
  <c r="LC28" i="24"/>
  <c r="LD28" i="24"/>
  <c r="LL28" i="24"/>
  <c r="LQ39" i="24"/>
  <c r="LY39" i="24"/>
  <c r="LR39" i="24"/>
  <c r="LZ39" i="24"/>
  <c r="LS39" i="24"/>
  <c r="LT39" i="24"/>
  <c r="MB39" i="24"/>
  <c r="LV39" i="24"/>
  <c r="MF39" i="24"/>
  <c r="LU39" i="24"/>
  <c r="LW39" i="24"/>
  <c r="LX39" i="24"/>
  <c r="MA39" i="24"/>
  <c r="MC39" i="24"/>
  <c r="MD39" i="24"/>
  <c r="ME39" i="24"/>
  <c r="MN63" i="24"/>
  <c r="MV63" i="24"/>
  <c r="MO63" i="24"/>
  <c r="MW63" i="24"/>
  <c r="MP63" i="24"/>
  <c r="MQ63" i="24"/>
  <c r="MJ63" i="24"/>
  <c r="MR63" i="24"/>
  <c r="MK63" i="24"/>
  <c r="MS63" i="24"/>
  <c r="ML63" i="24"/>
  <c r="MT63" i="24"/>
  <c r="MM63" i="24"/>
  <c r="MU63" i="24"/>
  <c r="IB55" i="24"/>
  <c r="IO55" i="24"/>
  <c r="IN55" i="24"/>
  <c r="IX51" i="24"/>
  <c r="IY51" i="24"/>
  <c r="JG51" i="24"/>
  <c r="IZ51" i="24"/>
  <c r="JH51" i="24"/>
  <c r="IS51" i="24"/>
  <c r="JA51" i="24"/>
  <c r="IT51" i="24"/>
  <c r="JB51" i="24"/>
  <c r="IU51" i="24"/>
  <c r="JC51" i="24"/>
  <c r="IV51" i="24"/>
  <c r="JD51" i="24"/>
  <c r="IW51" i="24"/>
  <c r="KT60" i="24"/>
  <c r="KS60" i="24"/>
  <c r="KT42" i="24"/>
  <c r="KS42" i="24"/>
  <c r="KR42" i="24"/>
  <c r="KQ42" i="24"/>
  <c r="KF16" i="24"/>
  <c r="KT16" i="24"/>
  <c r="KS16" i="24"/>
  <c r="KR16" i="24"/>
  <c r="KQ16" i="24"/>
  <c r="MY58" i="24"/>
  <c r="MX58" i="24"/>
  <c r="LM60" i="24"/>
  <c r="LL60" i="24"/>
  <c r="LM59" i="24"/>
  <c r="LL59" i="24"/>
  <c r="LM57" i="24"/>
  <c r="LL57" i="24"/>
  <c r="LC54" i="24"/>
  <c r="LM54" i="24"/>
  <c r="LL54" i="24"/>
  <c r="LK54" i="24"/>
  <c r="LJ54" i="24"/>
  <c r="LM53" i="24"/>
  <c r="LL53" i="24"/>
  <c r="LK53" i="24"/>
  <c r="LJ53" i="24"/>
  <c r="LK50" i="24"/>
  <c r="LJ50" i="24"/>
  <c r="LI44" i="24"/>
  <c r="LM44" i="24"/>
  <c r="LL44" i="24"/>
  <c r="LK44" i="24"/>
  <c r="LJ44" i="24"/>
  <c r="LC43" i="24"/>
  <c r="LM43" i="24"/>
  <c r="LL43" i="24"/>
  <c r="LK43" i="24"/>
  <c r="LJ43" i="24"/>
  <c r="KY42" i="24"/>
  <c r="LM42" i="24"/>
  <c r="LL42" i="24"/>
  <c r="LK42" i="24"/>
  <c r="LJ42" i="24"/>
  <c r="LM41" i="24"/>
  <c r="LL41" i="24"/>
  <c r="LK41" i="24"/>
  <c r="LJ41" i="24"/>
  <c r="LC40" i="24"/>
  <c r="LM40" i="24"/>
  <c r="LL40" i="24"/>
  <c r="LK40" i="24"/>
  <c r="LJ40" i="24"/>
  <c r="LM38" i="24"/>
  <c r="LL38" i="24"/>
  <c r="LK38" i="24"/>
  <c r="LJ38" i="24"/>
  <c r="LE37" i="24"/>
  <c r="LM37" i="24"/>
  <c r="LL37" i="24"/>
  <c r="LK37" i="24"/>
  <c r="LJ37" i="24"/>
  <c r="LG27" i="24"/>
  <c r="LM27" i="24"/>
  <c r="LL27" i="24"/>
  <c r="LK27" i="24"/>
  <c r="LJ27" i="24"/>
  <c r="LH26" i="24"/>
  <c r="LK26" i="24"/>
  <c r="LJ26" i="24"/>
  <c r="LH17" i="24"/>
  <c r="LK17" i="24"/>
  <c r="LJ17" i="24"/>
  <c r="LH16" i="24"/>
  <c r="LM16" i="24"/>
  <c r="LL16" i="24"/>
  <c r="LK16" i="24"/>
  <c r="LJ16" i="24"/>
  <c r="JS18" i="24"/>
  <c r="KA18" i="24"/>
  <c r="JL18" i="24"/>
  <c r="JT18" i="24"/>
  <c r="JM18" i="24"/>
  <c r="JU18" i="24"/>
  <c r="JN18" i="24"/>
  <c r="JV18" i="24"/>
  <c r="JO18" i="24"/>
  <c r="JW18" i="24"/>
  <c r="JP18" i="24"/>
  <c r="JQ18" i="24"/>
  <c r="JR18" i="24"/>
  <c r="JZ18" i="24"/>
  <c r="KL28" i="24"/>
  <c r="KT28" i="24"/>
  <c r="KE28" i="24"/>
  <c r="KM28" i="24"/>
  <c r="KF28" i="24"/>
  <c r="KN28" i="24"/>
  <c r="KG28" i="24"/>
  <c r="KO28" i="24"/>
  <c r="KH28" i="24"/>
  <c r="KP28" i="24"/>
  <c r="KI28" i="24"/>
  <c r="KJ28" i="24"/>
  <c r="KK28" i="24"/>
  <c r="KS28" i="24"/>
  <c r="LE39" i="24"/>
  <c r="LM39" i="24"/>
  <c r="KX39" i="24"/>
  <c r="LF39" i="24"/>
  <c r="KY39" i="24"/>
  <c r="LG39" i="24"/>
  <c r="KZ39" i="24"/>
  <c r="LH39" i="24"/>
  <c r="LA39" i="24"/>
  <c r="LI39" i="24"/>
  <c r="LB39" i="24"/>
  <c r="LJ39" i="24"/>
  <c r="LC39" i="24"/>
  <c r="LK39" i="24"/>
  <c r="LD39" i="24"/>
  <c r="LL39" i="24"/>
  <c r="LS63" i="24"/>
  <c r="MA63" i="24"/>
  <c r="LT63" i="24"/>
  <c r="MB63" i="24"/>
  <c r="LU63" i="24"/>
  <c r="MC63" i="24"/>
  <c r="LV63" i="24"/>
  <c r="MD63" i="24"/>
  <c r="LW63" i="24"/>
  <c r="LX63" i="24"/>
  <c r="LQ63" i="24"/>
  <c r="LY63" i="24"/>
  <c r="LR63" i="24"/>
  <c r="LZ63" i="24"/>
  <c r="NH55" i="24"/>
  <c r="NR55" i="24"/>
  <c r="NQ55" i="24"/>
  <c r="IE51" i="24"/>
  <c r="IF51" i="24"/>
  <c r="IN51" i="24"/>
  <c r="IG51" i="24"/>
  <c r="IO51" i="24"/>
  <c r="HZ51" i="24"/>
  <c r="IH51" i="24"/>
  <c r="IA51" i="24"/>
  <c r="II51" i="24"/>
  <c r="IB51" i="24"/>
  <c r="IJ51" i="24"/>
  <c r="IC51" i="24"/>
  <c r="IK51" i="24"/>
  <c r="ID51" i="24"/>
  <c r="KT57" i="24"/>
  <c r="KS57" i="24"/>
  <c r="IX18" i="24"/>
  <c r="IY18" i="24"/>
  <c r="JG18" i="24"/>
  <c r="IZ18" i="24"/>
  <c r="JH18" i="24"/>
  <c r="IS18" i="24"/>
  <c r="JA18" i="24"/>
  <c r="IT18" i="24"/>
  <c r="JB18" i="24"/>
  <c r="IU18" i="24"/>
  <c r="JC18" i="24"/>
  <c r="IV18" i="24"/>
  <c r="JD18" i="24"/>
  <c r="IW18" i="24"/>
  <c r="JS28" i="24"/>
  <c r="KA28" i="24"/>
  <c r="JL28" i="24"/>
  <c r="JT28" i="24"/>
  <c r="JM28" i="24"/>
  <c r="JU28" i="24"/>
  <c r="JN28" i="24"/>
  <c r="JV28" i="24"/>
  <c r="JO28" i="24"/>
  <c r="JW28" i="24"/>
  <c r="JP28" i="24"/>
  <c r="JQ28" i="24"/>
  <c r="JR28" i="24"/>
  <c r="JZ28" i="24"/>
  <c r="KL39" i="24"/>
  <c r="KT39" i="24"/>
  <c r="KE39" i="24"/>
  <c r="KM39" i="24"/>
  <c r="KF39" i="24"/>
  <c r="KN39" i="24"/>
  <c r="KG39" i="24"/>
  <c r="KO39" i="24"/>
  <c r="KH39" i="24"/>
  <c r="KP39" i="24"/>
  <c r="KI39" i="24"/>
  <c r="KQ39" i="24"/>
  <c r="KJ39" i="24"/>
  <c r="KR39" i="24"/>
  <c r="KK39" i="24"/>
  <c r="KS39" i="24"/>
  <c r="LE63" i="24"/>
  <c r="KX63" i="24"/>
  <c r="LF63" i="24"/>
  <c r="KY63" i="24"/>
  <c r="LG63" i="24"/>
  <c r="KZ63" i="24"/>
  <c r="LH63" i="24"/>
  <c r="LA63" i="24"/>
  <c r="LI63" i="24"/>
  <c r="LB63" i="24"/>
  <c r="LJ63" i="24"/>
  <c r="LC63" i="24"/>
  <c r="LK63" i="24"/>
  <c r="LD63" i="24"/>
  <c r="KE44" i="24"/>
  <c r="KT44" i="24"/>
  <c r="KS44" i="24"/>
  <c r="KR44" i="24"/>
  <c r="KQ44" i="24"/>
  <c r="KI37" i="24"/>
  <c r="KT37" i="24"/>
  <c r="KS37" i="24"/>
  <c r="KR37" i="24"/>
  <c r="KQ37" i="24"/>
  <c r="KA60" i="24"/>
  <c r="JZ60" i="24"/>
  <c r="KA59" i="24"/>
  <c r="JZ59" i="24"/>
  <c r="KA57" i="24"/>
  <c r="JZ57" i="24"/>
  <c r="JO54" i="24"/>
  <c r="JX54" i="24"/>
  <c r="KA54" i="24"/>
  <c r="JZ54" i="24"/>
  <c r="JY54" i="24"/>
  <c r="KA53" i="24"/>
  <c r="JZ53" i="24"/>
  <c r="JY53" i="24"/>
  <c r="JX53" i="24"/>
  <c r="JX50" i="24"/>
  <c r="JY50" i="24"/>
  <c r="JW44" i="24"/>
  <c r="JX44" i="24"/>
  <c r="KA44" i="24"/>
  <c r="JZ44" i="24"/>
  <c r="JY44" i="24"/>
  <c r="JQ43" i="24"/>
  <c r="KA43" i="24"/>
  <c r="JZ43" i="24"/>
  <c r="JY43" i="24"/>
  <c r="JX43" i="24"/>
  <c r="JM42" i="24"/>
  <c r="JX42" i="24"/>
  <c r="KA42" i="24"/>
  <c r="JZ42" i="24"/>
  <c r="JY42" i="24"/>
  <c r="JN41" i="24"/>
  <c r="KA41" i="24"/>
  <c r="JZ41" i="24"/>
  <c r="JY41" i="24"/>
  <c r="JX41" i="24"/>
  <c r="JP40" i="24"/>
  <c r="JX40" i="24"/>
  <c r="KA40" i="24"/>
  <c r="JZ40" i="24"/>
  <c r="JY40" i="24"/>
  <c r="JM38" i="24"/>
  <c r="KA38" i="24"/>
  <c r="JZ38" i="24"/>
  <c r="JY38" i="24"/>
  <c r="JX38" i="24"/>
  <c r="JQ37" i="24"/>
  <c r="JX37" i="24"/>
  <c r="KA37" i="24"/>
  <c r="JZ37" i="24"/>
  <c r="JY37" i="24"/>
  <c r="JS27" i="24"/>
  <c r="KA27" i="24"/>
  <c r="JZ27" i="24"/>
  <c r="JY27" i="24"/>
  <c r="JX27" i="24"/>
  <c r="JY26" i="24"/>
  <c r="JX26" i="24"/>
  <c r="JP17" i="24"/>
  <c r="JY17" i="24"/>
  <c r="JX17" i="24"/>
  <c r="JS16" i="24"/>
  <c r="KA16" i="24"/>
  <c r="JZ16" i="24"/>
  <c r="JY16" i="24"/>
  <c r="JX16" i="24"/>
  <c r="IE18" i="24"/>
  <c r="IF18" i="24"/>
  <c r="IN18" i="24"/>
  <c r="IG18" i="24"/>
  <c r="IO18" i="24"/>
  <c r="HZ18" i="24"/>
  <c r="IH18" i="24"/>
  <c r="IA18" i="24"/>
  <c r="II18" i="24"/>
  <c r="IB18" i="24"/>
  <c r="IJ18" i="24"/>
  <c r="IC18" i="24"/>
  <c r="IK18" i="24"/>
  <c r="ID18" i="24"/>
  <c r="IX28" i="24"/>
  <c r="IY28" i="24"/>
  <c r="JG28" i="24"/>
  <c r="IZ28" i="24"/>
  <c r="JH28" i="24"/>
  <c r="IS28" i="24"/>
  <c r="JA28" i="24"/>
  <c r="IT28" i="24"/>
  <c r="JB28" i="24"/>
  <c r="IU28" i="24"/>
  <c r="JC28" i="24"/>
  <c r="IV28" i="24"/>
  <c r="JD28" i="24"/>
  <c r="IW28" i="24"/>
  <c r="JS39" i="24"/>
  <c r="KA39" i="24"/>
  <c r="JL39" i="24"/>
  <c r="JT39" i="24"/>
  <c r="JM39" i="24"/>
  <c r="JU39" i="24"/>
  <c r="JN39" i="24"/>
  <c r="JV39" i="24"/>
  <c r="JO39" i="24"/>
  <c r="JW39" i="24"/>
  <c r="JP39" i="24"/>
  <c r="JX39" i="24"/>
  <c r="JQ39" i="24"/>
  <c r="JY39" i="24"/>
  <c r="JR39" i="24"/>
  <c r="JZ39" i="24"/>
  <c r="KL63" i="24"/>
  <c r="KE63" i="24"/>
  <c r="KM63" i="24"/>
  <c r="KF63" i="24"/>
  <c r="KN63" i="24"/>
  <c r="KG63" i="24"/>
  <c r="KO63" i="24"/>
  <c r="KH63" i="24"/>
  <c r="KP63" i="24"/>
  <c r="KI63" i="24"/>
  <c r="KQ63" i="24"/>
  <c r="KJ63" i="24"/>
  <c r="KR63" i="24"/>
  <c r="KK63" i="24"/>
  <c r="LU55" i="24"/>
  <c r="ME55" i="24"/>
  <c r="MF55" i="24"/>
  <c r="ML51" i="24"/>
  <c r="MT51" i="24"/>
  <c r="MM51" i="24"/>
  <c r="MU51" i="24"/>
  <c r="MN51" i="24"/>
  <c r="MO51" i="24"/>
  <c r="MP51" i="24"/>
  <c r="MX51" i="24"/>
  <c r="MQ51" i="24"/>
  <c r="MY51" i="24"/>
  <c r="MJ51" i="24"/>
  <c r="MR51" i="24"/>
  <c r="MK51" i="24"/>
  <c r="MS51" i="24"/>
  <c r="KR50" i="24"/>
  <c r="KQ50" i="24"/>
  <c r="KT38" i="24"/>
  <c r="KS38" i="24"/>
  <c r="KR38" i="24"/>
  <c r="KQ38" i="24"/>
  <c r="NG51" i="24"/>
  <c r="NH51" i="24"/>
  <c r="NI51" i="24"/>
  <c r="NQ51" i="24"/>
  <c r="NJ51" i="24"/>
  <c r="NR51" i="24"/>
  <c r="NC51" i="24"/>
  <c r="NK51" i="24"/>
  <c r="ND51" i="24"/>
  <c r="NL51" i="24"/>
  <c r="NE51" i="24"/>
  <c r="NM51" i="24"/>
  <c r="NF51" i="24"/>
  <c r="NN51" i="24"/>
  <c r="JG60" i="24"/>
  <c r="JH60" i="24"/>
  <c r="JH59" i="24"/>
  <c r="JG59" i="24"/>
  <c r="JH57" i="24"/>
  <c r="JG57" i="24"/>
  <c r="IV54" i="24"/>
  <c r="JH54" i="24"/>
  <c r="JG54" i="24"/>
  <c r="JF54" i="24"/>
  <c r="JE54" i="24"/>
  <c r="JG53" i="24"/>
  <c r="JF53" i="24"/>
  <c r="JE53" i="24"/>
  <c r="JH53" i="24"/>
  <c r="JF50" i="24"/>
  <c r="JE50" i="24"/>
  <c r="IT44" i="24"/>
  <c r="JH44" i="24"/>
  <c r="JG44" i="24"/>
  <c r="JF44" i="24"/>
  <c r="JE44" i="24"/>
  <c r="IV43" i="24"/>
  <c r="JG43" i="24"/>
  <c r="JF43" i="24"/>
  <c r="JE43" i="24"/>
  <c r="JH43" i="24"/>
  <c r="JA42" i="24"/>
  <c r="JH42" i="24"/>
  <c r="JG42" i="24"/>
  <c r="JF42" i="24"/>
  <c r="JE42" i="24"/>
  <c r="JB41" i="24"/>
  <c r="JG41" i="24"/>
  <c r="JF41" i="24"/>
  <c r="JE41" i="24"/>
  <c r="JH41" i="24"/>
  <c r="IV40" i="24"/>
  <c r="JH40" i="24"/>
  <c r="JG40" i="24"/>
  <c r="JF40" i="24"/>
  <c r="JE40" i="24"/>
  <c r="JA38" i="24"/>
  <c r="JG38" i="24"/>
  <c r="JF38" i="24"/>
  <c r="JE38" i="24"/>
  <c r="JH38" i="24"/>
  <c r="IU37" i="24"/>
  <c r="JH37" i="24"/>
  <c r="JG37" i="24"/>
  <c r="JF37" i="24"/>
  <c r="JE37" i="24"/>
  <c r="IV27" i="24"/>
  <c r="JH27" i="24"/>
  <c r="JG27" i="24"/>
  <c r="JF27" i="24"/>
  <c r="JE27" i="24"/>
  <c r="JE26" i="24"/>
  <c r="JF26" i="24"/>
  <c r="IV17" i="24"/>
  <c r="JE17" i="24"/>
  <c r="JF17" i="24"/>
  <c r="IY16" i="24"/>
  <c r="JH16" i="24"/>
  <c r="JG16" i="24"/>
  <c r="JF16" i="24"/>
  <c r="JE16" i="24"/>
  <c r="NG18" i="24"/>
  <c r="NH18" i="24"/>
  <c r="NI18" i="24"/>
  <c r="NQ18" i="24"/>
  <c r="NJ18" i="24"/>
  <c r="NR18" i="24"/>
  <c r="NC18" i="24"/>
  <c r="NK18" i="24"/>
  <c r="ND18" i="24"/>
  <c r="NL18" i="24"/>
  <c r="NE18" i="24"/>
  <c r="NM18" i="24"/>
  <c r="NF18" i="24"/>
  <c r="NN18" i="24"/>
  <c r="IE28" i="24"/>
  <c r="IF28" i="24"/>
  <c r="IN28" i="24"/>
  <c r="IG28" i="24"/>
  <c r="IO28" i="24"/>
  <c r="HZ28" i="24"/>
  <c r="IH28" i="24"/>
  <c r="IA28" i="24"/>
  <c r="II28" i="24"/>
  <c r="IB28" i="24"/>
  <c r="IJ28" i="24"/>
  <c r="IC28" i="24"/>
  <c r="IK28" i="24"/>
  <c r="ID28" i="24"/>
  <c r="IX39" i="24"/>
  <c r="JF39" i="24"/>
  <c r="IY39" i="24"/>
  <c r="JG39" i="24"/>
  <c r="IZ39" i="24"/>
  <c r="JH39" i="24"/>
  <c r="IS39" i="24"/>
  <c r="JA39" i="24"/>
  <c r="IT39" i="24"/>
  <c r="JB39" i="24"/>
  <c r="IU39" i="24"/>
  <c r="JC39" i="24"/>
  <c r="IV39" i="24"/>
  <c r="JD39" i="24"/>
  <c r="IW39" i="24"/>
  <c r="JE39" i="24"/>
  <c r="JQ63" i="24"/>
  <c r="JY63" i="24"/>
  <c r="JR63" i="24"/>
  <c r="JS63" i="24"/>
  <c r="JL63" i="24"/>
  <c r="JT63" i="24"/>
  <c r="JM63" i="24"/>
  <c r="JU63" i="24"/>
  <c r="JN63" i="24"/>
  <c r="JV63" i="24"/>
  <c r="JO63" i="24"/>
  <c r="JW63" i="24"/>
  <c r="JP63" i="24"/>
  <c r="JX63" i="24"/>
  <c r="LE55" i="24"/>
  <c r="LM55" i="24"/>
  <c r="LL55" i="24"/>
  <c r="LW51" i="24"/>
  <c r="ME51" i="24"/>
  <c r="LX51" i="24"/>
  <c r="MF51" i="24"/>
  <c r="LQ51" i="24"/>
  <c r="LY51" i="24"/>
  <c r="LR51" i="24"/>
  <c r="LZ51" i="24"/>
  <c r="LS51" i="24"/>
  <c r="MA51" i="24"/>
  <c r="LT51" i="24"/>
  <c r="MB51" i="24"/>
  <c r="LU51" i="24"/>
  <c r="LV51" i="24"/>
  <c r="HM63" i="24"/>
  <c r="HS63" i="24"/>
  <c r="HN63" i="24"/>
  <c r="HG63" i="24"/>
  <c r="HO63" i="24"/>
  <c r="HH63" i="24"/>
  <c r="HP63" i="24"/>
  <c r="HI63" i="24"/>
  <c r="HQ63" i="24"/>
  <c r="HJ63" i="24"/>
  <c r="HR63" i="24"/>
  <c r="HK63" i="24"/>
  <c r="HT63" i="24"/>
  <c r="HL63" i="24"/>
  <c r="HV55" i="24"/>
  <c r="HU55" i="24"/>
  <c r="HM51" i="24"/>
  <c r="HU51" i="24"/>
  <c r="HK51" i="24"/>
  <c r="HN51" i="24"/>
  <c r="HV51" i="24"/>
  <c r="HG51" i="24"/>
  <c r="HO51" i="24"/>
  <c r="HH51" i="24"/>
  <c r="HP51" i="24"/>
  <c r="HI51" i="24"/>
  <c r="HQ51" i="24"/>
  <c r="HJ51" i="24"/>
  <c r="HR51" i="24"/>
  <c r="HL51" i="24"/>
  <c r="HM62" i="24"/>
  <c r="HU62" i="24"/>
  <c r="HN62" i="24"/>
  <c r="HV62" i="24"/>
  <c r="HG62" i="24"/>
  <c r="HO62" i="24"/>
  <c r="HH62" i="24"/>
  <c r="HP62" i="24"/>
  <c r="HI62" i="24"/>
  <c r="HQ62" i="24"/>
  <c r="HK62" i="24"/>
  <c r="HJ62" i="24"/>
  <c r="HR62" i="24"/>
  <c r="HL62" i="24"/>
  <c r="HM18" i="24"/>
  <c r="HU18" i="24"/>
  <c r="HN18" i="24"/>
  <c r="HV18" i="24"/>
  <c r="HG18" i="24"/>
  <c r="HO18" i="24"/>
  <c r="HH18" i="24"/>
  <c r="HP18" i="24"/>
  <c r="HI18" i="24"/>
  <c r="HQ18" i="24"/>
  <c r="HJ18" i="24"/>
  <c r="HR18" i="24"/>
  <c r="HK18" i="24"/>
  <c r="HL18" i="24"/>
  <c r="HM28" i="24"/>
  <c r="HU28" i="24"/>
  <c r="HN28" i="24"/>
  <c r="HV28" i="24"/>
  <c r="HG28" i="24"/>
  <c r="HO28" i="24"/>
  <c r="HH28" i="24"/>
  <c r="HP28" i="24"/>
  <c r="HI28" i="24"/>
  <c r="HQ28" i="24"/>
  <c r="HK28" i="24"/>
  <c r="HJ28" i="24"/>
  <c r="HR28" i="24"/>
  <c r="HL28" i="24"/>
  <c r="HM39" i="24"/>
  <c r="HU39" i="24"/>
  <c r="HN39" i="24"/>
  <c r="HV39" i="24"/>
  <c r="HG39" i="24"/>
  <c r="HO39" i="24"/>
  <c r="HS39" i="24"/>
  <c r="HH39" i="24"/>
  <c r="HP39" i="24"/>
  <c r="HI39" i="24"/>
  <c r="HQ39" i="24"/>
  <c r="HJ39" i="24"/>
  <c r="HR39" i="24"/>
  <c r="HK39" i="24"/>
  <c r="HT39" i="24"/>
  <c r="HL39" i="24"/>
  <c r="GT28" i="24"/>
  <c r="HB28" i="24"/>
  <c r="GP28" i="24"/>
  <c r="GU28" i="24"/>
  <c r="HC28" i="24"/>
  <c r="GN28" i="24"/>
  <c r="GV28" i="24"/>
  <c r="GX28" i="24"/>
  <c r="GO28" i="24"/>
  <c r="GW28" i="24"/>
  <c r="GS28" i="24"/>
  <c r="GQ28" i="24"/>
  <c r="GY28" i="24"/>
  <c r="GR28" i="24"/>
  <c r="GT63" i="24"/>
  <c r="GS63" i="24"/>
  <c r="GU63" i="24"/>
  <c r="HA63" i="24"/>
  <c r="GN63" i="24"/>
  <c r="GV63" i="24"/>
  <c r="GP63" i="24"/>
  <c r="GO63" i="24"/>
  <c r="GW63" i="24"/>
  <c r="GX63" i="24"/>
  <c r="GQ63" i="24"/>
  <c r="GY63" i="24"/>
  <c r="GR63" i="24"/>
  <c r="GZ63" i="24"/>
  <c r="GT62" i="24"/>
  <c r="HB62" i="24"/>
  <c r="GX62" i="24"/>
  <c r="GU62" i="24"/>
  <c r="HC62" i="24"/>
  <c r="GN62" i="24"/>
  <c r="GV62" i="24"/>
  <c r="GR62" i="24"/>
  <c r="GS62" i="24"/>
  <c r="GO62" i="24"/>
  <c r="GW62" i="24"/>
  <c r="GP62" i="24"/>
  <c r="GQ62" i="24"/>
  <c r="GY62" i="24"/>
  <c r="HC55" i="24"/>
  <c r="HB55" i="24"/>
  <c r="GT39" i="24"/>
  <c r="HB39" i="24"/>
  <c r="GP39" i="24"/>
  <c r="GU39" i="24"/>
  <c r="HC39" i="24"/>
  <c r="HA39" i="24"/>
  <c r="GN39" i="24"/>
  <c r="GV39" i="24"/>
  <c r="GR39" i="24"/>
  <c r="GS39" i="24"/>
  <c r="GO39" i="24"/>
  <c r="GW39" i="24"/>
  <c r="GX39" i="24"/>
  <c r="GZ39" i="24"/>
  <c r="GQ39" i="24"/>
  <c r="GY39" i="24"/>
  <c r="GT51" i="24"/>
  <c r="HB51" i="24"/>
  <c r="GU51" i="24"/>
  <c r="HC51" i="24"/>
  <c r="GR51" i="24"/>
  <c r="GN51" i="24"/>
  <c r="GV51" i="24"/>
  <c r="GX51" i="24"/>
  <c r="GO51" i="24"/>
  <c r="GW51" i="24"/>
  <c r="GP51" i="24"/>
  <c r="GQ51" i="24"/>
  <c r="GY51" i="24"/>
  <c r="GS51" i="24"/>
  <c r="GT18" i="24"/>
  <c r="HB18" i="24"/>
  <c r="GX18" i="24"/>
  <c r="GU18" i="24"/>
  <c r="HC18" i="24"/>
  <c r="GP18" i="24"/>
  <c r="GR18" i="24"/>
  <c r="GN18" i="24"/>
  <c r="GV18" i="24"/>
  <c r="GO18" i="24"/>
  <c r="GW18" i="24"/>
  <c r="GQ18" i="24"/>
  <c r="GY18" i="24"/>
  <c r="GS18" i="24"/>
  <c r="FW51" i="24"/>
  <c r="GE51" i="24"/>
  <c r="FX51" i="24"/>
  <c r="GF51" i="24"/>
  <c r="FY51" i="24"/>
  <c r="FZ51" i="24"/>
  <c r="GA51" i="24"/>
  <c r="GI51" i="24"/>
  <c r="GB51" i="24"/>
  <c r="GJ51" i="24"/>
  <c r="FV51" i="24"/>
  <c r="GD51" i="24"/>
  <c r="GC51" i="24"/>
  <c r="FU51" i="24"/>
  <c r="FW28" i="24"/>
  <c r="GE28" i="24"/>
  <c r="FX28" i="24"/>
  <c r="GF28" i="24"/>
  <c r="FY28" i="24"/>
  <c r="FZ28" i="24"/>
  <c r="GA28" i="24"/>
  <c r="GI28" i="24"/>
  <c r="GB28" i="24"/>
  <c r="GJ28" i="24"/>
  <c r="FV28" i="24"/>
  <c r="GC28" i="24"/>
  <c r="GD28" i="24"/>
  <c r="FU28" i="24"/>
  <c r="FW39" i="24"/>
  <c r="GE39" i="24"/>
  <c r="FX39" i="24"/>
  <c r="GF39" i="24"/>
  <c r="FY39" i="24"/>
  <c r="GG39" i="24"/>
  <c r="FZ39" i="24"/>
  <c r="GH39" i="24"/>
  <c r="GA39" i="24"/>
  <c r="GI39" i="24"/>
  <c r="GB39" i="24"/>
  <c r="GJ39" i="24"/>
  <c r="FU39" i="24"/>
  <c r="GC39" i="24"/>
  <c r="FV39" i="24"/>
  <c r="GD39" i="24"/>
  <c r="FW63" i="24"/>
  <c r="GE63" i="24"/>
  <c r="FX63" i="24"/>
  <c r="GF63" i="24"/>
  <c r="FY63" i="24"/>
  <c r="GG63" i="24"/>
  <c r="FZ63" i="24"/>
  <c r="GH63" i="24"/>
  <c r="GA63" i="24"/>
  <c r="GB63" i="24"/>
  <c r="FV63" i="24"/>
  <c r="GC63" i="24"/>
  <c r="GD63" i="24"/>
  <c r="FU63" i="24"/>
  <c r="FW18" i="24"/>
  <c r="GE18" i="24"/>
  <c r="FX18" i="24"/>
  <c r="GF18" i="24"/>
  <c r="FY18" i="24"/>
  <c r="FZ18" i="24"/>
  <c r="GA18" i="24"/>
  <c r="GI18" i="24"/>
  <c r="GB18" i="24"/>
  <c r="GJ18" i="24"/>
  <c r="FV18" i="24"/>
  <c r="FU18" i="24"/>
  <c r="GC18" i="24"/>
  <c r="GD18" i="24"/>
  <c r="FW62" i="24"/>
  <c r="GE62" i="24"/>
  <c r="FX62" i="24"/>
  <c r="GF62" i="24"/>
  <c r="FY62" i="24"/>
  <c r="FZ62" i="24"/>
  <c r="GA62" i="24"/>
  <c r="GI62" i="24"/>
  <c r="GB62" i="24"/>
  <c r="GJ62" i="24"/>
  <c r="GD62" i="24"/>
  <c r="FU62" i="24"/>
  <c r="FV62" i="24"/>
  <c r="GC62" i="24"/>
  <c r="GI55" i="24"/>
  <c r="GJ55" i="24"/>
  <c r="FB28" i="24"/>
  <c r="FJ28" i="24"/>
  <c r="FC28" i="24"/>
  <c r="FK28" i="24"/>
  <c r="FF28" i="24"/>
  <c r="FD28" i="24"/>
  <c r="FL28" i="24"/>
  <c r="FE28" i="24"/>
  <c r="FM28" i="24"/>
  <c r="FG28" i="24"/>
  <c r="FQ28" i="24"/>
  <c r="FH28" i="24"/>
  <c r="FP28" i="24"/>
  <c r="FI28" i="24"/>
  <c r="FB18" i="24"/>
  <c r="FJ18" i="24"/>
  <c r="FC18" i="24"/>
  <c r="FK18" i="24"/>
  <c r="FF18" i="24"/>
  <c r="FD18" i="24"/>
  <c r="FL18" i="24"/>
  <c r="FE18" i="24"/>
  <c r="FM18" i="24"/>
  <c r="FG18" i="24"/>
  <c r="FI18" i="24"/>
  <c r="FQ18" i="24"/>
  <c r="FH18" i="24"/>
  <c r="FP18" i="24"/>
  <c r="FB39" i="24"/>
  <c r="FJ39" i="24"/>
  <c r="FN39" i="24"/>
  <c r="FC39" i="24"/>
  <c r="FK39" i="24"/>
  <c r="FD39" i="24"/>
  <c r="FL39" i="24"/>
  <c r="FF39" i="24"/>
  <c r="FE39" i="24"/>
  <c r="FM39" i="24"/>
  <c r="FG39" i="24"/>
  <c r="FO39" i="24"/>
  <c r="FI39" i="24"/>
  <c r="FH39" i="24"/>
  <c r="FP39" i="24"/>
  <c r="FQ39" i="24"/>
  <c r="FB63" i="24"/>
  <c r="FJ63" i="24"/>
  <c r="FF63" i="24"/>
  <c r="FC63" i="24"/>
  <c r="FK63" i="24"/>
  <c r="FD63" i="24"/>
  <c r="FL63" i="24"/>
  <c r="FE63" i="24"/>
  <c r="FM63" i="24"/>
  <c r="FN63" i="24"/>
  <c r="FG63" i="24"/>
  <c r="FO63" i="24"/>
  <c r="FI63" i="24"/>
  <c r="FH63" i="24"/>
  <c r="FB62" i="24"/>
  <c r="FJ62" i="24"/>
  <c r="FC62" i="24"/>
  <c r="FK62" i="24"/>
  <c r="FD62" i="24"/>
  <c r="FL62" i="24"/>
  <c r="FF62" i="24"/>
  <c r="FE62" i="24"/>
  <c r="FM62" i="24"/>
  <c r="FG62" i="24"/>
  <c r="FI62" i="24"/>
  <c r="FH62" i="24"/>
  <c r="FP62" i="24"/>
  <c r="FQ62" i="24"/>
  <c r="FQ55" i="24"/>
  <c r="FP55" i="24"/>
  <c r="FB51" i="24"/>
  <c r="FJ51" i="24"/>
  <c r="FC51" i="24"/>
  <c r="FK51" i="24"/>
  <c r="FF51" i="24"/>
  <c r="FD51" i="24"/>
  <c r="FL51" i="24"/>
  <c r="FE51" i="24"/>
  <c r="FM51" i="24"/>
  <c r="FG51" i="24"/>
  <c r="FI51" i="24"/>
  <c r="FH51" i="24"/>
  <c r="FP51" i="24"/>
  <c r="FQ51" i="24"/>
  <c r="EO28" i="24"/>
  <c r="EW28" i="24"/>
  <c r="EP28" i="24"/>
  <c r="EX28" i="24"/>
  <c r="ES28" i="24"/>
  <c r="EI28" i="24"/>
  <c r="EQ28" i="24"/>
  <c r="EK28" i="24"/>
  <c r="EJ28" i="24"/>
  <c r="ER28" i="24"/>
  <c r="EL28" i="24"/>
  <c r="ET28" i="24"/>
  <c r="EM28" i="24"/>
  <c r="EN28" i="24"/>
  <c r="EO39" i="24"/>
  <c r="EW39" i="24"/>
  <c r="EM39" i="24"/>
  <c r="EP39" i="24"/>
  <c r="EX39" i="24"/>
  <c r="EK39" i="24"/>
  <c r="EI39" i="24"/>
  <c r="EQ39" i="24"/>
  <c r="EU39" i="24"/>
  <c r="EJ39" i="24"/>
  <c r="ER39" i="24"/>
  <c r="ES39" i="24"/>
  <c r="EL39" i="24"/>
  <c r="ET39" i="24"/>
  <c r="EN39" i="24"/>
  <c r="EV39" i="24"/>
  <c r="EO63" i="24"/>
  <c r="EK63" i="24"/>
  <c r="EP63" i="24"/>
  <c r="EI63" i="24"/>
  <c r="EQ63" i="24"/>
  <c r="EM63" i="24"/>
  <c r="EJ63" i="24"/>
  <c r="ER63" i="24"/>
  <c r="ES63" i="24"/>
  <c r="EU63" i="24"/>
  <c r="EL63" i="24"/>
  <c r="ET63" i="24"/>
  <c r="EN63" i="24"/>
  <c r="EV63" i="24"/>
  <c r="EO62" i="24"/>
  <c r="EW62" i="24"/>
  <c r="EM62" i="24"/>
  <c r="EP62" i="24"/>
  <c r="EX62" i="24"/>
  <c r="EK62" i="24"/>
  <c r="ES62" i="24"/>
  <c r="EI62" i="24"/>
  <c r="EQ62" i="24"/>
  <c r="EJ62" i="24"/>
  <c r="ER62" i="24"/>
  <c r="EL62" i="24"/>
  <c r="ET62" i="24"/>
  <c r="EN62" i="24"/>
  <c r="EX55" i="24"/>
  <c r="EW55" i="24"/>
  <c r="EO51" i="24"/>
  <c r="EW51" i="24"/>
  <c r="ES51" i="24"/>
  <c r="EP51" i="24"/>
  <c r="EX51" i="24"/>
  <c r="EI51" i="24"/>
  <c r="EQ51" i="24"/>
  <c r="EJ51" i="24"/>
  <c r="ER51" i="24"/>
  <c r="EK51" i="24"/>
  <c r="EM51" i="24"/>
  <c r="EL51" i="24"/>
  <c r="ET51" i="24"/>
  <c r="EN51" i="24"/>
  <c r="KZ55" i="24"/>
  <c r="EO18" i="24"/>
  <c r="EW18" i="24"/>
  <c r="EK18" i="24"/>
  <c r="EP18" i="24"/>
  <c r="EX18" i="24"/>
  <c r="EM18" i="24"/>
  <c r="EI18" i="24"/>
  <c r="EQ18" i="24"/>
  <c r="EJ18" i="24"/>
  <c r="ER18" i="24"/>
  <c r="ES18" i="24"/>
  <c r="EL18" i="24"/>
  <c r="ET18" i="24"/>
  <c r="EN18" i="24"/>
  <c r="W39" i="24"/>
  <c r="AT39" i="24" s="1"/>
  <c r="M44" i="39"/>
  <c r="M82" i="39"/>
  <c r="M49" i="39"/>
  <c r="DQ39" i="24"/>
  <c r="M63" i="39"/>
  <c r="AL61" i="24"/>
  <c r="AA91" i="39"/>
  <c r="BM56" i="24"/>
  <c r="DQ18" i="24"/>
  <c r="M81" i="39"/>
  <c r="M90" i="39"/>
  <c r="M64" i="39"/>
  <c r="W18" i="24"/>
  <c r="AW18" i="24" s="1"/>
  <c r="W63" i="24"/>
  <c r="AW63" i="24" s="1"/>
  <c r="DP39" i="24"/>
  <c r="DX63" i="24"/>
  <c r="M97" i="39"/>
  <c r="AE91" i="39"/>
  <c r="W91" i="39"/>
  <c r="W28" i="24"/>
  <c r="BF28" i="24" s="1"/>
  <c r="BF116" i="24" s="1"/>
  <c r="AD91" i="39"/>
  <c r="DX56" i="24"/>
  <c r="W55" i="24"/>
  <c r="BG55" i="24" s="1"/>
  <c r="AC91" i="39"/>
  <c r="DD56" i="24"/>
  <c r="AB91" i="39"/>
  <c r="AW56" i="24"/>
  <c r="CK51" i="24"/>
  <c r="DY18" i="24"/>
  <c r="DK39" i="24"/>
  <c r="DX62" i="24"/>
  <c r="DY39" i="24"/>
  <c r="DP62" i="24"/>
  <c r="DX39" i="24"/>
  <c r="ED55" i="24"/>
  <c r="DT56" i="24"/>
  <c r="DQ51" i="24"/>
  <c r="DY51" i="24"/>
  <c r="DR51" i="24"/>
  <c r="DZ51" i="24"/>
  <c r="DS51" i="24"/>
  <c r="EA51" i="24"/>
  <c r="DT51" i="24"/>
  <c r="DW51" i="24"/>
  <c r="DU51" i="24"/>
  <c r="EE51" i="24"/>
  <c r="DV51" i="24"/>
  <c r="ED51" i="24"/>
  <c r="DR28" i="24"/>
  <c r="DZ28" i="24"/>
  <c r="DS28" i="24"/>
  <c r="EA28" i="24"/>
  <c r="DT28" i="24"/>
  <c r="DU28" i="24"/>
  <c r="DP28" i="24"/>
  <c r="DV28" i="24"/>
  <c r="ED28" i="24"/>
  <c r="DX28" i="24"/>
  <c r="DW28" i="24"/>
  <c r="EE28" i="24"/>
  <c r="DQ63" i="24"/>
  <c r="DY63" i="24"/>
  <c r="DR63" i="24"/>
  <c r="DZ63" i="24"/>
  <c r="DS63" i="24"/>
  <c r="EA63" i="24"/>
  <c r="DT63" i="24"/>
  <c r="EB63" i="24"/>
  <c r="DU63" i="24"/>
  <c r="EC63" i="24"/>
  <c r="DV63" i="24"/>
  <c r="DW63" i="24"/>
  <c r="DY28" i="24"/>
  <c r="DX51" i="24"/>
  <c r="DP18" i="24"/>
  <c r="EE18" i="24"/>
  <c r="DW18" i="24"/>
  <c r="EE39" i="24"/>
  <c r="DW39" i="24"/>
  <c r="ED62" i="24"/>
  <c r="DV62" i="24"/>
  <c r="EE62" i="24"/>
  <c r="ED18" i="24"/>
  <c r="DV18" i="24"/>
  <c r="ED39" i="24"/>
  <c r="DV39" i="24"/>
  <c r="DU62" i="24"/>
  <c r="DX18" i="24"/>
  <c r="DW62" i="24"/>
  <c r="DU18" i="24"/>
  <c r="EC39" i="24"/>
  <c r="DU39" i="24"/>
  <c r="DT62" i="24"/>
  <c r="DT18" i="24"/>
  <c r="EB39" i="24"/>
  <c r="DT39" i="24"/>
  <c r="EA62" i="24"/>
  <c r="DS62" i="24"/>
  <c r="EA18" i="24"/>
  <c r="DS18" i="24"/>
  <c r="EA39" i="24"/>
  <c r="DS39" i="24"/>
  <c r="DZ62" i="24"/>
  <c r="DR62" i="24"/>
  <c r="DZ18" i="24"/>
  <c r="DZ39" i="24"/>
  <c r="DY62" i="24"/>
  <c r="DJ39" i="24"/>
  <c r="DC39" i="24"/>
  <c r="DK62" i="24"/>
  <c r="DB39" i="24"/>
  <c r="DC62" i="24"/>
  <c r="DK51" i="24"/>
  <c r="DK18" i="24"/>
  <c r="DC51" i="24"/>
  <c r="DC18" i="24"/>
  <c r="DB51" i="24"/>
  <c r="CG39" i="24"/>
  <c r="DB18" i="24"/>
  <c r="DC63" i="24"/>
  <c r="DB28" i="24"/>
  <c r="CJ62" i="24"/>
  <c r="DA18" i="24"/>
  <c r="DA28" i="24"/>
  <c r="DI39" i="24"/>
  <c r="DA39" i="24"/>
  <c r="DA51" i="24"/>
  <c r="DI63" i="24"/>
  <c r="DA63" i="24"/>
  <c r="DA62" i="24"/>
  <c r="CQ56" i="24"/>
  <c r="DK55" i="24"/>
  <c r="DH18" i="24"/>
  <c r="CZ18" i="24"/>
  <c r="DH28" i="24"/>
  <c r="CZ28" i="24"/>
  <c r="DH39" i="24"/>
  <c r="CZ39" i="24"/>
  <c r="DH51" i="24"/>
  <c r="CZ51" i="24"/>
  <c r="DH63" i="24"/>
  <c r="CZ63" i="24"/>
  <c r="DH62" i="24"/>
  <c r="CZ62" i="24"/>
  <c r="DB62" i="24"/>
  <c r="LI55" i="24"/>
  <c r="CP56" i="24"/>
  <c r="DG18" i="24"/>
  <c r="CY18" i="24"/>
  <c r="DG28" i="24"/>
  <c r="CY28" i="24"/>
  <c r="DG39" i="24"/>
  <c r="CY39" i="24"/>
  <c r="DG51" i="24"/>
  <c r="CY51" i="24"/>
  <c r="DG63" i="24"/>
  <c r="CY63" i="24"/>
  <c r="DG62" i="24"/>
  <c r="CY62" i="24"/>
  <c r="LH55" i="24"/>
  <c r="DF18" i="24"/>
  <c r="CX18" i="24"/>
  <c r="DF28" i="24"/>
  <c r="CX28" i="24"/>
  <c r="DF39" i="24"/>
  <c r="CX39" i="24"/>
  <c r="DF51" i="24"/>
  <c r="CX51" i="24"/>
  <c r="DF63" i="24"/>
  <c r="CX63" i="24"/>
  <c r="DF62" i="24"/>
  <c r="CX62" i="24"/>
  <c r="DC28" i="24"/>
  <c r="CN63" i="24"/>
  <c r="DB63" i="24"/>
  <c r="LD55" i="24"/>
  <c r="DE18" i="24"/>
  <c r="CW18" i="24"/>
  <c r="DE28" i="24"/>
  <c r="CW28" i="24"/>
  <c r="DE39" i="24"/>
  <c r="CW39" i="24"/>
  <c r="DE51" i="24"/>
  <c r="CW51" i="24"/>
  <c r="DE63" i="24"/>
  <c r="CW63" i="24"/>
  <c r="DE62" i="24"/>
  <c r="CW62" i="24"/>
  <c r="DK28" i="24"/>
  <c r="DJ63" i="24"/>
  <c r="LA55" i="24"/>
  <c r="DL18" i="24"/>
  <c r="DL28" i="24"/>
  <c r="DL39" i="24"/>
  <c r="DL51" i="24"/>
  <c r="DL62" i="24"/>
  <c r="CJ51" i="24"/>
  <c r="CI62" i="24"/>
  <c r="CI56" i="24"/>
  <c r="CI51" i="24"/>
  <c r="CH56" i="24"/>
  <c r="CO63" i="24"/>
  <c r="CK18" i="24"/>
  <c r="CJ18" i="24"/>
  <c r="CG63" i="24"/>
  <c r="CN28" i="24"/>
  <c r="CO39" i="24"/>
  <c r="CF63" i="24"/>
  <c r="CR62" i="24"/>
  <c r="CK62" i="24"/>
  <c r="CI18" i="24"/>
  <c r="CM39" i="24"/>
  <c r="CE39" i="24"/>
  <c r="CM63" i="24"/>
  <c r="CE63" i="24"/>
  <c r="CQ39" i="24"/>
  <c r="CS55" i="24"/>
  <c r="CS62" i="24"/>
  <c r="CO56" i="24"/>
  <c r="CG56" i="24"/>
  <c r="CH18" i="24"/>
  <c r="CL39" i="24"/>
  <c r="CD39" i="24"/>
  <c r="CH51" i="24"/>
  <c r="CL63" i="24"/>
  <c r="CD63" i="24"/>
  <c r="CH62" i="24"/>
  <c r="CR18" i="24"/>
  <c r="CR39" i="24"/>
  <c r="CR51" i="24"/>
  <c r="CP63" i="24"/>
  <c r="CN56" i="24"/>
  <c r="CF56" i="24"/>
  <c r="CF39" i="24"/>
  <c r="CO18" i="24"/>
  <c r="CG18" i="24"/>
  <c r="CK39" i="24"/>
  <c r="CO51" i="24"/>
  <c r="CG51" i="24"/>
  <c r="CK63" i="24"/>
  <c r="CO62" i="24"/>
  <c r="CG62" i="24"/>
  <c r="CS18" i="24"/>
  <c r="CS39" i="24"/>
  <c r="CS51" i="24"/>
  <c r="CQ63" i="24"/>
  <c r="CM56" i="24"/>
  <c r="CE56" i="24"/>
  <c r="CN18" i="24"/>
  <c r="CF18" i="24"/>
  <c r="CJ39" i="24"/>
  <c r="CN51" i="24"/>
  <c r="CF51" i="24"/>
  <c r="CJ63" i="24"/>
  <c r="CN62" i="24"/>
  <c r="CF62" i="24"/>
  <c r="CL56" i="24"/>
  <c r="CD56" i="24"/>
  <c r="CN39" i="24"/>
  <c r="CG28" i="24"/>
  <c r="CO28" i="24"/>
  <c r="CH28" i="24"/>
  <c r="CI28" i="24"/>
  <c r="CJ28" i="24"/>
  <c r="CR28" i="24"/>
  <c r="CK28" i="24"/>
  <c r="CS28" i="24"/>
  <c r="CD28" i="24"/>
  <c r="CL28" i="24"/>
  <c r="CE28" i="24"/>
  <c r="CM28" i="24"/>
  <c r="CM18" i="24"/>
  <c r="CE18" i="24"/>
  <c r="CI39" i="24"/>
  <c r="CM51" i="24"/>
  <c r="CE51" i="24"/>
  <c r="CI63" i="24"/>
  <c r="CM62" i="24"/>
  <c r="CE62" i="24"/>
  <c r="CK56" i="24"/>
  <c r="CP39" i="24"/>
  <c r="CL18" i="24"/>
  <c r="CL51" i="24"/>
  <c r="CL62" i="24"/>
  <c r="LC55" i="24"/>
  <c r="LB55" i="24"/>
  <c r="LG55" i="24"/>
  <c r="KY55" i="24"/>
  <c r="LF55" i="24"/>
  <c r="KX55" i="24"/>
  <c r="IG55" i="24"/>
  <c r="HZ55" i="24"/>
  <c r="IA55" i="24"/>
  <c r="II55" i="24"/>
  <c r="IH55" i="24"/>
  <c r="NM55" i="24"/>
  <c r="IF55" i="24"/>
  <c r="IE55" i="24"/>
  <c r="ID55" i="24"/>
  <c r="IK55" i="24"/>
  <c r="IC55" i="24"/>
  <c r="IJ55" i="24"/>
  <c r="NG55" i="24"/>
  <c r="BK51" i="24"/>
  <c r="BS39" i="24"/>
  <c r="NE55" i="24"/>
  <c r="NI55" i="24"/>
  <c r="MU55" i="24"/>
  <c r="MR55" i="24"/>
  <c r="MM55" i="24"/>
  <c r="JT55" i="24"/>
  <c r="BS18" i="24"/>
  <c r="BK39" i="24"/>
  <c r="JU55" i="24"/>
  <c r="JL55" i="24"/>
  <c r="BS51" i="24"/>
  <c r="BL63" i="24"/>
  <c r="JM55" i="24"/>
  <c r="BT63" i="24"/>
  <c r="MN55" i="24"/>
  <c r="BK18" i="24"/>
  <c r="BT28" i="24"/>
  <c r="BT116" i="24" s="1"/>
  <c r="IX55" i="24"/>
  <c r="BL28" i="24"/>
  <c r="BL116" i="24" s="1"/>
  <c r="BZ111" i="24"/>
  <c r="IW55" i="24"/>
  <c r="BL18" i="24"/>
  <c r="BT18" i="24"/>
  <c r="BL39" i="24"/>
  <c r="BT39" i="24"/>
  <c r="BL51" i="24"/>
  <c r="BT51" i="24"/>
  <c r="BS28" i="24"/>
  <c r="BS116" i="24" s="1"/>
  <c r="BK28" i="24"/>
  <c r="BK116" i="24" s="1"/>
  <c r="BS63" i="24"/>
  <c r="BK63" i="24"/>
  <c r="BS62" i="24"/>
  <c r="BK62" i="24"/>
  <c r="BT62" i="24"/>
  <c r="IV55" i="24"/>
  <c r="BM18" i="24"/>
  <c r="BU18" i="24"/>
  <c r="BM39" i="24"/>
  <c r="BU39" i="24"/>
  <c r="BM51" i="24"/>
  <c r="BU51" i="24"/>
  <c r="BZ28" i="24"/>
  <c r="BZ116" i="24" s="1"/>
  <c r="BR28" i="24"/>
  <c r="BR116" i="24" s="1"/>
  <c r="BR63" i="24"/>
  <c r="BZ62" i="24"/>
  <c r="BR62" i="24"/>
  <c r="IS55" i="24"/>
  <c r="BN18" i="24"/>
  <c r="BV18" i="24"/>
  <c r="BN39" i="24"/>
  <c r="BV39" i="24"/>
  <c r="BN51" i="24"/>
  <c r="BV51" i="24"/>
  <c r="BY28" i="24"/>
  <c r="BY116" i="24" s="1"/>
  <c r="BQ28" i="24"/>
  <c r="BQ116" i="24" s="1"/>
  <c r="BQ63" i="24"/>
  <c r="BY62" i="24"/>
  <c r="BQ62" i="24"/>
  <c r="BL62" i="24"/>
  <c r="BY55" i="24"/>
  <c r="BO18" i="24"/>
  <c r="BO39" i="24"/>
  <c r="BW39" i="24"/>
  <c r="BO51" i="24"/>
  <c r="BP28" i="24"/>
  <c r="BP116" i="24" s="1"/>
  <c r="BX63" i="24"/>
  <c r="BP63" i="24"/>
  <c r="BP62" i="24"/>
  <c r="BP18" i="24"/>
  <c r="BP39" i="24"/>
  <c r="BX39" i="24"/>
  <c r="BP51" i="24"/>
  <c r="BO28" i="24"/>
  <c r="BO116" i="24" s="1"/>
  <c r="BW63" i="24"/>
  <c r="BO63" i="24"/>
  <c r="BO62" i="24"/>
  <c r="JD55" i="24"/>
  <c r="BQ18" i="24"/>
  <c r="BY18" i="24"/>
  <c r="BQ39" i="24"/>
  <c r="BY39" i="24"/>
  <c r="BQ51" i="24"/>
  <c r="BY51" i="24"/>
  <c r="BV28" i="24"/>
  <c r="BV116" i="24" s="1"/>
  <c r="BN28" i="24"/>
  <c r="BN116" i="24" s="1"/>
  <c r="BV63" i="24"/>
  <c r="BN63" i="24"/>
  <c r="BV62" i="24"/>
  <c r="BN62" i="24"/>
  <c r="JA55" i="24"/>
  <c r="BR18" i="24"/>
  <c r="BR39" i="24"/>
  <c r="BR51" i="24"/>
  <c r="BU28" i="24"/>
  <c r="BU116" i="24" s="1"/>
  <c r="BU63" i="24"/>
  <c r="BU62" i="24"/>
  <c r="JS55" i="24"/>
  <c r="KL55" i="24"/>
  <c r="JC55" i="24"/>
  <c r="IU55" i="24"/>
  <c r="JR55" i="24"/>
  <c r="KI55" i="24"/>
  <c r="JB55" i="24"/>
  <c r="IT55" i="24"/>
  <c r="JQ55" i="24"/>
  <c r="IZ55" i="24"/>
  <c r="JW55" i="24"/>
  <c r="JO55" i="24"/>
  <c r="JP55" i="24"/>
  <c r="JV55" i="24"/>
  <c r="LS55" i="24"/>
  <c r="MA55" i="24"/>
  <c r="MB55" i="24"/>
  <c r="LT55" i="24"/>
  <c r="NN55" i="24"/>
  <c r="NF55" i="24"/>
  <c r="LZ55" i="24"/>
  <c r="LR55" i="24"/>
  <c r="NL55" i="24"/>
  <c r="ND55" i="24"/>
  <c r="LY55" i="24"/>
  <c r="LQ55" i="24"/>
  <c r="NK55" i="24"/>
  <c r="NC55" i="24"/>
  <c r="LX55" i="24"/>
  <c r="NJ55" i="24"/>
  <c r="LW55" i="24"/>
  <c r="LV55" i="24"/>
  <c r="KK55" i="24"/>
  <c r="MT55" i="24"/>
  <c r="ML55" i="24"/>
  <c r="KJ55" i="24"/>
  <c r="MS55" i="24"/>
  <c r="MK55" i="24"/>
  <c r="KP55" i="24"/>
  <c r="KH55" i="24"/>
  <c r="MQ55" i="24"/>
  <c r="KO55" i="24"/>
  <c r="KG55" i="24"/>
  <c r="MP55" i="24"/>
  <c r="KN55" i="24"/>
  <c r="KF55" i="24"/>
  <c r="MO55" i="24"/>
  <c r="KM55" i="24"/>
  <c r="M18" i="38"/>
  <c r="P31" i="24" s="1"/>
  <c r="C345" i="37"/>
  <c r="Q15" i="24"/>
  <c r="C303" i="37" s="1"/>
  <c r="R15" i="24"/>
  <c r="M20" i="38"/>
  <c r="P16" i="10"/>
  <c r="Q16" i="10"/>
  <c r="I27" i="36"/>
  <c r="I31" i="36"/>
  <c r="I42" i="36" s="1"/>
  <c r="I29" i="36"/>
  <c r="J24" i="36"/>
  <c r="J27" i="36" s="1"/>
  <c r="I25" i="36"/>
  <c r="I51" i="36" s="1"/>
  <c r="P31" i="27" s="1"/>
  <c r="I30" i="36"/>
  <c r="I32" i="36"/>
  <c r="I33" i="36"/>
  <c r="I34" i="36"/>
  <c r="I35" i="36"/>
  <c r="I28" i="36"/>
  <c r="J141" i="36"/>
  <c r="J139" i="36"/>
  <c r="J142" i="36"/>
  <c r="P76" i="10"/>
  <c r="P83" i="10"/>
  <c r="P75" i="10"/>
  <c r="P78" i="10" s="1"/>
  <c r="P79" i="10" s="1"/>
  <c r="P77" i="10"/>
  <c r="Q76" i="10"/>
  <c r="Q83" i="10"/>
  <c r="Q75" i="10"/>
  <c r="Q78" i="10" s="1"/>
  <c r="Q79" i="10" s="1"/>
  <c r="Q6" i="10" s="1"/>
  <c r="Q4" i="27" s="1"/>
  <c r="Q77" i="10"/>
  <c r="J138" i="36"/>
  <c r="J140" i="36"/>
  <c r="S60" i="10"/>
  <c r="M51" i="49" s="1"/>
  <c r="R60" i="10"/>
  <c r="M15" i="49" s="1"/>
  <c r="J25" i="36"/>
  <c r="R16" i="10"/>
  <c r="S16" i="10"/>
  <c r="AN58" i="24"/>
  <c r="AG58" i="24"/>
  <c r="Y58" i="39"/>
  <c r="AI58" i="24"/>
  <c r="Z58" i="39"/>
  <c r="AJ58" i="24"/>
  <c r="X58" i="39"/>
  <c r="AH58" i="24"/>
  <c r="AC58" i="39"/>
  <c r="AL58" i="24"/>
  <c r="AK58" i="24"/>
  <c r="ID54" i="24"/>
  <c r="ID43" i="24"/>
  <c r="JP43" i="24"/>
  <c r="IJ31" i="24"/>
  <c r="IB43" i="24"/>
  <c r="IC41" i="24"/>
  <c r="IF38" i="24"/>
  <c r="JT16" i="24"/>
  <c r="IG16" i="24"/>
  <c r="IU41" i="24"/>
  <c r="JU42" i="24"/>
  <c r="JP54" i="24"/>
  <c r="LH31" i="24"/>
  <c r="IJ30" i="24"/>
  <c r="II27" i="24"/>
  <c r="IJ44" i="24"/>
  <c r="II42" i="24"/>
  <c r="HZ41" i="24"/>
  <c r="HZ38" i="24"/>
  <c r="JC30" i="24"/>
  <c r="IT41" i="24"/>
  <c r="JW30" i="24"/>
  <c r="JQ40" i="24"/>
  <c r="KK16" i="24"/>
  <c r="IB54" i="24"/>
  <c r="IH27" i="24"/>
  <c r="IH44" i="24"/>
  <c r="IH42" i="24"/>
  <c r="IE40" i="24"/>
  <c r="JD29" i="24"/>
  <c r="JC44" i="24"/>
  <c r="IS38" i="24"/>
  <c r="JR37" i="24"/>
  <c r="LY38" i="24"/>
  <c r="IK17" i="24"/>
  <c r="IF27" i="24"/>
  <c r="IF37" i="24"/>
  <c r="IC44" i="24"/>
  <c r="IF42" i="24"/>
  <c r="ID40" i="24"/>
  <c r="JD27" i="24"/>
  <c r="JB44" i="24"/>
  <c r="JU38" i="24"/>
  <c r="KJ27" i="24"/>
  <c r="KM37" i="24"/>
  <c r="KZ42" i="24"/>
  <c r="IK44" i="24"/>
  <c r="IA38" i="24"/>
  <c r="IJ17" i="24"/>
  <c r="IK26" i="24"/>
  <c r="IE37" i="24"/>
  <c r="IB44" i="24"/>
  <c r="IA42" i="24"/>
  <c r="IB40" i="24"/>
  <c r="IY27" i="24"/>
  <c r="IW17" i="24"/>
  <c r="IU44" i="24"/>
  <c r="MU20" i="24"/>
  <c r="IJ16" i="24"/>
  <c r="ID17" i="24"/>
  <c r="IC37" i="24"/>
  <c r="HZ44" i="24"/>
  <c r="HZ42" i="24"/>
  <c r="II38" i="24"/>
  <c r="JD24" i="24"/>
  <c r="IX37" i="24"/>
  <c r="IA16" i="24"/>
  <c r="IB41" i="24"/>
  <c r="IH16" i="24"/>
  <c r="IJ25" i="24"/>
  <c r="IE43" i="24"/>
  <c r="IH41" i="24"/>
  <c r="IH38" i="24"/>
  <c r="IE54" i="24"/>
  <c r="IS37" i="24"/>
  <c r="IS42" i="24"/>
  <c r="NE41" i="24"/>
  <c r="NF41" i="24"/>
  <c r="NG41" i="24"/>
  <c r="NH41" i="24"/>
  <c r="NI41" i="24"/>
  <c r="NJ41" i="24"/>
  <c r="ND41" i="24"/>
  <c r="NL41" i="24"/>
  <c r="NC41" i="24"/>
  <c r="NK41" i="24"/>
  <c r="NM32" i="24"/>
  <c r="NM15" i="24" s="1"/>
  <c r="NN32" i="24"/>
  <c r="NN15" i="24" s="1"/>
  <c r="NM26" i="24"/>
  <c r="NN26" i="24"/>
  <c r="NH17" i="24"/>
  <c r="NM17" i="24"/>
  <c r="NN17" i="24"/>
  <c r="NE17" i="24"/>
  <c r="NG17" i="24"/>
  <c r="NF17" i="24"/>
  <c r="JN44" i="24"/>
  <c r="NC42" i="24"/>
  <c r="NK42" i="24"/>
  <c r="ND42" i="24"/>
  <c r="NL42" i="24"/>
  <c r="NE42" i="24"/>
  <c r="NM42" i="24"/>
  <c r="NF42" i="24"/>
  <c r="NN42" i="24"/>
  <c r="NG42" i="24"/>
  <c r="NH42" i="24"/>
  <c r="NJ42" i="24"/>
  <c r="NM31" i="24"/>
  <c r="NN31" i="24"/>
  <c r="NN25" i="24"/>
  <c r="NC25" i="24"/>
  <c r="NM25" i="24"/>
  <c r="ND25" i="24"/>
  <c r="NE44" i="24"/>
  <c r="NM44" i="24"/>
  <c r="NF44" i="24"/>
  <c r="NN44" i="24"/>
  <c r="NG44" i="24"/>
  <c r="NH44" i="24"/>
  <c r="NI44" i="24"/>
  <c r="NJ44" i="24"/>
  <c r="ND44" i="24"/>
  <c r="NL44" i="24"/>
  <c r="NK44" i="24"/>
  <c r="NC44" i="24"/>
  <c r="NG40" i="24"/>
  <c r="NH40" i="24"/>
  <c r="NI40" i="24"/>
  <c r="NJ40" i="24"/>
  <c r="NC40" i="24"/>
  <c r="NK40" i="24"/>
  <c r="ND40" i="24"/>
  <c r="NL40" i="24"/>
  <c r="NF40" i="24"/>
  <c r="NE40" i="24"/>
  <c r="NN30" i="24"/>
  <c r="NM30" i="24"/>
  <c r="NM24" i="24"/>
  <c r="NN24" i="24"/>
  <c r="IS16" i="24"/>
  <c r="IX27" i="24"/>
  <c r="IW37" i="24"/>
  <c r="IW43" i="24"/>
  <c r="IW40" i="24"/>
  <c r="JT42" i="24"/>
  <c r="JT38" i="24"/>
  <c r="NN29" i="24"/>
  <c r="NG54" i="24"/>
  <c r="NH54" i="24"/>
  <c r="NM54" i="24"/>
  <c r="NN54" i="24"/>
  <c r="NC54" i="24"/>
  <c r="ND54" i="24"/>
  <c r="NF54" i="24"/>
  <c r="NE54" i="24"/>
  <c r="IZ16" i="24"/>
  <c r="JD20" i="24"/>
  <c r="IW54" i="24"/>
  <c r="NH37" i="24"/>
  <c r="NI37" i="24"/>
  <c r="NJ37" i="24"/>
  <c r="NK37" i="24"/>
  <c r="ND37" i="24"/>
  <c r="NL37" i="24"/>
  <c r="NC37" i="24"/>
  <c r="NE37" i="24"/>
  <c r="NG37" i="24"/>
  <c r="NF37" i="24"/>
  <c r="JV54" i="24"/>
  <c r="JL54" i="24"/>
  <c r="JN54" i="24"/>
  <c r="JW54" i="24"/>
  <c r="JM54" i="24"/>
  <c r="JQ54" i="24"/>
  <c r="JQ44" i="24"/>
  <c r="JR44" i="24"/>
  <c r="JS44" i="24"/>
  <c r="JL44" i="24"/>
  <c r="JT44" i="24"/>
  <c r="JM44" i="24"/>
  <c r="JU44" i="24"/>
  <c r="JP44" i="24"/>
  <c r="JS43" i="24"/>
  <c r="JL43" i="24"/>
  <c r="JT43" i="24"/>
  <c r="JM43" i="24"/>
  <c r="JU43" i="24"/>
  <c r="JN43" i="24"/>
  <c r="JO43" i="24"/>
  <c r="JR43" i="24"/>
  <c r="JO42" i="24"/>
  <c r="JW42" i="24"/>
  <c r="JP42" i="24"/>
  <c r="JQ42" i="24"/>
  <c r="JR42" i="24"/>
  <c r="JS42" i="24"/>
  <c r="JN42" i="24"/>
  <c r="JV42" i="24"/>
  <c r="JQ41" i="24"/>
  <c r="JR41" i="24"/>
  <c r="JS41" i="24"/>
  <c r="JL41" i="24"/>
  <c r="JT41" i="24"/>
  <c r="JM41" i="24"/>
  <c r="JU41" i="24"/>
  <c r="JP41" i="24"/>
  <c r="JS40" i="24"/>
  <c r="JL40" i="24"/>
  <c r="JT40" i="24"/>
  <c r="JM40" i="24"/>
  <c r="JU40" i="24"/>
  <c r="JN40" i="24"/>
  <c r="JO40" i="24"/>
  <c r="JR40" i="24"/>
  <c r="JO38" i="24"/>
  <c r="JW38" i="24"/>
  <c r="JP38" i="24"/>
  <c r="JQ38" i="24"/>
  <c r="JR38" i="24"/>
  <c r="JS38" i="24"/>
  <c r="JN38" i="24"/>
  <c r="JV38" i="24"/>
  <c r="JT37" i="24"/>
  <c r="JM37" i="24"/>
  <c r="JU37" i="24"/>
  <c r="JN37" i="24"/>
  <c r="JL37" i="24"/>
  <c r="JO37" i="24"/>
  <c r="JP37" i="24"/>
  <c r="JS37" i="24"/>
  <c r="JV32" i="24"/>
  <c r="JV15" i="24" s="1"/>
  <c r="JW32" i="24"/>
  <c r="JW15" i="24" s="1"/>
  <c r="JW31" i="24"/>
  <c r="JV31" i="24"/>
  <c r="JV29" i="24"/>
  <c r="JW29" i="24"/>
  <c r="JU27" i="24"/>
  <c r="JN27" i="24"/>
  <c r="JV27" i="24"/>
  <c r="JO27" i="24"/>
  <c r="JW27" i="24"/>
  <c r="JP27" i="24"/>
  <c r="JQ27" i="24"/>
  <c r="JT27" i="24"/>
  <c r="JW26" i="24"/>
  <c r="JV26" i="24"/>
  <c r="JL25" i="24"/>
  <c r="JM25" i="24"/>
  <c r="JV24" i="24"/>
  <c r="JW24" i="24"/>
  <c r="JV20" i="24"/>
  <c r="JW20" i="24"/>
  <c r="JW17" i="24"/>
  <c r="JN17" i="24"/>
  <c r="JO17" i="24"/>
  <c r="JV17" i="24"/>
  <c r="JV16" i="24"/>
  <c r="JW16" i="24"/>
  <c r="JL16" i="24"/>
  <c r="JM16" i="24"/>
  <c r="JR16" i="24"/>
  <c r="JU16" i="24"/>
  <c r="JR27" i="24"/>
  <c r="JV44" i="24"/>
  <c r="JL42" i="24"/>
  <c r="JL38" i="24"/>
  <c r="NG43" i="24"/>
  <c r="NH43" i="24"/>
  <c r="NI43" i="24"/>
  <c r="NJ43" i="24"/>
  <c r="NC43" i="24"/>
  <c r="NK43" i="24"/>
  <c r="ND43" i="24"/>
  <c r="NL43" i="24"/>
  <c r="NF43" i="24"/>
  <c r="NC38" i="24"/>
  <c r="NK38" i="24"/>
  <c r="ND38" i="24"/>
  <c r="NL38" i="24"/>
  <c r="NE38" i="24"/>
  <c r="NM38" i="24"/>
  <c r="NF38" i="24"/>
  <c r="NN38" i="24"/>
  <c r="NG38" i="24"/>
  <c r="NH38" i="24"/>
  <c r="NJ38" i="24"/>
  <c r="NI38" i="24"/>
  <c r="NJ27" i="24"/>
  <c r="NK27" i="24"/>
  <c r="NL27" i="24"/>
  <c r="NE27" i="24"/>
  <c r="NM27" i="24"/>
  <c r="NF27" i="24"/>
  <c r="NN27" i="24"/>
  <c r="NG27" i="24"/>
  <c r="NI27" i="24"/>
  <c r="NM20" i="24"/>
  <c r="NN20" i="24"/>
  <c r="NK16" i="24"/>
  <c r="NL16" i="24"/>
  <c r="NM16" i="24"/>
  <c r="NN16" i="24"/>
  <c r="ND16" i="24"/>
  <c r="NC16" i="24"/>
  <c r="NJ16" i="24"/>
  <c r="NI16" i="24"/>
  <c r="JC54" i="24"/>
  <c r="JD54" i="24"/>
  <c r="IS54" i="24"/>
  <c r="IT54" i="24"/>
  <c r="IU54" i="24"/>
  <c r="IX54" i="24"/>
  <c r="IW44" i="24"/>
  <c r="IX44" i="24"/>
  <c r="IY44" i="24"/>
  <c r="IZ44" i="24"/>
  <c r="IS44" i="24"/>
  <c r="JA44" i="24"/>
  <c r="IV44" i="24"/>
  <c r="JD44" i="24"/>
  <c r="IY43" i="24"/>
  <c r="IZ43" i="24"/>
  <c r="IS43" i="24"/>
  <c r="JA43" i="24"/>
  <c r="IT43" i="24"/>
  <c r="JB43" i="24"/>
  <c r="IU43" i="24"/>
  <c r="IX43" i="24"/>
  <c r="IU42" i="24"/>
  <c r="JC42" i="24"/>
  <c r="IV42" i="24"/>
  <c r="JD42" i="24"/>
  <c r="IX42" i="24"/>
  <c r="IW42" i="24"/>
  <c r="IY42" i="24"/>
  <c r="IT42" i="24"/>
  <c r="JB42" i="24"/>
  <c r="IW41" i="24"/>
  <c r="IX41" i="24"/>
  <c r="IY41" i="24"/>
  <c r="IZ41" i="24"/>
  <c r="IS41" i="24"/>
  <c r="JA41" i="24"/>
  <c r="IV41" i="24"/>
  <c r="IY40" i="24"/>
  <c r="IZ40" i="24"/>
  <c r="IS40" i="24"/>
  <c r="JA40" i="24"/>
  <c r="IT40" i="24"/>
  <c r="JB40" i="24"/>
  <c r="IU40" i="24"/>
  <c r="IX40" i="24"/>
  <c r="IU38" i="24"/>
  <c r="JC38" i="24"/>
  <c r="IV38" i="24"/>
  <c r="JD38" i="24"/>
  <c r="IW38" i="24"/>
  <c r="IX38" i="24"/>
  <c r="IY38" i="24"/>
  <c r="IT38" i="24"/>
  <c r="JB38" i="24"/>
  <c r="IZ37" i="24"/>
  <c r="JA37" i="24"/>
  <c r="IT37" i="24"/>
  <c r="JB37" i="24"/>
  <c r="IV37" i="24"/>
  <c r="IY37" i="24"/>
  <c r="JC31" i="24"/>
  <c r="JD31" i="24"/>
  <c r="JA27" i="24"/>
  <c r="JB27" i="24"/>
  <c r="IU27" i="24"/>
  <c r="JC27" i="24"/>
  <c r="IW27" i="24"/>
  <c r="IZ27" i="24"/>
  <c r="JC26" i="24"/>
  <c r="JD26" i="24"/>
  <c r="IS25" i="24"/>
  <c r="JD25" i="24"/>
  <c r="JC17" i="24"/>
  <c r="JD17" i="24"/>
  <c r="IU17" i="24"/>
  <c r="IX17" i="24"/>
  <c r="JB16" i="24"/>
  <c r="JC16" i="24"/>
  <c r="JD16" i="24"/>
  <c r="IT16" i="24"/>
  <c r="JA16" i="24"/>
  <c r="JD32" i="24"/>
  <c r="JD15" i="24" s="1"/>
  <c r="IT25" i="24"/>
  <c r="IZ42" i="24"/>
  <c r="IZ38" i="24"/>
  <c r="JW25" i="24"/>
  <c r="JQ17" i="24"/>
  <c r="JO44" i="24"/>
  <c r="JO41" i="24"/>
  <c r="NI42" i="24"/>
  <c r="LC44" i="24"/>
  <c r="LD44" i="24"/>
  <c r="LE44" i="24"/>
  <c r="KX44" i="24"/>
  <c r="LF44" i="24"/>
  <c r="KY44" i="24"/>
  <c r="LG44" i="24"/>
  <c r="KZ44" i="24"/>
  <c r="LH44" i="24"/>
  <c r="LA42" i="24"/>
  <c r="LI42" i="24"/>
  <c r="LB42" i="24"/>
  <c r="LC42" i="24"/>
  <c r="LD42" i="24"/>
  <c r="LE42" i="24"/>
  <c r="KX42" i="24"/>
  <c r="LF42" i="24"/>
  <c r="LC41" i="24"/>
  <c r="LD41" i="24"/>
  <c r="LE41" i="24"/>
  <c r="KX41" i="24"/>
  <c r="LF41" i="24"/>
  <c r="KY41" i="24"/>
  <c r="LG41" i="24"/>
  <c r="KZ41" i="24"/>
  <c r="LB41" i="24"/>
  <c r="LA38" i="24"/>
  <c r="LI38" i="24"/>
  <c r="LB38" i="24"/>
  <c r="LC38" i="24"/>
  <c r="LD38" i="24"/>
  <c r="LE38" i="24"/>
  <c r="KX38" i="24"/>
  <c r="LF38" i="24"/>
  <c r="KZ38" i="24"/>
  <c r="LH38" i="24"/>
  <c r="LH32" i="24"/>
  <c r="LH15" i="24" s="1"/>
  <c r="LI32" i="24"/>
  <c r="LI15" i="24" s="1"/>
  <c r="LH30" i="24"/>
  <c r="LI30" i="24"/>
  <c r="KZ27" i="24"/>
  <c r="LH27" i="24"/>
  <c r="LA27" i="24"/>
  <c r="LI27" i="24"/>
  <c r="LB27" i="24"/>
  <c r="LC27" i="24"/>
  <c r="LD27" i="24"/>
  <c r="LE27" i="24"/>
  <c r="KI54" i="24"/>
  <c r="KJ54" i="24"/>
  <c r="KO54" i="24"/>
  <c r="KP54" i="24"/>
  <c r="KE54" i="24"/>
  <c r="KF54" i="24"/>
  <c r="KG44" i="24"/>
  <c r="KO44" i="24"/>
  <c r="KH44" i="24"/>
  <c r="KP44" i="24"/>
  <c r="KI44" i="24"/>
  <c r="KJ44" i="24"/>
  <c r="KK44" i="24"/>
  <c r="KL44" i="24"/>
  <c r="KI43" i="24"/>
  <c r="KJ43" i="24"/>
  <c r="KK43" i="24"/>
  <c r="KL43" i="24"/>
  <c r="KE43" i="24"/>
  <c r="KM43" i="24"/>
  <c r="KF43" i="24"/>
  <c r="KN43" i="24"/>
  <c r="KE42" i="24"/>
  <c r="KM42" i="24"/>
  <c r="KF42" i="24"/>
  <c r="KN42" i="24"/>
  <c r="KG42" i="24"/>
  <c r="KO42" i="24"/>
  <c r="KH42" i="24"/>
  <c r="KP42" i="24"/>
  <c r="KI42" i="24"/>
  <c r="KJ42" i="24"/>
  <c r="KG41" i="24"/>
  <c r="KH41" i="24"/>
  <c r="KI41" i="24"/>
  <c r="KJ41" i="24"/>
  <c r="KK41" i="24"/>
  <c r="KL41" i="24"/>
  <c r="KI40" i="24"/>
  <c r="KJ40" i="24"/>
  <c r="KK40" i="24"/>
  <c r="KL40" i="24"/>
  <c r="KE40" i="24"/>
  <c r="KM40" i="24"/>
  <c r="KF40" i="24"/>
  <c r="KN40" i="24"/>
  <c r="KE38" i="24"/>
  <c r="KM38" i="24"/>
  <c r="KF38" i="24"/>
  <c r="KN38" i="24"/>
  <c r="KG38" i="24"/>
  <c r="KO38" i="24"/>
  <c r="KH38" i="24"/>
  <c r="KP38" i="24"/>
  <c r="KI38" i="24"/>
  <c r="KJ38" i="24"/>
  <c r="KJ37" i="24"/>
  <c r="KK37" i="24"/>
  <c r="KL37" i="24"/>
  <c r="KF37" i="24"/>
  <c r="KN37" i="24"/>
  <c r="KE37" i="24"/>
  <c r="KG37" i="24"/>
  <c r="KO31" i="24"/>
  <c r="KP31" i="24"/>
  <c r="KL27" i="24"/>
  <c r="KM27" i="24"/>
  <c r="KN27" i="24"/>
  <c r="KH27" i="24"/>
  <c r="KP27" i="24"/>
  <c r="KO26" i="24"/>
  <c r="KP26" i="24"/>
  <c r="KJ17" i="24"/>
  <c r="KO17" i="24"/>
  <c r="KP17" i="24"/>
  <c r="KG17" i="24"/>
  <c r="KM16" i="24"/>
  <c r="KN16" i="24"/>
  <c r="KO16" i="24"/>
  <c r="II16" i="24"/>
  <c r="IJ32" i="24"/>
  <c r="IJ15" i="24" s="1"/>
  <c r="IJ27" i="24"/>
  <c r="IB27" i="24"/>
  <c r="IJ24" i="24"/>
  <c r="IG37" i="24"/>
  <c r="ID44" i="24"/>
  <c r="IF43" i="24"/>
  <c r="IJ42" i="24"/>
  <c r="IB42" i="24"/>
  <c r="ID41" i="24"/>
  <c r="IF40" i="24"/>
  <c r="IJ38" i="24"/>
  <c r="IB38" i="24"/>
  <c r="IJ54" i="24"/>
  <c r="KL16" i="24"/>
  <c r="KK27" i="24"/>
  <c r="KH17" i="24"/>
  <c r="KF44" i="24"/>
  <c r="KF41" i="24"/>
  <c r="LG42" i="24"/>
  <c r="IF16" i="24"/>
  <c r="IE17" i="24"/>
  <c r="IG27" i="24"/>
  <c r="IK25" i="24"/>
  <c r="ID37" i="24"/>
  <c r="II44" i="24"/>
  <c r="IA44" i="24"/>
  <c r="IC43" i="24"/>
  <c r="IG42" i="24"/>
  <c r="II41" i="24"/>
  <c r="IA41" i="24"/>
  <c r="IC40" i="24"/>
  <c r="IG38" i="24"/>
  <c r="IC54" i="24"/>
  <c r="KO32" i="24"/>
  <c r="KO15" i="24" s="1"/>
  <c r="KG27" i="24"/>
  <c r="KH37" i="24"/>
  <c r="KG43" i="24"/>
  <c r="KG40" i="24"/>
  <c r="KG54" i="24"/>
  <c r="LF27" i="24"/>
  <c r="LB44" i="24"/>
  <c r="LA41" i="24"/>
  <c r="MA44" i="24"/>
  <c r="MU29" i="24"/>
  <c r="MU42" i="24"/>
  <c r="KO30" i="24"/>
  <c r="KO25" i="24"/>
  <c r="KP20" i="24"/>
  <c r="KL42" i="24"/>
  <c r="KL38" i="24"/>
  <c r="LI26" i="24"/>
  <c r="LI17" i="24"/>
  <c r="LA44" i="24"/>
  <c r="MK54" i="24"/>
  <c r="ML54" i="24"/>
  <c r="MM54" i="24"/>
  <c r="MN54" i="24"/>
  <c r="MO54" i="24"/>
  <c r="MT54" i="24"/>
  <c r="MJ54" i="24"/>
  <c r="MQ44" i="24"/>
  <c r="MJ44" i="24"/>
  <c r="MR44" i="24"/>
  <c r="MK44" i="24"/>
  <c r="MS44" i="24"/>
  <c r="ML44" i="24"/>
  <c r="MT44" i="24"/>
  <c r="MM44" i="24"/>
  <c r="MU44" i="24"/>
  <c r="MN44" i="24"/>
  <c r="MP44" i="24"/>
  <c r="MK43" i="24"/>
  <c r="MS43" i="24"/>
  <c r="ML43" i="24"/>
  <c r="MM43" i="24"/>
  <c r="MN43" i="24"/>
  <c r="MO43" i="24"/>
  <c r="MP43" i="24"/>
  <c r="MJ43" i="24"/>
  <c r="MR43" i="24"/>
  <c r="MO42" i="24"/>
  <c r="MP42" i="24"/>
  <c r="MQ42" i="24"/>
  <c r="MJ42" i="24"/>
  <c r="MR42" i="24"/>
  <c r="MK42" i="24"/>
  <c r="MS42" i="24"/>
  <c r="ML42" i="24"/>
  <c r="MT42" i="24"/>
  <c r="MN42" i="24"/>
  <c r="MQ41" i="24"/>
  <c r="MJ41" i="24"/>
  <c r="MR41" i="24"/>
  <c r="MK41" i="24"/>
  <c r="MS41" i="24"/>
  <c r="ML41" i="24"/>
  <c r="MM41" i="24"/>
  <c r="MN41" i="24"/>
  <c r="MP41" i="24"/>
  <c r="MK40" i="24"/>
  <c r="MS40" i="24"/>
  <c r="ML40" i="24"/>
  <c r="MM40" i="24"/>
  <c r="MN40" i="24"/>
  <c r="MO40" i="24"/>
  <c r="MP40" i="24"/>
  <c r="MJ40" i="24"/>
  <c r="MR40" i="24"/>
  <c r="MO38" i="24"/>
  <c r="MP38" i="24"/>
  <c r="MQ38" i="24"/>
  <c r="MJ38" i="24"/>
  <c r="MR38" i="24"/>
  <c r="MK38" i="24"/>
  <c r="MS38" i="24"/>
  <c r="ML38" i="24"/>
  <c r="MT38" i="24"/>
  <c r="MN38" i="24"/>
  <c r="MO37" i="24"/>
  <c r="MP37" i="24"/>
  <c r="MQ37" i="24"/>
  <c r="MR37" i="24"/>
  <c r="MK37" i="24"/>
  <c r="MS37" i="24"/>
  <c r="MJ37" i="24"/>
  <c r="ML37" i="24"/>
  <c r="MN37" i="24"/>
  <c r="MT32" i="24"/>
  <c r="MT15" i="24" s="1"/>
  <c r="MU32" i="24"/>
  <c r="MU15" i="24" s="1"/>
  <c r="MT31" i="24"/>
  <c r="MU31" i="24"/>
  <c r="MU30" i="24"/>
  <c r="MT30" i="24"/>
  <c r="MQ27" i="24"/>
  <c r="MR27" i="24"/>
  <c r="MS27" i="24"/>
  <c r="ML27" i="24"/>
  <c r="MT27" i="24"/>
  <c r="MM27" i="24"/>
  <c r="MU27" i="24"/>
  <c r="MN27" i="24"/>
  <c r="MP27" i="24"/>
  <c r="MT26" i="24"/>
  <c r="MU26" i="24"/>
  <c r="MU25" i="24"/>
  <c r="MJ25" i="24"/>
  <c r="MT25" i="24"/>
  <c r="MT24" i="24"/>
  <c r="MU24" i="24"/>
  <c r="MO17" i="24"/>
  <c r="MT17" i="24"/>
  <c r="MU17" i="24"/>
  <c r="ML17" i="24"/>
  <c r="MN17" i="24"/>
  <c r="MR16" i="24"/>
  <c r="MS16" i="24"/>
  <c r="MT16" i="24"/>
  <c r="MU16" i="24"/>
  <c r="MK16" i="24"/>
  <c r="MJ16" i="24"/>
  <c r="MQ16" i="24"/>
  <c r="HZ16" i="24"/>
  <c r="IK20" i="24"/>
  <c r="IC17" i="24"/>
  <c r="IK29" i="24"/>
  <c r="IE27" i="24"/>
  <c r="IA25" i="24"/>
  <c r="HZ37" i="24"/>
  <c r="IB37" i="24"/>
  <c r="IG44" i="24"/>
  <c r="II43" i="24"/>
  <c r="IA43" i="24"/>
  <c r="IE42" i="24"/>
  <c r="IG41" i="24"/>
  <c r="II40" i="24"/>
  <c r="IA40" i="24"/>
  <c r="IE38" i="24"/>
  <c r="IA54" i="24"/>
  <c r="KP29" i="24"/>
  <c r="KF25" i="24"/>
  <c r="KK42" i="24"/>
  <c r="KK38" i="24"/>
  <c r="LD43" i="24"/>
  <c r="LG38" i="24"/>
  <c r="MK25" i="24"/>
  <c r="MM17" i="24"/>
  <c r="MO41" i="24"/>
  <c r="MU54" i="24"/>
  <c r="MA54" i="24"/>
  <c r="MB54" i="24"/>
  <c r="LQ54" i="24"/>
  <c r="LR54" i="24"/>
  <c r="LS54" i="24"/>
  <c r="LT54" i="24"/>
  <c r="LV54" i="24"/>
  <c r="LU44" i="24"/>
  <c r="LV44" i="24"/>
  <c r="LW44" i="24"/>
  <c r="LX44" i="24"/>
  <c r="LQ44" i="24"/>
  <c r="LY44" i="24"/>
  <c r="LR44" i="24"/>
  <c r="LZ44" i="24"/>
  <c r="LT44" i="24"/>
  <c r="MB44" i="24"/>
  <c r="LW43" i="24"/>
  <c r="LX43" i="24"/>
  <c r="LQ43" i="24"/>
  <c r="LY43" i="24"/>
  <c r="LR43" i="24"/>
  <c r="LZ43" i="24"/>
  <c r="LS43" i="24"/>
  <c r="LT43" i="24"/>
  <c r="LV43" i="24"/>
  <c r="LS42" i="24"/>
  <c r="MA42" i="24"/>
  <c r="LT42" i="24"/>
  <c r="MB42" i="24"/>
  <c r="LU42" i="24"/>
  <c r="LV42" i="24"/>
  <c r="LW42" i="24"/>
  <c r="LX42" i="24"/>
  <c r="LR42" i="24"/>
  <c r="LZ42" i="24"/>
  <c r="LU41" i="24"/>
  <c r="LV41" i="24"/>
  <c r="LW41" i="24"/>
  <c r="LX41" i="24"/>
  <c r="LQ41" i="24"/>
  <c r="LY41" i="24"/>
  <c r="LR41" i="24"/>
  <c r="LZ41" i="24"/>
  <c r="LT41" i="24"/>
  <c r="LW40" i="24"/>
  <c r="LX40" i="24"/>
  <c r="LQ40" i="24"/>
  <c r="LY40" i="24"/>
  <c r="LR40" i="24"/>
  <c r="LZ40" i="24"/>
  <c r="LS40" i="24"/>
  <c r="LT40" i="24"/>
  <c r="LV40" i="24"/>
  <c r="LS38" i="24"/>
  <c r="MA38" i="24"/>
  <c r="LT38" i="24"/>
  <c r="MB38" i="24"/>
  <c r="LU38" i="24"/>
  <c r="LV38" i="24"/>
  <c r="LW38" i="24"/>
  <c r="LX38" i="24"/>
  <c r="LR38" i="24"/>
  <c r="LZ38" i="24"/>
  <c r="LX37" i="24"/>
  <c r="LY37" i="24"/>
  <c r="LR37" i="24"/>
  <c r="LZ37" i="24"/>
  <c r="LQ37" i="24"/>
  <c r="LS37" i="24"/>
  <c r="LT37" i="24"/>
  <c r="LU37" i="24"/>
  <c r="LW37" i="24"/>
  <c r="MA32" i="24"/>
  <c r="MA15" i="24" s="1"/>
  <c r="MB32" i="24"/>
  <c r="MB15" i="24" s="1"/>
  <c r="MB31" i="24"/>
  <c r="MA31" i="24"/>
  <c r="MA29" i="24"/>
  <c r="MB29" i="24"/>
  <c r="LZ27" i="24"/>
  <c r="LS27" i="24"/>
  <c r="MA27" i="24"/>
  <c r="LT27" i="24"/>
  <c r="MB27" i="24"/>
  <c r="LU27" i="24"/>
  <c r="LV27" i="24"/>
  <c r="LW27" i="24"/>
  <c r="LY27" i="24"/>
  <c r="MB26" i="24"/>
  <c r="MA26" i="24"/>
  <c r="LQ25" i="24"/>
  <c r="LR25" i="24"/>
  <c r="MA25" i="24"/>
  <c r="MA24" i="24"/>
  <c r="MB24" i="24"/>
  <c r="MA20" i="24"/>
  <c r="MB20" i="24"/>
  <c r="MB17" i="24"/>
  <c r="LS17" i="24"/>
  <c r="LT17" i="24"/>
  <c r="LU17" i="24"/>
  <c r="MA17" i="24"/>
  <c r="MA16" i="24"/>
  <c r="MB16" i="24"/>
  <c r="LR16" i="24"/>
  <c r="LQ16" i="24"/>
  <c r="LW16" i="24"/>
  <c r="LX16" i="24"/>
  <c r="LZ16" i="24"/>
  <c r="ID27" i="24"/>
  <c r="II37" i="24"/>
  <c r="IA37" i="24"/>
  <c r="IF44" i="24"/>
  <c r="IH43" i="24"/>
  <c r="HZ43" i="24"/>
  <c r="ID42" i="24"/>
  <c r="IF41" i="24"/>
  <c r="IH40" i="24"/>
  <c r="HZ40" i="24"/>
  <c r="ID38" i="24"/>
  <c r="HZ54" i="24"/>
  <c r="KE16" i="24"/>
  <c r="KE25" i="24"/>
  <c r="KN44" i="24"/>
  <c r="KN41" i="24"/>
  <c r="KY38" i="24"/>
  <c r="MB30" i="24"/>
  <c r="LY42" i="24"/>
  <c r="MM37" i="24"/>
  <c r="MQ40" i="24"/>
  <c r="LI54" i="24"/>
  <c r="KX54" i="24"/>
  <c r="KY54" i="24"/>
  <c r="KZ54" i="24"/>
  <c r="LA54" i="24"/>
  <c r="LB54" i="24"/>
  <c r="LH54" i="24"/>
  <c r="LE43" i="24"/>
  <c r="KX43" i="24"/>
  <c r="LF43" i="24"/>
  <c r="KY43" i="24"/>
  <c r="LG43" i="24"/>
  <c r="KZ43" i="24"/>
  <c r="LA43" i="24"/>
  <c r="LB43" i="24"/>
  <c r="LE40" i="24"/>
  <c r="KX40" i="24"/>
  <c r="LF40" i="24"/>
  <c r="KY40" i="24"/>
  <c r="LG40" i="24"/>
  <c r="KZ40" i="24"/>
  <c r="LA40" i="24"/>
  <c r="LB40" i="24"/>
  <c r="LD40" i="24"/>
  <c r="LF37" i="24"/>
  <c r="KY37" i="24"/>
  <c r="LG37" i="24"/>
  <c r="KX37" i="24"/>
  <c r="KZ37" i="24"/>
  <c r="LA37" i="24"/>
  <c r="LB37" i="24"/>
  <c r="LC37" i="24"/>
  <c r="LH29" i="24"/>
  <c r="LI29" i="24"/>
  <c r="KX25" i="24"/>
  <c r="KY25" i="24"/>
  <c r="LH25" i="24"/>
  <c r="LI25" i="24"/>
  <c r="LH24" i="24"/>
  <c r="LI24" i="24"/>
  <c r="LH20" i="24"/>
  <c r="LI20" i="24"/>
  <c r="KZ17" i="24"/>
  <c r="LA17" i="24"/>
  <c r="LB17" i="24"/>
  <c r="LC17" i="24"/>
  <c r="LI16" i="24"/>
  <c r="KY16" i="24"/>
  <c r="KX16" i="24"/>
  <c r="LD16" i="24"/>
  <c r="LE16" i="24"/>
  <c r="LF16" i="24"/>
  <c r="IK27" i="24"/>
  <c r="IK42" i="24"/>
  <c r="IK38" i="24"/>
  <c r="KP16" i="24"/>
  <c r="KO27" i="24"/>
  <c r="KO24" i="24"/>
  <c r="KI17" i="24"/>
  <c r="KM44" i="24"/>
  <c r="KM41" i="24"/>
  <c r="LG16" i="24"/>
  <c r="LD37" i="24"/>
  <c r="LH42" i="24"/>
  <c r="LX27" i="24"/>
  <c r="LV17" i="24"/>
  <c r="LQ42" i="24"/>
  <c r="MU38" i="24"/>
  <c r="L66" i="39"/>
  <c r="S66" i="39"/>
  <c r="T66" i="39"/>
  <c r="E13" i="10"/>
  <c r="E17" i="10" s="1"/>
  <c r="F13" i="10"/>
  <c r="F17" i="10" s="1"/>
  <c r="G13" i="10"/>
  <c r="G17" i="10" s="1"/>
  <c r="H13" i="10"/>
  <c r="I13" i="10"/>
  <c r="J13" i="10"/>
  <c r="K13" i="10"/>
  <c r="K17" i="10" s="1"/>
  <c r="L13" i="10"/>
  <c r="M13" i="10"/>
  <c r="N13" i="10"/>
  <c r="N17" i="10" s="1"/>
  <c r="O13" i="10"/>
  <c r="O17" i="10" s="1"/>
  <c r="D13" i="10"/>
  <c r="D17" i="10" s="1"/>
  <c r="D18" i="10"/>
  <c r="E14" i="10"/>
  <c r="F14" i="10"/>
  <c r="G14" i="10"/>
  <c r="H14" i="10"/>
  <c r="I14" i="10"/>
  <c r="J14" i="10"/>
  <c r="K14" i="10"/>
  <c r="L14" i="10"/>
  <c r="M14" i="10"/>
  <c r="N14" i="10"/>
  <c r="O14" i="10"/>
  <c r="D14" i="10"/>
  <c r="MX36" i="24" l="1"/>
  <c r="MV36" i="24"/>
  <c r="KT36" i="24"/>
  <c r="ME36" i="24"/>
  <c r="KA36" i="24"/>
  <c r="NQ36" i="24"/>
  <c r="NR36" i="24"/>
  <c r="ME58" i="24"/>
  <c r="MF58" i="24"/>
  <c r="KA58" i="24"/>
  <c r="JZ58" i="24"/>
  <c r="JG36" i="24"/>
  <c r="JY36" i="24"/>
  <c r="MD36" i="24"/>
  <c r="NP36" i="24"/>
  <c r="KQ36" i="24"/>
  <c r="MW36" i="24"/>
  <c r="IO36" i="24"/>
  <c r="NR58" i="24"/>
  <c r="NQ58" i="24"/>
  <c r="JF36" i="24"/>
  <c r="JX36" i="24"/>
  <c r="KS36" i="24"/>
  <c r="LL36" i="24"/>
  <c r="KR36" i="24"/>
  <c r="IL36" i="24"/>
  <c r="LM58" i="24"/>
  <c r="LL58" i="24"/>
  <c r="JG58" i="24"/>
  <c r="JH58" i="24"/>
  <c r="BG28" i="24"/>
  <c r="BG116" i="24" s="1"/>
  <c r="LJ36" i="24"/>
  <c r="IN36" i="24"/>
  <c r="IO58" i="24"/>
  <c r="IN58" i="24"/>
  <c r="AZ28" i="24"/>
  <c r="AZ116" i="24" s="1"/>
  <c r="AY28" i="24"/>
  <c r="AY116" i="24" s="1"/>
  <c r="JZ36" i="24"/>
  <c r="LK36" i="24"/>
  <c r="KT58" i="24"/>
  <c r="KS58" i="24"/>
  <c r="AR28" i="24"/>
  <c r="AR116" i="24" s="1"/>
  <c r="JE36" i="24"/>
  <c r="IM36" i="24"/>
  <c r="KQ31" i="24"/>
  <c r="MC31" i="24"/>
  <c r="LJ31" i="24"/>
  <c r="MV31" i="24"/>
  <c r="NO31" i="24"/>
  <c r="JE31" i="24"/>
  <c r="JX31" i="24"/>
  <c r="IL31" i="24"/>
  <c r="IL216" i="24" s="1"/>
  <c r="MF61" i="24"/>
  <c r="ME61" i="24"/>
  <c r="MD61" i="24"/>
  <c r="MC61" i="24"/>
  <c r="JH36" i="24"/>
  <c r="LM36" i="24"/>
  <c r="MF36" i="24"/>
  <c r="MC36" i="24"/>
  <c r="MY36" i="24"/>
  <c r="NO36" i="24"/>
  <c r="AV28" i="24"/>
  <c r="AV116" i="24" s="1"/>
  <c r="AS56" i="24"/>
  <c r="BD56" i="24"/>
  <c r="HM56" i="24"/>
  <c r="HN56" i="24"/>
  <c r="HG56" i="24"/>
  <c r="HO56" i="24"/>
  <c r="HH56" i="24"/>
  <c r="HP56" i="24"/>
  <c r="HK56" i="24"/>
  <c r="HI56" i="24"/>
  <c r="HQ56" i="24"/>
  <c r="HS56" i="24"/>
  <c r="HJ56" i="24"/>
  <c r="HR56" i="24"/>
  <c r="HL56" i="24"/>
  <c r="HT56" i="24"/>
  <c r="BA39" i="24"/>
  <c r="GT56" i="24"/>
  <c r="GP56" i="24"/>
  <c r="GU56" i="24"/>
  <c r="GX56" i="24"/>
  <c r="GN56" i="24"/>
  <c r="GV56" i="24"/>
  <c r="GR56" i="24"/>
  <c r="GS56" i="24"/>
  <c r="GO56" i="24"/>
  <c r="GW56" i="24"/>
  <c r="HA56" i="24"/>
  <c r="GQ56" i="24"/>
  <c r="GY56" i="24"/>
  <c r="GZ56" i="24"/>
  <c r="BC39" i="24"/>
  <c r="BB39" i="24"/>
  <c r="AU39" i="24"/>
  <c r="BD39" i="24"/>
  <c r="BF39" i="24"/>
  <c r="AW39" i="24"/>
  <c r="AW111" i="24" s="1"/>
  <c r="BE39" i="24"/>
  <c r="AR39" i="24"/>
  <c r="AX18" i="24"/>
  <c r="AY39" i="24"/>
  <c r="AZ39" i="24"/>
  <c r="AS39" i="24"/>
  <c r="BF18" i="24"/>
  <c r="BG39" i="24"/>
  <c r="AV39" i="24"/>
  <c r="AX39" i="24"/>
  <c r="FW56" i="24"/>
  <c r="GE56" i="24"/>
  <c r="FX56" i="24"/>
  <c r="GF56" i="24"/>
  <c r="FY56" i="24"/>
  <c r="GG56" i="24"/>
  <c r="FZ56" i="24"/>
  <c r="GH56" i="24"/>
  <c r="GA56" i="24"/>
  <c r="GB56" i="24"/>
  <c r="GD56" i="24"/>
  <c r="GC56" i="24"/>
  <c r="FU56" i="24"/>
  <c r="FV56" i="24"/>
  <c r="BB63" i="24"/>
  <c r="AW28" i="24"/>
  <c r="AW116" i="24" s="1"/>
  <c r="BB28" i="24"/>
  <c r="BB116" i="24" s="1"/>
  <c r="BA28" i="24"/>
  <c r="BA116" i="24" s="1"/>
  <c r="BA63" i="24"/>
  <c r="BC28" i="24"/>
  <c r="BC116" i="24" s="1"/>
  <c r="AT28" i="24"/>
  <c r="AT116" i="24" s="1"/>
  <c r="AS28" i="24"/>
  <c r="AS116" i="24" s="1"/>
  <c r="AX28" i="24"/>
  <c r="AX116" i="24" s="1"/>
  <c r="AU28" i="24"/>
  <c r="AU116" i="24" s="1"/>
  <c r="Q31" i="24"/>
  <c r="BG18" i="24"/>
  <c r="FB56" i="24"/>
  <c r="FJ56" i="24"/>
  <c r="FN56" i="24"/>
  <c r="FC56" i="24"/>
  <c r="FK56" i="24"/>
  <c r="FD56" i="24"/>
  <c r="FL56" i="24"/>
  <c r="FF56" i="24"/>
  <c r="FE56" i="24"/>
  <c r="FM56" i="24"/>
  <c r="FG56" i="24"/>
  <c r="FO56" i="24"/>
  <c r="FH56" i="24"/>
  <c r="FI56" i="24"/>
  <c r="BB18" i="24"/>
  <c r="AU18" i="24"/>
  <c r="AZ18" i="24"/>
  <c r="AT18" i="24"/>
  <c r="AT111" i="24" s="1"/>
  <c r="AY18" i="24"/>
  <c r="AY111" i="24" s="1"/>
  <c r="BC18" i="24"/>
  <c r="AS18" i="24"/>
  <c r="AV18" i="24"/>
  <c r="AR18" i="24"/>
  <c r="BA18" i="24"/>
  <c r="BA111" i="24" s="1"/>
  <c r="EO56" i="24"/>
  <c r="EU56" i="24"/>
  <c r="EP56" i="24"/>
  <c r="ES56" i="24"/>
  <c r="EI56" i="24"/>
  <c r="EQ56" i="24"/>
  <c r="EK56" i="24"/>
  <c r="EJ56" i="24"/>
  <c r="ER56" i="24"/>
  <c r="EL56" i="24"/>
  <c r="ET56" i="24"/>
  <c r="EM56" i="24"/>
  <c r="EN56" i="24"/>
  <c r="EV56" i="24"/>
  <c r="BE56" i="24"/>
  <c r="AR56" i="24"/>
  <c r="AT56" i="24"/>
  <c r="BQ56" i="24"/>
  <c r="BP56" i="24"/>
  <c r="BF55" i="24"/>
  <c r="BT56" i="24"/>
  <c r="BV56" i="24"/>
  <c r="BO56" i="24"/>
  <c r="BW56" i="24"/>
  <c r="BK56" i="24"/>
  <c r="BS56" i="24"/>
  <c r="BL56" i="24"/>
  <c r="BA56" i="24"/>
  <c r="AU56" i="24"/>
  <c r="BN56" i="24"/>
  <c r="BX56" i="24"/>
  <c r="BR56" i="24"/>
  <c r="BC56" i="24"/>
  <c r="AZ56" i="24"/>
  <c r="EB56" i="24"/>
  <c r="AX56" i="24"/>
  <c r="AV56" i="24"/>
  <c r="BU56" i="24"/>
  <c r="BB56" i="24"/>
  <c r="AY56" i="24"/>
  <c r="CW56" i="24"/>
  <c r="DE56" i="24"/>
  <c r="CY56" i="24"/>
  <c r="DA56" i="24"/>
  <c r="DB56" i="24"/>
  <c r="CX56" i="24"/>
  <c r="DG56" i="24"/>
  <c r="CZ56" i="24"/>
  <c r="DI56" i="24"/>
  <c r="DF56" i="24"/>
  <c r="DH56" i="24"/>
  <c r="DJ56" i="24"/>
  <c r="DC56" i="24"/>
  <c r="AN61" i="24"/>
  <c r="AN62" i="24"/>
  <c r="AD89" i="39"/>
  <c r="AD56" i="39"/>
  <c r="BE63" i="24"/>
  <c r="AT63" i="24"/>
  <c r="AZ63" i="24"/>
  <c r="AE89" i="39"/>
  <c r="AE56" i="39"/>
  <c r="Z89" i="39"/>
  <c r="Z56" i="39"/>
  <c r="AJ62" i="24"/>
  <c r="AU63" i="24"/>
  <c r="AY63" i="24"/>
  <c r="EA56" i="24"/>
  <c r="X56" i="39"/>
  <c r="AH62" i="24"/>
  <c r="X89" i="39"/>
  <c r="BC63" i="24"/>
  <c r="AV63" i="24"/>
  <c r="DS56" i="24"/>
  <c r="Y56" i="39"/>
  <c r="AI62" i="24"/>
  <c r="Y89" i="39"/>
  <c r="BD63" i="24"/>
  <c r="AR63" i="24"/>
  <c r="DV56" i="24"/>
  <c r="DZ56" i="24"/>
  <c r="AK62" i="24"/>
  <c r="AA89" i="39"/>
  <c r="AA56" i="39"/>
  <c r="AX63" i="24"/>
  <c r="AS63" i="24"/>
  <c r="DW56" i="24"/>
  <c r="DR56" i="24"/>
  <c r="AM62" i="24"/>
  <c r="AC89" i="39"/>
  <c r="AC56" i="39"/>
  <c r="EC56" i="24"/>
  <c r="DY56" i="24"/>
  <c r="DP56" i="24"/>
  <c r="AG61" i="24"/>
  <c r="AG62" i="24"/>
  <c r="W89" i="39"/>
  <c r="W56" i="39"/>
  <c r="DU56" i="24"/>
  <c r="DQ56" i="24"/>
  <c r="AB56" i="39"/>
  <c r="AL62" i="24"/>
  <c r="AB89" i="39"/>
  <c r="BK111" i="24"/>
  <c r="BS111" i="24"/>
  <c r="AZ111" i="24"/>
  <c r="BM111" i="24"/>
  <c r="BR111" i="24"/>
  <c r="BY111" i="24"/>
  <c r="BQ111" i="24"/>
  <c r="BP111" i="24"/>
  <c r="BO111" i="24"/>
  <c r="BT111" i="24"/>
  <c r="BV111" i="24"/>
  <c r="BL111" i="24"/>
  <c r="BN111" i="24"/>
  <c r="BU111" i="24"/>
  <c r="AK61" i="24"/>
  <c r="J91" i="36"/>
  <c r="J92" i="36" s="1"/>
  <c r="J98" i="36"/>
  <c r="J99" i="36" s="1"/>
  <c r="J33" i="36"/>
  <c r="J29" i="36"/>
  <c r="I49" i="36"/>
  <c r="I94" i="36"/>
  <c r="I98" i="36"/>
  <c r="I99" i="36" s="1"/>
  <c r="I71" i="36"/>
  <c r="I91" i="36"/>
  <c r="I92" i="36" s="1"/>
  <c r="Q32" i="24"/>
  <c r="P32" i="24"/>
  <c r="J28" i="36"/>
  <c r="J48" i="36"/>
  <c r="R28" i="27" s="1"/>
  <c r="I50" i="36"/>
  <c r="I62" i="36" s="1"/>
  <c r="I81" i="36"/>
  <c r="I104" i="36"/>
  <c r="I78" i="36"/>
  <c r="I75" i="36"/>
  <c r="I101" i="36"/>
  <c r="I84" i="36"/>
  <c r="I52" i="36"/>
  <c r="J52" i="36"/>
  <c r="I53" i="36"/>
  <c r="P33" i="27" s="1"/>
  <c r="J34" i="36"/>
  <c r="J32" i="36"/>
  <c r="J78" i="36"/>
  <c r="I87" i="36"/>
  <c r="J104" i="36"/>
  <c r="I46" i="36"/>
  <c r="I56" i="36" s="1"/>
  <c r="J75" i="36"/>
  <c r="J46" i="36"/>
  <c r="R25" i="27" s="1"/>
  <c r="J31" i="36"/>
  <c r="J42" i="36" s="1"/>
  <c r="I54" i="36"/>
  <c r="J51" i="36"/>
  <c r="J47" i="36"/>
  <c r="R27" i="27" s="1"/>
  <c r="J30" i="36"/>
  <c r="I48" i="36"/>
  <c r="P28" i="27" s="1"/>
  <c r="I47" i="36"/>
  <c r="P27" i="27" s="1"/>
  <c r="I37" i="36"/>
  <c r="Q80" i="10"/>
  <c r="K32" i="48" s="1"/>
  <c r="Q53" i="10"/>
  <c r="Q7" i="10"/>
  <c r="P80" i="10"/>
  <c r="P53" i="10"/>
  <c r="P6" i="10"/>
  <c r="J84" i="36"/>
  <c r="J69" i="36"/>
  <c r="J87" i="36"/>
  <c r="J94" i="36"/>
  <c r="J101" i="36"/>
  <c r="J37" i="36"/>
  <c r="J49" i="36"/>
  <c r="R29" i="27" s="1"/>
  <c r="J53" i="36"/>
  <c r="R33" i="27" s="1"/>
  <c r="J81" i="36"/>
  <c r="J50" i="36"/>
  <c r="J62" i="36" s="1"/>
  <c r="J56" i="36"/>
  <c r="AM61" i="24"/>
  <c r="AH61" i="24"/>
  <c r="AI61" i="24"/>
  <c r="AJ61" i="24"/>
  <c r="JU36" i="24"/>
  <c r="JM36" i="24"/>
  <c r="II36" i="24"/>
  <c r="IA36" i="24"/>
  <c r="IG36" i="24"/>
  <c r="LU36" i="24"/>
  <c r="NK36" i="24"/>
  <c r="KE36" i="24"/>
  <c r="LQ36" i="24"/>
  <c r="IV36" i="24"/>
  <c r="LV36" i="24"/>
  <c r="KK36" i="24"/>
  <c r="IC36" i="24"/>
  <c r="LY36" i="24"/>
  <c r="JA36" i="24"/>
  <c r="NG36" i="24"/>
  <c r="NC36" i="24"/>
  <c r="JN36" i="24"/>
  <c r="LC36" i="24"/>
  <c r="IS36" i="24"/>
  <c r="KZ36" i="24"/>
  <c r="HZ36" i="24"/>
  <c r="LS36" i="24"/>
  <c r="MM36" i="24"/>
  <c r="IB36" i="24"/>
  <c r="KH36" i="24"/>
  <c r="NF36" i="24"/>
  <c r="IH36" i="24"/>
  <c r="JB36" i="24"/>
  <c r="IF36" i="24"/>
  <c r="KY36" i="24"/>
  <c r="LR36" i="24"/>
  <c r="LX36" i="24"/>
  <c r="MO36" i="24"/>
  <c r="KI36" i="24"/>
  <c r="LD36" i="24"/>
  <c r="IW36" i="24"/>
  <c r="NH36" i="24"/>
  <c r="LW36" i="24"/>
  <c r="MS36" i="24"/>
  <c r="LB36" i="24"/>
  <c r="LG36" i="24"/>
  <c r="MK36" i="24"/>
  <c r="KL36" i="24"/>
  <c r="JO36" i="24"/>
  <c r="IE36" i="24"/>
  <c r="MR36" i="24"/>
  <c r="KG36" i="24"/>
  <c r="LA36" i="24"/>
  <c r="IZ36" i="24"/>
  <c r="IU36" i="24"/>
  <c r="JL36" i="24"/>
  <c r="JS36" i="24"/>
  <c r="MJ36" i="24"/>
  <c r="KN36" i="24"/>
  <c r="LF36" i="24"/>
  <c r="IT36" i="24"/>
  <c r="NE36" i="24"/>
  <c r="JR36" i="24"/>
  <c r="LT36" i="24"/>
  <c r="MQ36" i="24"/>
  <c r="KF36" i="24"/>
  <c r="KX36" i="24"/>
  <c r="IY36" i="24"/>
  <c r="NI36" i="24"/>
  <c r="NL36" i="24"/>
  <c r="JQ36" i="24"/>
  <c r="JT36" i="24"/>
  <c r="ID36" i="24"/>
  <c r="LZ36" i="24"/>
  <c r="MN36" i="24"/>
  <c r="MP36" i="24"/>
  <c r="ML36" i="24"/>
  <c r="KJ36" i="24"/>
  <c r="KM36" i="24"/>
  <c r="LE36" i="24"/>
  <c r="IX36" i="24"/>
  <c r="NJ36" i="24"/>
  <c r="ND36" i="24"/>
  <c r="JP36" i="24"/>
  <c r="H16" i="10"/>
  <c r="L16" i="10"/>
  <c r="J16" i="10"/>
  <c r="H17" i="10"/>
  <c r="G16" i="10"/>
  <c r="N16" i="10"/>
  <c r="F16" i="10"/>
  <c r="I16" i="10"/>
  <c r="R66" i="39"/>
  <c r="AD64" i="24"/>
  <c r="AC64" i="24"/>
  <c r="AB64" i="24"/>
  <c r="AA64" i="24"/>
  <c r="M66" i="39"/>
  <c r="W64" i="24"/>
  <c r="Q66" i="39"/>
  <c r="Z64" i="24"/>
  <c r="O16" i="10"/>
  <c r="P66" i="39"/>
  <c r="AF64" i="24"/>
  <c r="Y64" i="24"/>
  <c r="V66" i="39"/>
  <c r="O66" i="39"/>
  <c r="AE64" i="24"/>
  <c r="X64" i="24"/>
  <c r="M16" i="10"/>
  <c r="U66" i="39"/>
  <c r="N66" i="39"/>
  <c r="M17" i="10"/>
  <c r="L17" i="10"/>
  <c r="E16" i="10"/>
  <c r="J17" i="10"/>
  <c r="K16" i="10"/>
  <c r="I17" i="10"/>
  <c r="D16" i="10"/>
  <c r="E18" i="10"/>
  <c r="F18" i="10"/>
  <c r="G18" i="10"/>
  <c r="H18" i="10"/>
  <c r="I18" i="10"/>
  <c r="J18" i="10"/>
  <c r="K18" i="10"/>
  <c r="L18" i="10"/>
  <c r="M18" i="10"/>
  <c r="N18" i="10"/>
  <c r="O18" i="10"/>
  <c r="D23" i="10"/>
  <c r="D24" i="10" s="1"/>
  <c r="E19" i="10"/>
  <c r="F19" i="10"/>
  <c r="G19" i="10"/>
  <c r="H19" i="10"/>
  <c r="I19" i="10"/>
  <c r="J19" i="10"/>
  <c r="K19" i="10"/>
  <c r="L19" i="10"/>
  <c r="M19" i="10"/>
  <c r="N19" i="10"/>
  <c r="O19" i="10"/>
  <c r="D19" i="10"/>
  <c r="JQ62" i="24" l="1"/>
  <c r="JR62" i="24"/>
  <c r="JZ62" i="24"/>
  <c r="JS62" i="24"/>
  <c r="KA62" i="24"/>
  <c r="JL62" i="24"/>
  <c r="JT62" i="24"/>
  <c r="JM62" i="24"/>
  <c r="JU62" i="24"/>
  <c r="JN62" i="24"/>
  <c r="JV62" i="24"/>
  <c r="JO62" i="24"/>
  <c r="JW62" i="24"/>
  <c r="JP62" i="24"/>
  <c r="KT61" i="24"/>
  <c r="KS61" i="24"/>
  <c r="KR61" i="24"/>
  <c r="KQ61" i="24"/>
  <c r="LE62" i="24"/>
  <c r="LM62" i="24"/>
  <c r="KX62" i="24"/>
  <c r="LF62" i="24"/>
  <c r="KY62" i="24"/>
  <c r="LG62" i="24"/>
  <c r="KZ62" i="24"/>
  <c r="LH62" i="24"/>
  <c r="LA62" i="24"/>
  <c r="LI62" i="24"/>
  <c r="LB62" i="24"/>
  <c r="LC62" i="24"/>
  <c r="LD62" i="24"/>
  <c r="LL62" i="24"/>
  <c r="JX61" i="24"/>
  <c r="KA61" i="24"/>
  <c r="JZ61" i="24"/>
  <c r="JY61" i="24"/>
  <c r="NO32" i="24"/>
  <c r="NO15" i="24" s="1"/>
  <c r="KQ32" i="24"/>
  <c r="KQ15" i="24" s="1"/>
  <c r="MC32" i="24"/>
  <c r="MC15" i="24" s="1"/>
  <c r="LJ32" i="24"/>
  <c r="LJ15" i="24" s="1"/>
  <c r="MV32" i="24"/>
  <c r="MV15" i="24" s="1"/>
  <c r="IL32" i="24"/>
  <c r="JE32" i="24"/>
  <c r="JE15" i="24" s="1"/>
  <c r="JX32" i="24"/>
  <c r="JX15" i="24" s="1"/>
  <c r="MN62" i="24"/>
  <c r="MO62" i="24"/>
  <c r="MP62" i="24"/>
  <c r="MX62" i="24"/>
  <c r="MQ62" i="24"/>
  <c r="MY62" i="24"/>
  <c r="MJ62" i="24"/>
  <c r="MR62" i="24"/>
  <c r="MK62" i="24"/>
  <c r="MS62" i="24"/>
  <c r="ML62" i="24"/>
  <c r="MT62" i="24"/>
  <c r="MM62" i="24"/>
  <c r="MU62" i="24"/>
  <c r="KL62" i="24"/>
  <c r="KT62" i="24"/>
  <c r="KE62" i="24"/>
  <c r="KM62" i="24"/>
  <c r="KF62" i="24"/>
  <c r="KN62" i="24"/>
  <c r="KG62" i="24"/>
  <c r="KO62" i="24"/>
  <c r="KH62" i="24"/>
  <c r="KP62" i="24"/>
  <c r="KI62" i="24"/>
  <c r="KJ62" i="24"/>
  <c r="KK62" i="24"/>
  <c r="KS62" i="24"/>
  <c r="JH61" i="24"/>
  <c r="JG61" i="24"/>
  <c r="JF61" i="24"/>
  <c r="JE61" i="24"/>
  <c r="NP32" i="24"/>
  <c r="NP15" i="24" s="1"/>
  <c r="KR32" i="24"/>
  <c r="KR15" i="24" s="1"/>
  <c r="MD32" i="24"/>
  <c r="MD15" i="24" s="1"/>
  <c r="LK32" i="24"/>
  <c r="LK15" i="24" s="1"/>
  <c r="MW32" i="24"/>
  <c r="MW15" i="24" s="1"/>
  <c r="IM32" i="24"/>
  <c r="JF32" i="24"/>
  <c r="JF15" i="24" s="1"/>
  <c r="JY32" i="24"/>
  <c r="JY15" i="24" s="1"/>
  <c r="IE62" i="24"/>
  <c r="IF62" i="24"/>
  <c r="IN62" i="24"/>
  <c r="IG62" i="24"/>
  <c r="IO62" i="24"/>
  <c r="HZ62" i="24"/>
  <c r="IH62" i="24"/>
  <c r="IA62" i="24"/>
  <c r="II62" i="24"/>
  <c r="IB62" i="24"/>
  <c r="IJ62" i="24"/>
  <c r="IC62" i="24"/>
  <c r="IK62" i="24"/>
  <c r="ID62" i="24"/>
  <c r="MW61" i="24"/>
  <c r="MV61" i="24"/>
  <c r="MY61" i="24"/>
  <c r="MX61" i="24"/>
  <c r="IO61" i="24"/>
  <c r="IN61" i="24"/>
  <c r="IM61" i="24"/>
  <c r="IL61" i="24"/>
  <c r="NG62" i="24"/>
  <c r="NH62" i="24"/>
  <c r="NI62" i="24"/>
  <c r="NQ62" i="24"/>
  <c r="NJ62" i="24"/>
  <c r="NR62" i="24"/>
  <c r="NC62" i="24"/>
  <c r="NK62" i="24"/>
  <c r="ND62" i="24"/>
  <c r="NL62" i="24"/>
  <c r="NE62" i="24"/>
  <c r="NM62" i="24"/>
  <c r="NF62" i="24"/>
  <c r="NN62" i="24"/>
  <c r="MD31" i="24"/>
  <c r="LK31" i="24"/>
  <c r="MW31" i="24"/>
  <c r="NP31" i="24"/>
  <c r="KR31" i="24"/>
  <c r="JY31" i="24"/>
  <c r="IM31" i="24"/>
  <c r="IM216" i="24" s="1"/>
  <c r="JF31" i="24"/>
  <c r="LM61" i="24"/>
  <c r="LL61" i="24"/>
  <c r="LK61" i="24"/>
  <c r="LJ61" i="24"/>
  <c r="LS62" i="24"/>
  <c r="MA62" i="24"/>
  <c r="LT62" i="24"/>
  <c r="MB62" i="24"/>
  <c r="LU62" i="24"/>
  <c r="LV62" i="24"/>
  <c r="LW62" i="24"/>
  <c r="ME62" i="24"/>
  <c r="LX62" i="24"/>
  <c r="MF62" i="24"/>
  <c r="LQ62" i="24"/>
  <c r="LY62" i="24"/>
  <c r="LR62" i="24"/>
  <c r="LZ62" i="24"/>
  <c r="IX62" i="24"/>
  <c r="IY62" i="24"/>
  <c r="JG62" i="24"/>
  <c r="IZ62" i="24"/>
  <c r="JH62" i="24"/>
  <c r="IS62" i="24"/>
  <c r="JA62" i="24"/>
  <c r="IT62" i="24"/>
  <c r="JB62" i="24"/>
  <c r="IU62" i="24"/>
  <c r="JC62" i="24"/>
  <c r="IV62" i="24"/>
  <c r="JD62" i="24"/>
  <c r="IW62" i="24"/>
  <c r="NQ61" i="24"/>
  <c r="NP61" i="24"/>
  <c r="NO61" i="24"/>
  <c r="NR61" i="24"/>
  <c r="AX111" i="24"/>
  <c r="AU111" i="24"/>
  <c r="BB111" i="24"/>
  <c r="BG111" i="24"/>
  <c r="BC111" i="24"/>
  <c r="BF111" i="24"/>
  <c r="AS111" i="24"/>
  <c r="AV111" i="24"/>
  <c r="AR111" i="24"/>
  <c r="R23" i="24"/>
  <c r="S23" i="24"/>
  <c r="R19" i="24"/>
  <c r="S19" i="24"/>
  <c r="I58" i="36"/>
  <c r="P26" i="27"/>
  <c r="Q23" i="24"/>
  <c r="P23" i="24"/>
  <c r="P19" i="24"/>
  <c r="Q19" i="24"/>
  <c r="K35" i="48"/>
  <c r="K36" i="48"/>
  <c r="K30" i="48"/>
  <c r="K31" i="48"/>
  <c r="K33" i="48"/>
  <c r="K29" i="48"/>
  <c r="K26" i="48"/>
  <c r="K27" i="48"/>
  <c r="K28" i="48"/>
  <c r="P7" i="10"/>
  <c r="P111" i="10" s="1"/>
  <c r="P4" i="27"/>
  <c r="K9" i="48"/>
  <c r="K14" i="48"/>
  <c r="K10" i="48"/>
  <c r="K6" i="48"/>
  <c r="K11" i="48"/>
  <c r="K12" i="48"/>
  <c r="K15" i="48"/>
  <c r="K7" i="48"/>
  <c r="K5" i="48"/>
  <c r="K8" i="48"/>
  <c r="Q111" i="10"/>
  <c r="Q110" i="10"/>
  <c r="Q51" i="24" s="1"/>
  <c r="Q108" i="10"/>
  <c r="Q99" i="10"/>
  <c r="Q98" i="10"/>
  <c r="Q52" i="10"/>
  <c r="Q49" i="10" s="1"/>
  <c r="Q25" i="10"/>
  <c r="P52" i="10"/>
  <c r="P49" i="10" s="1"/>
  <c r="P25" i="10"/>
  <c r="BB266" i="24"/>
  <c r="BC266" i="24"/>
  <c r="L38" i="39"/>
  <c r="IM217" i="24" l="1"/>
  <c r="IM15" i="24"/>
  <c r="IL217" i="24"/>
  <c r="IL15" i="24"/>
  <c r="NO23" i="24"/>
  <c r="KQ23" i="24"/>
  <c r="MC23" i="24"/>
  <c r="LJ23" i="24"/>
  <c r="MV23" i="24"/>
  <c r="IL23" i="24"/>
  <c r="JE23" i="24"/>
  <c r="JX23" i="24"/>
  <c r="HT23" i="24"/>
  <c r="NP23" i="24"/>
  <c r="KR23" i="24"/>
  <c r="MD23" i="24"/>
  <c r="LK23" i="24"/>
  <c r="MW23" i="24"/>
  <c r="IM23" i="24"/>
  <c r="JF23" i="24"/>
  <c r="JY23" i="24"/>
  <c r="KT19" i="24"/>
  <c r="MF19" i="24"/>
  <c r="LM19" i="24"/>
  <c r="MY19" i="24"/>
  <c r="NR19" i="24"/>
  <c r="IO19" i="24"/>
  <c r="JH19" i="24"/>
  <c r="KA19" i="24"/>
  <c r="HU19" i="24"/>
  <c r="KS19" i="24"/>
  <c r="ME19" i="24"/>
  <c r="LL19" i="24"/>
  <c r="MX19" i="24"/>
  <c r="NQ19" i="24"/>
  <c r="IN19" i="24"/>
  <c r="JG19" i="24"/>
  <c r="JZ19" i="24"/>
  <c r="NP19" i="24"/>
  <c r="KR19" i="24"/>
  <c r="MD19" i="24"/>
  <c r="LK19" i="24"/>
  <c r="MW19" i="24"/>
  <c r="IM19" i="24"/>
  <c r="JF19" i="24"/>
  <c r="JY19" i="24"/>
  <c r="HV23" i="24"/>
  <c r="KT23" i="24"/>
  <c r="MF23" i="24"/>
  <c r="LM23" i="24"/>
  <c r="MY23" i="24"/>
  <c r="NR23" i="24"/>
  <c r="IO23" i="24"/>
  <c r="JH23" i="24"/>
  <c r="KA23" i="24"/>
  <c r="NP51" i="24"/>
  <c r="MW51" i="24"/>
  <c r="MD51" i="24"/>
  <c r="JF51" i="24"/>
  <c r="IM51" i="24"/>
  <c r="IM236" i="24" s="1"/>
  <c r="LK51" i="24"/>
  <c r="KR51" i="24"/>
  <c r="JY51" i="24"/>
  <c r="HS19" i="24"/>
  <c r="NO19" i="24"/>
  <c r="KQ19" i="24"/>
  <c r="MC19" i="24"/>
  <c r="LJ19" i="24"/>
  <c r="MV19" i="24"/>
  <c r="IL19" i="24"/>
  <c r="JE19" i="24"/>
  <c r="JX19" i="24"/>
  <c r="KS23" i="24"/>
  <c r="ME23" i="24"/>
  <c r="LL23" i="24"/>
  <c r="MX23" i="24"/>
  <c r="NQ23" i="24"/>
  <c r="IN23" i="24"/>
  <c r="JG23" i="24"/>
  <c r="JZ23" i="24"/>
  <c r="HC19" i="24"/>
  <c r="HV19" i="24"/>
  <c r="GZ23" i="24"/>
  <c r="HS23" i="24"/>
  <c r="HA19" i="24"/>
  <c r="HT19" i="24"/>
  <c r="HA51" i="24"/>
  <c r="HA302" i="24" s="1"/>
  <c r="HT51" i="24"/>
  <c r="HB23" i="24"/>
  <c r="HU23" i="24"/>
  <c r="GG19" i="24"/>
  <c r="GZ19" i="24"/>
  <c r="GH23" i="24"/>
  <c r="HA23" i="24"/>
  <c r="GI19" i="24"/>
  <c r="HB19" i="24"/>
  <c r="GJ23" i="24"/>
  <c r="HC23" i="24"/>
  <c r="FO51" i="24"/>
  <c r="FO302" i="24" s="1"/>
  <c r="GH51" i="24"/>
  <c r="FO19" i="24"/>
  <c r="GH19" i="24"/>
  <c r="FP23" i="24"/>
  <c r="GI23" i="24"/>
  <c r="FN23" i="24"/>
  <c r="GG23" i="24"/>
  <c r="FQ19" i="24"/>
  <c r="GJ19" i="24"/>
  <c r="EW19" i="24"/>
  <c r="FP19" i="24"/>
  <c r="EX23" i="24"/>
  <c r="FQ23" i="24"/>
  <c r="EU19" i="24"/>
  <c r="FN19" i="24"/>
  <c r="EV23" i="24"/>
  <c r="FO23" i="24"/>
  <c r="EE19" i="24"/>
  <c r="EX19" i="24"/>
  <c r="EC19" i="24"/>
  <c r="EV19" i="24"/>
  <c r="EC51" i="24"/>
  <c r="EC302" i="24" s="1"/>
  <c r="EV51" i="24"/>
  <c r="ED23" i="24"/>
  <c r="EW23" i="24"/>
  <c r="EB23" i="24"/>
  <c r="EU23" i="24"/>
  <c r="DK19" i="24"/>
  <c r="ED19" i="24"/>
  <c r="DI19" i="24"/>
  <c r="EB19" i="24"/>
  <c r="DJ23" i="24"/>
  <c r="EC23" i="24"/>
  <c r="DL23" i="24"/>
  <c r="EE23" i="24"/>
  <c r="CP23" i="24"/>
  <c r="DI23" i="24"/>
  <c r="CQ51" i="24"/>
  <c r="CQ236" i="24" s="1"/>
  <c r="DJ51" i="24"/>
  <c r="CS19" i="24"/>
  <c r="DL19" i="24"/>
  <c r="CQ19" i="24"/>
  <c r="DJ19" i="24"/>
  <c r="CR23" i="24"/>
  <c r="DK23" i="24"/>
  <c r="BY19" i="24"/>
  <c r="CR19" i="24"/>
  <c r="BZ23" i="24"/>
  <c r="CS23" i="24"/>
  <c r="BW19" i="24"/>
  <c r="CP19" i="24"/>
  <c r="BX23" i="24"/>
  <c r="CQ23" i="24"/>
  <c r="BX51" i="24"/>
  <c r="C308" i="37"/>
  <c r="BX19" i="24"/>
  <c r="BF23" i="24"/>
  <c r="BY23" i="24"/>
  <c r="C350" i="37"/>
  <c r="BZ19" i="24"/>
  <c r="BD23" i="24"/>
  <c r="BW23" i="24"/>
  <c r="C351" i="37"/>
  <c r="BG23" i="24"/>
  <c r="C309" i="37"/>
  <c r="BE23" i="24"/>
  <c r="M7" i="48"/>
  <c r="P104" i="10"/>
  <c r="P55" i="24" s="1"/>
  <c r="P18" i="24"/>
  <c r="Q18" i="24"/>
  <c r="P99" i="10"/>
  <c r="P12" i="24" s="1"/>
  <c r="P110" i="10"/>
  <c r="P51" i="24" s="1"/>
  <c r="P26" i="10"/>
  <c r="P28" i="10" s="1"/>
  <c r="P7" i="27"/>
  <c r="P34" i="27"/>
  <c r="Q13" i="24"/>
  <c r="N31" i="48"/>
  <c r="O7" i="48"/>
  <c r="M9" i="48"/>
  <c r="O32" i="48"/>
  <c r="O26" i="48"/>
  <c r="N12" i="48"/>
  <c r="O13" i="48"/>
  <c r="O17" i="48"/>
  <c r="O4" i="48"/>
  <c r="O37" i="48"/>
  <c r="O29" i="48"/>
  <c r="O10" i="48"/>
  <c r="N6" i="48"/>
  <c r="O36" i="48"/>
  <c r="N25" i="48"/>
  <c r="M15" i="48"/>
  <c r="O9" i="48"/>
  <c r="O28" i="48"/>
  <c r="M25" i="48"/>
  <c r="N14" i="48"/>
  <c r="N9" i="48"/>
  <c r="O5" i="48"/>
  <c r="O27" i="48"/>
  <c r="M35" i="48"/>
  <c r="N27" i="48"/>
  <c r="M36" i="48"/>
  <c r="O34" i="48"/>
  <c r="N4" i="48"/>
  <c r="O14" i="48"/>
  <c r="N28" i="48"/>
  <c r="M30" i="48"/>
  <c r="M4" i="48"/>
  <c r="M33" i="48"/>
  <c r="N29" i="48"/>
  <c r="M6" i="48"/>
  <c r="O31" i="48"/>
  <c r="N5" i="48"/>
  <c r="M32" i="48"/>
  <c r="M26" i="48"/>
  <c r="N7" i="48"/>
  <c r="N35" i="48"/>
  <c r="O6" i="48"/>
  <c r="N10" i="48"/>
  <c r="M8" i="48"/>
  <c r="M31" i="48"/>
  <c r="O8" i="48"/>
  <c r="M10" i="48"/>
  <c r="M14" i="48"/>
  <c r="M12" i="48"/>
  <c r="O33" i="48"/>
  <c r="M11" i="48"/>
  <c r="N30" i="48"/>
  <c r="O11" i="48"/>
  <c r="O15" i="48"/>
  <c r="O35" i="48"/>
  <c r="M5" i="48"/>
  <c r="N36" i="48"/>
  <c r="N8" i="48"/>
  <c r="O12" i="48"/>
  <c r="N15" i="48"/>
  <c r="M28" i="48"/>
  <c r="O16" i="48"/>
  <c r="N11" i="48"/>
  <c r="N26" i="48"/>
  <c r="O25" i="48"/>
  <c r="O38" i="48"/>
  <c r="O30" i="48"/>
  <c r="N33" i="48"/>
  <c r="M29" i="48"/>
  <c r="P29" i="48" s="1"/>
  <c r="P45" i="27"/>
  <c r="P60" i="24"/>
  <c r="P35" i="27"/>
  <c r="Q12" i="24"/>
  <c r="Q10" i="24"/>
  <c r="Q43" i="27"/>
  <c r="C291" i="37"/>
  <c r="P98" i="10"/>
  <c r="P13" i="24" s="1"/>
  <c r="Q26" i="10"/>
  <c r="Q28" i="10" s="1"/>
  <c r="Q7" i="27"/>
  <c r="Q45" i="27"/>
  <c r="Q60" i="24"/>
  <c r="N32" i="48"/>
  <c r="P108" i="10"/>
  <c r="P10" i="24" s="1"/>
  <c r="M27" i="48"/>
  <c r="Q112" i="10"/>
  <c r="Q14" i="24" s="1"/>
  <c r="Q55" i="10"/>
  <c r="Q50" i="10" s="1"/>
  <c r="Q104" i="10"/>
  <c r="P55" i="10"/>
  <c r="P31" i="48" l="1"/>
  <c r="Q32" i="48"/>
  <c r="NO51" i="24"/>
  <c r="MV51" i="24"/>
  <c r="MC51" i="24"/>
  <c r="LJ51" i="24"/>
  <c r="KQ51" i="24"/>
  <c r="JX51" i="24"/>
  <c r="JE51" i="24"/>
  <c r="IL51" i="24"/>
  <c r="IL236" i="24" s="1"/>
  <c r="MV12" i="24"/>
  <c r="MC12" i="24"/>
  <c r="LJ12" i="24"/>
  <c r="NO12" i="24"/>
  <c r="IL12" i="24"/>
  <c r="JE12" i="24"/>
  <c r="KQ12" i="24"/>
  <c r="JX12" i="24"/>
  <c r="NP10" i="24"/>
  <c r="MW10" i="24"/>
  <c r="MD10" i="24"/>
  <c r="LK10" i="24"/>
  <c r="IM10" i="24"/>
  <c r="IM195" i="24" s="1"/>
  <c r="JF10" i="24"/>
  <c r="KR10" i="24"/>
  <c r="JY10" i="24"/>
  <c r="NP60" i="24"/>
  <c r="MD60" i="24"/>
  <c r="LK60" i="24"/>
  <c r="KR60" i="24"/>
  <c r="MW60" i="24"/>
  <c r="IM60" i="24"/>
  <c r="IM245" i="24" s="1"/>
  <c r="JF60" i="24"/>
  <c r="JY60" i="24"/>
  <c r="NO18" i="24"/>
  <c r="MV18" i="24"/>
  <c r="MC18" i="24"/>
  <c r="LJ18" i="24"/>
  <c r="KQ18" i="24"/>
  <c r="JX18" i="24"/>
  <c r="JE18" i="24"/>
  <c r="IL18" i="24"/>
  <c r="IL203" i="24" s="1"/>
  <c r="NP13" i="24"/>
  <c r="MW13" i="24"/>
  <c r="MD13" i="24"/>
  <c r="LK13" i="24"/>
  <c r="IM13" i="24"/>
  <c r="IM198" i="24" s="1"/>
  <c r="JF13" i="24"/>
  <c r="KR13" i="24"/>
  <c r="JY13" i="24"/>
  <c r="NO55" i="24"/>
  <c r="MC55" i="24"/>
  <c r="LJ55" i="24"/>
  <c r="KQ55" i="24"/>
  <c r="MV55" i="24"/>
  <c r="IL55" i="24"/>
  <c r="JE55" i="24"/>
  <c r="JX55" i="24"/>
  <c r="MW12" i="24"/>
  <c r="MD12" i="24"/>
  <c r="LK12" i="24"/>
  <c r="NP12" i="24"/>
  <c r="JF12" i="24"/>
  <c r="KR12" i="24"/>
  <c r="JY12" i="24"/>
  <c r="IM12" i="24"/>
  <c r="NO60" i="24"/>
  <c r="MC60" i="24"/>
  <c r="LJ60" i="24"/>
  <c r="KQ60" i="24"/>
  <c r="MV60" i="24"/>
  <c r="IL60" i="24"/>
  <c r="IL245" i="24" s="1"/>
  <c r="JE60" i="24"/>
  <c r="JX60" i="24"/>
  <c r="NO10" i="24"/>
  <c r="MV10" i="24"/>
  <c r="MC10" i="24"/>
  <c r="LJ10" i="24"/>
  <c r="IL10" i="24"/>
  <c r="IL195" i="24" s="1"/>
  <c r="JE10" i="24"/>
  <c r="KQ10" i="24"/>
  <c r="JX10" i="24"/>
  <c r="HT18" i="24"/>
  <c r="HT269" i="24" s="1"/>
  <c r="NP18" i="24"/>
  <c r="MW18" i="24"/>
  <c r="JF18" i="24"/>
  <c r="IM18" i="24"/>
  <c r="MD18" i="24"/>
  <c r="LK18" i="24"/>
  <c r="KR18" i="24"/>
  <c r="JY18" i="24"/>
  <c r="MW14" i="24"/>
  <c r="MD14" i="24"/>
  <c r="LK14" i="24"/>
  <c r="NP14" i="24"/>
  <c r="KR14" i="24"/>
  <c r="JF14" i="24"/>
  <c r="JY14" i="24"/>
  <c r="IM14" i="24"/>
  <c r="IM199" i="24" s="1"/>
  <c r="NO13" i="24"/>
  <c r="MV13" i="24"/>
  <c r="MC13" i="24"/>
  <c r="LJ13" i="24"/>
  <c r="IL13" i="24"/>
  <c r="IL198" i="24" s="1"/>
  <c r="JE13" i="24"/>
  <c r="KQ13" i="24"/>
  <c r="JX13" i="24"/>
  <c r="GZ51" i="24"/>
  <c r="HS51" i="24"/>
  <c r="HA236" i="24"/>
  <c r="HT203" i="24"/>
  <c r="GZ55" i="24"/>
  <c r="GZ240" i="24" s="1"/>
  <c r="HS55" i="24"/>
  <c r="GZ18" i="24"/>
  <c r="GZ269" i="24" s="1"/>
  <c r="HS18" i="24"/>
  <c r="HT236" i="24"/>
  <c r="HT302" i="24"/>
  <c r="GZ302" i="24"/>
  <c r="GZ236" i="24"/>
  <c r="GH18" i="24"/>
  <c r="GH269" i="24" s="1"/>
  <c r="HA18" i="24"/>
  <c r="FO236" i="24"/>
  <c r="FN18" i="24"/>
  <c r="FN269" i="24" s="1"/>
  <c r="GG18" i="24"/>
  <c r="GH302" i="24"/>
  <c r="GH236" i="24"/>
  <c r="FN51" i="24"/>
  <c r="FN302" i="24" s="1"/>
  <c r="GG51" i="24"/>
  <c r="FN55" i="24"/>
  <c r="FN240" i="24" s="1"/>
  <c r="GG55" i="24"/>
  <c r="EV18" i="24"/>
  <c r="EV203" i="24" s="1"/>
  <c r="FO18" i="24"/>
  <c r="EV236" i="24"/>
  <c r="EV302" i="24"/>
  <c r="EB55" i="24"/>
  <c r="EB240" i="24" s="1"/>
  <c r="EU55" i="24"/>
  <c r="EB51" i="24"/>
  <c r="EB236" i="24" s="1"/>
  <c r="EU51" i="24"/>
  <c r="EC236" i="24"/>
  <c r="EB18" i="24"/>
  <c r="EB269" i="24" s="1"/>
  <c r="EU18" i="24"/>
  <c r="CQ302" i="24"/>
  <c r="P35" i="48"/>
  <c r="P15" i="48"/>
  <c r="Q8" i="48"/>
  <c r="Q28" i="48"/>
  <c r="P28" i="48"/>
  <c r="Q33" i="48"/>
  <c r="Q31" i="48"/>
  <c r="Q4" i="48"/>
  <c r="DJ18" i="24"/>
  <c r="DJ203" i="24" s="1"/>
  <c r="EC18" i="24"/>
  <c r="CP55" i="24"/>
  <c r="CP306" i="24" s="1"/>
  <c r="DI55" i="24"/>
  <c r="DJ302" i="24"/>
  <c r="DJ236" i="24"/>
  <c r="CP51" i="24"/>
  <c r="CP236" i="24" s="1"/>
  <c r="DI51" i="24"/>
  <c r="CP18" i="24"/>
  <c r="CP269" i="24" s="1"/>
  <c r="DI18" i="24"/>
  <c r="BX18" i="24"/>
  <c r="BX111" i="24" s="1"/>
  <c r="CQ18" i="24"/>
  <c r="BX302" i="24"/>
  <c r="BX236" i="24"/>
  <c r="BD55" i="24"/>
  <c r="BW55" i="24"/>
  <c r="BW51" i="24"/>
  <c r="BD18" i="24"/>
  <c r="BD269" i="24" s="1"/>
  <c r="BW18" i="24"/>
  <c r="C306" i="37"/>
  <c r="BE18" i="24"/>
  <c r="BE269" i="24" s="1"/>
  <c r="C283" i="37"/>
  <c r="Q27" i="10"/>
  <c r="Q40" i="10"/>
  <c r="Q47" i="10" s="1"/>
  <c r="Q11" i="48"/>
  <c r="P26" i="48"/>
  <c r="P30" i="48"/>
  <c r="P7" i="48"/>
  <c r="P27" i="48"/>
  <c r="P27" i="10"/>
  <c r="Q29" i="48"/>
  <c r="Q25" i="48"/>
  <c r="P12" i="48"/>
  <c r="C287" i="37"/>
  <c r="Q57" i="10"/>
  <c r="Q15" i="48"/>
  <c r="Q12" i="48"/>
  <c r="P11" i="48"/>
  <c r="P9" i="48"/>
  <c r="Q6" i="48"/>
  <c r="P36" i="48"/>
  <c r="Q36" i="48"/>
  <c r="Q35" i="48"/>
  <c r="P33" i="48"/>
  <c r="Q27" i="48"/>
  <c r="Q26" i="48"/>
  <c r="P5" i="48"/>
  <c r="P14" i="48"/>
  <c r="Q7" i="48"/>
  <c r="P25" i="48"/>
  <c r="Q46" i="27"/>
  <c r="Q64" i="24"/>
  <c r="P38" i="27"/>
  <c r="Q55" i="24"/>
  <c r="P16" i="48"/>
  <c r="Q16" i="48"/>
  <c r="P10" i="48"/>
  <c r="P4" i="48"/>
  <c r="P37" i="48"/>
  <c r="Q37" i="48"/>
  <c r="P32" i="48"/>
  <c r="C304" i="37"/>
  <c r="C289" i="37"/>
  <c r="P112" i="10"/>
  <c r="P14" i="24" s="1"/>
  <c r="Q17" i="48"/>
  <c r="P17" i="48"/>
  <c r="C282" i="37"/>
  <c r="C301" i="37"/>
  <c r="C288" i="37"/>
  <c r="P64" i="24"/>
  <c r="P46" i="27"/>
  <c r="Q30" i="48"/>
  <c r="P8" i="48"/>
  <c r="Q5" i="48"/>
  <c r="Q14" i="48"/>
  <c r="Q51" i="10"/>
  <c r="Q100" i="10" s="1"/>
  <c r="Q38" i="48"/>
  <c r="P38" i="48"/>
  <c r="Q10" i="48"/>
  <c r="Q56" i="10"/>
  <c r="P43" i="27"/>
  <c r="Q11" i="24"/>
  <c r="Q9" i="24" s="1"/>
  <c r="C302" i="37"/>
  <c r="P6" i="48"/>
  <c r="Q9" i="48"/>
  <c r="Q101" i="10"/>
  <c r="P57" i="10"/>
  <c r="P56" i="10"/>
  <c r="P51" i="10"/>
  <c r="P100" i="10" s="1"/>
  <c r="P50" i="10"/>
  <c r="P40" i="10"/>
  <c r="IM203" i="24" l="1"/>
  <c r="IL197" i="24"/>
  <c r="MV14" i="24"/>
  <c r="MC14" i="24"/>
  <c r="LJ14" i="24"/>
  <c r="NO14" i="24"/>
  <c r="IL14" i="24"/>
  <c r="IL199" i="24" s="1"/>
  <c r="JE14" i="24"/>
  <c r="KQ14" i="24"/>
  <c r="JX14" i="24"/>
  <c r="IL240" i="24"/>
  <c r="NO64" i="24"/>
  <c r="MC64" i="24"/>
  <c r="LJ64" i="24"/>
  <c r="KQ64" i="24"/>
  <c r="MV64" i="24"/>
  <c r="IL64" i="24"/>
  <c r="IL249" i="24" s="1"/>
  <c r="JE64" i="24"/>
  <c r="JX64" i="24"/>
  <c r="NP55" i="24"/>
  <c r="MD55" i="24"/>
  <c r="LK55" i="24"/>
  <c r="KR55" i="24"/>
  <c r="MW55" i="24"/>
  <c r="IM55" i="24"/>
  <c r="JF55" i="24"/>
  <c r="JY55" i="24"/>
  <c r="HT64" i="24"/>
  <c r="HT315" i="24" s="1"/>
  <c r="NP64" i="24"/>
  <c r="MD64" i="24"/>
  <c r="LK64" i="24"/>
  <c r="KR64" i="24"/>
  <c r="MW64" i="24"/>
  <c r="IM64" i="24"/>
  <c r="IM249" i="24" s="1"/>
  <c r="JF64" i="24"/>
  <c r="JY64" i="24"/>
  <c r="IM197" i="24"/>
  <c r="GZ306" i="24"/>
  <c r="GZ64" i="24"/>
  <c r="GZ315" i="24" s="1"/>
  <c r="HS64" i="24"/>
  <c r="HA55" i="24"/>
  <c r="HA240" i="24" s="1"/>
  <c r="HT55" i="24"/>
  <c r="GZ203" i="24"/>
  <c r="HS302" i="24"/>
  <c r="HS236" i="24"/>
  <c r="HS269" i="24"/>
  <c r="HS203" i="24"/>
  <c r="FN306" i="24"/>
  <c r="GH203" i="24"/>
  <c r="GH64" i="24"/>
  <c r="GH315" i="24" s="1"/>
  <c r="HA64" i="24"/>
  <c r="HA269" i="24"/>
  <c r="HA203" i="24"/>
  <c r="FN236" i="24"/>
  <c r="GG302" i="24"/>
  <c r="GG236" i="24"/>
  <c r="FO55" i="24"/>
  <c r="FO240" i="24" s="1"/>
  <c r="GH55" i="24"/>
  <c r="GG240" i="24"/>
  <c r="GG306" i="24"/>
  <c r="FN203" i="24"/>
  <c r="FN64" i="24"/>
  <c r="FN249" i="24" s="1"/>
  <c r="GG64" i="24"/>
  <c r="GG269" i="24"/>
  <c r="GG203" i="24"/>
  <c r="EB203" i="24"/>
  <c r="EV269" i="24"/>
  <c r="EB306" i="24"/>
  <c r="FO203" i="24"/>
  <c r="FO269" i="24"/>
  <c r="EV64" i="24"/>
  <c r="EV315" i="24" s="1"/>
  <c r="FO64" i="24"/>
  <c r="EU306" i="24"/>
  <c r="EU240" i="24"/>
  <c r="DJ269" i="24"/>
  <c r="EU269" i="24"/>
  <c r="EU203" i="24"/>
  <c r="EB302" i="24"/>
  <c r="EB64" i="24"/>
  <c r="EB315" i="24" s="1"/>
  <c r="EU64" i="24"/>
  <c r="EC55" i="24"/>
  <c r="EC306" i="24" s="1"/>
  <c r="EV55" i="24"/>
  <c r="CP240" i="24"/>
  <c r="EU236" i="24"/>
  <c r="EU302" i="24"/>
  <c r="CP203" i="24"/>
  <c r="DJ64" i="24"/>
  <c r="DJ315" i="24" s="1"/>
  <c r="EC64" i="24"/>
  <c r="CP302" i="24"/>
  <c r="EC269" i="24"/>
  <c r="EC203" i="24"/>
  <c r="BX269" i="24"/>
  <c r="DI240" i="24"/>
  <c r="DI306" i="24"/>
  <c r="DI269" i="24"/>
  <c r="DI203" i="24"/>
  <c r="BX203" i="24"/>
  <c r="CP64" i="24"/>
  <c r="CP249" i="24" s="1"/>
  <c r="DI64" i="24"/>
  <c r="DI302" i="24"/>
  <c r="DI236" i="24"/>
  <c r="CQ55" i="24"/>
  <c r="CQ306" i="24" s="1"/>
  <c r="DJ55" i="24"/>
  <c r="CQ269" i="24"/>
  <c r="CQ203" i="24"/>
  <c r="BX64" i="24"/>
  <c r="BX315" i="24" s="1"/>
  <c r="CQ64" i="24"/>
  <c r="BD240" i="24"/>
  <c r="BD306" i="24"/>
  <c r="BW111" i="24"/>
  <c r="BW269" i="24"/>
  <c r="BW203" i="24"/>
  <c r="BW302" i="24"/>
  <c r="BW236" i="24"/>
  <c r="BW306" i="24"/>
  <c r="BW240" i="24"/>
  <c r="BD111" i="24"/>
  <c r="BD203" i="24"/>
  <c r="BE111" i="24"/>
  <c r="BE203" i="24"/>
  <c r="BE55" i="24"/>
  <c r="BX55" i="24"/>
  <c r="BD64" i="24"/>
  <c r="BW64" i="24"/>
  <c r="C285" i="37"/>
  <c r="BE64" i="24"/>
  <c r="P11" i="24"/>
  <c r="P9" i="24" s="1"/>
  <c r="Q19" i="27"/>
  <c r="Q92" i="10"/>
  <c r="Q94" i="10" s="1"/>
  <c r="Q106" i="10" s="1"/>
  <c r="Q42" i="27" s="1"/>
  <c r="Q21" i="10"/>
  <c r="Q29" i="10" s="1"/>
  <c r="C295" i="37"/>
  <c r="P58" i="24"/>
  <c r="P40" i="27"/>
  <c r="Q113" i="10"/>
  <c r="Q59" i="24" s="1"/>
  <c r="Q57" i="24"/>
  <c r="Q41" i="27"/>
  <c r="P92" i="10"/>
  <c r="P94" i="10" s="1"/>
  <c r="P106" i="10" s="1"/>
  <c r="P19" i="27"/>
  <c r="Q40" i="27"/>
  <c r="Q58" i="24"/>
  <c r="P101" i="10"/>
  <c r="P113" i="10" s="1"/>
  <c r="P59" i="24" s="1"/>
  <c r="P47" i="10"/>
  <c r="P21" i="10"/>
  <c r="P29" i="10" s="1"/>
  <c r="HT249" i="24" l="1"/>
  <c r="GZ249" i="24"/>
  <c r="NP57" i="24"/>
  <c r="MW57" i="24"/>
  <c r="MD57" i="24"/>
  <c r="LK57" i="24"/>
  <c r="KR57" i="24"/>
  <c r="IM57" i="24"/>
  <c r="IM242" i="24" s="1"/>
  <c r="JF57" i="24"/>
  <c r="JY57" i="24"/>
  <c r="NO59" i="24"/>
  <c r="MV59" i="24"/>
  <c r="MC59" i="24"/>
  <c r="LJ59" i="24"/>
  <c r="KQ59" i="24"/>
  <c r="JX59" i="24"/>
  <c r="IL59" i="24"/>
  <c r="IL244" i="24" s="1"/>
  <c r="JE59" i="24"/>
  <c r="NP58" i="24"/>
  <c r="MD58" i="24"/>
  <c r="LK58" i="24"/>
  <c r="KR58" i="24"/>
  <c r="MW58" i="24"/>
  <c r="IM58" i="24"/>
  <c r="IM243" i="24" s="1"/>
  <c r="JF58" i="24"/>
  <c r="JY58" i="24"/>
  <c r="NO58" i="24"/>
  <c r="MC58" i="24"/>
  <c r="LJ58" i="24"/>
  <c r="KQ58" i="24"/>
  <c r="MV58" i="24"/>
  <c r="IL58" i="24"/>
  <c r="IL243" i="24" s="1"/>
  <c r="JE58" i="24"/>
  <c r="JX58" i="24"/>
  <c r="IM240" i="24"/>
  <c r="NP59" i="24"/>
  <c r="MW59" i="24"/>
  <c r="MD59" i="24"/>
  <c r="LK59" i="24"/>
  <c r="KR59" i="24"/>
  <c r="IM59" i="24"/>
  <c r="IM244" i="24" s="1"/>
  <c r="JF59" i="24"/>
  <c r="JY59" i="24"/>
  <c r="NP52" i="24"/>
  <c r="NP49" i="24" s="1"/>
  <c r="HA306" i="24"/>
  <c r="FN315" i="24"/>
  <c r="GH249" i="24"/>
  <c r="FO306" i="24"/>
  <c r="HS315" i="24"/>
  <c r="HS249" i="24"/>
  <c r="HA249" i="24"/>
  <c r="HA315" i="24"/>
  <c r="GG249" i="24"/>
  <c r="GG315" i="24"/>
  <c r="GH240" i="24"/>
  <c r="GH306" i="24"/>
  <c r="EC240" i="24"/>
  <c r="EV249" i="24"/>
  <c r="FO249" i="24"/>
  <c r="FO315" i="24"/>
  <c r="DJ249" i="24"/>
  <c r="EB249" i="24"/>
  <c r="EV306" i="24"/>
  <c r="EV240" i="24"/>
  <c r="EU315" i="24"/>
  <c r="EU249" i="24"/>
  <c r="CQ240" i="24"/>
  <c r="EC249" i="24"/>
  <c r="EC315" i="24"/>
  <c r="DJ240" i="24"/>
  <c r="DJ306" i="24"/>
  <c r="CP315" i="24"/>
  <c r="DI249" i="24"/>
  <c r="DI315" i="24"/>
  <c r="BX249" i="24"/>
  <c r="CQ315" i="24"/>
  <c r="CQ249" i="24"/>
  <c r="BD249" i="24"/>
  <c r="BD315" i="24"/>
  <c r="BE249" i="24"/>
  <c r="BE315" i="24"/>
  <c r="BW315" i="24"/>
  <c r="BW249" i="24"/>
  <c r="BX306" i="24"/>
  <c r="BX240" i="24"/>
  <c r="BE240" i="24"/>
  <c r="BE306" i="24"/>
  <c r="C297" i="37"/>
  <c r="C298" i="37"/>
  <c r="Q62" i="24"/>
  <c r="Q30" i="10"/>
  <c r="Q31" i="10" s="1"/>
  <c r="Q52" i="24"/>
  <c r="Q5" i="27"/>
  <c r="P62" i="24"/>
  <c r="P42" i="27"/>
  <c r="P41" i="27"/>
  <c r="P57" i="24"/>
  <c r="P30" i="10"/>
  <c r="C299" i="37"/>
  <c r="C293" i="37"/>
  <c r="Q6" i="27"/>
  <c r="L72" i="39"/>
  <c r="N72" i="39"/>
  <c r="O72" i="39"/>
  <c r="P72" i="39"/>
  <c r="Q72" i="39"/>
  <c r="R72" i="39"/>
  <c r="S72" i="39"/>
  <c r="T72" i="39"/>
  <c r="U72" i="39"/>
  <c r="V72" i="39"/>
  <c r="L73" i="39"/>
  <c r="N73" i="39"/>
  <c r="O73" i="39"/>
  <c r="P73" i="39"/>
  <c r="Q73" i="39"/>
  <c r="R73" i="39"/>
  <c r="S73" i="39"/>
  <c r="T73" i="39"/>
  <c r="U73" i="39"/>
  <c r="V73" i="39"/>
  <c r="L74" i="39"/>
  <c r="N74" i="39"/>
  <c r="O74" i="39"/>
  <c r="P74" i="39"/>
  <c r="Q74" i="39"/>
  <c r="R74" i="39"/>
  <c r="S74" i="39"/>
  <c r="T74" i="39"/>
  <c r="U74" i="39"/>
  <c r="V74" i="39"/>
  <c r="L75" i="39"/>
  <c r="N75" i="39"/>
  <c r="O75" i="39"/>
  <c r="P75" i="39"/>
  <c r="Q75" i="39"/>
  <c r="R75" i="39"/>
  <c r="S75" i="39"/>
  <c r="T75" i="39"/>
  <c r="U75" i="39"/>
  <c r="V75" i="39"/>
  <c r="L76" i="39"/>
  <c r="N78" i="39"/>
  <c r="O78" i="39"/>
  <c r="P78" i="39"/>
  <c r="Q78" i="39"/>
  <c r="R78" i="39"/>
  <c r="S78" i="39"/>
  <c r="T78" i="39"/>
  <c r="U78" i="39"/>
  <c r="V78" i="39"/>
  <c r="N79" i="39"/>
  <c r="O79" i="39"/>
  <c r="P79" i="39"/>
  <c r="Q79" i="39"/>
  <c r="R79" i="39"/>
  <c r="S79" i="39"/>
  <c r="T79" i="39"/>
  <c r="U79" i="39"/>
  <c r="V79" i="39"/>
  <c r="N80" i="39"/>
  <c r="O80" i="39"/>
  <c r="P80" i="39"/>
  <c r="Q80" i="39"/>
  <c r="R80" i="39"/>
  <c r="S80" i="39"/>
  <c r="T80" i="39"/>
  <c r="U80" i="39"/>
  <c r="V80" i="39"/>
  <c r="N83" i="39"/>
  <c r="O83" i="39"/>
  <c r="P83" i="39"/>
  <c r="Q83" i="39"/>
  <c r="R83" i="39"/>
  <c r="S83" i="39"/>
  <c r="T83" i="39"/>
  <c r="U83" i="39"/>
  <c r="V83" i="39"/>
  <c r="N84" i="39"/>
  <c r="O84" i="39"/>
  <c r="P84" i="39"/>
  <c r="Q84" i="39"/>
  <c r="R84" i="39"/>
  <c r="S84" i="39"/>
  <c r="T84" i="39"/>
  <c r="U84" i="39"/>
  <c r="V84" i="39"/>
  <c r="N85" i="39"/>
  <c r="O85" i="39"/>
  <c r="P85" i="39"/>
  <c r="Q85" i="39"/>
  <c r="R85" i="39"/>
  <c r="S85" i="39"/>
  <c r="T85" i="39"/>
  <c r="U85" i="39"/>
  <c r="V85" i="39"/>
  <c r="N86" i="39"/>
  <c r="O86" i="39"/>
  <c r="P86" i="39"/>
  <c r="Q86" i="39"/>
  <c r="R86" i="39"/>
  <c r="S86" i="39"/>
  <c r="T86" i="39"/>
  <c r="U86" i="39"/>
  <c r="V86" i="39"/>
  <c r="N87" i="39"/>
  <c r="O87" i="39"/>
  <c r="P87" i="39"/>
  <c r="Q87" i="39"/>
  <c r="R87" i="39"/>
  <c r="S87" i="39"/>
  <c r="T87" i="39"/>
  <c r="U87" i="39"/>
  <c r="V87" i="39"/>
  <c r="N88" i="39"/>
  <c r="O88" i="39"/>
  <c r="P88" i="39"/>
  <c r="Q88" i="39"/>
  <c r="R88" i="39"/>
  <c r="S88" i="39"/>
  <c r="T88" i="39"/>
  <c r="U88" i="39"/>
  <c r="V88" i="39"/>
  <c r="N71" i="39"/>
  <c r="O71" i="39"/>
  <c r="P71" i="39"/>
  <c r="Q71" i="39"/>
  <c r="R71" i="39"/>
  <c r="S71" i="39"/>
  <c r="T71" i="39"/>
  <c r="U71" i="39"/>
  <c r="V71" i="39"/>
  <c r="L71" i="39"/>
  <c r="L39" i="39"/>
  <c r="N39" i="39"/>
  <c r="O39" i="39"/>
  <c r="P39" i="39"/>
  <c r="Q39" i="39"/>
  <c r="R39" i="39"/>
  <c r="S39" i="39"/>
  <c r="T39" i="39"/>
  <c r="U39" i="39"/>
  <c r="V39" i="39"/>
  <c r="L40" i="39"/>
  <c r="N40" i="39"/>
  <c r="O40" i="39"/>
  <c r="P40" i="39"/>
  <c r="Q40" i="39"/>
  <c r="R40" i="39"/>
  <c r="S40" i="39"/>
  <c r="T40" i="39"/>
  <c r="U40" i="39"/>
  <c r="V40" i="39"/>
  <c r="L41" i="39"/>
  <c r="N41" i="39"/>
  <c r="O41" i="39"/>
  <c r="P41" i="39"/>
  <c r="Q41" i="39"/>
  <c r="R41" i="39"/>
  <c r="S41" i="39"/>
  <c r="T41" i="39"/>
  <c r="U41" i="39"/>
  <c r="V41" i="39"/>
  <c r="L42" i="39"/>
  <c r="N42" i="39"/>
  <c r="O42" i="39"/>
  <c r="P42" i="39"/>
  <c r="Q42" i="39"/>
  <c r="R42" i="39"/>
  <c r="S42" i="39"/>
  <c r="T42" i="39"/>
  <c r="U42" i="39"/>
  <c r="V42" i="39"/>
  <c r="L45" i="39"/>
  <c r="N45" i="39"/>
  <c r="O45" i="39"/>
  <c r="P45" i="39"/>
  <c r="Q45" i="39"/>
  <c r="R45" i="39"/>
  <c r="S45" i="39"/>
  <c r="T45" i="39"/>
  <c r="U45" i="39"/>
  <c r="V45" i="39"/>
  <c r="L46" i="39"/>
  <c r="N46" i="39"/>
  <c r="O46" i="39"/>
  <c r="P46" i="39"/>
  <c r="Q46" i="39"/>
  <c r="R46" i="39"/>
  <c r="S46" i="39"/>
  <c r="T46" i="39"/>
  <c r="U46" i="39"/>
  <c r="V46" i="39"/>
  <c r="L47" i="39"/>
  <c r="N47" i="39"/>
  <c r="O47" i="39"/>
  <c r="P47" i="39"/>
  <c r="Q47" i="39"/>
  <c r="S47" i="39"/>
  <c r="T47" i="39"/>
  <c r="U47" i="39"/>
  <c r="V47" i="39"/>
  <c r="L48" i="39"/>
  <c r="L50" i="39"/>
  <c r="N50" i="39"/>
  <c r="O50" i="39"/>
  <c r="P50" i="39"/>
  <c r="Q50" i="39"/>
  <c r="R50" i="39"/>
  <c r="S50" i="39"/>
  <c r="T50" i="39"/>
  <c r="U50" i="39"/>
  <c r="V50" i="39"/>
  <c r="L51" i="39"/>
  <c r="N51" i="39"/>
  <c r="O51" i="39"/>
  <c r="P51" i="39"/>
  <c r="Q51" i="39"/>
  <c r="R51" i="39"/>
  <c r="S51" i="39"/>
  <c r="T51" i="39"/>
  <c r="U51" i="39"/>
  <c r="V51" i="39"/>
  <c r="L52" i="39"/>
  <c r="N52" i="39"/>
  <c r="O52" i="39"/>
  <c r="P52" i="39"/>
  <c r="Q52" i="39"/>
  <c r="R52" i="39"/>
  <c r="S52" i="39"/>
  <c r="T52" i="39"/>
  <c r="U52" i="39"/>
  <c r="V52" i="39"/>
  <c r="L53" i="39"/>
  <c r="N53" i="39"/>
  <c r="O53" i="39"/>
  <c r="P53" i="39"/>
  <c r="Q53" i="39"/>
  <c r="R53" i="39"/>
  <c r="S53" i="39"/>
  <c r="T53" i="39"/>
  <c r="U53" i="39"/>
  <c r="V53" i="39"/>
  <c r="L54" i="39"/>
  <c r="N54" i="39"/>
  <c r="O54" i="39"/>
  <c r="P54" i="39"/>
  <c r="Q54" i="39"/>
  <c r="R54" i="39"/>
  <c r="S54" i="39"/>
  <c r="T54" i="39"/>
  <c r="U54" i="39"/>
  <c r="V54" i="39"/>
  <c r="L55" i="39"/>
  <c r="N55" i="39"/>
  <c r="O55" i="39"/>
  <c r="P55" i="39"/>
  <c r="Q55" i="39"/>
  <c r="R55" i="39"/>
  <c r="S55" i="39"/>
  <c r="T55" i="39"/>
  <c r="U55" i="39"/>
  <c r="V55" i="39"/>
  <c r="L59" i="39"/>
  <c r="N59" i="39"/>
  <c r="O59" i="39"/>
  <c r="P59" i="39"/>
  <c r="Q59" i="39"/>
  <c r="R59" i="39"/>
  <c r="S59" i="39"/>
  <c r="T59" i="39"/>
  <c r="U59" i="39"/>
  <c r="V59" i="39"/>
  <c r="L60" i="39"/>
  <c r="N60" i="39"/>
  <c r="O60" i="39"/>
  <c r="P60" i="39"/>
  <c r="Q60" i="39"/>
  <c r="R60" i="39"/>
  <c r="S60" i="39"/>
  <c r="T60" i="39"/>
  <c r="U60" i="39"/>
  <c r="V60" i="39"/>
  <c r="L61" i="39"/>
  <c r="N61" i="39"/>
  <c r="O61" i="39"/>
  <c r="P61" i="39"/>
  <c r="Q61" i="39"/>
  <c r="R61" i="39"/>
  <c r="S61" i="39"/>
  <c r="T61" i="39"/>
  <c r="U61" i="39"/>
  <c r="V61" i="39"/>
  <c r="L62" i="39"/>
  <c r="L65" i="39"/>
  <c r="N65" i="39"/>
  <c r="O65" i="39"/>
  <c r="P65" i="39"/>
  <c r="Q65" i="39"/>
  <c r="R65" i="39"/>
  <c r="S65" i="39"/>
  <c r="T65" i="39"/>
  <c r="U65" i="39"/>
  <c r="V65" i="39"/>
  <c r="L67" i="39"/>
  <c r="N67" i="39"/>
  <c r="O67" i="39"/>
  <c r="P67" i="39"/>
  <c r="Q67" i="39"/>
  <c r="R67" i="39"/>
  <c r="S67" i="39"/>
  <c r="T67" i="39"/>
  <c r="U67" i="39"/>
  <c r="V67" i="39"/>
  <c r="L68" i="39"/>
  <c r="N68" i="39"/>
  <c r="O68" i="39"/>
  <c r="P68" i="39"/>
  <c r="Q68" i="39"/>
  <c r="R68" i="39"/>
  <c r="S68" i="39"/>
  <c r="T68" i="39"/>
  <c r="U68" i="39"/>
  <c r="V68" i="39"/>
  <c r="N38" i="39"/>
  <c r="O38" i="39"/>
  <c r="P38" i="39"/>
  <c r="Q38" i="39"/>
  <c r="R38" i="39"/>
  <c r="S38" i="39"/>
  <c r="T38" i="39"/>
  <c r="U38" i="39"/>
  <c r="H258" i="37"/>
  <c r="H231" i="37"/>
  <c r="H225" i="37"/>
  <c r="H220" i="37"/>
  <c r="H184" i="37"/>
  <c r="H178" i="37"/>
  <c r="H173" i="37"/>
  <c r="H136" i="37"/>
  <c r="H126" i="37"/>
  <c r="H115" i="37"/>
  <c r="H88" i="37"/>
  <c r="H78" i="37"/>
  <c r="H67" i="37"/>
  <c r="H38" i="37"/>
  <c r="H34" i="37"/>
  <c r="H29" i="37"/>
  <c r="H19" i="37"/>
  <c r="LK52" i="24" l="1"/>
  <c r="LK49" i="24" s="1"/>
  <c r="MW52" i="24"/>
  <c r="MW49" i="24" s="1"/>
  <c r="O91" i="39"/>
  <c r="KR52" i="24"/>
  <c r="KR49" i="24" s="1"/>
  <c r="T58" i="39"/>
  <c r="S91" i="39"/>
  <c r="Q91" i="39"/>
  <c r="V91" i="39"/>
  <c r="P58" i="39"/>
  <c r="JF52" i="24"/>
  <c r="JF49" i="24" s="1"/>
  <c r="MD52" i="24"/>
  <c r="MD49" i="24" s="1"/>
  <c r="JY52" i="24"/>
  <c r="JY49" i="24" s="1"/>
  <c r="NO62" i="24"/>
  <c r="MV62" i="24"/>
  <c r="MC62" i="24"/>
  <c r="LJ62" i="24"/>
  <c r="KQ62" i="24"/>
  <c r="JX62" i="24"/>
  <c r="JE62" i="24"/>
  <c r="IL62" i="24"/>
  <c r="IL247" i="24" s="1"/>
  <c r="IM52" i="24"/>
  <c r="IM49" i="24" s="1"/>
  <c r="NP62" i="24"/>
  <c r="MW62" i="24"/>
  <c r="MD62" i="24"/>
  <c r="JY62" i="24"/>
  <c r="JF62" i="24"/>
  <c r="IM62" i="24"/>
  <c r="IM247" i="24" s="1"/>
  <c r="LK62" i="24"/>
  <c r="KR62" i="24"/>
  <c r="IM237" i="24"/>
  <c r="IM234" i="24" s="1"/>
  <c r="NO57" i="24"/>
  <c r="NO52" i="24" s="1"/>
  <c r="NO49" i="24" s="1"/>
  <c r="MV57" i="24"/>
  <c r="MV52" i="24" s="1"/>
  <c r="MV49" i="24" s="1"/>
  <c r="MC57" i="24"/>
  <c r="MC52" i="24" s="1"/>
  <c r="MC49" i="24" s="1"/>
  <c r="LJ57" i="24"/>
  <c r="LJ52" i="24" s="1"/>
  <c r="LJ49" i="24" s="1"/>
  <c r="KQ57" i="24"/>
  <c r="KQ52" i="24" s="1"/>
  <c r="KQ49" i="24" s="1"/>
  <c r="JX57" i="24"/>
  <c r="JX52" i="24" s="1"/>
  <c r="JX49" i="24" s="1"/>
  <c r="IL57" i="24"/>
  <c r="JE57" i="24"/>
  <c r="JE52" i="24" s="1"/>
  <c r="JE49" i="24" s="1"/>
  <c r="GZ62" i="24"/>
  <c r="GZ313" i="24" s="1"/>
  <c r="HS62" i="24"/>
  <c r="HA62" i="24"/>
  <c r="HA247" i="24" s="1"/>
  <c r="HT62" i="24"/>
  <c r="FN62" i="24"/>
  <c r="FN313" i="24" s="1"/>
  <c r="GG62" i="24"/>
  <c r="FO62" i="24"/>
  <c r="FO247" i="24" s="1"/>
  <c r="GH62" i="24"/>
  <c r="EB62" i="24"/>
  <c r="EB247" i="24" s="1"/>
  <c r="EU62" i="24"/>
  <c r="EC62" i="24"/>
  <c r="EC247" i="24" s="1"/>
  <c r="EV62" i="24"/>
  <c r="L58" i="39"/>
  <c r="L91" i="39"/>
  <c r="CQ62" i="24"/>
  <c r="CQ313" i="24" s="1"/>
  <c r="DJ62" i="24"/>
  <c r="CP62" i="24"/>
  <c r="CP313" i="24" s="1"/>
  <c r="DI62" i="24"/>
  <c r="BX62" i="24"/>
  <c r="BW62" i="24"/>
  <c r="P52" i="24"/>
  <c r="P49" i="24" s="1"/>
  <c r="P6" i="24" s="1"/>
  <c r="P7" i="24" s="1"/>
  <c r="C284" i="37"/>
  <c r="C292" i="37"/>
  <c r="Q49" i="24"/>
  <c r="C281" i="37" s="1"/>
  <c r="P31" i="10"/>
  <c r="P5" i="27"/>
  <c r="V58" i="39"/>
  <c r="S58" i="39"/>
  <c r="Q58" i="39"/>
  <c r="V58" i="51" l="1"/>
  <c r="U58" i="51"/>
  <c r="P91" i="39"/>
  <c r="N91" i="39"/>
  <c r="T91" i="39"/>
  <c r="N58" i="39"/>
  <c r="HA313" i="24"/>
  <c r="GZ247" i="24"/>
  <c r="IL242" i="24"/>
  <c r="IL237" i="24" s="1"/>
  <c r="IL234" i="24" s="1"/>
  <c r="IL52" i="24"/>
  <c r="IL49" i="24" s="1"/>
  <c r="HT313" i="24"/>
  <c r="HT247" i="24"/>
  <c r="HS313" i="24"/>
  <c r="HS247" i="24"/>
  <c r="FN247" i="24"/>
  <c r="GG247" i="24"/>
  <c r="GG313" i="24"/>
  <c r="FO313" i="24"/>
  <c r="GH247" i="24"/>
  <c r="GH313" i="24"/>
  <c r="EC313" i="24"/>
  <c r="EU313" i="24"/>
  <c r="EU247" i="24"/>
  <c r="EB313" i="24"/>
  <c r="EV313" i="24"/>
  <c r="EV247" i="24"/>
  <c r="U58" i="39"/>
  <c r="U91" i="39"/>
  <c r="R58" i="39"/>
  <c r="R91" i="39"/>
  <c r="CQ247" i="24"/>
  <c r="DI247" i="24"/>
  <c r="DI313" i="24"/>
  <c r="CP247" i="24"/>
  <c r="DJ247" i="24"/>
  <c r="DJ313" i="24"/>
  <c r="BW313" i="24"/>
  <c r="BW247" i="24"/>
  <c r="BX313" i="24"/>
  <c r="BX247" i="24"/>
  <c r="Q6" i="24"/>
  <c r="Q7" i="24" s="1"/>
  <c r="P6" i="27"/>
  <c r="O58" i="39"/>
  <c r="L56" i="39"/>
  <c r="BB200" i="24"/>
  <c r="BC200" i="24"/>
  <c r="AA58" i="51" l="1"/>
  <c r="AE58" i="51"/>
  <c r="AF58" i="51"/>
  <c r="AB58" i="51"/>
  <c r="AC58" i="51"/>
  <c r="Y58" i="51"/>
  <c r="Z58" i="51"/>
  <c r="AD58" i="51"/>
  <c r="M89" i="39"/>
  <c r="W62" i="24"/>
  <c r="M56" i="39"/>
  <c r="M28" i="39"/>
  <c r="M94" i="39" s="1"/>
  <c r="W41" i="24"/>
  <c r="M5" i="39"/>
  <c r="M41" i="36"/>
  <c r="X57" i="24"/>
  <c r="Y57" i="24"/>
  <c r="Z57" i="24"/>
  <c r="AA57" i="24"/>
  <c r="AB57" i="24"/>
  <c r="AC57" i="24"/>
  <c r="AD57" i="24"/>
  <c r="AE57" i="24"/>
  <c r="AF57" i="24"/>
  <c r="X12" i="24"/>
  <c r="Y12" i="24"/>
  <c r="Z12" i="24"/>
  <c r="AA12" i="24"/>
  <c r="AB12" i="24"/>
  <c r="AC12" i="24"/>
  <c r="AD12" i="24"/>
  <c r="AE12" i="24"/>
  <c r="AF12" i="24"/>
  <c r="HR55" i="24"/>
  <c r="HR23" i="24"/>
  <c r="HR21" i="24"/>
  <c r="HR19" i="24"/>
  <c r="HQ55" i="24"/>
  <c r="HQ23" i="24"/>
  <c r="HQ21" i="24"/>
  <c r="HQ19" i="24"/>
  <c r="HP55" i="24"/>
  <c r="HP45" i="24"/>
  <c r="HP21" i="24"/>
  <c r="HO55" i="24"/>
  <c r="HO45" i="24"/>
  <c r="HO21" i="24"/>
  <c r="HN55" i="24"/>
  <c r="HN45" i="24"/>
  <c r="HN21" i="24"/>
  <c r="HM55" i="24"/>
  <c r="HM45" i="24"/>
  <c r="HM21" i="24"/>
  <c r="HL55" i="24"/>
  <c r="HL45" i="24"/>
  <c r="HK55" i="24"/>
  <c r="HK45" i="24"/>
  <c r="HJ55" i="24"/>
  <c r="HJ45" i="24"/>
  <c r="HI55" i="24"/>
  <c r="HI45" i="24"/>
  <c r="HH55" i="24"/>
  <c r="HH45" i="24"/>
  <c r="HH21" i="24"/>
  <c r="GY55" i="24"/>
  <c r="GY23" i="24"/>
  <c r="GY21" i="24"/>
  <c r="GY19" i="24"/>
  <c r="GX55" i="24"/>
  <c r="GX23" i="24"/>
  <c r="GX21" i="24"/>
  <c r="GX19" i="24"/>
  <c r="GW55" i="24"/>
  <c r="GW45" i="24"/>
  <c r="GW21" i="24"/>
  <c r="GV55" i="24"/>
  <c r="GV45" i="24"/>
  <c r="GV21" i="24"/>
  <c r="GU55" i="24"/>
  <c r="GU45" i="24"/>
  <c r="GU21" i="24"/>
  <c r="GT55" i="24"/>
  <c r="GT45" i="24"/>
  <c r="GT21" i="24"/>
  <c r="GS55" i="24"/>
  <c r="GS45" i="24"/>
  <c r="GR55" i="24"/>
  <c r="GR45" i="24"/>
  <c r="GQ55" i="24"/>
  <c r="GQ45" i="24"/>
  <c r="GP55" i="24"/>
  <c r="GP45" i="24"/>
  <c r="GO55" i="24"/>
  <c r="GO45" i="24"/>
  <c r="GO21" i="24"/>
  <c r="HG21" i="24"/>
  <c r="HG45" i="24"/>
  <c r="HG55" i="24"/>
  <c r="GN21" i="24"/>
  <c r="GN45" i="24"/>
  <c r="GN55" i="24"/>
  <c r="GF55" i="24"/>
  <c r="GF23" i="24"/>
  <c r="GF21" i="24"/>
  <c r="GF19" i="24"/>
  <c r="GE55" i="24"/>
  <c r="GE23" i="24"/>
  <c r="GE21" i="24"/>
  <c r="GE19" i="24"/>
  <c r="GD55" i="24"/>
  <c r="GD45" i="24"/>
  <c r="GD21" i="24"/>
  <c r="GC55" i="24"/>
  <c r="GC45" i="24"/>
  <c r="GC21" i="24"/>
  <c r="GB55" i="24"/>
  <c r="GB45" i="24"/>
  <c r="GB21" i="24"/>
  <c r="GA55" i="24"/>
  <c r="GA45" i="24"/>
  <c r="GA21" i="24"/>
  <c r="FZ55" i="24"/>
  <c r="FZ45" i="24"/>
  <c r="FY55" i="24"/>
  <c r="FY45" i="24"/>
  <c r="FX55" i="24"/>
  <c r="FX45" i="24"/>
  <c r="FW55" i="24"/>
  <c r="FW45" i="24"/>
  <c r="FV55" i="24"/>
  <c r="FV45" i="24"/>
  <c r="FV21" i="24"/>
  <c r="FU21" i="24"/>
  <c r="FU45" i="24"/>
  <c r="FU55" i="24"/>
  <c r="FM55" i="24"/>
  <c r="FM23" i="24"/>
  <c r="FM21" i="24"/>
  <c r="FM19" i="24"/>
  <c r="FL55" i="24"/>
  <c r="FL23" i="24"/>
  <c r="FL21" i="24"/>
  <c r="FL19" i="24"/>
  <c r="FK55" i="24"/>
  <c r="FK45" i="24"/>
  <c r="FK21" i="24"/>
  <c r="FJ55" i="24"/>
  <c r="FJ45" i="24"/>
  <c r="FJ21" i="24"/>
  <c r="FI55" i="24"/>
  <c r="FI45" i="24"/>
  <c r="FI21" i="24"/>
  <c r="FH55" i="24"/>
  <c r="FH45" i="24"/>
  <c r="FH21" i="24"/>
  <c r="FG55" i="24"/>
  <c r="FG45" i="24"/>
  <c r="FF55" i="24"/>
  <c r="FF45" i="24"/>
  <c r="FE55" i="24"/>
  <c r="FE45" i="24"/>
  <c r="FD55" i="24"/>
  <c r="FD45" i="24"/>
  <c r="FC55" i="24"/>
  <c r="FC45" i="24"/>
  <c r="FC21" i="24"/>
  <c r="FB55" i="24"/>
  <c r="FB45" i="24"/>
  <c r="FB21" i="24"/>
  <c r="AC10" i="24"/>
  <c r="AD10" i="24"/>
  <c r="AE10" i="24"/>
  <c r="AF10" i="24"/>
  <c r="AC13" i="24"/>
  <c r="AD13" i="24"/>
  <c r="AE13" i="24"/>
  <c r="AF13" i="24"/>
  <c r="AC14" i="24"/>
  <c r="AD14" i="24"/>
  <c r="AE14" i="24"/>
  <c r="AF14" i="24"/>
  <c r="AC17" i="24"/>
  <c r="AD17" i="24"/>
  <c r="AE17" i="24"/>
  <c r="AF17" i="24"/>
  <c r="AC20" i="24"/>
  <c r="FM20" i="24" s="1"/>
  <c r="AD20" i="24"/>
  <c r="AE20" i="24"/>
  <c r="AF20" i="24"/>
  <c r="AC24" i="24"/>
  <c r="AD24" i="24"/>
  <c r="AE24" i="24"/>
  <c r="AF24" i="24"/>
  <c r="AC25" i="24"/>
  <c r="FB25" i="24" s="1"/>
  <c r="AD25" i="24"/>
  <c r="AE25" i="24"/>
  <c r="AF25" i="24"/>
  <c r="HG25" i="24" s="1"/>
  <c r="AC26" i="24"/>
  <c r="AD26" i="24"/>
  <c r="AE26" i="24"/>
  <c r="AF26" i="24"/>
  <c r="AC27" i="24"/>
  <c r="AD27" i="24"/>
  <c r="AE27" i="24"/>
  <c r="AF27" i="24"/>
  <c r="AC29" i="24"/>
  <c r="FL29" i="24" s="1"/>
  <c r="AD29" i="24"/>
  <c r="GF29" i="24" s="1"/>
  <c r="AE29" i="24"/>
  <c r="AF29" i="24"/>
  <c r="AC30" i="24"/>
  <c r="AD30" i="24"/>
  <c r="AE30" i="24"/>
  <c r="AF30" i="24"/>
  <c r="AC31" i="24"/>
  <c r="AD31" i="24"/>
  <c r="AE31" i="24"/>
  <c r="AF31" i="24"/>
  <c r="AC32" i="24"/>
  <c r="AD32" i="24"/>
  <c r="AE32" i="24"/>
  <c r="AF32" i="24"/>
  <c r="AC37" i="24"/>
  <c r="AD37" i="24"/>
  <c r="AE37" i="24"/>
  <c r="AF37" i="24"/>
  <c r="AC38" i="24"/>
  <c r="AD38" i="24"/>
  <c r="AE38" i="24"/>
  <c r="AF38" i="24"/>
  <c r="AC40" i="24"/>
  <c r="AD40" i="24"/>
  <c r="AE40" i="24"/>
  <c r="AF40" i="24"/>
  <c r="AC41" i="24"/>
  <c r="AD41" i="24"/>
  <c r="AE41" i="24"/>
  <c r="AF41" i="24"/>
  <c r="AC42" i="24"/>
  <c r="AD42" i="24"/>
  <c r="AE42" i="24"/>
  <c r="AF42" i="24"/>
  <c r="AC43" i="24"/>
  <c r="AD43" i="24"/>
  <c r="AE43" i="24"/>
  <c r="AF43" i="24"/>
  <c r="AC44" i="24"/>
  <c r="AD44" i="24"/>
  <c r="AE44" i="24"/>
  <c r="AF44" i="24"/>
  <c r="AC50" i="24"/>
  <c r="AD50" i="24"/>
  <c r="AE50" i="24"/>
  <c r="AF50" i="24"/>
  <c r="AC54" i="24"/>
  <c r="AD54" i="24"/>
  <c r="AE54" i="24"/>
  <c r="AF54" i="24"/>
  <c r="AC58" i="24"/>
  <c r="AD58" i="24"/>
  <c r="AE58" i="24"/>
  <c r="AF58" i="24"/>
  <c r="AC59" i="24"/>
  <c r="AD59" i="24"/>
  <c r="AE59" i="24"/>
  <c r="AF59" i="24"/>
  <c r="AC60" i="24"/>
  <c r="AD60" i="24"/>
  <c r="AE60" i="24"/>
  <c r="AF60" i="24"/>
  <c r="AC61" i="24"/>
  <c r="AD61" i="24"/>
  <c r="AE61" i="24"/>
  <c r="AF61" i="24"/>
  <c r="AC66" i="24"/>
  <c r="AD66" i="24"/>
  <c r="AE66" i="24"/>
  <c r="AF66" i="24"/>
  <c r="AC67" i="24"/>
  <c r="AD67" i="24"/>
  <c r="AE67" i="24"/>
  <c r="AF67" i="24"/>
  <c r="E46" i="10"/>
  <c r="ET55" i="24"/>
  <c r="ET23" i="24"/>
  <c r="ET19" i="24"/>
  <c r="ES55" i="24"/>
  <c r="ES23" i="24"/>
  <c r="ES19" i="24"/>
  <c r="ER55" i="24"/>
  <c r="EQ55" i="24"/>
  <c r="EP55" i="24"/>
  <c r="EO55" i="24"/>
  <c r="EN55" i="24"/>
  <c r="EM55" i="24"/>
  <c r="EL55" i="24"/>
  <c r="EK55" i="24"/>
  <c r="EJ55" i="24"/>
  <c r="EI55" i="24"/>
  <c r="EA55" i="24"/>
  <c r="EA23" i="24"/>
  <c r="EA19" i="24"/>
  <c r="DZ55" i="24"/>
  <c r="DZ23" i="24"/>
  <c r="DZ19" i="24"/>
  <c r="DY55" i="24"/>
  <c r="DX55" i="24"/>
  <c r="DW55" i="24"/>
  <c r="DV55" i="24"/>
  <c r="DU55" i="24"/>
  <c r="DT55" i="24"/>
  <c r="DS55" i="24"/>
  <c r="DR55" i="24"/>
  <c r="DQ55" i="24"/>
  <c r="DP55" i="24"/>
  <c r="DH55" i="24"/>
  <c r="DH23" i="24"/>
  <c r="DH19" i="24"/>
  <c r="DG55" i="24"/>
  <c r="DG23" i="24"/>
  <c r="DG19" i="24"/>
  <c r="DF55" i="24"/>
  <c r="DE55" i="24"/>
  <c r="DD55" i="24"/>
  <c r="DC55" i="24"/>
  <c r="DB55" i="24"/>
  <c r="DA55" i="24"/>
  <c r="CZ55" i="24"/>
  <c r="CY55" i="24"/>
  <c r="CX55" i="24"/>
  <c r="CW55" i="24"/>
  <c r="CO55" i="24"/>
  <c r="CN55" i="24"/>
  <c r="CO23" i="24"/>
  <c r="CN23" i="24"/>
  <c r="CO19" i="24"/>
  <c r="CN19" i="24"/>
  <c r="CM55" i="24"/>
  <c r="CL55" i="24"/>
  <c r="CK55" i="24"/>
  <c r="CJ55" i="24"/>
  <c r="CI55" i="24"/>
  <c r="CH55" i="24"/>
  <c r="CG55" i="24"/>
  <c r="CF55" i="24"/>
  <c r="CE55" i="24"/>
  <c r="CD55" i="24"/>
  <c r="BV55" i="24"/>
  <c r="BU55" i="24"/>
  <c r="BV23" i="24"/>
  <c r="BU23" i="24"/>
  <c r="BV21" i="24"/>
  <c r="BU21" i="24"/>
  <c r="BV19" i="24"/>
  <c r="BU19" i="24"/>
  <c r="BT55" i="24"/>
  <c r="BS55" i="24"/>
  <c r="BT45" i="24"/>
  <c r="BS45" i="24"/>
  <c r="BT21" i="24"/>
  <c r="BS21" i="24"/>
  <c r="BR55" i="24"/>
  <c r="BQ55" i="24"/>
  <c r="BR45" i="24"/>
  <c r="BQ45" i="24"/>
  <c r="BR21" i="24"/>
  <c r="BQ21" i="24"/>
  <c r="BP55" i="24"/>
  <c r="BO55" i="24"/>
  <c r="BP45" i="24"/>
  <c r="BO45" i="24"/>
  <c r="BN55" i="24"/>
  <c r="BM55" i="24"/>
  <c r="BN45" i="24"/>
  <c r="BM45" i="24"/>
  <c r="BL55" i="24"/>
  <c r="BL45" i="24"/>
  <c r="BL21" i="24"/>
  <c r="BK45" i="24"/>
  <c r="BK21" i="24"/>
  <c r="BC55" i="24"/>
  <c r="BB55" i="24"/>
  <c r="BC23" i="24"/>
  <c r="BB23" i="24"/>
  <c r="BA55" i="24"/>
  <c r="AZ55" i="24"/>
  <c r="AY55" i="24"/>
  <c r="AX55" i="24"/>
  <c r="AW55" i="24"/>
  <c r="AV55" i="24"/>
  <c r="AU55" i="24"/>
  <c r="AT55" i="24"/>
  <c r="BK55" i="24"/>
  <c r="X10" i="24"/>
  <c r="Y10" i="24"/>
  <c r="Z10" i="24"/>
  <c r="AA10" i="24"/>
  <c r="AB10" i="24"/>
  <c r="X13" i="24"/>
  <c r="Y13" i="24"/>
  <c r="Z13" i="24"/>
  <c r="AA13" i="24"/>
  <c r="AB13" i="24"/>
  <c r="X14" i="24"/>
  <c r="Y14" i="24"/>
  <c r="Z14" i="24"/>
  <c r="AA14" i="24"/>
  <c r="AB14" i="24"/>
  <c r="X17" i="24"/>
  <c r="Y17" i="24"/>
  <c r="Z17" i="24"/>
  <c r="AA17" i="24"/>
  <c r="AB17" i="24"/>
  <c r="X20" i="24"/>
  <c r="Y20" i="24"/>
  <c r="Z20" i="24"/>
  <c r="AA20" i="24"/>
  <c r="AB20" i="24"/>
  <c r="X24" i="24"/>
  <c r="Y24" i="24"/>
  <c r="Z24" i="24"/>
  <c r="AA24" i="24"/>
  <c r="AB24" i="24"/>
  <c r="X25" i="24"/>
  <c r="BV25" i="24" s="1"/>
  <c r="BV113" i="24" s="1"/>
  <c r="Y25" i="24"/>
  <c r="Z25" i="24"/>
  <c r="CW25" i="24" s="1"/>
  <c r="AA25" i="24"/>
  <c r="AB25" i="24"/>
  <c r="X26" i="24"/>
  <c r="Y26" i="24"/>
  <c r="Z26" i="24"/>
  <c r="AA26" i="24"/>
  <c r="AB26" i="24"/>
  <c r="X27" i="24"/>
  <c r="Y27" i="24"/>
  <c r="Z27" i="24"/>
  <c r="AA27" i="24"/>
  <c r="AB27" i="24"/>
  <c r="X29" i="24"/>
  <c r="BV29" i="24" s="1"/>
  <c r="BV117" i="24" s="1"/>
  <c r="Y29" i="24"/>
  <c r="Z29" i="24"/>
  <c r="DG29" i="24" s="1"/>
  <c r="AA29" i="24"/>
  <c r="AB29" i="24"/>
  <c r="X30" i="24"/>
  <c r="Y30" i="24"/>
  <c r="CN30" i="24" s="1"/>
  <c r="Z30" i="24"/>
  <c r="AA30" i="24"/>
  <c r="AB30" i="24"/>
  <c r="X31" i="24"/>
  <c r="Y31" i="24"/>
  <c r="Z31" i="24"/>
  <c r="AA31" i="24"/>
  <c r="AB31" i="24"/>
  <c r="X32" i="24"/>
  <c r="Y32" i="24"/>
  <c r="Z32" i="24"/>
  <c r="AA32" i="24"/>
  <c r="AB32" i="24"/>
  <c r="X37" i="24"/>
  <c r="Y37" i="24"/>
  <c r="Z37" i="24"/>
  <c r="AA37" i="24"/>
  <c r="AB37" i="24"/>
  <c r="X38" i="24"/>
  <c r="Y38" i="24"/>
  <c r="Z38" i="24"/>
  <c r="AA38" i="24"/>
  <c r="AB38" i="24"/>
  <c r="X40" i="24"/>
  <c r="Y40" i="24"/>
  <c r="Z40" i="24"/>
  <c r="AA40" i="24"/>
  <c r="AB40" i="24"/>
  <c r="X41" i="24"/>
  <c r="Y41" i="24"/>
  <c r="Z41" i="24"/>
  <c r="AA41" i="24"/>
  <c r="AB41" i="24"/>
  <c r="X42" i="24"/>
  <c r="Y42" i="24"/>
  <c r="Z42" i="24"/>
  <c r="AA42" i="24"/>
  <c r="AB42" i="24"/>
  <c r="X43" i="24"/>
  <c r="Y43" i="24"/>
  <c r="Z43" i="24"/>
  <c r="AA43" i="24"/>
  <c r="AB43" i="24"/>
  <c r="X44" i="24"/>
  <c r="Y44" i="24"/>
  <c r="Z44" i="24"/>
  <c r="AA44" i="24"/>
  <c r="AB44" i="24"/>
  <c r="X50" i="24"/>
  <c r="Y50" i="24"/>
  <c r="Z50" i="24"/>
  <c r="AA50" i="24"/>
  <c r="AB50" i="24"/>
  <c r="X54" i="24"/>
  <c r="Y54" i="24"/>
  <c r="Z54" i="24"/>
  <c r="AA54" i="24"/>
  <c r="AB54" i="24"/>
  <c r="X58" i="24"/>
  <c r="Y58" i="24"/>
  <c r="Z58" i="24"/>
  <c r="AA58" i="24"/>
  <c r="AB58" i="24"/>
  <c r="X59" i="24"/>
  <c r="Y59" i="24"/>
  <c r="Z59" i="24"/>
  <c r="AA59" i="24"/>
  <c r="AB59" i="24"/>
  <c r="X60" i="24"/>
  <c r="Y60" i="24"/>
  <c r="Z60" i="24"/>
  <c r="AA60" i="24"/>
  <c r="AB60" i="24"/>
  <c r="X61" i="24"/>
  <c r="Y61" i="24"/>
  <c r="Z61" i="24"/>
  <c r="AA61" i="24"/>
  <c r="AB61" i="24"/>
  <c r="X66" i="24"/>
  <c r="Y66" i="24"/>
  <c r="Z66" i="24"/>
  <c r="AA66" i="24"/>
  <c r="AB66" i="24"/>
  <c r="X67" i="24"/>
  <c r="Y67" i="24"/>
  <c r="Z67" i="24"/>
  <c r="AA67" i="24"/>
  <c r="AB67" i="24"/>
  <c r="M8" i="39"/>
  <c r="M41" i="39" s="1"/>
  <c r="M42" i="39"/>
  <c r="M10" i="39"/>
  <c r="M43" i="39" s="1"/>
  <c r="W61" i="24"/>
  <c r="M21" i="39"/>
  <c r="M25" i="39"/>
  <c r="M26" i="39"/>
  <c r="M92" i="39" s="1"/>
  <c r="M29" i="39"/>
  <c r="M27" i="39"/>
  <c r="M93" i="39" s="1"/>
  <c r="M7" i="39"/>
  <c r="M40" i="39" s="1"/>
  <c r="M6" i="39"/>
  <c r="M39" i="39" s="1"/>
  <c r="C220" i="37"/>
  <c r="C225" i="37"/>
  <c r="C231" i="37"/>
  <c r="C173" i="37"/>
  <c r="C178" i="37"/>
  <c r="C184" i="37"/>
  <c r="C115" i="37"/>
  <c r="C126" i="37"/>
  <c r="C136" i="37"/>
  <c r="D66" i="36"/>
  <c r="C67" i="37"/>
  <c r="C78" i="37"/>
  <c r="C88" i="37"/>
  <c r="C29" i="37"/>
  <c r="C34" i="37"/>
  <c r="H125" i="36"/>
  <c r="G77" i="36"/>
  <c r="F77" i="36"/>
  <c r="E77" i="36"/>
  <c r="D77" i="36"/>
  <c r="C77" i="36"/>
  <c r="G86" i="36"/>
  <c r="F86" i="36"/>
  <c r="E86" i="36"/>
  <c r="XFC86" i="36"/>
  <c r="D86" i="36"/>
  <c r="C86" i="36"/>
  <c r="G83" i="36"/>
  <c r="F83" i="36"/>
  <c r="E83" i="36"/>
  <c r="D83" i="36"/>
  <c r="C83" i="36"/>
  <c r="M40" i="36"/>
  <c r="I85" i="36" s="1"/>
  <c r="C258" i="37"/>
  <c r="C38" i="37"/>
  <c r="C19" i="37"/>
  <c r="H110" i="36"/>
  <c r="M28" i="36"/>
  <c r="M29" i="36"/>
  <c r="M39" i="36"/>
  <c r="F15" i="38"/>
  <c r="E10" i="38"/>
  <c r="F10" i="38"/>
  <c r="G10" i="38"/>
  <c r="G23" i="38" s="1"/>
  <c r="H10" i="38"/>
  <c r="H23" i="38" s="1"/>
  <c r="I10" i="38"/>
  <c r="I23" i="38" s="1"/>
  <c r="D10" i="38"/>
  <c r="D23" i="38" s="1"/>
  <c r="E6" i="38"/>
  <c r="E19" i="38" s="1"/>
  <c r="F6" i="38"/>
  <c r="F19" i="38" s="1"/>
  <c r="G6" i="38"/>
  <c r="G19" i="38" s="1"/>
  <c r="H6" i="38"/>
  <c r="H19" i="38" s="1"/>
  <c r="I6" i="38"/>
  <c r="I19" i="38" s="1"/>
  <c r="K6" i="38"/>
  <c r="K19" i="38" s="1"/>
  <c r="D6" i="38"/>
  <c r="D19" i="38" s="1"/>
  <c r="E4" i="38"/>
  <c r="E17" i="38" s="1"/>
  <c r="F4" i="38"/>
  <c r="F17" i="38" s="1"/>
  <c r="G4" i="38"/>
  <c r="G17" i="38" s="1"/>
  <c r="H4" i="38"/>
  <c r="H17" i="38" s="1"/>
  <c r="I4" i="38"/>
  <c r="I17" i="38" s="1"/>
  <c r="K4" i="38"/>
  <c r="K17" i="38" s="1"/>
  <c r="D4" i="38"/>
  <c r="D17" i="38" s="1"/>
  <c r="M38" i="36"/>
  <c r="I95" i="36" s="1"/>
  <c r="M37" i="36"/>
  <c r="M34" i="36"/>
  <c r="M22" i="36"/>
  <c r="M36" i="36"/>
  <c r="M35" i="36"/>
  <c r="E66" i="36"/>
  <c r="F66" i="36"/>
  <c r="C13" i="36"/>
  <c r="C24" i="36" s="1"/>
  <c r="C31" i="36" s="1"/>
  <c r="C42" i="36" s="1"/>
  <c r="AN58" i="51" l="1"/>
  <c r="AN52" i="51" s="1"/>
  <c r="AN49" i="51" s="1"/>
  <c r="AN68" i="51" s="1"/>
  <c r="AD52" i="51"/>
  <c r="AD49" i="51" s="1"/>
  <c r="AD68" i="51" s="1"/>
  <c r="AI58" i="51"/>
  <c r="AI52" i="51" s="1"/>
  <c r="AI49" i="51" s="1"/>
  <c r="AI68" i="51" s="1"/>
  <c r="Y49" i="51"/>
  <c r="Y68" i="51" s="1"/>
  <c r="AM58" i="51"/>
  <c r="AM52" i="51" s="1"/>
  <c r="AM49" i="51" s="1"/>
  <c r="AM68" i="51" s="1"/>
  <c r="AC52" i="51"/>
  <c r="AC49" i="51" s="1"/>
  <c r="AC68" i="51" s="1"/>
  <c r="AL58" i="51"/>
  <c r="AL52" i="51" s="1"/>
  <c r="AL49" i="51" s="1"/>
  <c r="AL68" i="51" s="1"/>
  <c r="AB52" i="51"/>
  <c r="AB49" i="51" s="1"/>
  <c r="AB68" i="51" s="1"/>
  <c r="AP58" i="51"/>
  <c r="AP52" i="51" s="1"/>
  <c r="AP49" i="51" s="1"/>
  <c r="AP68" i="51" s="1"/>
  <c r="AF52" i="51"/>
  <c r="AF49" i="51" s="1"/>
  <c r="AF68" i="51" s="1"/>
  <c r="AJ58" i="51"/>
  <c r="AJ52" i="51" s="1"/>
  <c r="AJ49" i="51" s="1"/>
  <c r="AJ68" i="51" s="1"/>
  <c r="Z52" i="51"/>
  <c r="Z49" i="51" s="1"/>
  <c r="Z68" i="51" s="1"/>
  <c r="AO58" i="51"/>
  <c r="AO52" i="51" s="1"/>
  <c r="AO68" i="51" s="1"/>
  <c r="AE52" i="51"/>
  <c r="AE68" i="51" s="1"/>
  <c r="AK58" i="51"/>
  <c r="AK52" i="51" s="1"/>
  <c r="AK49" i="51" s="1"/>
  <c r="AK68" i="51" s="1"/>
  <c r="AA52" i="51"/>
  <c r="AA49" i="51" s="1"/>
  <c r="AA68" i="51" s="1"/>
  <c r="M91" i="39"/>
  <c r="W58" i="24"/>
  <c r="HV57" i="24"/>
  <c r="HU57" i="24"/>
  <c r="HT57" i="24"/>
  <c r="HS57" i="24"/>
  <c r="HV59" i="24"/>
  <c r="HU59" i="24"/>
  <c r="HT59" i="24"/>
  <c r="HS59" i="24"/>
  <c r="HG41" i="24"/>
  <c r="HV41" i="24"/>
  <c r="HU41" i="24"/>
  <c r="HT41" i="24"/>
  <c r="HS41" i="24"/>
  <c r="HT54" i="24"/>
  <c r="HS54" i="24"/>
  <c r="HU54" i="24"/>
  <c r="HV54" i="24"/>
  <c r="HT32" i="24"/>
  <c r="HT15" i="24" s="1"/>
  <c r="HS32" i="24"/>
  <c r="HS15" i="24" s="1"/>
  <c r="HV16" i="24"/>
  <c r="HU16" i="24"/>
  <c r="HT16" i="24"/>
  <c r="HS16" i="24"/>
  <c r="HT61" i="24"/>
  <c r="HS61" i="24"/>
  <c r="HV61" i="24"/>
  <c r="HU61" i="24"/>
  <c r="HV43" i="24"/>
  <c r="HU43" i="24"/>
  <c r="HT43" i="24"/>
  <c r="HS43" i="24"/>
  <c r="HV60" i="24"/>
  <c r="HU60" i="24"/>
  <c r="HS60" i="24"/>
  <c r="HT60" i="24"/>
  <c r="HV58" i="24"/>
  <c r="HU58" i="24"/>
  <c r="HS58" i="24"/>
  <c r="HT58" i="24"/>
  <c r="HV53" i="24"/>
  <c r="HU53" i="24"/>
  <c r="HT53" i="24"/>
  <c r="HS53" i="24"/>
  <c r="HT44" i="24"/>
  <c r="HS44" i="24"/>
  <c r="HV44" i="24"/>
  <c r="HU44" i="24"/>
  <c r="HT42" i="24"/>
  <c r="HS42" i="24"/>
  <c r="HV42" i="24"/>
  <c r="HU42" i="24"/>
  <c r="HT40" i="24"/>
  <c r="HS40" i="24"/>
  <c r="HV40" i="24"/>
  <c r="HU40" i="24"/>
  <c r="HO37" i="24"/>
  <c r="HT37" i="24"/>
  <c r="HS37" i="24"/>
  <c r="HV37" i="24"/>
  <c r="HU37" i="24"/>
  <c r="HS31" i="24"/>
  <c r="HT31" i="24"/>
  <c r="HT26" i="24"/>
  <c r="HS26" i="24"/>
  <c r="HT17" i="24"/>
  <c r="HS17" i="24"/>
  <c r="HT14" i="24"/>
  <c r="HS14" i="24"/>
  <c r="HS10" i="24"/>
  <c r="HT10" i="24"/>
  <c r="HT50" i="24"/>
  <c r="HS50" i="24"/>
  <c r="HJ38" i="24"/>
  <c r="HV38" i="24"/>
  <c r="HU38" i="24"/>
  <c r="HT38" i="24"/>
  <c r="HS38" i="24"/>
  <c r="HK27" i="24"/>
  <c r="HV27" i="24"/>
  <c r="HU27" i="24"/>
  <c r="HT27" i="24"/>
  <c r="HS27" i="24"/>
  <c r="HS13" i="24"/>
  <c r="HT13" i="24"/>
  <c r="HT12" i="24"/>
  <c r="HS12" i="24"/>
  <c r="HC59" i="24"/>
  <c r="HB59" i="24"/>
  <c r="HA59" i="24"/>
  <c r="GZ59" i="24"/>
  <c r="GT43" i="24"/>
  <c r="HC43" i="24"/>
  <c r="HA43" i="24"/>
  <c r="HB43" i="24"/>
  <c r="GZ43" i="24"/>
  <c r="HA32" i="24"/>
  <c r="HA15" i="24" s="1"/>
  <c r="GZ32" i="24"/>
  <c r="GZ15" i="24" s="1"/>
  <c r="HA16" i="24"/>
  <c r="GZ16" i="24"/>
  <c r="HB16" i="24"/>
  <c r="HC16" i="24"/>
  <c r="HA50" i="24"/>
  <c r="GZ50" i="24"/>
  <c r="GU38" i="24"/>
  <c r="HA38" i="24"/>
  <c r="HC38" i="24"/>
  <c r="HB38" i="24"/>
  <c r="GZ38" i="24"/>
  <c r="GZ13" i="24"/>
  <c r="HA13" i="24"/>
  <c r="HA54" i="24"/>
  <c r="HB54" i="24"/>
  <c r="GZ54" i="24"/>
  <c r="HC54" i="24"/>
  <c r="HC41" i="24"/>
  <c r="HB41" i="24"/>
  <c r="HA41" i="24"/>
  <c r="GZ41" i="24"/>
  <c r="GZ12" i="24"/>
  <c r="HA12" i="24"/>
  <c r="HC60" i="24"/>
  <c r="HB60" i="24"/>
  <c r="HA60" i="24"/>
  <c r="GZ60" i="24"/>
  <c r="HC58" i="24"/>
  <c r="HB58" i="24"/>
  <c r="HA58" i="24"/>
  <c r="GZ58" i="24"/>
  <c r="HC53" i="24"/>
  <c r="HB53" i="24"/>
  <c r="HA53" i="24"/>
  <c r="GZ53" i="24"/>
  <c r="HA44" i="24"/>
  <c r="GZ44" i="24"/>
  <c r="HB44" i="24"/>
  <c r="HC44" i="24"/>
  <c r="GN42" i="24"/>
  <c r="HA42" i="24"/>
  <c r="GZ42" i="24"/>
  <c r="HB42" i="24"/>
  <c r="HC42" i="24"/>
  <c r="HA40" i="24"/>
  <c r="GZ40" i="24"/>
  <c r="HC40" i="24"/>
  <c r="HB40" i="24"/>
  <c r="GR37" i="24"/>
  <c r="HA37" i="24"/>
  <c r="HC37" i="24"/>
  <c r="GZ37" i="24"/>
  <c r="HB37" i="24"/>
  <c r="GZ31" i="24"/>
  <c r="HA31" i="24"/>
  <c r="HA26" i="24"/>
  <c r="GZ26" i="24"/>
  <c r="GS17" i="24"/>
  <c r="HA17" i="24"/>
  <c r="GZ17" i="24"/>
  <c r="HA14" i="24"/>
  <c r="GZ14" i="24"/>
  <c r="HA10" i="24"/>
  <c r="GZ10" i="24"/>
  <c r="HC57" i="24"/>
  <c r="HB57" i="24"/>
  <c r="HA57" i="24"/>
  <c r="GZ57" i="24"/>
  <c r="HA61" i="24"/>
  <c r="GZ61" i="24"/>
  <c r="HC61" i="24"/>
  <c r="HB61" i="24"/>
  <c r="GV27" i="24"/>
  <c r="HA27" i="24"/>
  <c r="HC27" i="24"/>
  <c r="HB27" i="24"/>
  <c r="GZ27" i="24"/>
  <c r="GJ61" i="24"/>
  <c r="GI61" i="24"/>
  <c r="GH61" i="24"/>
  <c r="GG61" i="24"/>
  <c r="GI43" i="24"/>
  <c r="GH43" i="24"/>
  <c r="GG43" i="24"/>
  <c r="GJ43" i="24"/>
  <c r="GG32" i="24"/>
  <c r="GG15" i="24" s="1"/>
  <c r="GH32" i="24"/>
  <c r="GH15" i="24" s="1"/>
  <c r="GH13" i="24"/>
  <c r="GG13" i="24"/>
  <c r="GJ59" i="24"/>
  <c r="GI59" i="24"/>
  <c r="GG59" i="24"/>
  <c r="GH59" i="24"/>
  <c r="GJ16" i="24"/>
  <c r="GI16" i="24"/>
  <c r="GG16" i="24"/>
  <c r="GH16" i="24"/>
  <c r="GG12" i="24"/>
  <c r="GH12" i="24"/>
  <c r="FW54" i="24"/>
  <c r="GJ54" i="24"/>
  <c r="GI54" i="24"/>
  <c r="GH54" i="24"/>
  <c r="GG54" i="24"/>
  <c r="GC41" i="24"/>
  <c r="GI41" i="24"/>
  <c r="GH41" i="24"/>
  <c r="GG41" i="24"/>
  <c r="GJ41" i="24"/>
  <c r="GF38" i="24"/>
  <c r="GI38" i="24"/>
  <c r="GH38" i="24"/>
  <c r="GG38" i="24"/>
  <c r="GJ38" i="24"/>
  <c r="FY27" i="24"/>
  <c r="GJ27" i="24"/>
  <c r="GI27" i="24"/>
  <c r="GH27" i="24"/>
  <c r="GG27" i="24"/>
  <c r="GJ57" i="24"/>
  <c r="GI57" i="24"/>
  <c r="GH57" i="24"/>
  <c r="GG57" i="24"/>
  <c r="GH50" i="24"/>
  <c r="GG50" i="24"/>
  <c r="GI60" i="24"/>
  <c r="GJ60" i="24"/>
  <c r="GG60" i="24"/>
  <c r="GH60" i="24"/>
  <c r="GI58" i="24"/>
  <c r="GJ58" i="24"/>
  <c r="GG58" i="24"/>
  <c r="GH58" i="24"/>
  <c r="GI53" i="24"/>
  <c r="GH53" i="24"/>
  <c r="GG53" i="24"/>
  <c r="GJ53" i="24"/>
  <c r="FU44" i="24"/>
  <c r="GJ44" i="24"/>
  <c r="GI44" i="24"/>
  <c r="GH44" i="24"/>
  <c r="GG44" i="24"/>
  <c r="GJ42" i="24"/>
  <c r="GI42" i="24"/>
  <c r="GH42" i="24"/>
  <c r="GG42" i="24"/>
  <c r="FX40" i="24"/>
  <c r="GJ40" i="24"/>
  <c r="GI40" i="24"/>
  <c r="GH40" i="24"/>
  <c r="GG40" i="24"/>
  <c r="GB37" i="24"/>
  <c r="GJ37" i="24"/>
  <c r="GI37" i="24"/>
  <c r="GH37" i="24"/>
  <c r="GG37" i="24"/>
  <c r="GG31" i="24"/>
  <c r="GH31" i="24"/>
  <c r="GH26" i="24"/>
  <c r="GG26" i="24"/>
  <c r="FW17" i="24"/>
  <c r="GH17" i="24"/>
  <c r="GG17" i="24"/>
  <c r="GH14" i="24"/>
  <c r="GG14" i="24"/>
  <c r="GG10" i="24"/>
  <c r="GH10" i="24"/>
  <c r="FN61" i="24"/>
  <c r="FQ61" i="24"/>
  <c r="FP61" i="24"/>
  <c r="FO61" i="24"/>
  <c r="FQ59" i="24"/>
  <c r="FP59" i="24"/>
  <c r="FN59" i="24"/>
  <c r="FO59" i="24"/>
  <c r="FB54" i="24"/>
  <c r="FQ54" i="24"/>
  <c r="FN54" i="24"/>
  <c r="FP54" i="24"/>
  <c r="FO54" i="24"/>
  <c r="FN50" i="24"/>
  <c r="FO50" i="24"/>
  <c r="FC43" i="24"/>
  <c r="FQ43" i="24"/>
  <c r="FP43" i="24"/>
  <c r="FO43" i="24"/>
  <c r="FN43" i="24"/>
  <c r="FF41" i="24"/>
  <c r="FQ41" i="24"/>
  <c r="FP41" i="24"/>
  <c r="FO41" i="24"/>
  <c r="FN41" i="24"/>
  <c r="FD38" i="24"/>
  <c r="FQ38" i="24"/>
  <c r="FP38" i="24"/>
  <c r="FO38" i="24"/>
  <c r="FN38" i="24"/>
  <c r="FM32" i="24"/>
  <c r="FM15" i="24" s="1"/>
  <c r="FO32" i="24"/>
  <c r="FO15" i="24" s="1"/>
  <c r="FN32" i="24"/>
  <c r="FN15" i="24" s="1"/>
  <c r="FJ27" i="24"/>
  <c r="FQ27" i="24"/>
  <c r="FO27" i="24"/>
  <c r="FP27" i="24"/>
  <c r="FN27" i="24"/>
  <c r="FB16" i="24"/>
  <c r="FO16" i="24"/>
  <c r="FN16" i="24"/>
  <c r="FQ16" i="24"/>
  <c r="FP16" i="24"/>
  <c r="FO13" i="24"/>
  <c r="FN13" i="24"/>
  <c r="FO12" i="24"/>
  <c r="FN12" i="24"/>
  <c r="FQ57" i="24"/>
  <c r="FP57" i="24"/>
  <c r="FO57" i="24"/>
  <c r="FN57" i="24"/>
  <c r="FQ60" i="24"/>
  <c r="FP60" i="24"/>
  <c r="FN60" i="24"/>
  <c r="FO60" i="24"/>
  <c r="FQ58" i="24"/>
  <c r="FP58" i="24"/>
  <c r="FN58" i="24"/>
  <c r="FO58" i="24"/>
  <c r="FQ53" i="24"/>
  <c r="FP53" i="24"/>
  <c r="FO53" i="24"/>
  <c r="FN53" i="24"/>
  <c r="FD44" i="24"/>
  <c r="FQ44" i="24"/>
  <c r="FN44" i="24"/>
  <c r="FP44" i="24"/>
  <c r="FO44" i="24"/>
  <c r="FD42" i="24"/>
  <c r="FQ42" i="24"/>
  <c r="FP42" i="24"/>
  <c r="FO42" i="24"/>
  <c r="FN42" i="24"/>
  <c r="FQ40" i="24"/>
  <c r="FN40" i="24"/>
  <c r="FP40" i="24"/>
  <c r="FO40" i="24"/>
  <c r="FF37" i="24"/>
  <c r="FN37" i="24"/>
  <c r="FQ37" i="24"/>
  <c r="FP37" i="24"/>
  <c r="FO37" i="24"/>
  <c r="FM31" i="24"/>
  <c r="FN31" i="24"/>
  <c r="FO31" i="24"/>
  <c r="FO26" i="24"/>
  <c r="FN26" i="24"/>
  <c r="FL17" i="24"/>
  <c r="FO17" i="24"/>
  <c r="FN17" i="24"/>
  <c r="FO14" i="24"/>
  <c r="FN14" i="24"/>
  <c r="FN10" i="24"/>
  <c r="FO10" i="24"/>
  <c r="EW44" i="24"/>
  <c r="EX44" i="24"/>
  <c r="EV44" i="24"/>
  <c r="EU44" i="24"/>
  <c r="EU31" i="24"/>
  <c r="EV31" i="24"/>
  <c r="EV17" i="24"/>
  <c r="EU17" i="24"/>
  <c r="EW38" i="24"/>
  <c r="EV38" i="24"/>
  <c r="EU38" i="24"/>
  <c r="EX38" i="24"/>
  <c r="EX60" i="24"/>
  <c r="EW60" i="24"/>
  <c r="EU60" i="24"/>
  <c r="EV60" i="24"/>
  <c r="EW42" i="24"/>
  <c r="EX42" i="24"/>
  <c r="EV42" i="24"/>
  <c r="EU42" i="24"/>
  <c r="EV14" i="24"/>
  <c r="EU14" i="24"/>
  <c r="EV50" i="24"/>
  <c r="EU50" i="24"/>
  <c r="EU32" i="24"/>
  <c r="EU15" i="24" s="1"/>
  <c r="EV32" i="24"/>
  <c r="EV15" i="24" s="1"/>
  <c r="EV54" i="24"/>
  <c r="EU54" i="24"/>
  <c r="EW54" i="24"/>
  <c r="EX54" i="24"/>
  <c r="EX58" i="24"/>
  <c r="EW58" i="24"/>
  <c r="EU58" i="24"/>
  <c r="EV58" i="24"/>
  <c r="EX40" i="24"/>
  <c r="EW40" i="24"/>
  <c r="EV40" i="24"/>
  <c r="EU40" i="24"/>
  <c r="EV26" i="24"/>
  <c r="EU26" i="24"/>
  <c r="EU10" i="24"/>
  <c r="EV10" i="24"/>
  <c r="EV12" i="24"/>
  <c r="EU12" i="24"/>
  <c r="EQ37" i="24"/>
  <c r="EW37" i="24"/>
  <c r="EX37" i="24"/>
  <c r="EV37" i="24"/>
  <c r="EU37" i="24"/>
  <c r="EV61" i="24"/>
  <c r="EU61" i="24"/>
  <c r="EX61" i="24"/>
  <c r="EW61" i="24"/>
  <c r="EQ43" i="24"/>
  <c r="EW43" i="24"/>
  <c r="EV43" i="24"/>
  <c r="EU43" i="24"/>
  <c r="EX43" i="24"/>
  <c r="EX16" i="24"/>
  <c r="EW16" i="24"/>
  <c r="EV16" i="24"/>
  <c r="EU16" i="24"/>
  <c r="EX57" i="24"/>
  <c r="EW57" i="24"/>
  <c r="EV57" i="24"/>
  <c r="EU57" i="24"/>
  <c r="EV53" i="24"/>
  <c r="EX53" i="24"/>
  <c r="EW53" i="24"/>
  <c r="EU53" i="24"/>
  <c r="EW59" i="24"/>
  <c r="EX59" i="24"/>
  <c r="EU59" i="24"/>
  <c r="EV59" i="24"/>
  <c r="EW41" i="24"/>
  <c r="EV41" i="24"/>
  <c r="EU41" i="24"/>
  <c r="EX41" i="24"/>
  <c r="EM27" i="24"/>
  <c r="EX27" i="24"/>
  <c r="EW27" i="24"/>
  <c r="EV27" i="24"/>
  <c r="EU27" i="24"/>
  <c r="EU13" i="24"/>
  <c r="EV13" i="24"/>
  <c r="W51" i="24"/>
  <c r="AY51" i="24" s="1"/>
  <c r="M38" i="39"/>
  <c r="M95" i="39"/>
  <c r="M62" i="39"/>
  <c r="AW62" i="24"/>
  <c r="AZ62" i="24"/>
  <c r="BB62" i="24"/>
  <c r="BA62" i="24"/>
  <c r="AT62" i="24"/>
  <c r="AS62" i="24"/>
  <c r="BG62" i="24"/>
  <c r="BF62" i="24"/>
  <c r="AY62" i="24"/>
  <c r="AX62" i="24"/>
  <c r="AR62" i="24"/>
  <c r="AV62" i="24"/>
  <c r="BC62" i="24"/>
  <c r="AU62" i="24"/>
  <c r="BE62" i="24"/>
  <c r="BD62" i="24"/>
  <c r="M76" i="39"/>
  <c r="EB53" i="24"/>
  <c r="EE53" i="24"/>
  <c r="ED53" i="24"/>
  <c r="EC53" i="24"/>
  <c r="EC41" i="24"/>
  <c r="EB41" i="24"/>
  <c r="EE41" i="24"/>
  <c r="ED41" i="24"/>
  <c r="EE44" i="24"/>
  <c r="ED44" i="24"/>
  <c r="EC44" i="24"/>
  <c r="EB44" i="24"/>
  <c r="EC31" i="24"/>
  <c r="EB31" i="24"/>
  <c r="EC17" i="24"/>
  <c r="EB17" i="24"/>
  <c r="EE59" i="24"/>
  <c r="ED59" i="24"/>
  <c r="EB59" i="24"/>
  <c r="EC59" i="24"/>
  <c r="DX27" i="24"/>
  <c r="EC27" i="24"/>
  <c r="EB27" i="24"/>
  <c r="EE27" i="24"/>
  <c r="ED27" i="24"/>
  <c r="EC13" i="24"/>
  <c r="EB13" i="24"/>
  <c r="EB12" i="24"/>
  <c r="EC12" i="24"/>
  <c r="EE60" i="24"/>
  <c r="ED60" i="24"/>
  <c r="EC60" i="24"/>
  <c r="EB60" i="24"/>
  <c r="EC42" i="24"/>
  <c r="EB42" i="24"/>
  <c r="EE42" i="24"/>
  <c r="ED42" i="24"/>
  <c r="EC14" i="24"/>
  <c r="EB14" i="24"/>
  <c r="DT37" i="24"/>
  <c r="EC37" i="24"/>
  <c r="EB37" i="24"/>
  <c r="EE37" i="24"/>
  <c r="ED37" i="24"/>
  <c r="EE57" i="24"/>
  <c r="ED57" i="24"/>
  <c r="EC57" i="24"/>
  <c r="EB57" i="24"/>
  <c r="EE54" i="24"/>
  <c r="ED54" i="24"/>
  <c r="EC54" i="24"/>
  <c r="EB54" i="24"/>
  <c r="DT38" i="24"/>
  <c r="EE38" i="24"/>
  <c r="ED38" i="24"/>
  <c r="EC38" i="24"/>
  <c r="EB38" i="24"/>
  <c r="EC50" i="24"/>
  <c r="EB50" i="24"/>
  <c r="EB32" i="24"/>
  <c r="EB15" i="24" s="1"/>
  <c r="EC32" i="24"/>
  <c r="EC15" i="24" s="1"/>
  <c r="EE58" i="24"/>
  <c r="ED58" i="24"/>
  <c r="EC58" i="24"/>
  <c r="EB58" i="24"/>
  <c r="EE40" i="24"/>
  <c r="ED40" i="24"/>
  <c r="EC40" i="24"/>
  <c r="EB40" i="24"/>
  <c r="EC26" i="24"/>
  <c r="EB26" i="24"/>
  <c r="EC10" i="24"/>
  <c r="EB10" i="24"/>
  <c r="EC61" i="24"/>
  <c r="EB61" i="24"/>
  <c r="EE61" i="24"/>
  <c r="ED61" i="24"/>
  <c r="EE43" i="24"/>
  <c r="ED43" i="24"/>
  <c r="EC43" i="24"/>
  <c r="EB43" i="24"/>
  <c r="EC16" i="24"/>
  <c r="EB16" i="24"/>
  <c r="EE16" i="24"/>
  <c r="ED16" i="24"/>
  <c r="DD37" i="24"/>
  <c r="DK37" i="24"/>
  <c r="DJ37" i="24"/>
  <c r="DI37" i="24"/>
  <c r="DL37" i="24"/>
  <c r="DK59" i="24"/>
  <c r="DL59" i="24"/>
  <c r="DI59" i="24"/>
  <c r="DJ59" i="24"/>
  <c r="DL41" i="24"/>
  <c r="DK41" i="24"/>
  <c r="DJ41" i="24"/>
  <c r="DI41" i="24"/>
  <c r="DA27" i="24"/>
  <c r="DL27" i="24"/>
  <c r="DK27" i="24"/>
  <c r="DJ27" i="24"/>
  <c r="DI27" i="24"/>
  <c r="DJ13" i="24"/>
  <c r="DI13" i="24"/>
  <c r="CZ17" i="24"/>
  <c r="DJ17" i="24"/>
  <c r="DI17" i="24"/>
  <c r="DJ12" i="24"/>
  <c r="DI12" i="24"/>
  <c r="CX54" i="24"/>
  <c r="DI54" i="24"/>
  <c r="DJ54" i="24"/>
  <c r="DL54" i="24"/>
  <c r="DK54" i="24"/>
  <c r="DL57" i="24"/>
  <c r="DK57" i="24"/>
  <c r="DJ57" i="24"/>
  <c r="DI57" i="24"/>
  <c r="DL60" i="24"/>
  <c r="DK60" i="24"/>
  <c r="DJ60" i="24"/>
  <c r="DI60" i="24"/>
  <c r="CZ42" i="24"/>
  <c r="DK42" i="24"/>
  <c r="DL42" i="24"/>
  <c r="DJ42" i="24"/>
  <c r="DI42" i="24"/>
  <c r="DJ14" i="24"/>
  <c r="DI14" i="24"/>
  <c r="DA38" i="24"/>
  <c r="DI38" i="24"/>
  <c r="DK38" i="24"/>
  <c r="DJ38" i="24"/>
  <c r="DL38" i="24"/>
  <c r="DJ50" i="24"/>
  <c r="DI50" i="24"/>
  <c r="DI32" i="24"/>
  <c r="DI15" i="24" s="1"/>
  <c r="DJ32" i="24"/>
  <c r="DJ15" i="24" s="1"/>
  <c r="DH44" i="24"/>
  <c r="DL44" i="24"/>
  <c r="DK44" i="24"/>
  <c r="DJ44" i="24"/>
  <c r="DI44" i="24"/>
  <c r="DJ31" i="24"/>
  <c r="DI31" i="24"/>
  <c r="DK58" i="24"/>
  <c r="DL58" i="24"/>
  <c r="DJ58" i="24"/>
  <c r="DI58" i="24"/>
  <c r="DI40" i="24"/>
  <c r="DL40" i="24"/>
  <c r="DK40" i="24"/>
  <c r="DJ40" i="24"/>
  <c r="DI26" i="24"/>
  <c r="DJ26" i="24"/>
  <c r="DI10" i="24"/>
  <c r="DJ10" i="24"/>
  <c r="DL61" i="24"/>
  <c r="DK61" i="24"/>
  <c r="DJ61" i="24"/>
  <c r="DI61" i="24"/>
  <c r="DI43" i="24"/>
  <c r="DK43" i="24"/>
  <c r="DL43" i="24"/>
  <c r="DJ43" i="24"/>
  <c r="DL16" i="24"/>
  <c r="DK16" i="24"/>
  <c r="DJ16" i="24"/>
  <c r="DI16" i="24"/>
  <c r="DK53" i="24"/>
  <c r="DJ53" i="24"/>
  <c r="DI53" i="24"/>
  <c r="DL53" i="24"/>
  <c r="CL44" i="24"/>
  <c r="CR44" i="24"/>
  <c r="CQ44" i="24"/>
  <c r="CP44" i="24"/>
  <c r="CS44" i="24"/>
  <c r="CQ10" i="24"/>
  <c r="CP10" i="24"/>
  <c r="CS61" i="24"/>
  <c r="CR61" i="24"/>
  <c r="CQ61" i="24"/>
  <c r="CP61" i="24"/>
  <c r="CS43" i="24"/>
  <c r="CR43" i="24"/>
  <c r="CP43" i="24"/>
  <c r="CQ43" i="24"/>
  <c r="CJ16" i="24"/>
  <c r="CS16" i="24"/>
  <c r="CR16" i="24"/>
  <c r="CP16" i="24"/>
  <c r="CQ16" i="24"/>
  <c r="CR58" i="24"/>
  <c r="CS58" i="24"/>
  <c r="CP58" i="24"/>
  <c r="CQ58" i="24"/>
  <c r="CL40" i="24"/>
  <c r="CR40" i="24"/>
  <c r="CQ40" i="24"/>
  <c r="CP40" i="24"/>
  <c r="CS40" i="24"/>
  <c r="CP26" i="24"/>
  <c r="CQ26" i="24"/>
  <c r="CP53" i="24"/>
  <c r="CR53" i="24"/>
  <c r="CQ53" i="24"/>
  <c r="CS53" i="24"/>
  <c r="CH37" i="24"/>
  <c r="CP37" i="24"/>
  <c r="CS37" i="24"/>
  <c r="CR37" i="24"/>
  <c r="CQ37" i="24"/>
  <c r="CP12" i="24"/>
  <c r="CQ12" i="24"/>
  <c r="CJ41" i="24"/>
  <c r="CS41" i="24"/>
  <c r="CP41" i="24"/>
  <c r="CR41" i="24"/>
  <c r="CQ41" i="24"/>
  <c r="CL27" i="24"/>
  <c r="CR27" i="24"/>
  <c r="CQ27" i="24"/>
  <c r="CP27" i="24"/>
  <c r="CS27" i="24"/>
  <c r="CP13" i="24"/>
  <c r="CQ13" i="24"/>
  <c r="CS57" i="24"/>
  <c r="CR57" i="24"/>
  <c r="CQ57" i="24"/>
  <c r="CP57" i="24"/>
  <c r="CS54" i="24"/>
  <c r="CR54" i="24"/>
  <c r="CQ54" i="24"/>
  <c r="CP54" i="24"/>
  <c r="CD38" i="24"/>
  <c r="CR38" i="24"/>
  <c r="CQ38" i="24"/>
  <c r="CP38" i="24"/>
  <c r="CS38" i="24"/>
  <c r="CR60" i="24"/>
  <c r="CS60" i="24"/>
  <c r="CP60" i="24"/>
  <c r="CQ60" i="24"/>
  <c r="CJ42" i="24"/>
  <c r="CR42" i="24"/>
  <c r="CS42" i="24"/>
  <c r="CQ42" i="24"/>
  <c r="CP42" i="24"/>
  <c r="CQ14" i="24"/>
  <c r="CP14" i="24"/>
  <c r="CS59" i="24"/>
  <c r="CR59" i="24"/>
  <c r="CQ59" i="24"/>
  <c r="CP59" i="24"/>
  <c r="CO31" i="24"/>
  <c r="CQ31" i="24"/>
  <c r="CP31" i="24"/>
  <c r="CI17" i="24"/>
  <c r="CQ17" i="24"/>
  <c r="CP17" i="24"/>
  <c r="CQ50" i="24"/>
  <c r="CP50" i="24"/>
  <c r="CP32" i="24"/>
  <c r="CP15" i="24" s="1"/>
  <c r="CQ32" i="24"/>
  <c r="CQ15" i="24" s="1"/>
  <c r="CO20" i="24"/>
  <c r="BW50" i="24"/>
  <c r="BW32" i="24"/>
  <c r="BW15" i="24" s="1"/>
  <c r="BX32" i="24"/>
  <c r="BX15" i="24" s="1"/>
  <c r="BZ61" i="24"/>
  <c r="BY61" i="24"/>
  <c r="BX61" i="24"/>
  <c r="BW61" i="24"/>
  <c r="BN43" i="24"/>
  <c r="BX43" i="24"/>
  <c r="BW43" i="24"/>
  <c r="BZ43" i="24"/>
  <c r="BY43" i="24"/>
  <c r="BW16" i="24"/>
  <c r="BX16" i="24"/>
  <c r="BZ16" i="24"/>
  <c r="BY16" i="24"/>
  <c r="BW26" i="24"/>
  <c r="BW114" i="24" s="1"/>
  <c r="BX26" i="24"/>
  <c r="BX114" i="24" s="1"/>
  <c r="BX53" i="24"/>
  <c r="BW53" i="24"/>
  <c r="BY53" i="24"/>
  <c r="BZ53" i="24"/>
  <c r="BS37" i="24"/>
  <c r="BX37" i="24"/>
  <c r="BW37" i="24"/>
  <c r="BY37" i="24"/>
  <c r="BZ37" i="24"/>
  <c r="BX12" i="24"/>
  <c r="BW12" i="24"/>
  <c r="BY58" i="24"/>
  <c r="BZ58" i="24"/>
  <c r="BX58" i="24"/>
  <c r="BW58" i="24"/>
  <c r="BT40" i="24"/>
  <c r="BT120" i="24" s="1"/>
  <c r="BW40" i="24"/>
  <c r="BW120" i="24" s="1"/>
  <c r="BZ40" i="24"/>
  <c r="BZ120" i="24" s="1"/>
  <c r="BY40" i="24"/>
  <c r="BY120" i="24" s="1"/>
  <c r="BX40" i="24"/>
  <c r="BX120" i="24" s="1"/>
  <c r="BZ59" i="24"/>
  <c r="BY59" i="24"/>
  <c r="BX59" i="24"/>
  <c r="BW59" i="24"/>
  <c r="BK41" i="24"/>
  <c r="BK119" i="24" s="1"/>
  <c r="BZ41" i="24"/>
  <c r="BZ119" i="24" s="1"/>
  <c r="BY41" i="24"/>
  <c r="BY119" i="24" s="1"/>
  <c r="BX41" i="24"/>
  <c r="BX119" i="24" s="1"/>
  <c r="BW41" i="24"/>
  <c r="BW119" i="24" s="1"/>
  <c r="BN27" i="24"/>
  <c r="BN115" i="24" s="1"/>
  <c r="BZ27" i="24"/>
  <c r="BZ115" i="24" s="1"/>
  <c r="BY27" i="24"/>
  <c r="BY115" i="24" s="1"/>
  <c r="BX27" i="24"/>
  <c r="BX115" i="24" s="1"/>
  <c r="BW27" i="24"/>
  <c r="BW115" i="24" s="1"/>
  <c r="BX13" i="24"/>
  <c r="BW13" i="24"/>
  <c r="BZ57" i="24"/>
  <c r="BY57" i="24"/>
  <c r="BX57" i="24"/>
  <c r="BW57" i="24"/>
  <c r="BW44" i="24"/>
  <c r="BZ44" i="24"/>
  <c r="BX44" i="24"/>
  <c r="BY44" i="24"/>
  <c r="BU31" i="24"/>
  <c r="BX31" i="24"/>
  <c r="BW31" i="24"/>
  <c r="BV17" i="24"/>
  <c r="BX17" i="24"/>
  <c r="BW17" i="24"/>
  <c r="BX54" i="24"/>
  <c r="BW54" i="24"/>
  <c r="BZ54" i="24"/>
  <c r="BY54" i="24"/>
  <c r="BR38" i="24"/>
  <c r="BX38" i="24"/>
  <c r="BW38" i="24"/>
  <c r="BZ38" i="24"/>
  <c r="BY38" i="24"/>
  <c r="BX10" i="24"/>
  <c r="BW10" i="24"/>
  <c r="BZ60" i="24"/>
  <c r="BY60" i="24"/>
  <c r="BX60" i="24"/>
  <c r="BW60" i="24"/>
  <c r="BP42" i="24"/>
  <c r="BY42" i="24"/>
  <c r="BX42" i="24"/>
  <c r="BW42" i="24"/>
  <c r="BZ42" i="24"/>
  <c r="BX14" i="24"/>
  <c r="BW14" i="24"/>
  <c r="BG61" i="24"/>
  <c r="BF61" i="24"/>
  <c r="BE61" i="24"/>
  <c r="BD61" i="24"/>
  <c r="AX41" i="24"/>
  <c r="AX119" i="24" s="1"/>
  <c r="BG41" i="24"/>
  <c r="BG119" i="24" s="1"/>
  <c r="BF41" i="24"/>
  <c r="BF119" i="24" s="1"/>
  <c r="BE41" i="24"/>
  <c r="BE119" i="24" s="1"/>
  <c r="BD41" i="24"/>
  <c r="BD119" i="24" s="1"/>
  <c r="F23" i="38"/>
  <c r="M23" i="38"/>
  <c r="Q33" i="24"/>
  <c r="C321" i="37" s="1"/>
  <c r="P33" i="24"/>
  <c r="E23" i="38"/>
  <c r="L23" i="38"/>
  <c r="J79" i="36"/>
  <c r="I79" i="36"/>
  <c r="I39" i="36"/>
  <c r="I59" i="36"/>
  <c r="J76" i="36"/>
  <c r="I76" i="36"/>
  <c r="J144" i="36"/>
  <c r="I102" i="36"/>
  <c r="J82" i="36"/>
  <c r="I82" i="36"/>
  <c r="J143" i="36"/>
  <c r="I88" i="36"/>
  <c r="I105" i="36"/>
  <c r="J102" i="36"/>
  <c r="J59" i="36"/>
  <c r="J39" i="36"/>
  <c r="J85" i="36"/>
  <c r="J105" i="36"/>
  <c r="J95" i="36"/>
  <c r="J88" i="36"/>
  <c r="M67" i="39"/>
  <c r="M68" i="39"/>
  <c r="M52" i="39"/>
  <c r="M85" i="39"/>
  <c r="M75" i="39"/>
  <c r="M73" i="39"/>
  <c r="M83" i="39"/>
  <c r="M65" i="39"/>
  <c r="M58" i="39"/>
  <c r="M84" i="39"/>
  <c r="M51" i="39"/>
  <c r="M60" i="39"/>
  <c r="M54" i="39"/>
  <c r="M87" i="39"/>
  <c r="M80" i="39"/>
  <c r="M71" i="39"/>
  <c r="M74" i="39"/>
  <c r="M79" i="39"/>
  <c r="M86" i="39"/>
  <c r="M53" i="39"/>
  <c r="M59" i="39"/>
  <c r="M88" i="39"/>
  <c r="M55" i="39"/>
  <c r="M78" i="39"/>
  <c r="M61" i="39"/>
  <c r="M72" i="39"/>
  <c r="W44" i="24"/>
  <c r="W40" i="24"/>
  <c r="W37" i="24"/>
  <c r="W13" i="24"/>
  <c r="W30" i="24"/>
  <c r="BC30" i="24" s="1"/>
  <c r="BC118" i="24" s="1"/>
  <c r="W66" i="24"/>
  <c r="W14" i="24"/>
  <c r="W29" i="24"/>
  <c r="BB29" i="24" s="1"/>
  <c r="BB117" i="24" s="1"/>
  <c r="W50" i="24"/>
  <c r="W27" i="24"/>
  <c r="W57" i="24"/>
  <c r="W26" i="24"/>
  <c r="W54" i="24"/>
  <c r="W25" i="24"/>
  <c r="BB25" i="24" s="1"/>
  <c r="BB113" i="24" s="1"/>
  <c r="W38" i="24"/>
  <c r="W59" i="24"/>
  <c r="W60" i="24"/>
  <c r="W24" i="24"/>
  <c r="BC24" i="24" s="1"/>
  <c r="BC112" i="24" s="1"/>
  <c r="GP37" i="24"/>
  <c r="CJ27" i="24"/>
  <c r="ES27" i="24"/>
  <c r="DR37" i="24"/>
  <c r="FZ37" i="24"/>
  <c r="DB37" i="24"/>
  <c r="CY27" i="24"/>
  <c r="FH27" i="24"/>
  <c r="HQ27" i="24"/>
  <c r="BR37" i="24"/>
  <c r="FE37" i="24"/>
  <c r="HN37" i="24"/>
  <c r="DW27" i="24"/>
  <c r="GF27" i="24"/>
  <c r="HJ27" i="24"/>
  <c r="BQ37" i="24"/>
  <c r="FD37" i="24"/>
  <c r="HM37" i="24"/>
  <c r="DV27" i="24"/>
  <c r="GE27" i="24"/>
  <c r="HI27" i="24"/>
  <c r="DS37" i="24"/>
  <c r="GA37" i="24"/>
  <c r="CK27" i="24"/>
  <c r="ET27" i="24"/>
  <c r="FX27" i="24"/>
  <c r="FW27" i="24"/>
  <c r="W12" i="24"/>
  <c r="CG37" i="24"/>
  <c r="EP37" i="24"/>
  <c r="DH27" i="24"/>
  <c r="EL27" i="24"/>
  <c r="GU27" i="24"/>
  <c r="CF37" i="24"/>
  <c r="EO37" i="24"/>
  <c r="DG27" i="24"/>
  <c r="EK27" i="24"/>
  <c r="GT27" i="24"/>
  <c r="DC37" i="24"/>
  <c r="GQ37" i="24"/>
  <c r="CZ27" i="24"/>
  <c r="FI27" i="24"/>
  <c r="HR27" i="24"/>
  <c r="BM27" i="24"/>
  <c r="BM115" i="24" s="1"/>
  <c r="BP37" i="24"/>
  <c r="CM37" i="24"/>
  <c r="CE37" i="24"/>
  <c r="DA37" i="24"/>
  <c r="DY37" i="24"/>
  <c r="DQ37" i="24"/>
  <c r="EN37" i="24"/>
  <c r="FK37" i="24"/>
  <c r="FC37" i="24"/>
  <c r="FY37" i="24"/>
  <c r="GW37" i="24"/>
  <c r="GO37" i="24"/>
  <c r="HL37" i="24"/>
  <c r="BS27" i="24"/>
  <c r="BS115" i="24" s="1"/>
  <c r="CI27" i="24"/>
  <c r="DF27" i="24"/>
  <c r="DU27" i="24"/>
  <c r="ER27" i="24"/>
  <c r="FG27" i="24"/>
  <c r="GD27" i="24"/>
  <c r="GS27" i="24"/>
  <c r="HP27" i="24"/>
  <c r="BK37" i="24"/>
  <c r="BK109" i="24" s="1"/>
  <c r="BO37" i="24"/>
  <c r="CL37" i="24"/>
  <c r="CW37" i="24"/>
  <c r="CZ37" i="24"/>
  <c r="DX37" i="24"/>
  <c r="EI37" i="24"/>
  <c r="EM37" i="24"/>
  <c r="FJ37" i="24"/>
  <c r="FU37" i="24"/>
  <c r="FX37" i="24"/>
  <c r="GV37" i="24"/>
  <c r="HG37" i="24"/>
  <c r="HK37" i="24"/>
  <c r="BR27" i="24"/>
  <c r="BR115" i="24" s="1"/>
  <c r="CH27" i="24"/>
  <c r="DE27" i="24"/>
  <c r="DT27" i="24"/>
  <c r="EQ27" i="24"/>
  <c r="FF27" i="24"/>
  <c r="GC27" i="24"/>
  <c r="GR27" i="24"/>
  <c r="HO27" i="24"/>
  <c r="BT27" i="24"/>
  <c r="BT115" i="24" s="1"/>
  <c r="BN37" i="24"/>
  <c r="CK37" i="24"/>
  <c r="CY37" i="24"/>
  <c r="DW37" i="24"/>
  <c r="EL37" i="24"/>
  <c r="FI37" i="24"/>
  <c r="FW37" i="24"/>
  <c r="GU37" i="24"/>
  <c r="HJ37" i="24"/>
  <c r="BQ27" i="24"/>
  <c r="BQ115" i="24" s="1"/>
  <c r="CO27" i="24"/>
  <c r="CG27" i="24"/>
  <c r="DD27" i="24"/>
  <c r="EA27" i="24"/>
  <c r="DS27" i="24"/>
  <c r="EP27" i="24"/>
  <c r="FM27" i="24"/>
  <c r="FE27" i="24"/>
  <c r="GB27" i="24"/>
  <c r="GY27" i="24"/>
  <c r="GQ27" i="24"/>
  <c r="HN27" i="24"/>
  <c r="BU27" i="24"/>
  <c r="BU115" i="24" s="1"/>
  <c r="BM37" i="24"/>
  <c r="CJ37" i="24"/>
  <c r="DF37" i="24"/>
  <c r="CX37" i="24"/>
  <c r="DV37" i="24"/>
  <c r="EK37" i="24"/>
  <c r="FH37" i="24"/>
  <c r="GD37" i="24"/>
  <c r="FV37" i="24"/>
  <c r="GT37" i="24"/>
  <c r="HI37" i="24"/>
  <c r="BP27" i="24"/>
  <c r="BP115" i="24" s="1"/>
  <c r="CN27" i="24"/>
  <c r="CF27" i="24"/>
  <c r="DC27" i="24"/>
  <c r="DZ27" i="24"/>
  <c r="DR27" i="24"/>
  <c r="EO27" i="24"/>
  <c r="FL27" i="24"/>
  <c r="FD27" i="24"/>
  <c r="GA27" i="24"/>
  <c r="GX27" i="24"/>
  <c r="GP27" i="24"/>
  <c r="HM27" i="24"/>
  <c r="BT37" i="24"/>
  <c r="BL37" i="24"/>
  <c r="CI37" i="24"/>
  <c r="DE37" i="24"/>
  <c r="DU37" i="24"/>
  <c r="ER37" i="24"/>
  <c r="EJ37" i="24"/>
  <c r="FG37" i="24"/>
  <c r="GC37" i="24"/>
  <c r="GS37" i="24"/>
  <c r="HP37" i="24"/>
  <c r="HH37" i="24"/>
  <c r="BO27" i="24"/>
  <c r="BO115" i="24" s="1"/>
  <c r="CM27" i="24"/>
  <c r="DB27" i="24"/>
  <c r="DY27" i="24"/>
  <c r="EN27" i="24"/>
  <c r="FK27" i="24"/>
  <c r="FZ27" i="24"/>
  <c r="GW27" i="24"/>
  <c r="HL27" i="24"/>
  <c r="CD37" i="24"/>
  <c r="DP37" i="24"/>
  <c r="FB37" i="24"/>
  <c r="GN37" i="24"/>
  <c r="BV27" i="24"/>
  <c r="BV115" i="24" s="1"/>
  <c r="FU38" i="24"/>
  <c r="FM17" i="24"/>
  <c r="FB41" i="24"/>
  <c r="FZ17" i="24"/>
  <c r="FW44" i="24"/>
  <c r="FD17" i="24"/>
  <c r="FG41" i="24"/>
  <c r="FD41" i="24"/>
  <c r="FF17" i="24"/>
  <c r="FF42" i="24"/>
  <c r="FV44" i="24"/>
  <c r="GP38" i="24"/>
  <c r="W42" i="24"/>
  <c r="FG38" i="24"/>
  <c r="FC42" i="24"/>
  <c r="FE17" i="24"/>
  <c r="W31" i="24"/>
  <c r="FK41" i="24"/>
  <c r="FV40" i="24"/>
  <c r="FX54" i="24"/>
  <c r="HQ44" i="24"/>
  <c r="HN44" i="24"/>
  <c r="HH44" i="24"/>
  <c r="HR44" i="24"/>
  <c r="HM44" i="24"/>
  <c r="HO44" i="24"/>
  <c r="HJ44" i="24"/>
  <c r="HP44" i="24"/>
  <c r="HK44" i="24"/>
  <c r="HG44" i="24"/>
  <c r="HL44" i="24"/>
  <c r="HI44" i="24"/>
  <c r="FG40" i="24"/>
  <c r="FI40" i="24"/>
  <c r="FH40" i="24"/>
  <c r="FK40" i="24"/>
  <c r="FJ40" i="24"/>
  <c r="FC40" i="24"/>
  <c r="FE40" i="24"/>
  <c r="FD40" i="24"/>
  <c r="FF40" i="24"/>
  <c r="HR31" i="24"/>
  <c r="HQ31" i="24"/>
  <c r="GE30" i="24"/>
  <c r="GF30" i="24"/>
  <c r="FM26" i="24"/>
  <c r="FL26" i="24"/>
  <c r="FB40" i="24"/>
  <c r="GC43" i="24"/>
  <c r="GD43" i="24"/>
  <c r="FV43" i="24"/>
  <c r="FX43" i="24"/>
  <c r="FY43" i="24"/>
  <c r="GA43" i="24"/>
  <c r="FW43" i="24"/>
  <c r="FZ43" i="24"/>
  <c r="GB43" i="24"/>
  <c r="FU43" i="24"/>
  <c r="GS41" i="24"/>
  <c r="GO41" i="24"/>
  <c r="GV41" i="24"/>
  <c r="GP41" i="24"/>
  <c r="GU41" i="24"/>
  <c r="GN41" i="24"/>
  <c r="GT41" i="24"/>
  <c r="GQ41" i="24"/>
  <c r="GR41" i="24"/>
  <c r="GW41" i="24"/>
  <c r="GF16" i="24"/>
  <c r="GA16" i="24"/>
  <c r="GC16" i="24"/>
  <c r="GB16" i="24"/>
  <c r="GD16" i="24"/>
  <c r="FV16" i="24"/>
  <c r="GE16" i="24"/>
  <c r="FU16" i="24"/>
  <c r="HQ17" i="24"/>
  <c r="HK17" i="24"/>
  <c r="HR17" i="24"/>
  <c r="HJ17" i="24"/>
  <c r="HL17" i="24"/>
  <c r="HI17" i="24"/>
  <c r="FG54" i="24"/>
  <c r="FL54" i="24"/>
  <c r="FM54" i="24"/>
  <c r="HP43" i="24"/>
  <c r="HK43" i="24"/>
  <c r="HH43" i="24"/>
  <c r="HM43" i="24"/>
  <c r="HO43" i="24"/>
  <c r="HJ43" i="24"/>
  <c r="HN43" i="24"/>
  <c r="HG43" i="24"/>
  <c r="HL43" i="24"/>
  <c r="HI43" i="24"/>
  <c r="GV40" i="24"/>
  <c r="GQ40" i="24"/>
  <c r="GS40" i="24"/>
  <c r="GO40" i="24"/>
  <c r="GN40" i="24"/>
  <c r="GP40" i="24"/>
  <c r="GR40" i="24"/>
  <c r="GT40" i="24"/>
  <c r="GU40" i="24"/>
  <c r="GW40" i="24"/>
  <c r="FL25" i="24"/>
  <c r="FM25" i="24"/>
  <c r="HQ16" i="24"/>
  <c r="HN16" i="24"/>
  <c r="HP16" i="24"/>
  <c r="HR16" i="24"/>
  <c r="HM16" i="24"/>
  <c r="HH16" i="24"/>
  <c r="HG16" i="24"/>
  <c r="HO16" i="24"/>
  <c r="FE43" i="24"/>
  <c r="FF38" i="24"/>
  <c r="FI43" i="24"/>
  <c r="FJ43" i="24"/>
  <c r="W43" i="24"/>
  <c r="GU43" i="24"/>
  <c r="GP43" i="24"/>
  <c r="GW43" i="24"/>
  <c r="GS43" i="24"/>
  <c r="GR43" i="24"/>
  <c r="GQ43" i="24"/>
  <c r="GO43" i="24"/>
  <c r="GN43" i="24"/>
  <c r="GV43" i="24"/>
  <c r="FI42" i="24"/>
  <c r="FK42" i="24"/>
  <c r="FJ42" i="24"/>
  <c r="FG42" i="24"/>
  <c r="GE32" i="24"/>
  <c r="GE15" i="24" s="1"/>
  <c r="GF32" i="24"/>
  <c r="GF15" i="24" s="1"/>
  <c r="GY30" i="24"/>
  <c r="GX30" i="24"/>
  <c r="HR24" i="24"/>
  <c r="HQ24" i="24"/>
  <c r="GE20" i="24"/>
  <c r="GF20" i="24"/>
  <c r="GX16" i="24"/>
  <c r="GT16" i="24"/>
  <c r="GU16" i="24"/>
  <c r="GY16" i="24"/>
  <c r="GW16" i="24"/>
  <c r="GO16" i="24"/>
  <c r="GN16" i="24"/>
  <c r="FE44" i="24"/>
  <c r="FF54" i="24"/>
  <c r="FH41" i="24"/>
  <c r="FJ44" i="24"/>
  <c r="FL20" i="24"/>
  <c r="GE29" i="24"/>
  <c r="GF42" i="24"/>
  <c r="GA42" i="24"/>
  <c r="GC42" i="24"/>
  <c r="GB42" i="24"/>
  <c r="FZ42" i="24"/>
  <c r="FV42" i="24"/>
  <c r="GE42" i="24"/>
  <c r="GD42" i="24"/>
  <c r="FX42" i="24"/>
  <c r="FU42" i="24"/>
  <c r="FW42" i="24"/>
  <c r="FJ38" i="24"/>
  <c r="FL38" i="24"/>
  <c r="FK38" i="24"/>
  <c r="FH38" i="24"/>
  <c r="HQ30" i="24"/>
  <c r="HR30" i="24"/>
  <c r="GX26" i="24"/>
  <c r="GY26" i="24"/>
  <c r="FC16" i="24"/>
  <c r="HO41" i="24"/>
  <c r="HI41" i="24"/>
  <c r="HN41" i="24"/>
  <c r="HP41" i="24"/>
  <c r="HK41" i="24"/>
  <c r="HH41" i="24"/>
  <c r="HL41" i="24"/>
  <c r="HM41" i="24"/>
  <c r="HJ41" i="24"/>
  <c r="GD40" i="24"/>
  <c r="GA40" i="24"/>
  <c r="FZ40" i="24"/>
  <c r="GC40" i="24"/>
  <c r="GB40" i="24"/>
  <c r="FU40" i="24"/>
  <c r="FY40" i="24"/>
  <c r="GF26" i="24"/>
  <c r="GE26" i="24"/>
  <c r="GY24" i="24"/>
  <c r="GX24" i="24"/>
  <c r="FB38" i="24"/>
  <c r="FC44" i="24"/>
  <c r="FD54" i="24"/>
  <c r="FH42" i="24"/>
  <c r="FV38" i="24"/>
  <c r="FW40" i="24"/>
  <c r="FX41" i="24"/>
  <c r="GE38" i="24"/>
  <c r="HR54" i="24"/>
  <c r="HQ54" i="24"/>
  <c r="HL54" i="24"/>
  <c r="HI54" i="24"/>
  <c r="HK54" i="24"/>
  <c r="HJ54" i="24"/>
  <c r="HH54" i="24"/>
  <c r="HG54" i="24"/>
  <c r="FK43" i="24"/>
  <c r="FH43" i="24"/>
  <c r="FG43" i="24"/>
  <c r="GX17" i="24"/>
  <c r="GQ17" i="24"/>
  <c r="GY17" i="24"/>
  <c r="GR17" i="24"/>
  <c r="GP17" i="24"/>
  <c r="W32" i="24"/>
  <c r="W67" i="24"/>
  <c r="GY54" i="24"/>
  <c r="GQ54" i="24"/>
  <c r="GX54" i="24"/>
  <c r="GO54" i="24"/>
  <c r="GN54" i="24"/>
  <c r="GR54" i="24"/>
  <c r="GP54" i="24"/>
  <c r="HQ42" i="24"/>
  <c r="HN42" i="24"/>
  <c r="HP42" i="24"/>
  <c r="HK42" i="24"/>
  <c r="HH42" i="24"/>
  <c r="HR42" i="24"/>
  <c r="HM42" i="24"/>
  <c r="HL42" i="24"/>
  <c r="HI42" i="24"/>
  <c r="HG42" i="24"/>
  <c r="HO42" i="24"/>
  <c r="HJ42" i="24"/>
  <c r="GD41" i="24"/>
  <c r="GA41" i="24"/>
  <c r="FZ41" i="24"/>
  <c r="GB41" i="24"/>
  <c r="FY41" i="24"/>
  <c r="FU41" i="24"/>
  <c r="FV41" i="24"/>
  <c r="FW41" i="24"/>
  <c r="GY38" i="24"/>
  <c r="GT38" i="24"/>
  <c r="GV38" i="24"/>
  <c r="GQ38" i="24"/>
  <c r="GN38" i="24"/>
  <c r="GX38" i="24"/>
  <c r="GS38" i="24"/>
  <c r="GO38" i="24"/>
  <c r="GW38" i="24"/>
  <c r="GR38" i="24"/>
  <c r="HQ29" i="24"/>
  <c r="HR29" i="24"/>
  <c r="GX25" i="24"/>
  <c r="GO25" i="24"/>
  <c r="GY25" i="24"/>
  <c r="GN25" i="24"/>
  <c r="FL24" i="24"/>
  <c r="FM24" i="24"/>
  <c r="FB42" i="24"/>
  <c r="FC38" i="24"/>
  <c r="FD43" i="24"/>
  <c r="FE54" i="24"/>
  <c r="FF44" i="24"/>
  <c r="FG44" i="24"/>
  <c r="FL31" i="24"/>
  <c r="FM29" i="24"/>
  <c r="GV16" i="24"/>
  <c r="HH38" i="24"/>
  <c r="GY31" i="24"/>
  <c r="GX31" i="24"/>
  <c r="HR25" i="24"/>
  <c r="HQ25" i="24"/>
  <c r="HH25" i="24"/>
  <c r="FI16" i="24"/>
  <c r="FK16" i="24"/>
  <c r="FJ16" i="24"/>
  <c r="FF43" i="24"/>
  <c r="GC44" i="24"/>
  <c r="GE44" i="24"/>
  <c r="FZ44" i="24"/>
  <c r="GD44" i="24"/>
  <c r="GF44" i="24"/>
  <c r="GA44" i="24"/>
  <c r="FX44" i="24"/>
  <c r="FY44" i="24"/>
  <c r="GB44" i="24"/>
  <c r="GX42" i="24"/>
  <c r="GS42" i="24"/>
  <c r="GV42" i="24"/>
  <c r="GP42" i="24"/>
  <c r="GU42" i="24"/>
  <c r="GW42" i="24"/>
  <c r="GQ42" i="24"/>
  <c r="GY42" i="24"/>
  <c r="GO42" i="24"/>
  <c r="GT42" i="24"/>
  <c r="GR42" i="24"/>
  <c r="FI41" i="24"/>
  <c r="FJ41" i="24"/>
  <c r="HR32" i="24"/>
  <c r="HR15" i="24" s="1"/>
  <c r="HQ32" i="24"/>
  <c r="HQ15" i="24" s="1"/>
  <c r="GE31" i="24"/>
  <c r="GF31" i="24"/>
  <c r="GX29" i="24"/>
  <c r="GY29" i="24"/>
  <c r="HR20" i="24"/>
  <c r="HQ20" i="24"/>
  <c r="GF17" i="24"/>
  <c r="GE17" i="24"/>
  <c r="FX17" i="24"/>
  <c r="FY17" i="24"/>
  <c r="FB43" i="24"/>
  <c r="FC54" i="24"/>
  <c r="FE41" i="24"/>
  <c r="FL32" i="24"/>
  <c r="FL15" i="24" s="1"/>
  <c r="FM38" i="24"/>
  <c r="GS54" i="24"/>
  <c r="GU44" i="24"/>
  <c r="GP44" i="24"/>
  <c r="GW44" i="24"/>
  <c r="GR44" i="24"/>
  <c r="GX44" i="24"/>
  <c r="GY44" i="24"/>
  <c r="GT44" i="24"/>
  <c r="GO44" i="24"/>
  <c r="GN44" i="24"/>
  <c r="GV44" i="24"/>
  <c r="GQ44" i="24"/>
  <c r="GS44" i="24"/>
  <c r="HR38" i="24"/>
  <c r="HQ38" i="24"/>
  <c r="HL38" i="24"/>
  <c r="HI38" i="24"/>
  <c r="HN38" i="24"/>
  <c r="HP38" i="24"/>
  <c r="HO38" i="24"/>
  <c r="HG38" i="24"/>
  <c r="HM38" i="24"/>
  <c r="HK38" i="24"/>
  <c r="FM30" i="24"/>
  <c r="FL30" i="24"/>
  <c r="GE24" i="24"/>
  <c r="GF24" i="24"/>
  <c r="FE38" i="24"/>
  <c r="FH16" i="24"/>
  <c r="GF54" i="24"/>
  <c r="GE54" i="24"/>
  <c r="FZ54" i="24"/>
  <c r="FU54" i="24"/>
  <c r="FY54" i="24"/>
  <c r="FK44" i="24"/>
  <c r="FH44" i="24"/>
  <c r="FM44" i="24"/>
  <c r="FL44" i="24"/>
  <c r="FI44" i="24"/>
  <c r="HO40" i="24"/>
  <c r="HL40" i="24"/>
  <c r="HI40" i="24"/>
  <c r="HN40" i="24"/>
  <c r="HP40" i="24"/>
  <c r="HK40" i="24"/>
  <c r="HH40" i="24"/>
  <c r="HM40" i="24"/>
  <c r="HJ40" i="24"/>
  <c r="HG40" i="24"/>
  <c r="GB38" i="24"/>
  <c r="GD38" i="24"/>
  <c r="GC38" i="24"/>
  <c r="GA38" i="24"/>
  <c r="FW38" i="24"/>
  <c r="FZ38" i="24"/>
  <c r="FY38" i="24"/>
  <c r="FX38" i="24"/>
  <c r="GY32" i="24"/>
  <c r="GY15" i="24" s="1"/>
  <c r="GX32" i="24"/>
  <c r="GX15" i="24" s="1"/>
  <c r="HQ26" i="24"/>
  <c r="HR26" i="24"/>
  <c r="GF25" i="24"/>
  <c r="GE25" i="24"/>
  <c r="FU25" i="24"/>
  <c r="FV25" i="24"/>
  <c r="GY20" i="24"/>
  <c r="GX20" i="24"/>
  <c r="FB44" i="24"/>
  <c r="FC25" i="24"/>
  <c r="FC41" i="24"/>
  <c r="FE42" i="24"/>
  <c r="FG17" i="24"/>
  <c r="FI38" i="24"/>
  <c r="FL16" i="24"/>
  <c r="FL42" i="24"/>
  <c r="FM16" i="24"/>
  <c r="FM42" i="24"/>
  <c r="FV54" i="24"/>
  <c r="FY42" i="24"/>
  <c r="CD42" i="24"/>
  <c r="CD44" i="24"/>
  <c r="CG38" i="24"/>
  <c r="CX25" i="24"/>
  <c r="BU29" i="24"/>
  <c r="BU117" i="24" s="1"/>
  <c r="BL42" i="24"/>
  <c r="BU38" i="24"/>
  <c r="CE38" i="24"/>
  <c r="CM38" i="24"/>
  <c r="CW42" i="24"/>
  <c r="BP17" i="24"/>
  <c r="BQ41" i="24"/>
  <c r="BQ119" i="24" s="1"/>
  <c r="BS38" i="24"/>
  <c r="CE42" i="24"/>
  <c r="BN17" i="24"/>
  <c r="BP38" i="24"/>
  <c r="BR41" i="24"/>
  <c r="BR119" i="24" s="1"/>
  <c r="BT38" i="24"/>
  <c r="CH38" i="24"/>
  <c r="BN38" i="24"/>
  <c r="CI38" i="24"/>
  <c r="CN31" i="24"/>
  <c r="ER44" i="24"/>
  <c r="EP44" i="24"/>
  <c r="ET44" i="24"/>
  <c r="EM44" i="24"/>
  <c r="EJ44" i="24"/>
  <c r="EO44" i="24"/>
  <c r="EQ44" i="24"/>
  <c r="EN44" i="24"/>
  <c r="EK44" i="24"/>
  <c r="EL44" i="24"/>
  <c r="ES44" i="24"/>
  <c r="EI44" i="24"/>
  <c r="EN17" i="24"/>
  <c r="ET17" i="24"/>
  <c r="EM17" i="24"/>
  <c r="ES17" i="24"/>
  <c r="EL17" i="24"/>
  <c r="EK17" i="24"/>
  <c r="BR43" i="24"/>
  <c r="BQ43" i="24"/>
  <c r="BO43" i="24"/>
  <c r="BM43" i="24"/>
  <c r="DZ31" i="24"/>
  <c r="EA31" i="24"/>
  <c r="BK16" i="24"/>
  <c r="BT16" i="24"/>
  <c r="BV16" i="24"/>
  <c r="BS16" i="24"/>
  <c r="BU16" i="24"/>
  <c r="BQ16" i="24"/>
  <c r="BK43" i="24"/>
  <c r="BU42" i="24"/>
  <c r="DT41" i="24"/>
  <c r="DV41" i="24"/>
  <c r="DX41" i="24"/>
  <c r="DW41" i="24"/>
  <c r="DP41" i="24"/>
  <c r="DY41" i="24"/>
  <c r="DU41" i="24"/>
  <c r="DQ41" i="24"/>
  <c r="DR41" i="24"/>
  <c r="DS41" i="24"/>
  <c r="BV26" i="24"/>
  <c r="BV114" i="24" s="1"/>
  <c r="DB41" i="24"/>
  <c r="CY41" i="24"/>
  <c r="DD41" i="24"/>
  <c r="DE41" i="24"/>
  <c r="DF41" i="24"/>
  <c r="DA41" i="24"/>
  <c r="CX41" i="24"/>
  <c r="CW41" i="24"/>
  <c r="DT17" i="24"/>
  <c r="DS17" i="24"/>
  <c r="DU17" i="24"/>
  <c r="DR17" i="24"/>
  <c r="DZ17" i="24"/>
  <c r="EA17" i="24"/>
  <c r="BL16" i="24"/>
  <c r="CO54" i="24"/>
  <c r="CI54" i="24"/>
  <c r="CH54" i="24"/>
  <c r="CD54" i="24"/>
  <c r="CN54" i="24"/>
  <c r="CG54" i="24"/>
  <c r="CE54" i="24"/>
  <c r="CF54" i="24"/>
  <c r="BV44" i="24"/>
  <c r="BR44" i="24"/>
  <c r="BU44" i="24"/>
  <c r="BQ44" i="24"/>
  <c r="BP44" i="24"/>
  <c r="BN44" i="24"/>
  <c r="BO44" i="24"/>
  <c r="BM44" i="24"/>
  <c r="BK44" i="24"/>
  <c r="BS44" i="24"/>
  <c r="BL44" i="24"/>
  <c r="BO42" i="24"/>
  <c r="CO30" i="24"/>
  <c r="BK40" i="24"/>
  <c r="BK120" i="24" s="1"/>
  <c r="BR40" i="24"/>
  <c r="BR120" i="24" s="1"/>
  <c r="BQ40" i="24"/>
  <c r="BQ120" i="24" s="1"/>
  <c r="BL40" i="24"/>
  <c r="BL120" i="24" s="1"/>
  <c r="BP40" i="24"/>
  <c r="BP120" i="24" s="1"/>
  <c r="BN40" i="24"/>
  <c r="BN120" i="24" s="1"/>
  <c r="BO40" i="24"/>
  <c r="BO120" i="24" s="1"/>
  <c r="BM40" i="24"/>
  <c r="BM120" i="24" s="1"/>
  <c r="BS40" i="24"/>
  <c r="BS120" i="24" s="1"/>
  <c r="DZ44" i="24"/>
  <c r="DY44" i="24"/>
  <c r="DX44" i="24"/>
  <c r="DS44" i="24"/>
  <c r="DV44" i="24"/>
  <c r="DP44" i="24"/>
  <c r="EA44" i="24"/>
  <c r="DU44" i="24"/>
  <c r="DQ44" i="24"/>
  <c r="DT44" i="24"/>
  <c r="DR44" i="24"/>
  <c r="DW44" i="24"/>
  <c r="ES25" i="24"/>
  <c r="EJ25" i="24"/>
  <c r="EI25" i="24"/>
  <c r="ET25" i="24"/>
  <c r="BL43" i="24"/>
  <c r="CZ41" i="24"/>
  <c r="BK54" i="24"/>
  <c r="BU54" i="24"/>
  <c r="BN54" i="24"/>
  <c r="BL54" i="24"/>
  <c r="BP54" i="24"/>
  <c r="BM54" i="24"/>
  <c r="BV54" i="24"/>
  <c r="BO54" i="24"/>
  <c r="BS43" i="24"/>
  <c r="DH24" i="24"/>
  <c r="DG24" i="24"/>
  <c r="BV30" i="24"/>
  <c r="BV118" i="24" s="1"/>
  <c r="BU30" i="24"/>
  <c r="BU118" i="24" s="1"/>
  <c r="BR16" i="24"/>
  <c r="DX43" i="24"/>
  <c r="DU43" i="24"/>
  <c r="DQ43" i="24"/>
  <c r="DS43" i="24"/>
  <c r="DT43" i="24"/>
  <c r="DR43" i="24"/>
  <c r="DY43" i="24"/>
  <c r="DV43" i="24"/>
  <c r="DP43" i="24"/>
  <c r="DW43" i="24"/>
  <c r="BK42" i="24"/>
  <c r="BT42" i="24"/>
  <c r="BS42" i="24"/>
  <c r="BV42" i="24"/>
  <c r="BQ42" i="24"/>
  <c r="DF40" i="24"/>
  <c r="CZ40" i="24"/>
  <c r="DB40" i="24"/>
  <c r="CY40" i="24"/>
  <c r="DD40" i="24"/>
  <c r="DC40" i="24"/>
  <c r="CW40" i="24"/>
  <c r="DA40" i="24"/>
  <c r="CX40" i="24"/>
  <c r="DE40" i="24"/>
  <c r="CN32" i="24"/>
  <c r="CN15" i="24" s="1"/>
  <c r="CO32" i="24"/>
  <c r="CO15" i="24" s="1"/>
  <c r="DZ30" i="24"/>
  <c r="EA30" i="24"/>
  <c r="DH26" i="24"/>
  <c r="DG26" i="24"/>
  <c r="ET24" i="24"/>
  <c r="ES24" i="24"/>
  <c r="EA16" i="24"/>
  <c r="DX16" i="24"/>
  <c r="DV16" i="24"/>
  <c r="DQ16" i="24"/>
  <c r="DW16" i="24"/>
  <c r="DZ16" i="24"/>
  <c r="DP16" i="24"/>
  <c r="DY16" i="24"/>
  <c r="BM42" i="24"/>
  <c r="BP43" i="24"/>
  <c r="BR42" i="24"/>
  <c r="BT43" i="24"/>
  <c r="DC41" i="24"/>
  <c r="CL43" i="24"/>
  <c r="CF43" i="24"/>
  <c r="CE43" i="24"/>
  <c r="CK43" i="24"/>
  <c r="CJ43" i="24"/>
  <c r="CI43" i="24"/>
  <c r="CG43" i="24"/>
  <c r="CM43" i="24"/>
  <c r="CH43" i="24"/>
  <c r="CD43" i="24"/>
  <c r="ET31" i="24"/>
  <c r="ES31" i="24"/>
  <c r="CO16" i="24"/>
  <c r="CM16" i="24"/>
  <c r="CN16" i="24"/>
  <c r="CL16" i="24"/>
  <c r="CE16" i="24"/>
  <c r="CK16" i="24"/>
  <c r="CD16" i="24"/>
  <c r="EN54" i="24"/>
  <c r="EI54" i="24"/>
  <c r="ET54" i="24"/>
  <c r="EM54" i="24"/>
  <c r="EJ54" i="24"/>
  <c r="ES54" i="24"/>
  <c r="EK54" i="24"/>
  <c r="EL54" i="24"/>
  <c r="EO38" i="24"/>
  <c r="ES38" i="24"/>
  <c r="EL38" i="24"/>
  <c r="EI38" i="24"/>
  <c r="EN38" i="24"/>
  <c r="EJ38" i="24"/>
  <c r="EP38" i="24"/>
  <c r="EQ38" i="24"/>
  <c r="EK38" i="24"/>
  <c r="EM38" i="24"/>
  <c r="ER38" i="24"/>
  <c r="ET38" i="24"/>
  <c r="CO24" i="24"/>
  <c r="CN24" i="24"/>
  <c r="DE43" i="24"/>
  <c r="CY43" i="24"/>
  <c r="DD43" i="24"/>
  <c r="DA43" i="24"/>
  <c r="DC43" i="24"/>
  <c r="CX43" i="24"/>
  <c r="DF43" i="24"/>
  <c r="DB43" i="24"/>
  <c r="CW43" i="24"/>
  <c r="CZ43" i="24"/>
  <c r="ER41" i="24"/>
  <c r="EP41" i="24"/>
  <c r="EK41" i="24"/>
  <c r="EO41" i="24"/>
  <c r="EN41" i="24"/>
  <c r="EJ41" i="24"/>
  <c r="EI41" i="24"/>
  <c r="EQ41" i="24"/>
  <c r="EL41" i="24"/>
  <c r="EM41" i="24"/>
  <c r="CK40" i="24"/>
  <c r="CJ40" i="24"/>
  <c r="CD40" i="24"/>
  <c r="CI40" i="24"/>
  <c r="CE40" i="24"/>
  <c r="CG40" i="24"/>
  <c r="CM40" i="24"/>
  <c r="CH40" i="24"/>
  <c r="CF40" i="24"/>
  <c r="BV32" i="24"/>
  <c r="BV15" i="24" s="1"/>
  <c r="BU32" i="24"/>
  <c r="BU15" i="24" s="1"/>
  <c r="DG30" i="24"/>
  <c r="DH30" i="24"/>
  <c r="CN26" i="24"/>
  <c r="CO26" i="24"/>
  <c r="EA24" i="24"/>
  <c r="DZ24" i="24"/>
  <c r="BU20" i="24"/>
  <c r="BV20" i="24"/>
  <c r="DH16" i="24"/>
  <c r="DE16" i="24"/>
  <c r="DD16" i="24"/>
  <c r="DF16" i="24"/>
  <c r="DG16" i="24"/>
  <c r="DC16" i="24"/>
  <c r="CW16" i="24"/>
  <c r="CX16" i="24"/>
  <c r="BN42" i="24"/>
  <c r="BT44" i="24"/>
  <c r="BU26" i="24"/>
  <c r="BU114" i="24" s="1"/>
  <c r="CN20" i="24"/>
  <c r="BM17" i="24"/>
  <c r="BM38" i="24"/>
  <c r="BO17" i="24"/>
  <c r="BO38" i="24"/>
  <c r="CX38" i="24"/>
  <c r="DH29" i="24"/>
  <c r="DT54" i="24"/>
  <c r="EA54" i="24"/>
  <c r="DZ54" i="24"/>
  <c r="DP54" i="24"/>
  <c r="DU54" i="24"/>
  <c r="DS54" i="24"/>
  <c r="DR54" i="24"/>
  <c r="DQ54" i="24"/>
  <c r="DG44" i="24"/>
  <c r="DD44" i="24"/>
  <c r="DA44" i="24"/>
  <c r="DE44" i="24"/>
  <c r="DC44" i="24"/>
  <c r="CX44" i="24"/>
  <c r="DF44" i="24"/>
  <c r="DB44" i="24"/>
  <c r="CY44" i="24"/>
  <c r="CZ44" i="24"/>
  <c r="EN42" i="24"/>
  <c r="ER42" i="24"/>
  <c r="EP42" i="24"/>
  <c r="EK42" i="24"/>
  <c r="ET42" i="24"/>
  <c r="EQ42" i="24"/>
  <c r="EI42" i="24"/>
  <c r="ES42" i="24"/>
  <c r="EO42" i="24"/>
  <c r="EM42" i="24"/>
  <c r="EL42" i="24"/>
  <c r="EJ42" i="24"/>
  <c r="CI41" i="24"/>
  <c r="CM41" i="24"/>
  <c r="CH41" i="24"/>
  <c r="CG41" i="24"/>
  <c r="CE41" i="24"/>
  <c r="CL41" i="24"/>
  <c r="CF41" i="24"/>
  <c r="DY38" i="24"/>
  <c r="DX38" i="24"/>
  <c r="DR38" i="24"/>
  <c r="DU38" i="24"/>
  <c r="DQ38" i="24"/>
  <c r="DS38" i="24"/>
  <c r="DW38" i="24"/>
  <c r="EA38" i="24"/>
  <c r="DZ38" i="24"/>
  <c r="DV38" i="24"/>
  <c r="DP38" i="24"/>
  <c r="DG31" i="24"/>
  <c r="DH31" i="24"/>
  <c r="ET29" i="24"/>
  <c r="ES29" i="24"/>
  <c r="EA25" i="24"/>
  <c r="DZ25" i="24"/>
  <c r="DP25" i="24"/>
  <c r="DQ25" i="24"/>
  <c r="BV24" i="24"/>
  <c r="BV112" i="24" s="1"/>
  <c r="CY17" i="24"/>
  <c r="DA17" i="24"/>
  <c r="DH17" i="24"/>
  <c r="DG17" i="24"/>
  <c r="DB17" i="24"/>
  <c r="BQ38" i="24"/>
  <c r="BS41" i="24"/>
  <c r="BS119" i="24" s="1"/>
  <c r="CD41" i="24"/>
  <c r="CK41" i="24"/>
  <c r="CO42" i="24"/>
  <c r="CZ54" i="24"/>
  <c r="DB54" i="24"/>
  <c r="CY54" i="24"/>
  <c r="DH54" i="24"/>
  <c r="DG54" i="24"/>
  <c r="CW54" i="24"/>
  <c r="CK44" i="24"/>
  <c r="CE44" i="24"/>
  <c r="CJ44" i="24"/>
  <c r="CO44" i="24"/>
  <c r="CN44" i="24"/>
  <c r="CI44" i="24"/>
  <c r="EA42" i="24"/>
  <c r="DV42" i="24"/>
  <c r="DX42" i="24"/>
  <c r="DW42" i="24"/>
  <c r="DU42" i="24"/>
  <c r="DQ42" i="24"/>
  <c r="DZ42" i="24"/>
  <c r="DY42" i="24"/>
  <c r="DT42" i="24"/>
  <c r="DR42" i="24"/>
  <c r="DP42" i="24"/>
  <c r="CZ38" i="24"/>
  <c r="DH38" i="24"/>
  <c r="DG38" i="24"/>
  <c r="CW38" i="24"/>
  <c r="DB38" i="24"/>
  <c r="DC38" i="24"/>
  <c r="CY38" i="24"/>
  <c r="DF38" i="24"/>
  <c r="DD38" i="24"/>
  <c r="ET32" i="24"/>
  <c r="ET15" i="24" s="1"/>
  <c r="ES32" i="24"/>
  <c r="ES15" i="24" s="1"/>
  <c r="DZ29" i="24"/>
  <c r="EA29" i="24"/>
  <c r="DH25" i="24"/>
  <c r="DG25" i="24"/>
  <c r="ES20" i="24"/>
  <c r="ET20" i="24"/>
  <c r="CO17" i="24"/>
  <c r="CF17" i="24"/>
  <c r="CN17" i="24"/>
  <c r="BL38" i="24"/>
  <c r="BT41" i="24"/>
  <c r="BT119" i="24" s="1"/>
  <c r="BV31" i="24"/>
  <c r="CF44" i="24"/>
  <c r="CH44" i="24"/>
  <c r="CM44" i="24"/>
  <c r="DA54" i="24"/>
  <c r="DS42" i="24"/>
  <c r="DH42" i="24"/>
  <c r="DG42" i="24"/>
  <c r="DB42" i="24"/>
  <c r="CY42" i="24"/>
  <c r="DD42" i="24"/>
  <c r="DE42" i="24"/>
  <c r="DA42" i="24"/>
  <c r="DC42" i="24"/>
  <c r="DF42" i="24"/>
  <c r="CX42" i="24"/>
  <c r="EQ40" i="24"/>
  <c r="EN40" i="24"/>
  <c r="EI40" i="24"/>
  <c r="ER40" i="24"/>
  <c r="EP40" i="24"/>
  <c r="EM40" i="24"/>
  <c r="EJ40" i="24"/>
  <c r="EO40" i="24"/>
  <c r="EL40" i="24"/>
  <c r="EK40" i="24"/>
  <c r="CL38" i="24"/>
  <c r="CF38" i="24"/>
  <c r="CO38" i="24"/>
  <c r="CK38" i="24"/>
  <c r="CN38" i="24"/>
  <c r="CJ38" i="24"/>
  <c r="EA32" i="24"/>
  <c r="EA15" i="24" s="1"/>
  <c r="DZ32" i="24"/>
  <c r="DZ15" i="24" s="1"/>
  <c r="ET26" i="24"/>
  <c r="ES26" i="24"/>
  <c r="CO25" i="24"/>
  <c r="CE25" i="24"/>
  <c r="CD25" i="24"/>
  <c r="DZ20" i="24"/>
  <c r="EA20" i="24"/>
  <c r="BM41" i="24"/>
  <c r="BM119" i="24" s="1"/>
  <c r="BO41" i="24"/>
  <c r="BO119" i="24" s="1"/>
  <c r="CG44" i="24"/>
  <c r="CW44" i="24"/>
  <c r="DE38" i="24"/>
  <c r="EM43" i="24"/>
  <c r="EJ43" i="24"/>
  <c r="EO43" i="24"/>
  <c r="EL43" i="24"/>
  <c r="EI43" i="24"/>
  <c r="EK43" i="24"/>
  <c r="ER43" i="24"/>
  <c r="EP43" i="24"/>
  <c r="EN43" i="24"/>
  <c r="CN42" i="24"/>
  <c r="CI42" i="24"/>
  <c r="CM42" i="24"/>
  <c r="CH42" i="24"/>
  <c r="CG42" i="24"/>
  <c r="CL42" i="24"/>
  <c r="CF42" i="24"/>
  <c r="CK42" i="24"/>
  <c r="DY40" i="24"/>
  <c r="DT40" i="24"/>
  <c r="DP40" i="24"/>
  <c r="DS40" i="24"/>
  <c r="DX40" i="24"/>
  <c r="DW40" i="24"/>
  <c r="DV40" i="24"/>
  <c r="DU40" i="24"/>
  <c r="DQ40" i="24"/>
  <c r="DR40" i="24"/>
  <c r="BK38" i="24"/>
  <c r="BV38" i="24"/>
  <c r="DH32" i="24"/>
  <c r="DH15" i="24" s="1"/>
  <c r="DG32" i="24"/>
  <c r="DG15" i="24" s="1"/>
  <c r="ET30" i="24"/>
  <c r="ES30" i="24"/>
  <c r="CO29" i="24"/>
  <c r="CN29" i="24"/>
  <c r="EA26" i="24"/>
  <c r="DZ26" i="24"/>
  <c r="BK25" i="24"/>
  <c r="BK113" i="24" s="1"/>
  <c r="BU25" i="24"/>
  <c r="BU113" i="24" s="1"/>
  <c r="DG20" i="24"/>
  <c r="DH20" i="24"/>
  <c r="EP16" i="24"/>
  <c r="ER16" i="24"/>
  <c r="ET16" i="24"/>
  <c r="EO16" i="24"/>
  <c r="EJ16" i="24"/>
  <c r="ES16" i="24"/>
  <c r="EQ16" i="24"/>
  <c r="EI16" i="24"/>
  <c r="BL25" i="24"/>
  <c r="BL113" i="24" s="1"/>
  <c r="BL41" i="24"/>
  <c r="BL119" i="24" s="1"/>
  <c r="BN41" i="24"/>
  <c r="BN119" i="24" s="1"/>
  <c r="BP41" i="24"/>
  <c r="BP119" i="24" s="1"/>
  <c r="BU17" i="24"/>
  <c r="BU24" i="24"/>
  <c r="BU112" i="24" s="1"/>
  <c r="CG17" i="24"/>
  <c r="CH17" i="24"/>
  <c r="CN25" i="24"/>
  <c r="BC25" i="24"/>
  <c r="BC113" i="24" s="1"/>
  <c r="AT38" i="24"/>
  <c r="AY41" i="24"/>
  <c r="AY119" i="24" s="1"/>
  <c r="W20" i="24"/>
  <c r="AT41" i="24"/>
  <c r="AT119" i="24" s="1"/>
  <c r="AU41" i="24"/>
  <c r="AU119" i="24" s="1"/>
  <c r="W17" i="24"/>
  <c r="AV41" i="24"/>
  <c r="AV119" i="24" s="1"/>
  <c r="AZ41" i="24"/>
  <c r="AZ119" i="24" s="1"/>
  <c r="AW41" i="24"/>
  <c r="AW119" i="24" s="1"/>
  <c r="BA41" i="24"/>
  <c r="BA119" i="24" s="1"/>
  <c r="C17" i="36"/>
  <c r="K23" i="38"/>
  <c r="N54" i="10"/>
  <c r="BV110" i="24" l="1"/>
  <c r="HS310" i="24"/>
  <c r="HS244" i="24"/>
  <c r="HT309" i="24"/>
  <c r="HT243" i="24"/>
  <c r="HT244" i="24"/>
  <c r="HT310" i="24"/>
  <c r="HS263" i="24"/>
  <c r="HS197" i="24"/>
  <c r="HT195" i="24"/>
  <c r="HT261" i="24"/>
  <c r="HT282" i="24"/>
  <c r="HT216" i="24"/>
  <c r="HS309" i="24"/>
  <c r="HS243" i="24"/>
  <c r="HT197" i="24"/>
  <c r="HT263" i="24"/>
  <c r="HS36" i="24"/>
  <c r="HS261" i="24"/>
  <c r="HS195" i="24"/>
  <c r="HS282" i="24"/>
  <c r="HS216" i="24"/>
  <c r="HT198" i="24"/>
  <c r="HT264" i="24"/>
  <c r="HT36" i="24"/>
  <c r="HS265" i="24"/>
  <c r="HS199" i="24"/>
  <c r="HS308" i="24"/>
  <c r="HS242" i="24"/>
  <c r="HS264" i="24"/>
  <c r="HS198" i="24"/>
  <c r="HU36" i="24"/>
  <c r="HT199" i="24"/>
  <c r="HT265" i="24"/>
  <c r="HS52" i="24"/>
  <c r="HS49" i="24" s="1"/>
  <c r="HT311" i="24"/>
  <c r="HT245" i="24"/>
  <c r="HS283" i="24"/>
  <c r="HS217" i="24"/>
  <c r="HT308" i="24"/>
  <c r="HT242" i="24"/>
  <c r="HV36" i="24"/>
  <c r="HT52" i="24"/>
  <c r="HT49" i="24" s="1"/>
  <c r="HS311" i="24"/>
  <c r="HS245" i="24"/>
  <c r="HT283" i="24"/>
  <c r="HT217" i="24"/>
  <c r="GZ242" i="24"/>
  <c r="GZ308" i="24"/>
  <c r="GZ264" i="24"/>
  <c r="GZ198" i="24"/>
  <c r="HA264" i="24"/>
  <c r="HA198" i="24"/>
  <c r="HA242" i="24"/>
  <c r="HA308" i="24"/>
  <c r="GZ52" i="24"/>
  <c r="GZ49" i="24" s="1"/>
  <c r="GZ245" i="24"/>
  <c r="GZ311" i="24"/>
  <c r="GZ36" i="24"/>
  <c r="HA52" i="24"/>
  <c r="HA49" i="24" s="1"/>
  <c r="HA245" i="24"/>
  <c r="HA311" i="24"/>
  <c r="HB36" i="24"/>
  <c r="HC36" i="24"/>
  <c r="GZ310" i="24"/>
  <c r="GZ244" i="24"/>
  <c r="GZ261" i="24"/>
  <c r="GZ195" i="24"/>
  <c r="HA36" i="24"/>
  <c r="GZ283" i="24"/>
  <c r="GZ217" i="24"/>
  <c r="HA310" i="24"/>
  <c r="HA244" i="24"/>
  <c r="HA265" i="24"/>
  <c r="HA199" i="24"/>
  <c r="HA261" i="24"/>
  <c r="HA195" i="24"/>
  <c r="HA216" i="24"/>
  <c r="HA282" i="24"/>
  <c r="GZ309" i="24"/>
  <c r="GZ243" i="24"/>
  <c r="HA263" i="24"/>
  <c r="HA197" i="24"/>
  <c r="HA217" i="24"/>
  <c r="HA283" i="24"/>
  <c r="GZ265" i="24"/>
  <c r="GZ199" i="24"/>
  <c r="GZ216" i="24"/>
  <c r="GZ282" i="24"/>
  <c r="HA243" i="24"/>
  <c r="HA309" i="24"/>
  <c r="GZ263" i="24"/>
  <c r="GZ197" i="24"/>
  <c r="GG265" i="24"/>
  <c r="GG199" i="24"/>
  <c r="GG282" i="24"/>
  <c r="GG216" i="24"/>
  <c r="GH309" i="24"/>
  <c r="GH243" i="24"/>
  <c r="GH310" i="24"/>
  <c r="GH244" i="24"/>
  <c r="GG310" i="24"/>
  <c r="GG244" i="24"/>
  <c r="GH242" i="24"/>
  <c r="GH308" i="24"/>
  <c r="GJ36" i="24"/>
  <c r="GG263" i="24"/>
  <c r="GG197" i="24"/>
  <c r="GG242" i="24"/>
  <c r="GG308" i="24"/>
  <c r="GH311" i="24"/>
  <c r="GH245" i="24"/>
  <c r="GG36" i="24"/>
  <c r="GG264" i="24"/>
  <c r="GG198" i="24"/>
  <c r="GH265" i="24"/>
  <c r="GH199" i="24"/>
  <c r="GH263" i="24"/>
  <c r="GH197" i="24"/>
  <c r="GG52" i="24"/>
  <c r="GG49" i="24" s="1"/>
  <c r="GG311" i="24"/>
  <c r="GG245" i="24"/>
  <c r="GH36" i="24"/>
  <c r="GH264" i="24"/>
  <c r="GH198" i="24"/>
  <c r="GH261" i="24"/>
  <c r="GH195" i="24"/>
  <c r="GH52" i="24"/>
  <c r="GH49" i="24" s="1"/>
  <c r="GI36" i="24"/>
  <c r="GH283" i="24"/>
  <c r="GH217" i="24"/>
  <c r="GG309" i="24"/>
  <c r="GG243" i="24"/>
  <c r="FN52" i="24"/>
  <c r="FN49" i="24" s="1"/>
  <c r="GG261" i="24"/>
  <c r="GG195" i="24"/>
  <c r="GH282" i="24"/>
  <c r="GH216" i="24"/>
  <c r="GG283" i="24"/>
  <c r="GG217" i="24"/>
  <c r="FO283" i="24"/>
  <c r="FO217" i="24"/>
  <c r="FO311" i="24"/>
  <c r="FO245" i="24"/>
  <c r="FN197" i="24"/>
  <c r="FN263" i="24"/>
  <c r="FN310" i="24"/>
  <c r="FN244" i="24"/>
  <c r="FO310" i="24"/>
  <c r="FO244" i="24"/>
  <c r="AR51" i="24"/>
  <c r="FO195" i="24"/>
  <c r="FO261" i="24"/>
  <c r="FO52" i="24"/>
  <c r="FO49" i="24" s="1"/>
  <c r="FN311" i="24"/>
  <c r="FN245" i="24"/>
  <c r="FO197" i="24"/>
  <c r="FO263" i="24"/>
  <c r="FN195" i="24"/>
  <c r="FN261" i="24"/>
  <c r="FO216" i="24"/>
  <c r="FO282" i="24"/>
  <c r="FN198" i="24"/>
  <c r="FN264" i="24"/>
  <c r="FO36" i="24"/>
  <c r="EU52" i="24"/>
  <c r="EU49" i="24" s="1"/>
  <c r="FN199" i="24"/>
  <c r="FN265" i="24"/>
  <c r="FN216" i="24"/>
  <c r="FN282" i="24"/>
  <c r="FO198" i="24"/>
  <c r="FO264" i="24"/>
  <c r="FP36" i="24"/>
  <c r="FO199" i="24"/>
  <c r="FO265" i="24"/>
  <c r="FO309" i="24"/>
  <c r="FO243" i="24"/>
  <c r="FN242" i="24"/>
  <c r="FN308" i="24"/>
  <c r="FQ36" i="24"/>
  <c r="FN309" i="24"/>
  <c r="FN243" i="24"/>
  <c r="FO242" i="24"/>
  <c r="FO308" i="24"/>
  <c r="FN283" i="24"/>
  <c r="FN217" i="24"/>
  <c r="FN36" i="24"/>
  <c r="EU36" i="24"/>
  <c r="BE51" i="24"/>
  <c r="BE236" i="24" s="1"/>
  <c r="EV36" i="24"/>
  <c r="BC51" i="24"/>
  <c r="AS51" i="24"/>
  <c r="AW51" i="24"/>
  <c r="EV245" i="24"/>
  <c r="EV311" i="24"/>
  <c r="BD51" i="24"/>
  <c r="BD236" i="24" s="1"/>
  <c r="BG51" i="24"/>
  <c r="EU311" i="24"/>
  <c r="EU245" i="24"/>
  <c r="EU265" i="24"/>
  <c r="EU199" i="24"/>
  <c r="EV216" i="24"/>
  <c r="EV282" i="24"/>
  <c r="AU51" i="24"/>
  <c r="BA51" i="24"/>
  <c r="EV264" i="24"/>
  <c r="EV198" i="24"/>
  <c r="EV265" i="24"/>
  <c r="EV199" i="24"/>
  <c r="EU216" i="24"/>
  <c r="EU282" i="24"/>
  <c r="AV51" i="24"/>
  <c r="AT51" i="24"/>
  <c r="EU264" i="24"/>
  <c r="EU198" i="24"/>
  <c r="EU263" i="24"/>
  <c r="EU197" i="24"/>
  <c r="AX51" i="24"/>
  <c r="AZ51" i="24"/>
  <c r="EV52" i="24"/>
  <c r="EV49" i="24" s="1"/>
  <c r="EV263" i="24"/>
  <c r="EV197" i="24"/>
  <c r="EX36" i="24"/>
  <c r="BB51" i="24"/>
  <c r="EV310" i="24"/>
  <c r="EV244" i="24"/>
  <c r="EU308" i="24"/>
  <c r="EU242" i="24"/>
  <c r="EV261" i="24"/>
  <c r="EV195" i="24"/>
  <c r="EV309" i="24"/>
  <c r="EV243" i="24"/>
  <c r="EV283" i="24"/>
  <c r="EV217" i="24"/>
  <c r="BF51" i="24"/>
  <c r="EU244" i="24"/>
  <c r="EU310" i="24"/>
  <c r="EV308" i="24"/>
  <c r="EV242" i="24"/>
  <c r="EU261" i="24"/>
  <c r="EU195" i="24"/>
  <c r="EU309" i="24"/>
  <c r="EU243" i="24"/>
  <c r="EU283" i="24"/>
  <c r="EU217" i="24"/>
  <c r="EW36" i="24"/>
  <c r="BD247" i="24"/>
  <c r="BD313" i="24"/>
  <c r="BE247" i="24"/>
  <c r="BE313" i="24"/>
  <c r="EB36" i="24"/>
  <c r="EB263" i="24"/>
  <c r="EB197" i="24"/>
  <c r="EC244" i="24"/>
  <c r="EC310" i="24"/>
  <c r="EC36" i="24"/>
  <c r="EC264" i="24"/>
  <c r="EC198" i="24"/>
  <c r="EB244" i="24"/>
  <c r="EB310" i="24"/>
  <c r="EC283" i="24"/>
  <c r="EC217" i="24"/>
  <c r="EB311" i="24"/>
  <c r="EB245" i="24"/>
  <c r="EB283" i="24"/>
  <c r="EB217" i="24"/>
  <c r="EB242" i="24"/>
  <c r="EB308" i="24"/>
  <c r="EC311" i="24"/>
  <c r="EC245" i="24"/>
  <c r="EC52" i="24"/>
  <c r="EC49" i="24" s="1"/>
  <c r="EB264" i="24"/>
  <c r="EB198" i="24"/>
  <c r="EB261" i="24"/>
  <c r="EB195" i="24"/>
  <c r="EB243" i="24"/>
  <c r="EB309" i="24"/>
  <c r="ED36" i="24"/>
  <c r="EC242" i="24"/>
  <c r="EC308" i="24"/>
  <c r="EB199" i="24"/>
  <c r="EB265" i="24"/>
  <c r="EC261" i="24"/>
  <c r="EC195" i="24"/>
  <c r="EC243" i="24"/>
  <c r="EC309" i="24"/>
  <c r="EE36" i="24"/>
  <c r="EC265" i="24"/>
  <c r="EC199" i="24"/>
  <c r="EB282" i="24"/>
  <c r="EB216" i="24"/>
  <c r="EC263" i="24"/>
  <c r="EC197" i="24"/>
  <c r="EC282" i="24"/>
  <c r="EC216" i="24"/>
  <c r="EB52" i="24"/>
  <c r="EB49" i="24" s="1"/>
  <c r="DK36" i="24"/>
  <c r="DI36" i="24"/>
  <c r="DI311" i="24"/>
  <c r="DI245" i="24"/>
  <c r="DI282" i="24"/>
  <c r="DI216" i="24"/>
  <c r="DI265" i="24"/>
  <c r="DI199" i="24"/>
  <c r="DJ311" i="24"/>
  <c r="DJ245" i="24"/>
  <c r="DJ216" i="24"/>
  <c r="DJ282" i="24"/>
  <c r="DJ265" i="24"/>
  <c r="DJ199" i="24"/>
  <c r="DI264" i="24"/>
  <c r="DI198" i="24"/>
  <c r="DJ263" i="24"/>
  <c r="DJ197" i="24"/>
  <c r="DI52" i="24"/>
  <c r="DI49" i="24" s="1"/>
  <c r="DJ264" i="24"/>
  <c r="DJ198" i="24"/>
  <c r="DJ243" i="24"/>
  <c r="DJ309" i="24"/>
  <c r="DI244" i="24"/>
  <c r="DI310" i="24"/>
  <c r="DJ217" i="24"/>
  <c r="DJ283" i="24"/>
  <c r="DL36" i="24"/>
  <c r="DI242" i="24"/>
  <c r="DI308" i="24"/>
  <c r="DI261" i="24"/>
  <c r="DI195" i="24"/>
  <c r="DJ52" i="24"/>
  <c r="DJ49" i="24" s="1"/>
  <c r="DJ261" i="24"/>
  <c r="DJ195" i="24"/>
  <c r="DI243" i="24"/>
  <c r="DI309" i="24"/>
  <c r="DI283" i="24"/>
  <c r="DI217" i="24"/>
  <c r="DJ36" i="24"/>
  <c r="DJ242" i="24"/>
  <c r="DJ308" i="24"/>
  <c r="DI263" i="24"/>
  <c r="DI197" i="24"/>
  <c r="DJ244" i="24"/>
  <c r="DJ310" i="24"/>
  <c r="CS36" i="24"/>
  <c r="CP36" i="24"/>
  <c r="CQ282" i="24"/>
  <c r="CQ216" i="24"/>
  <c r="CP311" i="24"/>
  <c r="CP245" i="24"/>
  <c r="CQ264" i="24"/>
  <c r="CQ198" i="24"/>
  <c r="CQ265" i="24"/>
  <c r="CQ199" i="24"/>
  <c r="CP264" i="24"/>
  <c r="CP198" i="24"/>
  <c r="CP261" i="24"/>
  <c r="CP195" i="24"/>
  <c r="CP265" i="24"/>
  <c r="CP199" i="24"/>
  <c r="CQ261" i="24"/>
  <c r="CQ195" i="24"/>
  <c r="CQ217" i="24"/>
  <c r="CQ283" i="24"/>
  <c r="CP310" i="24"/>
  <c r="CP244" i="24"/>
  <c r="CP308" i="24"/>
  <c r="CP242" i="24"/>
  <c r="CQ263" i="24"/>
  <c r="CQ197" i="24"/>
  <c r="CQ52" i="24"/>
  <c r="CP217" i="24"/>
  <c r="CP283" i="24"/>
  <c r="CQ244" i="24"/>
  <c r="CQ310" i="24"/>
  <c r="CQ36" i="24"/>
  <c r="CQ308" i="24"/>
  <c r="CQ242" i="24"/>
  <c r="CP263" i="24"/>
  <c r="CP197" i="24"/>
  <c r="CR36" i="24"/>
  <c r="CQ309" i="24"/>
  <c r="CQ243" i="24"/>
  <c r="CP216" i="24"/>
  <c r="CP282" i="24"/>
  <c r="CQ311" i="24"/>
  <c r="CQ245" i="24"/>
  <c r="CP243" i="24"/>
  <c r="CP309" i="24"/>
  <c r="BW261" i="24"/>
  <c r="BW195" i="24"/>
  <c r="BX308" i="24"/>
  <c r="BX242" i="24"/>
  <c r="BX310" i="24"/>
  <c r="BX244" i="24"/>
  <c r="BW309" i="24"/>
  <c r="BW243" i="24"/>
  <c r="BX106" i="24"/>
  <c r="BX283" i="24"/>
  <c r="BX217" i="24"/>
  <c r="BX261" i="24"/>
  <c r="BX195" i="24"/>
  <c r="BX309" i="24"/>
  <c r="BX243" i="24"/>
  <c r="BW283" i="24"/>
  <c r="BW217" i="24"/>
  <c r="BW122" i="24"/>
  <c r="BW198" i="24"/>
  <c r="BW264" i="24"/>
  <c r="BW311" i="24"/>
  <c r="BW245" i="24"/>
  <c r="BX122" i="24"/>
  <c r="BX264" i="24"/>
  <c r="BX198" i="24"/>
  <c r="BW197" i="24"/>
  <c r="BW263" i="24"/>
  <c r="BW123" i="24"/>
  <c r="BW265" i="24"/>
  <c r="BW199" i="24"/>
  <c r="BX311" i="24"/>
  <c r="BX245" i="24"/>
  <c r="BX121" i="24"/>
  <c r="BX263" i="24"/>
  <c r="BX197" i="24"/>
  <c r="BX123" i="24"/>
  <c r="BX265" i="24"/>
  <c r="BX199" i="24"/>
  <c r="BW282" i="24"/>
  <c r="BW216" i="24"/>
  <c r="BX216" i="24"/>
  <c r="BX282" i="24"/>
  <c r="BW308" i="24"/>
  <c r="BW242" i="24"/>
  <c r="BW310" i="24"/>
  <c r="BW244" i="24"/>
  <c r="BY109" i="24"/>
  <c r="BW106" i="24"/>
  <c r="BZ109" i="24"/>
  <c r="BZ36" i="24"/>
  <c r="BX110" i="24"/>
  <c r="BY36" i="24"/>
  <c r="BW52" i="24"/>
  <c r="BX36" i="24"/>
  <c r="BS109" i="24"/>
  <c r="BW110" i="24"/>
  <c r="BX109" i="24"/>
  <c r="BW36" i="24"/>
  <c r="BW121" i="24"/>
  <c r="BW109" i="24"/>
  <c r="BW108" i="24"/>
  <c r="BU108" i="24"/>
  <c r="BX108" i="24"/>
  <c r="AZ38" i="24"/>
  <c r="BD38" i="24"/>
  <c r="BG38" i="24"/>
  <c r="BF38" i="24"/>
  <c r="BE38" i="24"/>
  <c r="BE50" i="24"/>
  <c r="BD50" i="24"/>
  <c r="AY44" i="24"/>
  <c r="BF44" i="24"/>
  <c r="BE44" i="24"/>
  <c r="BD44" i="24"/>
  <c r="BG44" i="24"/>
  <c r="BC31" i="24"/>
  <c r="BE31" i="24"/>
  <c r="BD31" i="24"/>
  <c r="BE17" i="24"/>
  <c r="BD17" i="24"/>
  <c r="AU43" i="24"/>
  <c r="BG43" i="24"/>
  <c r="BD43" i="24"/>
  <c r="BF43" i="24"/>
  <c r="BE43" i="24"/>
  <c r="BB54" i="24"/>
  <c r="BF54" i="24"/>
  <c r="BE54" i="24"/>
  <c r="BD54" i="24"/>
  <c r="BG54" i="24"/>
  <c r="BE14" i="24"/>
  <c r="BE265" i="24" s="1"/>
  <c r="BD14" i="24"/>
  <c r="BD265" i="24" s="1"/>
  <c r="BD12" i="24"/>
  <c r="BD263" i="24" s="1"/>
  <c r="BE12" i="24"/>
  <c r="BE263" i="24" s="1"/>
  <c r="BC26" i="24"/>
  <c r="BC114" i="24" s="1"/>
  <c r="BE26" i="24"/>
  <c r="BE114" i="24" s="1"/>
  <c r="BD26" i="24"/>
  <c r="BD114" i="24" s="1"/>
  <c r="BG57" i="24"/>
  <c r="BF57" i="24"/>
  <c r="BE57" i="24"/>
  <c r="BD57" i="24"/>
  <c r="BG16" i="24"/>
  <c r="BF16" i="24"/>
  <c r="BE16" i="24"/>
  <c r="BD16" i="24"/>
  <c r="AZ42" i="24"/>
  <c r="BF42" i="24"/>
  <c r="BE42" i="24"/>
  <c r="BD42" i="24"/>
  <c r="BG42" i="24"/>
  <c r="BG53" i="24"/>
  <c r="BF53" i="24"/>
  <c r="BE53" i="24"/>
  <c r="BD53" i="24"/>
  <c r="BD13" i="24"/>
  <c r="BD264" i="24" s="1"/>
  <c r="BE13" i="24"/>
  <c r="BE264" i="24" s="1"/>
  <c r="BF60" i="24"/>
  <c r="BG60" i="24"/>
  <c r="BE60" i="24"/>
  <c r="BD60" i="24"/>
  <c r="AX27" i="24"/>
  <c r="AX115" i="24" s="1"/>
  <c r="BG27" i="24"/>
  <c r="BG115" i="24" s="1"/>
  <c r="BF27" i="24"/>
  <c r="BF115" i="24" s="1"/>
  <c r="BE27" i="24"/>
  <c r="BE115" i="24" s="1"/>
  <c r="BD27" i="24"/>
  <c r="BD115" i="24" s="1"/>
  <c r="AS37" i="24"/>
  <c r="BG37" i="24"/>
  <c r="BF37" i="24"/>
  <c r="BE37" i="24"/>
  <c r="BD37" i="24"/>
  <c r="BD10" i="24"/>
  <c r="BE10" i="24"/>
  <c r="BC32" i="24"/>
  <c r="BD32" i="24"/>
  <c r="BE32" i="24"/>
  <c r="BG59" i="24"/>
  <c r="BF59" i="24"/>
  <c r="BD59" i="24"/>
  <c r="BE59" i="24"/>
  <c r="BG58" i="24"/>
  <c r="BF58" i="24"/>
  <c r="BD58" i="24"/>
  <c r="BE58" i="24"/>
  <c r="AX40" i="24"/>
  <c r="AX120" i="24" s="1"/>
  <c r="BF40" i="24"/>
  <c r="BF120" i="24" s="1"/>
  <c r="BE40" i="24"/>
  <c r="BE120" i="24" s="1"/>
  <c r="BD40" i="24"/>
  <c r="BD120" i="24" s="1"/>
  <c r="BG40" i="24"/>
  <c r="BG120" i="24" s="1"/>
  <c r="R30" i="24"/>
  <c r="S30" i="24"/>
  <c r="M24" i="38"/>
  <c r="R33" i="24"/>
  <c r="S33" i="24"/>
  <c r="C363" i="37" s="1"/>
  <c r="R34" i="24"/>
  <c r="S34" i="24"/>
  <c r="C364" i="37" s="1"/>
  <c r="R24" i="24"/>
  <c r="S24" i="24"/>
  <c r="R29" i="24"/>
  <c r="S29" i="24"/>
  <c r="S35" i="24"/>
  <c r="C365" i="37" s="1"/>
  <c r="R35" i="24"/>
  <c r="R22" i="24"/>
  <c r="S22" i="24"/>
  <c r="P35" i="24"/>
  <c r="Q35" i="24"/>
  <c r="C323" i="37" s="1"/>
  <c r="Q30" i="24"/>
  <c r="P30" i="24"/>
  <c r="Q21" i="24"/>
  <c r="P21" i="24"/>
  <c r="Q34" i="24"/>
  <c r="C322" i="37" s="1"/>
  <c r="P34" i="24"/>
  <c r="Q29" i="24"/>
  <c r="P29" i="24"/>
  <c r="Q22" i="24"/>
  <c r="P22" i="24"/>
  <c r="Q24" i="24"/>
  <c r="P24" i="24"/>
  <c r="BB24" i="24"/>
  <c r="BB112" i="24" s="1"/>
  <c r="AY27" i="24"/>
  <c r="AY115" i="24" s="1"/>
  <c r="AT27" i="24"/>
  <c r="AT115" i="24" s="1"/>
  <c r="AU38" i="24"/>
  <c r="AY40" i="24"/>
  <c r="AY120" i="24" s="1"/>
  <c r="BB38" i="24"/>
  <c r="BA40" i="24"/>
  <c r="BA120" i="24" s="1"/>
  <c r="AT40" i="24"/>
  <c r="AT120" i="24" s="1"/>
  <c r="BA44" i="24"/>
  <c r="BC44" i="24"/>
  <c r="AT44" i="24"/>
  <c r="AU40" i="24"/>
  <c r="AU120" i="24" s="1"/>
  <c r="AW40" i="24"/>
  <c r="AW120" i="24" s="1"/>
  <c r="BR109" i="24"/>
  <c r="E60" i="10"/>
  <c r="D60" i="10"/>
  <c r="D81" i="10" s="1"/>
  <c r="D82" i="10" s="1"/>
  <c r="AV27" i="24"/>
  <c r="AV115" i="24" s="1"/>
  <c r="BA27" i="24"/>
  <c r="BA115" i="24" s="1"/>
  <c r="AU42" i="24"/>
  <c r="BC38" i="24"/>
  <c r="AV38" i="24"/>
  <c r="AX44" i="24"/>
  <c r="AU44" i="24"/>
  <c r="AV44" i="24"/>
  <c r="AW38" i="24"/>
  <c r="BB30" i="24"/>
  <c r="BB118" i="24" s="1"/>
  <c r="AX38" i="24"/>
  <c r="AZ44" i="24"/>
  <c r="AV40" i="24"/>
  <c r="AV120" i="24" s="1"/>
  <c r="AY38" i="24"/>
  <c r="AW44" i="24"/>
  <c r="AZ40" i="24"/>
  <c r="AZ120" i="24" s="1"/>
  <c r="BA38" i="24"/>
  <c r="BB26" i="24"/>
  <c r="BB114" i="24" s="1"/>
  <c r="AU54" i="24"/>
  <c r="BC29" i="24"/>
  <c r="BC117" i="24" s="1"/>
  <c r="AV54" i="24"/>
  <c r="BB27" i="24"/>
  <c r="BB115" i="24" s="1"/>
  <c r="AT54" i="24"/>
  <c r="AU27" i="24"/>
  <c r="AU115" i="24" s="1"/>
  <c r="BC27" i="24"/>
  <c r="BC115" i="24" s="1"/>
  <c r="BC54" i="24"/>
  <c r="AZ27" i="24"/>
  <c r="AZ115" i="24" s="1"/>
  <c r="AW54" i="24"/>
  <c r="AW27" i="24"/>
  <c r="AW115" i="24" s="1"/>
  <c r="AR37" i="24"/>
  <c r="AX42" i="24"/>
  <c r="AV37" i="24"/>
  <c r="AU37" i="24"/>
  <c r="AT42" i="24"/>
  <c r="BC42" i="24"/>
  <c r="AX37" i="24"/>
  <c r="BA37" i="24"/>
  <c r="AW37" i="24"/>
  <c r="AY37" i="24"/>
  <c r="BA42" i="24"/>
  <c r="AY42" i="24"/>
  <c r="AZ37" i="24"/>
  <c r="BB42" i="24"/>
  <c r="AT37" i="24"/>
  <c r="BL109" i="24"/>
  <c r="BV106" i="24"/>
  <c r="BB31" i="24"/>
  <c r="BQ109" i="24"/>
  <c r="AV42" i="24"/>
  <c r="BT109" i="24"/>
  <c r="BB32" i="24"/>
  <c r="BA43" i="24"/>
  <c r="AY43" i="24"/>
  <c r="FD36" i="24"/>
  <c r="AW43" i="24"/>
  <c r="AZ43" i="24"/>
  <c r="BU106" i="24"/>
  <c r="BO110" i="24"/>
  <c r="BN110" i="24"/>
  <c r="BM110" i="24"/>
  <c r="BU110" i="24"/>
  <c r="BV108" i="24"/>
  <c r="BP110" i="24"/>
  <c r="HM36" i="24"/>
  <c r="AW42" i="24"/>
  <c r="BR36" i="24"/>
  <c r="FX36" i="24"/>
  <c r="FB36" i="24"/>
  <c r="GO36" i="24"/>
  <c r="HJ36" i="24"/>
  <c r="BM36" i="24"/>
  <c r="FG36" i="24"/>
  <c r="GA36" i="24"/>
  <c r="FV36" i="24"/>
  <c r="FU36" i="24"/>
  <c r="FF36" i="24"/>
  <c r="GP36" i="24"/>
  <c r="HH36" i="24"/>
  <c r="HG36" i="24"/>
  <c r="GN36" i="24"/>
  <c r="HP36" i="24"/>
  <c r="FI36" i="24"/>
  <c r="GD36" i="24"/>
  <c r="BS36" i="24"/>
  <c r="GB36" i="24"/>
  <c r="HN36" i="24"/>
  <c r="GT36" i="24"/>
  <c r="FH36" i="24"/>
  <c r="BL36" i="24"/>
  <c r="BQ36" i="24"/>
  <c r="BN36" i="24"/>
  <c r="HL36" i="24"/>
  <c r="HI36" i="24"/>
  <c r="GW36" i="24"/>
  <c r="FJ36" i="24"/>
  <c r="GU36" i="24"/>
  <c r="BP36" i="24"/>
  <c r="GV36" i="24"/>
  <c r="FW36" i="24"/>
  <c r="GS36" i="24"/>
  <c r="AV43" i="24"/>
  <c r="AX43" i="24"/>
  <c r="BO36" i="24"/>
  <c r="AT43" i="24"/>
  <c r="HO36" i="24"/>
  <c r="GC36" i="24"/>
  <c r="FC36" i="24"/>
  <c r="BK36" i="24"/>
  <c r="FE36" i="24"/>
  <c r="GQ36" i="24"/>
  <c r="FK36" i="24"/>
  <c r="BT36" i="24"/>
  <c r="FZ36" i="24"/>
  <c r="HK36" i="24"/>
  <c r="FY36" i="24"/>
  <c r="GR36" i="24"/>
  <c r="CD36" i="24"/>
  <c r="CM36" i="24"/>
  <c r="DT36" i="24"/>
  <c r="CG36" i="24"/>
  <c r="EO36" i="24"/>
  <c r="CE36" i="24"/>
  <c r="CI36" i="24"/>
  <c r="DS36" i="24"/>
  <c r="CL36" i="24"/>
  <c r="CZ36" i="24"/>
  <c r="EI36" i="24"/>
  <c r="EK36" i="24"/>
  <c r="CF36" i="24"/>
  <c r="ER36" i="24"/>
  <c r="EL36" i="24"/>
  <c r="CX36" i="24"/>
  <c r="DF36" i="24"/>
  <c r="CY36" i="24"/>
  <c r="DR36" i="24"/>
  <c r="DA36" i="24"/>
  <c r="EQ36" i="24"/>
  <c r="DY36" i="24"/>
  <c r="CW36" i="24"/>
  <c r="DC36" i="24"/>
  <c r="DQ36" i="24"/>
  <c r="DD36" i="24"/>
  <c r="EM36" i="24"/>
  <c r="DW36" i="24"/>
  <c r="DU36" i="24"/>
  <c r="EJ36" i="24"/>
  <c r="DB36" i="24"/>
  <c r="CJ36" i="24"/>
  <c r="DE36" i="24"/>
  <c r="DP36" i="24"/>
  <c r="CK36" i="24"/>
  <c r="EN36" i="24"/>
  <c r="EP36" i="24"/>
  <c r="DV36" i="24"/>
  <c r="DX36" i="24"/>
  <c r="CH36" i="24"/>
  <c r="AY16" i="24"/>
  <c r="AR16" i="24"/>
  <c r="BC16" i="24"/>
  <c r="AX16" i="24"/>
  <c r="BB16" i="24"/>
  <c r="BA16" i="24"/>
  <c r="AZ16" i="24"/>
  <c r="AS16" i="24"/>
  <c r="BB17" i="24"/>
  <c r="AW17" i="24"/>
  <c r="AU17" i="24"/>
  <c r="AV17" i="24"/>
  <c r="AT17" i="24"/>
  <c r="AT110" i="24" s="1"/>
  <c r="BC17" i="24"/>
  <c r="BC20" i="24"/>
  <c r="M27" i="36"/>
  <c r="M26" i="36"/>
  <c r="M24" i="36"/>
  <c r="M23" i="36"/>
  <c r="M21" i="36"/>
  <c r="C19" i="36"/>
  <c r="C21" i="36" s="1"/>
  <c r="C22" i="36" s="1"/>
  <c r="D15" i="24" s="1"/>
  <c r="D19" i="36"/>
  <c r="D21" i="36" s="1"/>
  <c r="D22" i="36" s="1"/>
  <c r="G15" i="24" s="1"/>
  <c r="E19" i="36"/>
  <c r="E21" i="36" s="1"/>
  <c r="F19" i="36"/>
  <c r="F21" i="36" s="1"/>
  <c r="G19" i="36"/>
  <c r="G21" i="36" s="1"/>
  <c r="K24" i="38" s="1"/>
  <c r="H19" i="36"/>
  <c r="H21" i="36" s="1"/>
  <c r="L24" i="38" s="1"/>
  <c r="XFC19" i="36"/>
  <c r="D13" i="36"/>
  <c r="D17" i="36" s="1"/>
  <c r="HT21" i="24" l="1"/>
  <c r="NP21" i="24"/>
  <c r="KR21" i="24"/>
  <c r="MD21" i="24"/>
  <c r="LK21" i="24"/>
  <c r="MW21" i="24"/>
  <c r="IM21" i="24"/>
  <c r="JF21" i="24"/>
  <c r="JY21" i="24"/>
  <c r="KQ24" i="24"/>
  <c r="MC24" i="24"/>
  <c r="LJ24" i="24"/>
  <c r="MV24" i="24"/>
  <c r="NO24" i="24"/>
  <c r="JE24" i="24"/>
  <c r="JX24" i="24"/>
  <c r="IL24" i="24"/>
  <c r="IL209" i="24" s="1"/>
  <c r="NO21" i="24"/>
  <c r="KQ21" i="24"/>
  <c r="MC21" i="24"/>
  <c r="LJ21" i="24"/>
  <c r="MV21" i="24"/>
  <c r="IL21" i="24"/>
  <c r="JE21" i="24"/>
  <c r="JX21" i="24"/>
  <c r="KQ22" i="24"/>
  <c r="MC22" i="24"/>
  <c r="LJ22" i="24"/>
  <c r="MV22" i="24"/>
  <c r="NO22" i="24"/>
  <c r="JE22" i="24"/>
  <c r="JX22" i="24"/>
  <c r="IL22" i="24"/>
  <c r="NO30" i="24"/>
  <c r="KQ30" i="24"/>
  <c r="MC30" i="24"/>
  <c r="LJ30" i="24"/>
  <c r="MV30" i="24"/>
  <c r="IL30" i="24"/>
  <c r="IL215" i="24" s="1"/>
  <c r="JE30" i="24"/>
  <c r="JX30" i="24"/>
  <c r="HV29" i="24"/>
  <c r="NR29" i="24"/>
  <c r="KT29" i="24"/>
  <c r="MF29" i="24"/>
  <c r="LM29" i="24"/>
  <c r="MY29" i="24"/>
  <c r="IO29" i="24"/>
  <c r="IO214" i="24" s="1"/>
  <c r="JH29" i="24"/>
  <c r="KA29" i="24"/>
  <c r="GH22" i="24"/>
  <c r="MD22" i="24"/>
  <c r="LK22" i="24"/>
  <c r="MW22" i="24"/>
  <c r="NP22" i="24"/>
  <c r="KR22" i="24"/>
  <c r="JY22" i="24"/>
  <c r="IM22" i="24"/>
  <c r="JF22" i="24"/>
  <c r="HT30" i="24"/>
  <c r="HT281" i="24" s="1"/>
  <c r="NP30" i="24"/>
  <c r="KR30" i="24"/>
  <c r="MD30" i="24"/>
  <c r="LK30" i="24"/>
  <c r="MW30" i="24"/>
  <c r="IM30" i="24"/>
  <c r="IM215" i="24" s="1"/>
  <c r="JF30" i="24"/>
  <c r="JY30" i="24"/>
  <c r="MX29" i="24"/>
  <c r="NQ29" i="24"/>
  <c r="KS29" i="24"/>
  <c r="ME29" i="24"/>
  <c r="LL29" i="24"/>
  <c r="IN29" i="24"/>
  <c r="IN214" i="24" s="1"/>
  <c r="JG29" i="24"/>
  <c r="JZ29" i="24"/>
  <c r="HV30" i="24"/>
  <c r="HV281" i="24" s="1"/>
  <c r="KT30" i="24"/>
  <c r="MF30" i="24"/>
  <c r="LM30" i="24"/>
  <c r="MY30" i="24"/>
  <c r="NR30" i="24"/>
  <c r="IO30" i="24"/>
  <c r="IO215" i="24" s="1"/>
  <c r="JH30" i="24"/>
  <c r="KA30" i="24"/>
  <c r="KQ29" i="24"/>
  <c r="MC29" i="24"/>
  <c r="LJ29" i="24"/>
  <c r="MV29" i="24"/>
  <c r="NO29" i="24"/>
  <c r="JE29" i="24"/>
  <c r="JX29" i="24"/>
  <c r="IL29" i="24"/>
  <c r="IL214" i="24" s="1"/>
  <c r="HV24" i="24"/>
  <c r="HV209" i="24" s="1"/>
  <c r="NR24" i="24"/>
  <c r="KT24" i="24"/>
  <c r="MF24" i="24"/>
  <c r="LM24" i="24"/>
  <c r="MY24" i="24"/>
  <c r="IO24" i="24"/>
  <c r="IO209" i="24" s="1"/>
  <c r="JH24" i="24"/>
  <c r="KA24" i="24"/>
  <c r="KS30" i="24"/>
  <c r="ME30" i="24"/>
  <c r="LL30" i="24"/>
  <c r="MX30" i="24"/>
  <c r="NQ30" i="24"/>
  <c r="IN30" i="24"/>
  <c r="IN215" i="24" s="1"/>
  <c r="JG30" i="24"/>
  <c r="JZ30" i="24"/>
  <c r="HT24" i="24"/>
  <c r="HT209" i="24" s="1"/>
  <c r="MD24" i="24"/>
  <c r="LK24" i="24"/>
  <c r="MW24" i="24"/>
  <c r="NP24" i="24"/>
  <c r="KR24" i="24"/>
  <c r="JY24" i="24"/>
  <c r="IM24" i="24"/>
  <c r="IM209" i="24" s="1"/>
  <c r="JF24" i="24"/>
  <c r="HT29" i="24"/>
  <c r="HT280" i="24" s="1"/>
  <c r="MD29" i="24"/>
  <c r="LK29" i="24"/>
  <c r="MW29" i="24"/>
  <c r="NP29" i="24"/>
  <c r="KR29" i="24"/>
  <c r="JY29" i="24"/>
  <c r="IM29" i="24"/>
  <c r="IM214" i="24" s="1"/>
  <c r="JF29" i="24"/>
  <c r="MX24" i="24"/>
  <c r="NQ24" i="24"/>
  <c r="KS24" i="24"/>
  <c r="ME24" i="24"/>
  <c r="LL24" i="24"/>
  <c r="IN24" i="24"/>
  <c r="IN209" i="24" s="1"/>
  <c r="JG24" i="24"/>
  <c r="JZ24" i="24"/>
  <c r="GJ22" i="24"/>
  <c r="NR22" i="24"/>
  <c r="KT22" i="24"/>
  <c r="MF22" i="24"/>
  <c r="LM22" i="24"/>
  <c r="MY22" i="24"/>
  <c r="IO22" i="24"/>
  <c r="JH22" i="24"/>
  <c r="KA22" i="24"/>
  <c r="MX22" i="24"/>
  <c r="NQ22" i="24"/>
  <c r="KS22" i="24"/>
  <c r="ME22" i="24"/>
  <c r="LL22" i="24"/>
  <c r="IN22" i="24"/>
  <c r="JG22" i="24"/>
  <c r="JZ22" i="24"/>
  <c r="HS303" i="24"/>
  <c r="HS300" i="24" s="1"/>
  <c r="GZ24" i="24"/>
  <c r="GZ275" i="24" s="1"/>
  <c r="HS24" i="24"/>
  <c r="GZ21" i="24"/>
  <c r="HS21" i="24"/>
  <c r="HS237" i="24"/>
  <c r="HS234" i="24" s="1"/>
  <c r="GZ30" i="24"/>
  <c r="GZ281" i="24" s="1"/>
  <c r="HS30" i="24"/>
  <c r="HV280" i="24"/>
  <c r="HV214" i="24"/>
  <c r="HT215" i="24"/>
  <c r="HB29" i="24"/>
  <c r="HB280" i="24" s="1"/>
  <c r="HU29" i="24"/>
  <c r="HB30" i="24"/>
  <c r="HB215" i="24" s="1"/>
  <c r="HU30" i="24"/>
  <c r="HT237" i="24"/>
  <c r="HT234" i="24" s="1"/>
  <c r="HB24" i="24"/>
  <c r="HB275" i="24" s="1"/>
  <c r="HU24" i="24"/>
  <c r="HT303" i="24"/>
  <c r="HT300" i="24" s="1"/>
  <c r="GZ29" i="24"/>
  <c r="GZ214" i="24" s="1"/>
  <c r="HS29" i="24"/>
  <c r="GH24" i="24"/>
  <c r="GH275" i="24" s="1"/>
  <c r="HA24" i="24"/>
  <c r="GH21" i="24"/>
  <c r="HA21" i="24"/>
  <c r="HA237" i="24"/>
  <c r="HA234" i="24" s="1"/>
  <c r="GH30" i="24"/>
  <c r="GH281" i="24" s="1"/>
  <c r="HA30" i="24"/>
  <c r="GJ30" i="24"/>
  <c r="GJ281" i="24" s="1"/>
  <c r="HC30" i="24"/>
  <c r="GH29" i="24"/>
  <c r="GH280" i="24" s="1"/>
  <c r="HA29" i="24"/>
  <c r="GJ24" i="24"/>
  <c r="GJ209" i="24" s="1"/>
  <c r="HC24" i="24"/>
  <c r="GG303" i="24"/>
  <c r="GG300" i="24" s="1"/>
  <c r="GJ29" i="24"/>
  <c r="GJ214" i="24" s="1"/>
  <c r="HC29" i="24"/>
  <c r="GZ303" i="24"/>
  <c r="GZ300" i="24" s="1"/>
  <c r="GZ209" i="24"/>
  <c r="HA303" i="24"/>
  <c r="HA300" i="24" s="1"/>
  <c r="GZ237" i="24"/>
  <c r="GZ234" i="24" s="1"/>
  <c r="GH303" i="24"/>
  <c r="GH300" i="24" s="1"/>
  <c r="BD302" i="24"/>
  <c r="GH237" i="24"/>
  <c r="GH234" i="24" s="1"/>
  <c r="FN22" i="24"/>
  <c r="GG22" i="24"/>
  <c r="FP24" i="24"/>
  <c r="FP275" i="24" s="1"/>
  <c r="GI24" i="24"/>
  <c r="FP22" i="24"/>
  <c r="GI22" i="24"/>
  <c r="FN24" i="24"/>
  <c r="FN209" i="24" s="1"/>
  <c r="GG24" i="24"/>
  <c r="FN21" i="24"/>
  <c r="GG21" i="24"/>
  <c r="GG237" i="24"/>
  <c r="GG234" i="24" s="1"/>
  <c r="FP29" i="24"/>
  <c r="FP280" i="24" s="1"/>
  <c r="GI29" i="24"/>
  <c r="BE302" i="24"/>
  <c r="FN30" i="24"/>
  <c r="FN281" i="24" s="1"/>
  <c r="GG30" i="24"/>
  <c r="FN29" i="24"/>
  <c r="FN280" i="24" s="1"/>
  <c r="GG29" i="24"/>
  <c r="FP30" i="24"/>
  <c r="FP215" i="24" s="1"/>
  <c r="GI30" i="24"/>
  <c r="FO303" i="24"/>
  <c r="FO300" i="24" s="1"/>
  <c r="FN237" i="24"/>
  <c r="FN234" i="24" s="1"/>
  <c r="EV30" i="24"/>
  <c r="EV215" i="24" s="1"/>
  <c r="FO30" i="24"/>
  <c r="EV24" i="24"/>
  <c r="EV275" i="24" s="1"/>
  <c r="FO24" i="24"/>
  <c r="BX21" i="24"/>
  <c r="FO21" i="24"/>
  <c r="EX29" i="24"/>
  <c r="EX280" i="24" s="1"/>
  <c r="FQ29" i="24"/>
  <c r="EX24" i="24"/>
  <c r="EX209" i="24" s="1"/>
  <c r="FQ24" i="24"/>
  <c r="FN303" i="24"/>
  <c r="FN300" i="24" s="1"/>
  <c r="C312" i="37"/>
  <c r="FO22" i="24"/>
  <c r="EV29" i="24"/>
  <c r="EV280" i="24" s="1"/>
  <c r="FO29" i="24"/>
  <c r="C354" i="37"/>
  <c r="FQ22" i="24"/>
  <c r="FO237" i="24"/>
  <c r="FO234" i="24" s="1"/>
  <c r="EX30" i="24"/>
  <c r="EX215" i="24" s="1"/>
  <c r="FQ30" i="24"/>
  <c r="EU303" i="24"/>
  <c r="EU300" i="24" s="1"/>
  <c r="EB30" i="24"/>
  <c r="EB281" i="24" s="1"/>
  <c r="EU30" i="24"/>
  <c r="ED29" i="24"/>
  <c r="ED214" i="24" s="1"/>
  <c r="EW29" i="24"/>
  <c r="EB29" i="24"/>
  <c r="EB214" i="24" s="1"/>
  <c r="EU29" i="24"/>
  <c r="BC106" i="24"/>
  <c r="EV237" i="24"/>
  <c r="EV234" i="24" s="1"/>
  <c r="EV303" i="24"/>
  <c r="EV300" i="24" s="1"/>
  <c r="ED30" i="24"/>
  <c r="ED215" i="24" s="1"/>
  <c r="EW30" i="24"/>
  <c r="ED24" i="24"/>
  <c r="ED209" i="24" s="1"/>
  <c r="EW24" i="24"/>
  <c r="EB24" i="24"/>
  <c r="EB275" i="24" s="1"/>
  <c r="EU24" i="24"/>
  <c r="EU237" i="24"/>
  <c r="EU234" i="24" s="1"/>
  <c r="L20" i="24"/>
  <c r="AZ20" i="24" s="1"/>
  <c r="S20" i="24"/>
  <c r="M20" i="24"/>
  <c r="BA20" i="24" s="1"/>
  <c r="R20" i="24"/>
  <c r="DJ30" i="24"/>
  <c r="DJ215" i="24" s="1"/>
  <c r="EC30" i="24"/>
  <c r="DL30" i="24"/>
  <c r="DL281" i="24" s="1"/>
  <c r="EE30" i="24"/>
  <c r="DJ29" i="24"/>
  <c r="DJ280" i="24" s="1"/>
  <c r="EC29" i="24"/>
  <c r="EC303" i="24"/>
  <c r="EC300" i="24" s="1"/>
  <c r="DL24" i="24"/>
  <c r="DL275" i="24" s="1"/>
  <c r="EE24" i="24"/>
  <c r="EC237" i="24"/>
  <c r="EC234" i="24" s="1"/>
  <c r="DL29" i="24"/>
  <c r="DL280" i="24" s="1"/>
  <c r="EE29" i="24"/>
  <c r="DI303" i="24"/>
  <c r="DI300" i="24" s="1"/>
  <c r="EB237" i="24"/>
  <c r="EB234" i="24" s="1"/>
  <c r="DJ24" i="24"/>
  <c r="DJ209" i="24" s="1"/>
  <c r="EC24" i="24"/>
  <c r="EB303" i="24"/>
  <c r="EB300" i="24" s="1"/>
  <c r="DI237" i="24"/>
  <c r="DI234" i="24" s="1"/>
  <c r="CR24" i="24"/>
  <c r="CR275" i="24" s="1"/>
  <c r="DK24" i="24"/>
  <c r="CP24" i="24"/>
  <c r="CP275" i="24" s="1"/>
  <c r="DI24" i="24"/>
  <c r="CP30" i="24"/>
  <c r="CP215" i="24" s="1"/>
  <c r="DI30" i="24"/>
  <c r="DJ303" i="24"/>
  <c r="DJ300" i="24" s="1"/>
  <c r="CR29" i="24"/>
  <c r="CR214" i="24" s="1"/>
  <c r="DK29" i="24"/>
  <c r="DJ237" i="24"/>
  <c r="DJ234" i="24" s="1"/>
  <c r="CP29" i="24"/>
  <c r="CP214" i="24" s="1"/>
  <c r="DI29" i="24"/>
  <c r="CR30" i="24"/>
  <c r="CR215" i="24" s="1"/>
  <c r="DK30" i="24"/>
  <c r="CP303" i="24"/>
  <c r="CP300" i="24" s="1"/>
  <c r="CQ237" i="24"/>
  <c r="CQ234" i="24" s="1"/>
  <c r="BX29" i="24"/>
  <c r="BX280" i="24" s="1"/>
  <c r="CQ29" i="24"/>
  <c r="BX30" i="24"/>
  <c r="BX281" i="24" s="1"/>
  <c r="CQ30" i="24"/>
  <c r="BZ30" i="24"/>
  <c r="BZ118" i="24" s="1"/>
  <c r="CS30" i="24"/>
  <c r="BZ29" i="24"/>
  <c r="BZ214" i="24" s="1"/>
  <c r="CS29" i="24"/>
  <c r="BZ24" i="24"/>
  <c r="BZ112" i="24" s="1"/>
  <c r="CS24" i="24"/>
  <c r="CP237" i="24"/>
  <c r="CP234" i="24" s="1"/>
  <c r="CQ303" i="24"/>
  <c r="CQ300" i="24" s="1"/>
  <c r="BX24" i="24"/>
  <c r="BX275" i="24" s="1"/>
  <c r="CQ24" i="24"/>
  <c r="BD52" i="24"/>
  <c r="BD49" i="24" s="1"/>
  <c r="BE245" i="24"/>
  <c r="BE311" i="24"/>
  <c r="BE244" i="24"/>
  <c r="BE310" i="24"/>
  <c r="BD195" i="24"/>
  <c r="BD261" i="24"/>
  <c r="BD216" i="24"/>
  <c r="BD282" i="24"/>
  <c r="BX237" i="24"/>
  <c r="BX234" i="24" s="1"/>
  <c r="BD244" i="24"/>
  <c r="BD310" i="24"/>
  <c r="BE195" i="24"/>
  <c r="BE261" i="24"/>
  <c r="BX303" i="24"/>
  <c r="BX300" i="24" s="1"/>
  <c r="BE243" i="24"/>
  <c r="BE309" i="24"/>
  <c r="BE217" i="24"/>
  <c r="BE283" i="24"/>
  <c r="BD242" i="24"/>
  <c r="BD308" i="24"/>
  <c r="BE216" i="24"/>
  <c r="BE282" i="24"/>
  <c r="BW237" i="24"/>
  <c r="BW234" i="24" s="1"/>
  <c r="BD243" i="24"/>
  <c r="BD309" i="24"/>
  <c r="BD217" i="24"/>
  <c r="BD283" i="24"/>
  <c r="BD245" i="24"/>
  <c r="BD311" i="24"/>
  <c r="BE242" i="24"/>
  <c r="BE308" i="24"/>
  <c r="BW303" i="24"/>
  <c r="BW300" i="24" s="1"/>
  <c r="AS109" i="24"/>
  <c r="BC108" i="24"/>
  <c r="BE123" i="24"/>
  <c r="BE199" i="24"/>
  <c r="BD122" i="24"/>
  <c r="BD198" i="24"/>
  <c r="BE121" i="24"/>
  <c r="BE197" i="24"/>
  <c r="BD121" i="24"/>
  <c r="BD197" i="24"/>
  <c r="BE122" i="24"/>
  <c r="BE198" i="24"/>
  <c r="BD123" i="24"/>
  <c r="BD199" i="24"/>
  <c r="BD110" i="24"/>
  <c r="BE106" i="24"/>
  <c r="BD106" i="24"/>
  <c r="BE36" i="24"/>
  <c r="BF29" i="24"/>
  <c r="BF280" i="24" s="1"/>
  <c r="BY29" i="24"/>
  <c r="BD29" i="24"/>
  <c r="BD280" i="24" s="1"/>
  <c r="BW29" i="24"/>
  <c r="BF24" i="24"/>
  <c r="BF275" i="24" s="1"/>
  <c r="BY24" i="24"/>
  <c r="BF30" i="24"/>
  <c r="BF281" i="24" s="1"/>
  <c r="BY30" i="24"/>
  <c r="BD109" i="24"/>
  <c r="BE109" i="24"/>
  <c r="BD24" i="24"/>
  <c r="BD275" i="24" s="1"/>
  <c r="BW24" i="24"/>
  <c r="BW21" i="24"/>
  <c r="BF109" i="24"/>
  <c r="BE110" i="24"/>
  <c r="BG109" i="24"/>
  <c r="BD108" i="24"/>
  <c r="BD30" i="24"/>
  <c r="BD281" i="24" s="1"/>
  <c r="BW30" i="24"/>
  <c r="BE108" i="24"/>
  <c r="C361" i="37"/>
  <c r="BG30" i="24"/>
  <c r="BG281" i="24" s="1"/>
  <c r="C360" i="37"/>
  <c r="BG29" i="24"/>
  <c r="BG280" i="24" s="1"/>
  <c r="C356" i="37"/>
  <c r="BG24" i="24"/>
  <c r="BG275" i="24" s="1"/>
  <c r="C318" i="37"/>
  <c r="BE29" i="24"/>
  <c r="BE280" i="24" s="1"/>
  <c r="BD36" i="24"/>
  <c r="BE52" i="24"/>
  <c r="BE49" i="24" s="1"/>
  <c r="BF36" i="24"/>
  <c r="BG36" i="24"/>
  <c r="C319" i="37"/>
  <c r="BE30" i="24"/>
  <c r="BE281" i="24" s="1"/>
  <c r="C314" i="37"/>
  <c r="BE24" i="24"/>
  <c r="BE275" i="24" s="1"/>
  <c r="C311" i="37"/>
  <c r="Q20" i="24"/>
  <c r="P20" i="24"/>
  <c r="I38" i="36"/>
  <c r="I57" i="36"/>
  <c r="I40" i="36"/>
  <c r="I60" i="36"/>
  <c r="I63" i="36"/>
  <c r="I43" i="36"/>
  <c r="I44" i="36"/>
  <c r="I64" i="36"/>
  <c r="I61" i="36"/>
  <c r="I41" i="36"/>
  <c r="H22" i="36"/>
  <c r="O36" i="24" s="1"/>
  <c r="O43" i="24"/>
  <c r="J60" i="36"/>
  <c r="J40" i="36"/>
  <c r="J41" i="36"/>
  <c r="J61" i="36"/>
  <c r="J43" i="36"/>
  <c r="J63" i="36"/>
  <c r="J38" i="36"/>
  <c r="J57" i="36"/>
  <c r="J44" i="36"/>
  <c r="J64" i="36"/>
  <c r="AU110" i="24"/>
  <c r="BB110" i="24"/>
  <c r="AU36" i="24"/>
  <c r="F60" i="10"/>
  <c r="G60" i="10"/>
  <c r="AV110" i="24"/>
  <c r="AW110" i="24"/>
  <c r="BC110" i="24"/>
  <c r="AZ36" i="24"/>
  <c r="AY109" i="24"/>
  <c r="AT36" i="24"/>
  <c r="AX36" i="24"/>
  <c r="AW36" i="24"/>
  <c r="BA36" i="24"/>
  <c r="H26" i="37"/>
  <c r="AZ109" i="24"/>
  <c r="BA109" i="24"/>
  <c r="AR109" i="24"/>
  <c r="AX109" i="24"/>
  <c r="AY36" i="24"/>
  <c r="BB108" i="24"/>
  <c r="AV36" i="24"/>
  <c r="BB15" i="24"/>
  <c r="BC15" i="24"/>
  <c r="C74" i="37"/>
  <c r="F22" i="36"/>
  <c r="J15" i="24" s="1"/>
  <c r="I18" i="38"/>
  <c r="I20" i="38"/>
  <c r="I24" i="38"/>
  <c r="E15" i="24"/>
  <c r="D18" i="38"/>
  <c r="D24" i="38"/>
  <c r="D20" i="38"/>
  <c r="E22" i="36"/>
  <c r="I15" i="24" s="1"/>
  <c r="H20" i="38"/>
  <c r="H24" i="38"/>
  <c r="H18" i="38"/>
  <c r="G24" i="38"/>
  <c r="G20" i="38"/>
  <c r="G18" i="38"/>
  <c r="G22" i="36"/>
  <c r="L15" i="24" s="1"/>
  <c r="K20" i="38"/>
  <c r="K18" i="38"/>
  <c r="N36" i="24"/>
  <c r="D24" i="36"/>
  <c r="HV215" i="24" l="1"/>
  <c r="HB214" i="24"/>
  <c r="HV275" i="24"/>
  <c r="HU20" i="24"/>
  <c r="MX20" i="24"/>
  <c r="NQ20" i="24"/>
  <c r="KS20" i="24"/>
  <c r="ME20" i="24"/>
  <c r="LL20" i="24"/>
  <c r="IN20" i="24"/>
  <c r="IN205" i="24" s="1"/>
  <c r="JG20" i="24"/>
  <c r="JZ20" i="24"/>
  <c r="HV20" i="24"/>
  <c r="HV205" i="24" s="1"/>
  <c r="NR20" i="24"/>
  <c r="KT20" i="24"/>
  <c r="MF20" i="24"/>
  <c r="LM20" i="24"/>
  <c r="MY20" i="24"/>
  <c r="IO20" i="24"/>
  <c r="IO205" i="24" s="1"/>
  <c r="JH20" i="24"/>
  <c r="KA20" i="24"/>
  <c r="HT214" i="24"/>
  <c r="HT275" i="24"/>
  <c r="KQ20" i="24"/>
  <c r="MC20" i="24"/>
  <c r="LJ20" i="24"/>
  <c r="MV20" i="24"/>
  <c r="NO20" i="24"/>
  <c r="JE20" i="24"/>
  <c r="JX20" i="24"/>
  <c r="IL20" i="24"/>
  <c r="IL205" i="24" s="1"/>
  <c r="MD20" i="24"/>
  <c r="LK20" i="24"/>
  <c r="MW20" i="24"/>
  <c r="NP20" i="24"/>
  <c r="KR20" i="24"/>
  <c r="JY20" i="24"/>
  <c r="IM20" i="24"/>
  <c r="JF20" i="24"/>
  <c r="FN275" i="24"/>
  <c r="GH214" i="24"/>
  <c r="GJ280" i="24"/>
  <c r="HB209" i="24"/>
  <c r="EX275" i="24"/>
  <c r="FP214" i="24"/>
  <c r="GH209" i="24"/>
  <c r="FN215" i="24"/>
  <c r="GJ215" i="24"/>
  <c r="FP281" i="24"/>
  <c r="HB281" i="24"/>
  <c r="HU271" i="24"/>
  <c r="HU205" i="24"/>
  <c r="GZ215" i="24"/>
  <c r="HS215" i="24"/>
  <c r="HS281" i="24"/>
  <c r="HS280" i="24"/>
  <c r="HS214" i="24"/>
  <c r="HU280" i="24"/>
  <c r="HU214" i="24"/>
  <c r="GZ280" i="24"/>
  <c r="HU281" i="24"/>
  <c r="HU215" i="24"/>
  <c r="HS209" i="24"/>
  <c r="HS275" i="24"/>
  <c r="GZ20" i="24"/>
  <c r="GZ271" i="24" s="1"/>
  <c r="HS20" i="24"/>
  <c r="HA20" i="24"/>
  <c r="HA271" i="24" s="1"/>
  <c r="HT20" i="24"/>
  <c r="HU275" i="24"/>
  <c r="HU209" i="24"/>
  <c r="GH215" i="24"/>
  <c r="FN214" i="24"/>
  <c r="HC281" i="24"/>
  <c r="HC215" i="24"/>
  <c r="GI20" i="24"/>
  <c r="GI271" i="24" s="1"/>
  <c r="HB20" i="24"/>
  <c r="GJ275" i="24"/>
  <c r="HA280" i="24"/>
  <c r="HA214" i="24"/>
  <c r="HC214" i="24"/>
  <c r="HC280" i="24"/>
  <c r="HA275" i="24"/>
  <c r="HA209" i="24"/>
  <c r="GJ20" i="24"/>
  <c r="GJ205" i="24" s="1"/>
  <c r="HC20" i="24"/>
  <c r="HA281" i="24"/>
  <c r="HA215" i="24"/>
  <c r="HC275" i="24"/>
  <c r="HC209" i="24"/>
  <c r="FP209" i="24"/>
  <c r="GG281" i="24"/>
  <c r="GG215" i="24"/>
  <c r="DJ275" i="24"/>
  <c r="GI275" i="24"/>
  <c r="GI209" i="24"/>
  <c r="GG275" i="24"/>
  <c r="GG209" i="24"/>
  <c r="GI281" i="24"/>
  <c r="GI215" i="24"/>
  <c r="FO20" i="24"/>
  <c r="FO205" i="24" s="1"/>
  <c r="GH20" i="24"/>
  <c r="EV209" i="24"/>
  <c r="GG280" i="24"/>
  <c r="GG214" i="24"/>
  <c r="GI280" i="24"/>
  <c r="GI214" i="24"/>
  <c r="FN20" i="24"/>
  <c r="FN205" i="24" s="1"/>
  <c r="GG20" i="24"/>
  <c r="EB209" i="24"/>
  <c r="EB215" i="24"/>
  <c r="EV214" i="24"/>
  <c r="EV281" i="24"/>
  <c r="EX214" i="24"/>
  <c r="EX281" i="24"/>
  <c r="EW20" i="24"/>
  <c r="EW205" i="24" s="1"/>
  <c r="FP20" i="24"/>
  <c r="FQ209" i="24"/>
  <c r="FQ275" i="24"/>
  <c r="FO280" i="24"/>
  <c r="FO214" i="24"/>
  <c r="FQ281" i="24"/>
  <c r="FQ215" i="24"/>
  <c r="EB280" i="24"/>
  <c r="EX20" i="24"/>
  <c r="EX271" i="24" s="1"/>
  <c r="FQ20" i="24"/>
  <c r="FO209" i="24"/>
  <c r="FO275" i="24"/>
  <c r="FQ280" i="24"/>
  <c r="FQ214" i="24"/>
  <c r="FO281" i="24"/>
  <c r="FO215" i="24"/>
  <c r="ED275" i="24"/>
  <c r="EB20" i="24"/>
  <c r="EB205" i="24" s="1"/>
  <c r="EU20" i="24"/>
  <c r="DL215" i="24"/>
  <c r="ED280" i="24"/>
  <c r="EW215" i="24"/>
  <c r="EW281" i="24"/>
  <c r="EW280" i="24"/>
  <c r="EW214" i="24"/>
  <c r="EC20" i="24"/>
  <c r="EC271" i="24" s="1"/>
  <c r="EV20" i="24"/>
  <c r="ED281" i="24"/>
  <c r="CP209" i="24"/>
  <c r="DJ214" i="24"/>
  <c r="EU275" i="24"/>
  <c r="EU209" i="24"/>
  <c r="EU214" i="24"/>
  <c r="EU280" i="24"/>
  <c r="EU281" i="24"/>
  <c r="EU215" i="24"/>
  <c r="EW275" i="24"/>
  <c r="EW209" i="24"/>
  <c r="DL214" i="24"/>
  <c r="CR209" i="24"/>
  <c r="CR280" i="24"/>
  <c r="L31" i="24"/>
  <c r="S31" i="24"/>
  <c r="M31" i="24"/>
  <c r="R31" i="24"/>
  <c r="BX214" i="24"/>
  <c r="CR281" i="24"/>
  <c r="ED20" i="24"/>
  <c r="CR20" i="24"/>
  <c r="BY20" i="24"/>
  <c r="DK20" i="24"/>
  <c r="BF20" i="24"/>
  <c r="EE20" i="24"/>
  <c r="CS20" i="24"/>
  <c r="DL20" i="24"/>
  <c r="BZ20" i="24"/>
  <c r="BG20" i="24"/>
  <c r="S32" i="24"/>
  <c r="M32" i="24"/>
  <c r="R32" i="24"/>
  <c r="L32" i="24"/>
  <c r="DL209" i="24"/>
  <c r="EE280" i="24"/>
  <c r="EE214" i="24"/>
  <c r="EC275" i="24"/>
  <c r="EC209" i="24"/>
  <c r="BX118" i="24"/>
  <c r="DJ281" i="24"/>
  <c r="EE281" i="24"/>
  <c r="EE215" i="24"/>
  <c r="EC281" i="24"/>
  <c r="EC215" i="24"/>
  <c r="EE275" i="24"/>
  <c r="EE209" i="24"/>
  <c r="EC280" i="24"/>
  <c r="EC214" i="24"/>
  <c r="CP280" i="24"/>
  <c r="BD237" i="24"/>
  <c r="BD234" i="24" s="1"/>
  <c r="CP281" i="24"/>
  <c r="DK281" i="24"/>
  <c r="DK215" i="24"/>
  <c r="CP20" i="24"/>
  <c r="CP271" i="24" s="1"/>
  <c r="DI20" i="24"/>
  <c r="DI275" i="24"/>
  <c r="DI209" i="24"/>
  <c r="BZ215" i="24"/>
  <c r="DK280" i="24"/>
  <c r="DK214" i="24"/>
  <c r="CQ20" i="24"/>
  <c r="CQ271" i="24" s="1"/>
  <c r="DJ20" i="24"/>
  <c r="BX215" i="24"/>
  <c r="DI280" i="24"/>
  <c r="DI214" i="24"/>
  <c r="DK275" i="24"/>
  <c r="DK209" i="24"/>
  <c r="DI215" i="24"/>
  <c r="DI281" i="24"/>
  <c r="BZ209" i="24"/>
  <c r="BX209" i="24"/>
  <c r="BX112" i="24"/>
  <c r="BZ280" i="24"/>
  <c r="BZ117" i="24"/>
  <c r="CQ275" i="24"/>
  <c r="CQ209" i="24"/>
  <c r="BZ281" i="24"/>
  <c r="BZ275" i="24"/>
  <c r="BX117" i="24"/>
  <c r="CQ215" i="24"/>
  <c r="CQ281" i="24"/>
  <c r="BE237" i="24"/>
  <c r="BE234" i="24" s="1"/>
  <c r="CS214" i="24"/>
  <c r="CS280" i="24"/>
  <c r="CS215" i="24"/>
  <c r="CS281" i="24"/>
  <c r="CS275" i="24"/>
  <c r="CS209" i="24"/>
  <c r="CQ214" i="24"/>
  <c r="CQ280" i="24"/>
  <c r="BE303" i="24"/>
  <c r="BE300" i="24" s="1"/>
  <c r="BD303" i="24"/>
  <c r="BD300" i="24" s="1"/>
  <c r="BW112" i="24"/>
  <c r="BW275" i="24"/>
  <c r="BW209" i="24"/>
  <c r="BY117" i="24"/>
  <c r="BY280" i="24"/>
  <c r="BY214" i="24"/>
  <c r="BW117" i="24"/>
  <c r="BW280" i="24"/>
  <c r="BW214" i="24"/>
  <c r="BY118" i="24"/>
  <c r="BY281" i="24"/>
  <c r="BY215" i="24"/>
  <c r="BW118" i="24"/>
  <c r="BW281" i="24"/>
  <c r="BW215" i="24"/>
  <c r="BY112" i="24"/>
  <c r="BY275" i="24"/>
  <c r="BY209" i="24"/>
  <c r="BE117" i="24"/>
  <c r="BE214" i="24"/>
  <c r="BF118" i="24"/>
  <c r="BF215" i="24"/>
  <c r="BE118" i="24"/>
  <c r="BE215" i="24"/>
  <c r="BG112" i="24"/>
  <c r="BG209" i="24"/>
  <c r="BF112" i="24"/>
  <c r="BF209" i="24"/>
  <c r="BD118" i="24"/>
  <c r="BD215" i="24"/>
  <c r="BG118" i="24"/>
  <c r="BG215" i="24"/>
  <c r="BE112" i="24"/>
  <c r="BE209" i="24"/>
  <c r="BG117" i="24"/>
  <c r="BG214" i="24"/>
  <c r="BD112" i="24"/>
  <c r="BD209" i="24"/>
  <c r="BD117" i="24"/>
  <c r="BD214" i="24"/>
  <c r="BF117" i="24"/>
  <c r="BF214" i="24"/>
  <c r="BD20" i="24"/>
  <c r="BW20" i="24"/>
  <c r="BE20" i="24"/>
  <c r="BX20" i="24"/>
  <c r="S17" i="24"/>
  <c r="R17" i="24"/>
  <c r="S25" i="24"/>
  <c r="R25" i="24"/>
  <c r="R26" i="24"/>
  <c r="S26" i="24"/>
  <c r="P25" i="24"/>
  <c r="Q25" i="24"/>
  <c r="P28" i="24"/>
  <c r="Q28" i="24"/>
  <c r="NK20" i="24"/>
  <c r="KM20" i="24"/>
  <c r="LF20" i="24"/>
  <c r="MR20" i="24"/>
  <c r="LY20" i="24"/>
  <c r="JT20" i="24"/>
  <c r="IH20" i="24"/>
  <c r="IH205" i="24" s="1"/>
  <c r="JA20" i="24"/>
  <c r="LZ20" i="24"/>
  <c r="NL20" i="24"/>
  <c r="KN20" i="24"/>
  <c r="LG20" i="24"/>
  <c r="MS20" i="24"/>
  <c r="JU20" i="24"/>
  <c r="II20" i="24"/>
  <c r="II205" i="24" s="1"/>
  <c r="JB20" i="24"/>
  <c r="H265" i="37"/>
  <c r="H170" i="37"/>
  <c r="H217" i="37"/>
  <c r="HP20" i="24"/>
  <c r="GW20" i="24"/>
  <c r="GD20" i="24"/>
  <c r="FK20" i="24"/>
  <c r="HO20" i="24"/>
  <c r="GV20" i="24"/>
  <c r="FJ20" i="24"/>
  <c r="GC20" i="24"/>
  <c r="EQ20" i="24"/>
  <c r="DX20" i="24"/>
  <c r="DE20" i="24"/>
  <c r="CL20" i="24"/>
  <c r="BS20" i="24"/>
  <c r="ER20" i="24"/>
  <c r="DF20" i="24"/>
  <c r="DY20" i="24"/>
  <c r="CM20" i="24"/>
  <c r="BT20" i="24"/>
  <c r="C122" i="37"/>
  <c r="M15" i="24"/>
  <c r="F15" i="24"/>
  <c r="H15" i="24"/>
  <c r="C25" i="36"/>
  <c r="N43" i="24"/>
  <c r="C265" i="37"/>
  <c r="C26" i="37"/>
  <c r="K15" i="24"/>
  <c r="E31" i="24"/>
  <c r="D31" i="24"/>
  <c r="I31" i="24"/>
  <c r="H31" i="24"/>
  <c r="H20" i="24"/>
  <c r="I20" i="24"/>
  <c r="I32" i="24"/>
  <c r="H32" i="24"/>
  <c r="F20" i="24"/>
  <c r="G20" i="24"/>
  <c r="K20" i="24"/>
  <c r="J20" i="24"/>
  <c r="K31" i="24"/>
  <c r="J31" i="24"/>
  <c r="G31" i="24"/>
  <c r="F31" i="24"/>
  <c r="E32" i="24"/>
  <c r="D32" i="24"/>
  <c r="D25" i="36"/>
  <c r="D98" i="36" s="1"/>
  <c r="J32" i="24"/>
  <c r="K32" i="24"/>
  <c r="G32" i="24"/>
  <c r="F32" i="24"/>
  <c r="D20" i="24"/>
  <c r="E20" i="24"/>
  <c r="D27" i="36"/>
  <c r="D29" i="36"/>
  <c r="D40" i="36" s="1"/>
  <c r="D34" i="36"/>
  <c r="D32" i="36"/>
  <c r="D43" i="36" s="1"/>
  <c r="D28" i="36"/>
  <c r="D39" i="36" s="1"/>
  <c r="D30" i="36"/>
  <c r="D41" i="36" s="1"/>
  <c r="D31" i="36"/>
  <c r="D42" i="36" s="1"/>
  <c r="D33" i="36"/>
  <c r="D44" i="36" s="1"/>
  <c r="H17" i="36"/>
  <c r="G13" i="36"/>
  <c r="E13" i="36"/>
  <c r="D89" i="10"/>
  <c r="D72" i="10"/>
  <c r="D54" i="10"/>
  <c r="AS55" i="24"/>
  <c r="AS54" i="24"/>
  <c r="AS44" i="24"/>
  <c r="AS43" i="24"/>
  <c r="AS42" i="24"/>
  <c r="AS41" i="24"/>
  <c r="AS119" i="24" s="1"/>
  <c r="AS40" i="24"/>
  <c r="AS120" i="24" s="1"/>
  <c r="AS38" i="24"/>
  <c r="AR44" i="24"/>
  <c r="AR43" i="24"/>
  <c r="AR42" i="24"/>
  <c r="AR41" i="24"/>
  <c r="AR40" i="24"/>
  <c r="AR38" i="24"/>
  <c r="AR55" i="24"/>
  <c r="AR54" i="24"/>
  <c r="HV271" i="24" l="1"/>
  <c r="HT25" i="24"/>
  <c r="NP25" i="24"/>
  <c r="KR25" i="24"/>
  <c r="MD25" i="24"/>
  <c r="LK25" i="24"/>
  <c r="MW25" i="24"/>
  <c r="IM25" i="24"/>
  <c r="IM210" i="24" s="1"/>
  <c r="JF25" i="24"/>
  <c r="JY25" i="24"/>
  <c r="HU31" i="24"/>
  <c r="MX31" i="24"/>
  <c r="NQ31" i="24"/>
  <c r="KS31" i="24"/>
  <c r="ME31" i="24"/>
  <c r="LL31" i="24"/>
  <c r="IN31" i="24"/>
  <c r="IN216" i="24" s="1"/>
  <c r="JG31" i="24"/>
  <c r="JZ31" i="24"/>
  <c r="HV26" i="24"/>
  <c r="NR26" i="24"/>
  <c r="KT26" i="24"/>
  <c r="MF26" i="24"/>
  <c r="LM26" i="24"/>
  <c r="MY26" i="24"/>
  <c r="IO26" i="24"/>
  <c r="IO211" i="24" s="1"/>
  <c r="JH26" i="24"/>
  <c r="KA26" i="24"/>
  <c r="HU32" i="24"/>
  <c r="HU15" i="24" s="1"/>
  <c r="NQ32" i="24"/>
  <c r="NQ15" i="24" s="1"/>
  <c r="KS32" i="24"/>
  <c r="KS15" i="24" s="1"/>
  <c r="ME32" i="24"/>
  <c r="ME15" i="24" s="1"/>
  <c r="LL32" i="24"/>
  <c r="LL15" i="24" s="1"/>
  <c r="MX32" i="24"/>
  <c r="MX15" i="24" s="1"/>
  <c r="IN32" i="24"/>
  <c r="JG32" i="24"/>
  <c r="JG15" i="24" s="1"/>
  <c r="JZ32" i="24"/>
  <c r="JZ15" i="24" s="1"/>
  <c r="MX26" i="24"/>
  <c r="NQ26" i="24"/>
  <c r="KS26" i="24"/>
  <c r="ME26" i="24"/>
  <c r="LL26" i="24"/>
  <c r="IN26" i="24"/>
  <c r="IN211" i="24" s="1"/>
  <c r="JG26" i="24"/>
  <c r="JZ26" i="24"/>
  <c r="HV31" i="24"/>
  <c r="HV216" i="24" s="1"/>
  <c r="NR31" i="24"/>
  <c r="KT31" i="24"/>
  <c r="MF31" i="24"/>
  <c r="LM31" i="24"/>
  <c r="MY31" i="24"/>
  <c r="IO31" i="24"/>
  <c r="IO216" i="24" s="1"/>
  <c r="JH31" i="24"/>
  <c r="KA31" i="24"/>
  <c r="KS25" i="24"/>
  <c r="ME25" i="24"/>
  <c r="LL25" i="24"/>
  <c r="MX25" i="24"/>
  <c r="NQ25" i="24"/>
  <c r="IN25" i="24"/>
  <c r="IN210" i="24" s="1"/>
  <c r="JG25" i="24"/>
  <c r="JZ25" i="24"/>
  <c r="HV32" i="24"/>
  <c r="HV283" i="24" s="1"/>
  <c r="NR32" i="24"/>
  <c r="NR15" i="24" s="1"/>
  <c r="KT32" i="24"/>
  <c r="KT15" i="24" s="1"/>
  <c r="MF32" i="24"/>
  <c r="MF15" i="24" s="1"/>
  <c r="LM32" i="24"/>
  <c r="LM15" i="24" s="1"/>
  <c r="MY32" i="24"/>
  <c r="MY15" i="24" s="1"/>
  <c r="IO32" i="24"/>
  <c r="JH32" i="24"/>
  <c r="JH15" i="24" s="1"/>
  <c r="KA32" i="24"/>
  <c r="KA15" i="24" s="1"/>
  <c r="HV25" i="24"/>
  <c r="HV276" i="24" s="1"/>
  <c r="KT25" i="24"/>
  <c r="MF25" i="24"/>
  <c r="LM25" i="24"/>
  <c r="MY25" i="24"/>
  <c r="NR25" i="24"/>
  <c r="IO25" i="24"/>
  <c r="IO210" i="24" s="1"/>
  <c r="JH25" i="24"/>
  <c r="KA25" i="24"/>
  <c r="IM205" i="24"/>
  <c r="NO25" i="24"/>
  <c r="KQ25" i="24"/>
  <c r="MC25" i="24"/>
  <c r="LJ25" i="24"/>
  <c r="MV25" i="24"/>
  <c r="IL25" i="24"/>
  <c r="IL210" i="24" s="1"/>
  <c r="JE25" i="24"/>
  <c r="JX25" i="24"/>
  <c r="NP28" i="24"/>
  <c r="NP11" i="24" s="1"/>
  <c r="NP9" i="24" s="1"/>
  <c r="MW28" i="24"/>
  <c r="JF28" i="24"/>
  <c r="IM28" i="24"/>
  <c r="IM213" i="24" s="1"/>
  <c r="MD28" i="24"/>
  <c r="MD11" i="24" s="1"/>
  <c r="MD9" i="24" s="1"/>
  <c r="LK28" i="24"/>
  <c r="LK11" i="24" s="1"/>
  <c r="LK9" i="24" s="1"/>
  <c r="KR28" i="24"/>
  <c r="KR11" i="24" s="1"/>
  <c r="KR9" i="24" s="1"/>
  <c r="JY28" i="24"/>
  <c r="JY11" i="24" s="1"/>
  <c r="JY9" i="24" s="1"/>
  <c r="MX17" i="24"/>
  <c r="NQ17" i="24"/>
  <c r="KS17" i="24"/>
  <c r="ME17" i="24"/>
  <c r="LL17" i="24"/>
  <c r="IN17" i="24"/>
  <c r="JG17" i="24"/>
  <c r="JZ17" i="24"/>
  <c r="NO28" i="24"/>
  <c r="NO11" i="24" s="1"/>
  <c r="NO9" i="24" s="1"/>
  <c r="MV28" i="24"/>
  <c r="MC28" i="24"/>
  <c r="LJ28" i="24"/>
  <c r="KQ28" i="24"/>
  <c r="KQ11" i="24" s="1"/>
  <c r="KQ9" i="24" s="1"/>
  <c r="JX28" i="24"/>
  <c r="JX11" i="24" s="1"/>
  <c r="JX9" i="24" s="1"/>
  <c r="JE28" i="24"/>
  <c r="JE11" i="24" s="1"/>
  <c r="JE9" i="24" s="1"/>
  <c r="IL28" i="24"/>
  <c r="HV17" i="24"/>
  <c r="HV268" i="24" s="1"/>
  <c r="NR17" i="24"/>
  <c r="KT17" i="24"/>
  <c r="MF17" i="24"/>
  <c r="LM17" i="24"/>
  <c r="MY17" i="24"/>
  <c r="IO17" i="24"/>
  <c r="JH17" i="24"/>
  <c r="KA17" i="24"/>
  <c r="HA205" i="24"/>
  <c r="GZ205" i="24"/>
  <c r="HO205" i="24"/>
  <c r="HO271" i="24"/>
  <c r="HA28" i="24"/>
  <c r="HA213" i="24" s="1"/>
  <c r="HT28" i="24"/>
  <c r="HT11" i="24" s="1"/>
  <c r="HT9" i="24" s="1"/>
  <c r="HB17" i="24"/>
  <c r="HB202" i="24" s="1"/>
  <c r="HU17" i="24"/>
  <c r="HT276" i="24"/>
  <c r="HT210" i="24"/>
  <c r="GZ25" i="24"/>
  <c r="GZ276" i="24" s="1"/>
  <c r="HS25" i="24"/>
  <c r="HU216" i="24"/>
  <c r="HU282" i="24"/>
  <c r="HT271" i="24"/>
  <c r="HT205" i="24"/>
  <c r="HP205" i="24"/>
  <c r="HP271" i="24"/>
  <c r="HV277" i="24"/>
  <c r="HV211" i="24"/>
  <c r="HB26" i="24"/>
  <c r="HB277" i="24" s="1"/>
  <c r="HU26" i="24"/>
  <c r="HS271" i="24"/>
  <c r="HS205" i="24"/>
  <c r="HB25" i="24"/>
  <c r="HB276" i="24" s="1"/>
  <c r="HU25" i="24"/>
  <c r="GZ28" i="24"/>
  <c r="GZ279" i="24" s="1"/>
  <c r="HS28" i="24"/>
  <c r="GI205" i="24"/>
  <c r="GJ31" i="24"/>
  <c r="GJ216" i="24" s="1"/>
  <c r="HC31" i="24"/>
  <c r="GJ271" i="24"/>
  <c r="HC271" i="24"/>
  <c r="HC205" i="24"/>
  <c r="GJ25" i="24"/>
  <c r="GJ276" i="24" s="1"/>
  <c r="HC25" i="24"/>
  <c r="GJ17" i="24"/>
  <c r="HC17" i="24"/>
  <c r="HB271" i="24"/>
  <c r="HB205" i="24"/>
  <c r="GV271" i="24"/>
  <c r="GV205" i="24"/>
  <c r="GH25" i="24"/>
  <c r="GH276" i="24" s="1"/>
  <c r="HA25" i="24"/>
  <c r="GW271" i="24"/>
  <c r="GW205" i="24"/>
  <c r="GI31" i="24"/>
  <c r="GI282" i="24" s="1"/>
  <c r="HB31" i="24"/>
  <c r="GJ32" i="24"/>
  <c r="HC32" i="24"/>
  <c r="HC15" i="24" s="1"/>
  <c r="GJ26" i="24"/>
  <c r="GJ211" i="24" s="1"/>
  <c r="HC26" i="24"/>
  <c r="GI32" i="24"/>
  <c r="HB32" i="24"/>
  <c r="HB15" i="24" s="1"/>
  <c r="FN271" i="24"/>
  <c r="FO271" i="24"/>
  <c r="FN28" i="24"/>
  <c r="FN279" i="24" s="1"/>
  <c r="GG28" i="24"/>
  <c r="GC271" i="24"/>
  <c r="GC205" i="24"/>
  <c r="FP26" i="24"/>
  <c r="FP211" i="24" s="1"/>
  <c r="GI26" i="24"/>
  <c r="FN25" i="24"/>
  <c r="FN276" i="24" s="1"/>
  <c r="GG25" i="24"/>
  <c r="GD205" i="24"/>
  <c r="GD271" i="24"/>
  <c r="GH271" i="24"/>
  <c r="GH205" i="24"/>
  <c r="FP25" i="24"/>
  <c r="FP210" i="24" s="1"/>
  <c r="GI25" i="24"/>
  <c r="GG271" i="24"/>
  <c r="GG205" i="24"/>
  <c r="FO28" i="24"/>
  <c r="FO213" i="24" s="1"/>
  <c r="GH28" i="24"/>
  <c r="FP17" i="24"/>
  <c r="FP202" i="24" s="1"/>
  <c r="GI17" i="24"/>
  <c r="EB271" i="24"/>
  <c r="EW271" i="24"/>
  <c r="EW32" i="24"/>
  <c r="FP32" i="24"/>
  <c r="FP15" i="24" s="1"/>
  <c r="EX31" i="24"/>
  <c r="EX216" i="24" s="1"/>
  <c r="FQ31" i="24"/>
  <c r="FJ205" i="24"/>
  <c r="FJ271" i="24"/>
  <c r="EX25" i="24"/>
  <c r="EX276" i="24" s="1"/>
  <c r="FQ25" i="24"/>
  <c r="EX32" i="24"/>
  <c r="FQ32" i="24"/>
  <c r="FQ15" i="24" s="1"/>
  <c r="FQ205" i="24"/>
  <c r="FQ271" i="24"/>
  <c r="FK205" i="24"/>
  <c r="FK271" i="24"/>
  <c r="EX17" i="24"/>
  <c r="EX268" i="24" s="1"/>
  <c r="FQ17" i="24"/>
  <c r="EV25" i="24"/>
  <c r="EV276" i="24" s="1"/>
  <c r="FO25" i="24"/>
  <c r="FP205" i="24"/>
  <c r="FP271" i="24"/>
  <c r="EX205" i="24"/>
  <c r="EX26" i="24"/>
  <c r="EX277" i="24" s="1"/>
  <c r="FQ26" i="24"/>
  <c r="EW31" i="24"/>
  <c r="EW216" i="24" s="1"/>
  <c r="FP31" i="24"/>
  <c r="CQ205" i="24"/>
  <c r="EB28" i="24"/>
  <c r="EB279" i="24" s="1"/>
  <c r="EU28" i="24"/>
  <c r="EC205" i="24"/>
  <c r="ED17" i="24"/>
  <c r="ED268" i="24" s="1"/>
  <c r="EW17" i="24"/>
  <c r="EB25" i="24"/>
  <c r="EB210" i="24" s="1"/>
  <c r="EU25" i="24"/>
  <c r="EQ271" i="24"/>
  <c r="EQ205" i="24"/>
  <c r="ED26" i="24"/>
  <c r="ED277" i="24" s="1"/>
  <c r="EW26" i="24"/>
  <c r="ED25" i="24"/>
  <c r="ED276" i="24" s="1"/>
  <c r="EW25" i="24"/>
  <c r="EC28" i="24"/>
  <c r="EC279" i="24" s="1"/>
  <c r="EV28" i="24"/>
  <c r="ER271" i="24"/>
  <c r="ER205" i="24"/>
  <c r="EV271" i="24"/>
  <c r="EV205" i="24"/>
  <c r="EU271" i="24"/>
  <c r="EU205" i="24"/>
  <c r="CP205" i="24"/>
  <c r="DL271" i="24"/>
  <c r="DL205" i="24"/>
  <c r="CS271" i="24"/>
  <c r="CS205" i="24"/>
  <c r="EE271" i="24"/>
  <c r="EE205" i="24"/>
  <c r="ED31" i="24"/>
  <c r="CR31" i="24"/>
  <c r="BY31" i="24"/>
  <c r="DK31" i="24"/>
  <c r="BF31" i="24"/>
  <c r="DK32" i="24"/>
  <c r="DK15" i="24" s="1"/>
  <c r="BY32" i="24"/>
  <c r="BY15" i="24" s="1"/>
  <c r="ED32" i="24"/>
  <c r="ED15" i="24" s="1"/>
  <c r="CR32" i="24"/>
  <c r="CR15" i="24" s="1"/>
  <c r="BF32" i="24"/>
  <c r="BF205" i="24"/>
  <c r="BF271" i="24"/>
  <c r="BF107" i="24"/>
  <c r="DK271" i="24"/>
  <c r="DK205" i="24"/>
  <c r="EE31" i="24"/>
  <c r="BZ31" i="24"/>
  <c r="DL31" i="24"/>
  <c r="CS31" i="24"/>
  <c r="BG31" i="24"/>
  <c r="DL32" i="24"/>
  <c r="DL15" i="24" s="1"/>
  <c r="BZ32" i="24"/>
  <c r="BZ15" i="24" s="1"/>
  <c r="EE32" i="24"/>
  <c r="EE15" i="24" s="1"/>
  <c r="CS32" i="24"/>
  <c r="CS15" i="24" s="1"/>
  <c r="BG32" i="24"/>
  <c r="BY271" i="24"/>
  <c r="BY205" i="24"/>
  <c r="BY107" i="24"/>
  <c r="BG107" i="24"/>
  <c r="BG205" i="24"/>
  <c r="BG271" i="24"/>
  <c r="CR205" i="24"/>
  <c r="CR271" i="24"/>
  <c r="BZ205" i="24"/>
  <c r="BZ107" i="24"/>
  <c r="BZ271" i="24"/>
  <c r="ED271" i="24"/>
  <c r="ED205" i="24"/>
  <c r="DL26" i="24"/>
  <c r="DL277" i="24" s="1"/>
  <c r="EE26" i="24"/>
  <c r="DY271" i="24"/>
  <c r="DY205" i="24"/>
  <c r="DL25" i="24"/>
  <c r="EE25" i="24"/>
  <c r="DX271" i="24"/>
  <c r="DX205" i="24"/>
  <c r="DL17" i="24"/>
  <c r="DL268" i="24" s="1"/>
  <c r="EE17" i="24"/>
  <c r="DJ25" i="24"/>
  <c r="DJ276" i="24" s="1"/>
  <c r="EC25" i="24"/>
  <c r="CQ28" i="24"/>
  <c r="CQ279" i="24" s="1"/>
  <c r="DJ28" i="24"/>
  <c r="DE271" i="24"/>
  <c r="DE205" i="24"/>
  <c r="DJ271" i="24"/>
  <c r="DJ205" i="24"/>
  <c r="CR25" i="24"/>
  <c r="CR276" i="24" s="1"/>
  <c r="DK25" i="24"/>
  <c r="CR17" i="24"/>
  <c r="CR202" i="24" s="1"/>
  <c r="DK17" i="24"/>
  <c r="DI271" i="24"/>
  <c r="DI205" i="24"/>
  <c r="CP25" i="24"/>
  <c r="CP276" i="24" s="1"/>
  <c r="DI25" i="24"/>
  <c r="CP28" i="24"/>
  <c r="CP213" i="24" s="1"/>
  <c r="DI28" i="24"/>
  <c r="CR26" i="24"/>
  <c r="CR277" i="24" s="1"/>
  <c r="DK26" i="24"/>
  <c r="DF271" i="24"/>
  <c r="DF205" i="24"/>
  <c r="BZ25" i="24"/>
  <c r="BZ276" i="24" s="1"/>
  <c r="CS25" i="24"/>
  <c r="BZ17" i="24"/>
  <c r="BZ268" i="24" s="1"/>
  <c r="CS17" i="24"/>
  <c r="BX25" i="24"/>
  <c r="BX210" i="24" s="1"/>
  <c r="CQ25" i="24"/>
  <c r="CM271" i="24"/>
  <c r="CM205" i="24"/>
  <c r="BZ26" i="24"/>
  <c r="BZ211" i="24" s="1"/>
  <c r="CS26" i="24"/>
  <c r="CL271" i="24"/>
  <c r="CL205" i="24"/>
  <c r="BX107" i="24"/>
  <c r="BX271" i="24"/>
  <c r="BX205" i="24"/>
  <c r="BT271" i="24"/>
  <c r="BT205" i="24"/>
  <c r="BD205" i="24"/>
  <c r="BD271" i="24"/>
  <c r="BW271" i="24"/>
  <c r="BW205" i="24"/>
  <c r="BE205" i="24"/>
  <c r="BE271" i="24"/>
  <c r="BS271" i="24"/>
  <c r="BS205" i="24"/>
  <c r="C317" i="37"/>
  <c r="BE28" i="24"/>
  <c r="BE279" i="24" s="1"/>
  <c r="BX28" i="24"/>
  <c r="BD25" i="24"/>
  <c r="BW25" i="24"/>
  <c r="BE107" i="24"/>
  <c r="BW107" i="24"/>
  <c r="BF25" i="24"/>
  <c r="BF276" i="24" s="1"/>
  <c r="BY25" i="24"/>
  <c r="BF17" i="24"/>
  <c r="BF268" i="24" s="1"/>
  <c r="BY17" i="24"/>
  <c r="BW28" i="24"/>
  <c r="BD28" i="24"/>
  <c r="BD279" i="24" s="1"/>
  <c r="BF26" i="24"/>
  <c r="BF277" i="24" s="1"/>
  <c r="BY26" i="24"/>
  <c r="BD107" i="24"/>
  <c r="C357" i="37"/>
  <c r="BG25" i="24"/>
  <c r="BG276" i="24" s="1"/>
  <c r="C349" i="37"/>
  <c r="BG17" i="24"/>
  <c r="BG268" i="24" s="1"/>
  <c r="C358" i="37"/>
  <c r="BG26" i="24"/>
  <c r="BG277" i="24" s="1"/>
  <c r="C315" i="37"/>
  <c r="BE25" i="24"/>
  <c r="BE276" i="24" s="1"/>
  <c r="C50" i="36"/>
  <c r="C62" i="36" s="1"/>
  <c r="C98" i="36"/>
  <c r="N60" i="10"/>
  <c r="O60" i="10"/>
  <c r="LH43" i="24"/>
  <c r="MA43" i="24"/>
  <c r="MT43" i="24"/>
  <c r="KO43" i="24"/>
  <c r="JC43" i="24"/>
  <c r="NM43" i="24"/>
  <c r="IJ43" i="24"/>
  <c r="IJ228" i="24" s="1"/>
  <c r="JV43" i="24"/>
  <c r="LE32" i="24"/>
  <c r="LE15" i="24" s="1"/>
  <c r="MQ32" i="24"/>
  <c r="MQ15" i="24" s="1"/>
  <c r="LX32" i="24"/>
  <c r="LX15" i="24" s="1"/>
  <c r="KL32" i="24"/>
  <c r="KL15" i="24" s="1"/>
  <c r="JS32" i="24"/>
  <c r="JS15" i="24" s="1"/>
  <c r="IG32" i="24"/>
  <c r="IZ32" i="24"/>
  <c r="IZ15" i="24" s="1"/>
  <c r="NJ32" i="24"/>
  <c r="NJ15" i="24" s="1"/>
  <c r="MS31" i="24"/>
  <c r="LZ31" i="24"/>
  <c r="NL31" i="24"/>
  <c r="LG31" i="24"/>
  <c r="KN31" i="24"/>
  <c r="JB31" i="24"/>
  <c r="II31" i="24"/>
  <c r="II216" i="24" s="1"/>
  <c r="JU31" i="24"/>
  <c r="IH271" i="24"/>
  <c r="NC20" i="24"/>
  <c r="KE20" i="24"/>
  <c r="KX20" i="24"/>
  <c r="MJ20" i="24"/>
  <c r="LQ20" i="24"/>
  <c r="JL20" i="24"/>
  <c r="HZ20" i="24"/>
  <c r="HZ205" i="24" s="1"/>
  <c r="IS20" i="24"/>
  <c r="KI31" i="24"/>
  <c r="LB31" i="24"/>
  <c r="MN31" i="24"/>
  <c r="NG31" i="24"/>
  <c r="JP31" i="24"/>
  <c r="ID31" i="24"/>
  <c r="ID216" i="24" s="1"/>
  <c r="LU31" i="24"/>
  <c r="IW31" i="24"/>
  <c r="KP43" i="24"/>
  <c r="LI43" i="24"/>
  <c r="NN43" i="24"/>
  <c r="JW43" i="24"/>
  <c r="JD43" i="24"/>
  <c r="MB43" i="24"/>
  <c r="MU43" i="24"/>
  <c r="IK43" i="24"/>
  <c r="IK228" i="24" s="1"/>
  <c r="LX31" i="24"/>
  <c r="NJ31" i="24"/>
  <c r="KL31" i="24"/>
  <c r="LE31" i="24"/>
  <c r="JS31" i="24"/>
  <c r="IG31" i="24"/>
  <c r="IG216" i="24" s="1"/>
  <c r="MQ31" i="24"/>
  <c r="IZ31" i="24"/>
  <c r="LC20" i="24"/>
  <c r="MO20" i="24"/>
  <c r="LV20" i="24"/>
  <c r="KJ20" i="24"/>
  <c r="JQ20" i="24"/>
  <c r="IE20" i="24"/>
  <c r="IE205" i="24" s="1"/>
  <c r="IX20" i="24"/>
  <c r="NH20" i="24"/>
  <c r="MN20" i="24"/>
  <c r="LU20" i="24"/>
  <c r="NG20" i="24"/>
  <c r="LB20" i="24"/>
  <c r="KI20" i="24"/>
  <c r="IW20" i="24"/>
  <c r="JP20" i="24"/>
  <c r="ID20" i="24"/>
  <c r="ID205" i="24" s="1"/>
  <c r="LT32" i="24"/>
  <c r="LT15" i="24" s="1"/>
  <c r="NF32" i="24"/>
  <c r="NF15" i="24" s="1"/>
  <c r="KH32" i="24"/>
  <c r="KH15" i="24" s="1"/>
  <c r="LA32" i="24"/>
  <c r="LA15" i="24" s="1"/>
  <c r="MM32" i="24"/>
  <c r="MM15" i="24" s="1"/>
  <c r="JO32" i="24"/>
  <c r="JO15" i="24" s="1"/>
  <c r="IC32" i="24"/>
  <c r="IV32" i="24"/>
  <c r="IV15" i="24" s="1"/>
  <c r="ML31" i="24"/>
  <c r="LS31" i="24"/>
  <c r="NE31" i="24"/>
  <c r="KZ31" i="24"/>
  <c r="IU31" i="24"/>
  <c r="KG31" i="24"/>
  <c r="JN31" i="24"/>
  <c r="IB31" i="24"/>
  <c r="IB216" i="24" s="1"/>
  <c r="MM20" i="24"/>
  <c r="LT20" i="24"/>
  <c r="NF20" i="24"/>
  <c r="LA20" i="24"/>
  <c r="KH20" i="24"/>
  <c r="IV20" i="24"/>
  <c r="IC20" i="24"/>
  <c r="IC205" i="24" s="1"/>
  <c r="JO20" i="24"/>
  <c r="LQ31" i="24"/>
  <c r="NC31" i="24"/>
  <c r="KE31" i="24"/>
  <c r="MJ31" i="24"/>
  <c r="IS31" i="24"/>
  <c r="KX31" i="24"/>
  <c r="JL31" i="24"/>
  <c r="HZ31" i="24"/>
  <c r="HZ216" i="24" s="1"/>
  <c r="MO32" i="24"/>
  <c r="MO15" i="24" s="1"/>
  <c r="LV32" i="24"/>
  <c r="LV15" i="24" s="1"/>
  <c r="NH32" i="24"/>
  <c r="NH15" i="24" s="1"/>
  <c r="IX32" i="24"/>
  <c r="IX15" i="24" s="1"/>
  <c r="LC32" i="24"/>
  <c r="LC15" i="24" s="1"/>
  <c r="KJ32" i="24"/>
  <c r="KJ15" i="24" s="1"/>
  <c r="JQ32" i="24"/>
  <c r="JQ15" i="24" s="1"/>
  <c r="IE32" i="24"/>
  <c r="MP32" i="24"/>
  <c r="MP15" i="24" s="1"/>
  <c r="LW32" i="24"/>
  <c r="LW15" i="24" s="1"/>
  <c r="NI32" i="24"/>
  <c r="NI15" i="24" s="1"/>
  <c r="LD32" i="24"/>
  <c r="LD15" i="24" s="1"/>
  <c r="IY32" i="24"/>
  <c r="IY15" i="24" s="1"/>
  <c r="KK32" i="24"/>
  <c r="KK15" i="24" s="1"/>
  <c r="JR32" i="24"/>
  <c r="JR15" i="24" s="1"/>
  <c r="IF32" i="24"/>
  <c r="KK20" i="24"/>
  <c r="LD20" i="24"/>
  <c r="MP20" i="24"/>
  <c r="NI20" i="24"/>
  <c r="LW20" i="24"/>
  <c r="JR20" i="24"/>
  <c r="IF20" i="24"/>
  <c r="IF205" i="24" s="1"/>
  <c r="IY20" i="24"/>
  <c r="ND32" i="24"/>
  <c r="ND15" i="24" s="1"/>
  <c r="KF32" i="24"/>
  <c r="KF15" i="24" s="1"/>
  <c r="KY32" i="24"/>
  <c r="KY15" i="24" s="1"/>
  <c r="MK32" i="24"/>
  <c r="MK15" i="24" s="1"/>
  <c r="LR32" i="24"/>
  <c r="LR15" i="24" s="1"/>
  <c r="JM32" i="24"/>
  <c r="JM15" i="24" s="1"/>
  <c r="IA32" i="24"/>
  <c r="IT32" i="24"/>
  <c r="IT15" i="24" s="1"/>
  <c r="NJ20" i="24"/>
  <c r="KL20" i="24"/>
  <c r="LE20" i="24"/>
  <c r="MQ20" i="24"/>
  <c r="LX20" i="24"/>
  <c r="JS20" i="24"/>
  <c r="IG20" i="24"/>
  <c r="IG205" i="24" s="1"/>
  <c r="IZ20" i="24"/>
  <c r="LF32" i="24"/>
  <c r="LF15" i="24" s="1"/>
  <c r="MR32" i="24"/>
  <c r="MR15" i="24" s="1"/>
  <c r="NK32" i="24"/>
  <c r="NK15" i="24" s="1"/>
  <c r="JT32" i="24"/>
  <c r="JT15" i="24" s="1"/>
  <c r="IH32" i="24"/>
  <c r="LY32" i="24"/>
  <c r="LY15" i="24" s="1"/>
  <c r="JA32" i="24"/>
  <c r="JA15" i="24" s="1"/>
  <c r="KM32" i="24"/>
  <c r="KM15" i="24" s="1"/>
  <c r="LA31" i="24"/>
  <c r="MM31" i="24"/>
  <c r="LT31" i="24"/>
  <c r="KH31" i="24"/>
  <c r="JO31" i="24"/>
  <c r="IC31" i="24"/>
  <c r="IC216" i="24" s="1"/>
  <c r="NF31" i="24"/>
  <c r="IV31" i="24"/>
  <c r="LS20" i="24"/>
  <c r="NE20" i="24"/>
  <c r="KG20" i="24"/>
  <c r="ML20" i="24"/>
  <c r="IU20" i="24"/>
  <c r="JN20" i="24"/>
  <c r="IB20" i="24"/>
  <c r="IB205" i="24" s="1"/>
  <c r="KZ20" i="24"/>
  <c r="MK31" i="24"/>
  <c r="LR31" i="24"/>
  <c r="ND31" i="24"/>
  <c r="IT31" i="24"/>
  <c r="IA31" i="24"/>
  <c r="IA216" i="24" s="1"/>
  <c r="JM31" i="24"/>
  <c r="KF31" i="24"/>
  <c r="KY31" i="24"/>
  <c r="II271" i="24"/>
  <c r="LR20" i="24"/>
  <c r="ND20" i="24"/>
  <c r="KF20" i="24"/>
  <c r="KY20" i="24"/>
  <c r="JM20" i="24"/>
  <c r="IA20" i="24"/>
  <c r="IA205" i="24" s="1"/>
  <c r="MK20" i="24"/>
  <c r="IT20" i="24"/>
  <c r="LY31" i="24"/>
  <c r="NK31" i="24"/>
  <c r="KM31" i="24"/>
  <c r="MR31" i="24"/>
  <c r="JA31" i="24"/>
  <c r="JT31" i="24"/>
  <c r="IH31" i="24"/>
  <c r="IH216" i="24" s="1"/>
  <c r="LF31" i="24"/>
  <c r="KX32" i="24"/>
  <c r="KX15" i="24" s="1"/>
  <c r="MJ32" i="24"/>
  <c r="MJ15" i="24" s="1"/>
  <c r="NC32" i="24"/>
  <c r="NC15" i="24" s="1"/>
  <c r="LQ32" i="24"/>
  <c r="LQ15" i="24" s="1"/>
  <c r="JL32" i="24"/>
  <c r="JL15" i="24" s="1"/>
  <c r="HZ32" i="24"/>
  <c r="KE32" i="24"/>
  <c r="KE15" i="24" s="1"/>
  <c r="IS32" i="24"/>
  <c r="IS15" i="24" s="1"/>
  <c r="NE32" i="24"/>
  <c r="NE15" i="24" s="1"/>
  <c r="KG32" i="24"/>
  <c r="KG15" i="24" s="1"/>
  <c r="KZ32" i="24"/>
  <c r="KZ15" i="24" s="1"/>
  <c r="LS32" i="24"/>
  <c r="LS15" i="24" s="1"/>
  <c r="ML32" i="24"/>
  <c r="ML15" i="24" s="1"/>
  <c r="JN32" i="24"/>
  <c r="JN15" i="24" s="1"/>
  <c r="IB32" i="24"/>
  <c r="IU32" i="24"/>
  <c r="IU15" i="24" s="1"/>
  <c r="NH31" i="24"/>
  <c r="KJ31" i="24"/>
  <c r="LC31" i="24"/>
  <c r="MO31" i="24"/>
  <c r="JQ31" i="24"/>
  <c r="IE31" i="24"/>
  <c r="IE216" i="24" s="1"/>
  <c r="LV31" i="24"/>
  <c r="IX31" i="24"/>
  <c r="NL32" i="24"/>
  <c r="NL15" i="24" s="1"/>
  <c r="KN32" i="24"/>
  <c r="KN15" i="24" s="1"/>
  <c r="LG32" i="24"/>
  <c r="LG15" i="24" s="1"/>
  <c r="MS32" i="24"/>
  <c r="MS15" i="24" s="1"/>
  <c r="JU32" i="24"/>
  <c r="JU15" i="24" s="1"/>
  <c r="II32" i="24"/>
  <c r="LZ32" i="24"/>
  <c r="LZ15" i="24" s="1"/>
  <c r="JB32" i="24"/>
  <c r="JB15" i="24" s="1"/>
  <c r="NI31" i="24"/>
  <c r="KK31" i="24"/>
  <c r="LD31" i="24"/>
  <c r="MP31" i="24"/>
  <c r="LW31" i="24"/>
  <c r="JR31" i="24"/>
  <c r="IF31" i="24"/>
  <c r="IF216" i="24" s="1"/>
  <c r="IY31" i="24"/>
  <c r="LU32" i="24"/>
  <c r="LU15" i="24" s="1"/>
  <c r="NG32" i="24"/>
  <c r="NG15" i="24" s="1"/>
  <c r="KI32" i="24"/>
  <c r="KI15" i="24" s="1"/>
  <c r="MN32" i="24"/>
  <c r="MN15" i="24" s="1"/>
  <c r="IW32" i="24"/>
  <c r="IW15" i="24" s="1"/>
  <c r="LB32" i="24"/>
  <c r="LB15" i="24" s="1"/>
  <c r="JP32" i="24"/>
  <c r="JP15" i="24" s="1"/>
  <c r="ID32" i="24"/>
  <c r="BS107" i="24"/>
  <c r="BT107" i="24"/>
  <c r="AZ107" i="24"/>
  <c r="AZ271" i="24"/>
  <c r="AZ205" i="24"/>
  <c r="AR120" i="24"/>
  <c r="AR119" i="24"/>
  <c r="BA107" i="24"/>
  <c r="BA205" i="24"/>
  <c r="BA271" i="24"/>
  <c r="H74" i="37"/>
  <c r="H122" i="37"/>
  <c r="HJ31" i="24"/>
  <c r="GQ31" i="24"/>
  <c r="FE31" i="24"/>
  <c r="FX31" i="24"/>
  <c r="GR20" i="24"/>
  <c r="HK20" i="24"/>
  <c r="FF20" i="24"/>
  <c r="FY20" i="24"/>
  <c r="HJ32" i="24"/>
  <c r="HJ15" i="24" s="1"/>
  <c r="GQ32" i="24"/>
  <c r="GQ15" i="24" s="1"/>
  <c r="FX32" i="24"/>
  <c r="FX15" i="24" s="1"/>
  <c r="FE32" i="24"/>
  <c r="FE15" i="24" s="1"/>
  <c r="GP31" i="24"/>
  <c r="HI31" i="24"/>
  <c r="FW31" i="24"/>
  <c r="FD31" i="24"/>
  <c r="HJ20" i="24"/>
  <c r="GQ20" i="24"/>
  <c r="FX20" i="24"/>
  <c r="FE20" i="24"/>
  <c r="GN31" i="24"/>
  <c r="HG31" i="24"/>
  <c r="FU31" i="24"/>
  <c r="FB31" i="24"/>
  <c r="GP20" i="24"/>
  <c r="HI20" i="24"/>
  <c r="FW20" i="24"/>
  <c r="FD20" i="24"/>
  <c r="HM31" i="24"/>
  <c r="GA31" i="24"/>
  <c r="FH31" i="24"/>
  <c r="GT31" i="24"/>
  <c r="HN32" i="24"/>
  <c r="HN15" i="24" s="1"/>
  <c r="GB32" i="24"/>
  <c r="GB15" i="24" s="1"/>
  <c r="GU32" i="24"/>
  <c r="GU15" i="24" s="1"/>
  <c r="FI32" i="24"/>
  <c r="FI15" i="24" s="1"/>
  <c r="HN31" i="24"/>
  <c r="GB31" i="24"/>
  <c r="GU31" i="24"/>
  <c r="FI31" i="24"/>
  <c r="HL32" i="24"/>
  <c r="HL15" i="24" s="1"/>
  <c r="FZ32" i="24"/>
  <c r="FZ15" i="24" s="1"/>
  <c r="GS32" i="24"/>
  <c r="GS15" i="24" s="1"/>
  <c r="FG32" i="24"/>
  <c r="FG15" i="24" s="1"/>
  <c r="HH31" i="24"/>
  <c r="GO31" i="24"/>
  <c r="FV31" i="24"/>
  <c r="FC31" i="24"/>
  <c r="HP32" i="24"/>
  <c r="HP15" i="24" s="1"/>
  <c r="GW32" i="24"/>
  <c r="GW15" i="24" s="1"/>
  <c r="FK32" i="24"/>
  <c r="FK15" i="24" s="1"/>
  <c r="GD32" i="24"/>
  <c r="GD15" i="24" s="1"/>
  <c r="GR32" i="24"/>
  <c r="GR15" i="24" s="1"/>
  <c r="FF32" i="24"/>
  <c r="FF15" i="24" s="1"/>
  <c r="FY32" i="24"/>
  <c r="FY15" i="24" s="1"/>
  <c r="HK32" i="24"/>
  <c r="HK15" i="24" s="1"/>
  <c r="GT32" i="24"/>
  <c r="GT15" i="24" s="1"/>
  <c r="HM32" i="24"/>
  <c r="HM15" i="24" s="1"/>
  <c r="GA32" i="24"/>
  <c r="GA15" i="24" s="1"/>
  <c r="FH32" i="24"/>
  <c r="FH15" i="24" s="1"/>
  <c r="HP31" i="24"/>
  <c r="GW31" i="24"/>
  <c r="FK31" i="24"/>
  <c r="GD31" i="24"/>
  <c r="HL20" i="24"/>
  <c r="GS20" i="24"/>
  <c r="FZ20" i="24"/>
  <c r="FG20" i="24"/>
  <c r="HH20" i="24"/>
  <c r="GO20" i="24"/>
  <c r="FV20" i="24"/>
  <c r="FC20" i="24"/>
  <c r="HO31" i="24"/>
  <c r="GC31" i="24"/>
  <c r="FJ31" i="24"/>
  <c r="GV31" i="24"/>
  <c r="HQ43" i="24"/>
  <c r="GX43" i="24"/>
  <c r="GE43" i="24"/>
  <c r="FL43" i="24"/>
  <c r="GR31" i="24"/>
  <c r="HK31" i="24"/>
  <c r="FF31" i="24"/>
  <c r="FY31" i="24"/>
  <c r="HO32" i="24"/>
  <c r="HO15" i="24" s="1"/>
  <c r="GV32" i="24"/>
  <c r="GV15" i="24" s="1"/>
  <c r="GC32" i="24"/>
  <c r="GC15" i="24" s="1"/>
  <c r="FJ32" i="24"/>
  <c r="FJ15" i="24" s="1"/>
  <c r="GN20" i="24"/>
  <c r="HG20" i="24"/>
  <c r="FU20" i="24"/>
  <c r="FB20" i="24"/>
  <c r="HG32" i="24"/>
  <c r="HG15" i="24" s="1"/>
  <c r="FU32" i="24"/>
  <c r="FU15" i="24" s="1"/>
  <c r="GN32" i="24"/>
  <c r="GN15" i="24" s="1"/>
  <c r="FB32" i="24"/>
  <c r="FB15" i="24" s="1"/>
  <c r="HM20" i="24"/>
  <c r="GT20" i="24"/>
  <c r="GA20" i="24"/>
  <c r="FH20" i="24"/>
  <c r="HR43" i="24"/>
  <c r="GF43" i="24"/>
  <c r="GY43" i="24"/>
  <c r="FM43" i="24"/>
  <c r="HI32" i="24"/>
  <c r="HI15" i="24" s="1"/>
  <c r="GP32" i="24"/>
  <c r="GP15" i="24" s="1"/>
  <c r="FW32" i="24"/>
  <c r="FW15" i="24" s="1"/>
  <c r="FD32" i="24"/>
  <c r="FD15" i="24" s="1"/>
  <c r="HH32" i="24"/>
  <c r="HH15" i="24" s="1"/>
  <c r="GO32" i="24"/>
  <c r="GO15" i="24" s="1"/>
  <c r="FV32" i="24"/>
  <c r="FV15" i="24" s="1"/>
  <c r="FC32" i="24"/>
  <c r="FC15" i="24" s="1"/>
  <c r="HN20" i="24"/>
  <c r="GB20" i="24"/>
  <c r="FI20" i="24"/>
  <c r="GU20" i="24"/>
  <c r="HL31" i="24"/>
  <c r="FZ31" i="24"/>
  <c r="GS31" i="24"/>
  <c r="FG31" i="24"/>
  <c r="EL31" i="24"/>
  <c r="DS31" i="24"/>
  <c r="CZ31" i="24"/>
  <c r="CG31" i="24"/>
  <c r="BN31" i="24"/>
  <c r="AU31" i="24"/>
  <c r="AU282" i="24" s="1"/>
  <c r="EO31" i="24"/>
  <c r="DC31" i="24"/>
  <c r="DV31" i="24"/>
  <c r="CJ31" i="24"/>
  <c r="BQ31" i="24"/>
  <c r="AX31" i="24"/>
  <c r="AX282" i="24" s="1"/>
  <c r="DW32" i="24"/>
  <c r="DW15" i="24" s="1"/>
  <c r="EP32" i="24"/>
  <c r="EP15" i="24" s="1"/>
  <c r="DD32" i="24"/>
  <c r="DD15" i="24" s="1"/>
  <c r="CK32" i="24"/>
  <c r="CK15" i="24" s="1"/>
  <c r="BR32" i="24"/>
  <c r="BR15" i="24" s="1"/>
  <c r="AY32" i="24"/>
  <c r="AY283" i="24" s="1"/>
  <c r="DV32" i="24"/>
  <c r="DV15" i="24" s="1"/>
  <c r="EO32" i="24"/>
  <c r="EO15" i="24" s="1"/>
  <c r="DC32" i="24"/>
  <c r="DC15" i="24" s="1"/>
  <c r="CJ32" i="24"/>
  <c r="CJ15" i="24" s="1"/>
  <c r="BQ32" i="24"/>
  <c r="BQ15" i="24" s="1"/>
  <c r="AX32" i="24"/>
  <c r="EJ20" i="24"/>
  <c r="CX20" i="24"/>
  <c r="DQ20" i="24"/>
  <c r="CE20" i="24"/>
  <c r="BL20" i="24"/>
  <c r="EQ31" i="24"/>
  <c r="DX31" i="24"/>
  <c r="DE31" i="24"/>
  <c r="CL31" i="24"/>
  <c r="BS31" i="24"/>
  <c r="AZ31" i="24"/>
  <c r="AZ282" i="24" s="1"/>
  <c r="DA20" i="24"/>
  <c r="DT20" i="24"/>
  <c r="CH20" i="24"/>
  <c r="BO20" i="24"/>
  <c r="EM20" i="24"/>
  <c r="AV20" i="24"/>
  <c r="ES43" i="24"/>
  <c r="DZ43" i="24"/>
  <c r="DG43" i="24"/>
  <c r="CN43" i="24"/>
  <c r="BU43" i="24"/>
  <c r="BB43" i="24"/>
  <c r="BB294" i="24" s="1"/>
  <c r="EQ32" i="24"/>
  <c r="EQ15" i="24" s="1"/>
  <c r="DX32" i="24"/>
  <c r="DX15" i="24" s="1"/>
  <c r="CL32" i="24"/>
  <c r="CL15" i="24" s="1"/>
  <c r="BS32" i="24"/>
  <c r="BS15" i="24" s="1"/>
  <c r="DE32" i="24"/>
  <c r="DE15" i="24" s="1"/>
  <c r="AZ32" i="24"/>
  <c r="AZ283" i="24" s="1"/>
  <c r="DF32" i="24"/>
  <c r="DF15" i="24" s="1"/>
  <c r="DY32" i="24"/>
  <c r="DY15" i="24" s="1"/>
  <c r="ER32" i="24"/>
  <c r="ER15" i="24" s="1"/>
  <c r="CM32" i="24"/>
  <c r="CM15" i="24" s="1"/>
  <c r="BT32" i="24"/>
  <c r="BT15" i="24" s="1"/>
  <c r="BA32" i="24"/>
  <c r="EP31" i="24"/>
  <c r="DW31" i="24"/>
  <c r="DD31" i="24"/>
  <c r="BR31" i="24"/>
  <c r="AY31" i="24"/>
  <c r="AY282" i="24" s="1"/>
  <c r="CK31" i="24"/>
  <c r="EI20" i="24"/>
  <c r="CW20" i="24"/>
  <c r="DP20" i="24"/>
  <c r="CD20" i="24"/>
  <c r="BK20" i="24"/>
  <c r="EO20" i="24"/>
  <c r="DV20" i="24"/>
  <c r="DC20" i="24"/>
  <c r="CJ20" i="24"/>
  <c r="BQ20" i="24"/>
  <c r="AX20" i="24"/>
  <c r="ET43" i="24"/>
  <c r="EA43" i="24"/>
  <c r="DH43" i="24"/>
  <c r="BV43" i="24"/>
  <c r="CO43" i="24"/>
  <c r="BC43" i="24"/>
  <c r="BC294" i="24" s="1"/>
  <c r="EK20" i="24"/>
  <c r="DR20" i="24"/>
  <c r="CF20" i="24"/>
  <c r="CY20" i="24"/>
  <c r="BM20" i="24"/>
  <c r="AT20" i="24"/>
  <c r="EM32" i="24"/>
  <c r="EM15" i="24" s="1"/>
  <c r="CH32" i="24"/>
  <c r="CH15" i="24" s="1"/>
  <c r="DA32" i="24"/>
  <c r="DA15" i="24" s="1"/>
  <c r="DT32" i="24"/>
  <c r="DT15" i="24" s="1"/>
  <c r="BO32" i="24"/>
  <c r="BO15" i="24" s="1"/>
  <c r="AV32" i="24"/>
  <c r="AV283" i="24" s="1"/>
  <c r="ER31" i="24"/>
  <c r="DF31" i="24"/>
  <c r="DY31" i="24"/>
  <c r="CM31" i="24"/>
  <c r="BT31" i="24"/>
  <c r="BA31" i="24"/>
  <c r="BA282" i="24" s="1"/>
  <c r="CW32" i="24"/>
  <c r="CW15" i="24" s="1"/>
  <c r="DP32" i="24"/>
  <c r="DP15" i="24" s="1"/>
  <c r="EI32" i="24"/>
  <c r="EI15" i="24" s="1"/>
  <c r="CD32" i="24"/>
  <c r="CD15" i="24" s="1"/>
  <c r="BK32" i="24"/>
  <c r="BK15" i="24" s="1"/>
  <c r="EK32" i="24"/>
  <c r="EK15" i="24" s="1"/>
  <c r="DR32" i="24"/>
  <c r="DR15" i="24" s="1"/>
  <c r="CY32" i="24"/>
  <c r="CY15" i="24" s="1"/>
  <c r="CF32" i="24"/>
  <c r="CF15" i="24" s="1"/>
  <c r="BM32" i="24"/>
  <c r="BM15" i="24" s="1"/>
  <c r="AT32" i="24"/>
  <c r="CX32" i="24"/>
  <c r="CX15" i="24" s="1"/>
  <c r="DQ32" i="24"/>
  <c r="DQ15" i="24" s="1"/>
  <c r="DQ11" i="24" s="1"/>
  <c r="DQ9" i="24" s="1"/>
  <c r="CE32" i="24"/>
  <c r="CE15" i="24" s="1"/>
  <c r="BL32" i="24"/>
  <c r="BL15" i="24" s="1"/>
  <c r="BL11" i="24" s="1"/>
  <c r="EJ32" i="24"/>
  <c r="EJ15" i="24" s="1"/>
  <c r="EP20" i="24"/>
  <c r="DW20" i="24"/>
  <c r="DD20" i="24"/>
  <c r="CK20" i="24"/>
  <c r="BR20" i="24"/>
  <c r="AY20" i="24"/>
  <c r="DU31" i="24"/>
  <c r="EN31" i="24"/>
  <c r="CI31" i="24"/>
  <c r="DB31" i="24"/>
  <c r="BP31" i="24"/>
  <c r="AW31" i="24"/>
  <c r="AW282" i="24" s="1"/>
  <c r="CX31" i="24"/>
  <c r="EJ31" i="24"/>
  <c r="CE31" i="24"/>
  <c r="DQ31" i="24"/>
  <c r="BL31" i="24"/>
  <c r="DU32" i="24"/>
  <c r="DU15" i="24" s="1"/>
  <c r="EN32" i="24"/>
  <c r="EN15" i="24" s="1"/>
  <c r="CI32" i="24"/>
  <c r="CI15" i="24" s="1"/>
  <c r="DB32" i="24"/>
  <c r="DB15" i="24" s="1"/>
  <c r="BP32" i="24"/>
  <c r="BP15" i="24" s="1"/>
  <c r="AW32" i="24"/>
  <c r="AW283" i="24" s="1"/>
  <c r="DU20" i="24"/>
  <c r="EN20" i="24"/>
  <c r="CI20" i="24"/>
  <c r="BP20" i="24"/>
  <c r="DB20" i="24"/>
  <c r="AW20" i="24"/>
  <c r="EM31" i="24"/>
  <c r="DT31" i="24"/>
  <c r="DA31" i="24"/>
  <c r="CH31" i="24"/>
  <c r="BO31" i="24"/>
  <c r="AV31" i="24"/>
  <c r="AV282" i="24" s="1"/>
  <c r="EL32" i="24"/>
  <c r="EL15" i="24" s="1"/>
  <c r="DS32" i="24"/>
  <c r="DS15" i="24" s="1"/>
  <c r="CZ32" i="24"/>
  <c r="CZ15" i="24" s="1"/>
  <c r="CG32" i="24"/>
  <c r="CG15" i="24" s="1"/>
  <c r="BN32" i="24"/>
  <c r="BN15" i="24" s="1"/>
  <c r="AU32" i="24"/>
  <c r="AU283" i="24" s="1"/>
  <c r="EK31" i="24"/>
  <c r="DR31" i="24"/>
  <c r="CY31" i="24"/>
  <c r="CF31" i="24"/>
  <c r="BM31" i="24"/>
  <c r="AT31" i="24"/>
  <c r="AT282" i="24" s="1"/>
  <c r="CZ20" i="24"/>
  <c r="EL20" i="24"/>
  <c r="DS20" i="24"/>
  <c r="CG20" i="24"/>
  <c r="BN20" i="24"/>
  <c r="AU20" i="24"/>
  <c r="AR31" i="24"/>
  <c r="CW31" i="24"/>
  <c r="DP31" i="24"/>
  <c r="EI31" i="24"/>
  <c r="CD31" i="24"/>
  <c r="BK31" i="24"/>
  <c r="D101" i="36"/>
  <c r="D102" i="36" s="1"/>
  <c r="F21" i="24" s="1"/>
  <c r="D99" i="36"/>
  <c r="C99" i="36"/>
  <c r="C91" i="36"/>
  <c r="C92" i="36" s="1"/>
  <c r="E19" i="24" s="1"/>
  <c r="C170" i="37"/>
  <c r="C217" i="37"/>
  <c r="D47" i="36"/>
  <c r="F27" i="27" s="1"/>
  <c r="D50" i="36"/>
  <c r="D62" i="36" s="1"/>
  <c r="D81" i="36"/>
  <c r="D82" i="36" s="1"/>
  <c r="D84" i="36"/>
  <c r="D85" i="36" s="1"/>
  <c r="D69" i="36"/>
  <c r="D87" i="36"/>
  <c r="D88" i="36" s="1"/>
  <c r="C84" i="36"/>
  <c r="C85" i="36" s="1"/>
  <c r="C47" i="36"/>
  <c r="C87" i="36"/>
  <c r="C88" i="36" s="1"/>
  <c r="C78" i="36"/>
  <c r="C79" i="36" s="1"/>
  <c r="C46" i="36"/>
  <c r="C57" i="36" s="1"/>
  <c r="C75" i="36"/>
  <c r="C76" i="36" s="1"/>
  <c r="D29" i="24" s="1"/>
  <c r="C70" i="36"/>
  <c r="C104" i="36"/>
  <c r="C105" i="36" s="1"/>
  <c r="D51" i="36"/>
  <c r="D63" i="36" s="1"/>
  <c r="C81" i="36"/>
  <c r="C82" i="36" s="1"/>
  <c r="D38" i="36"/>
  <c r="D37" i="36"/>
  <c r="D52" i="36"/>
  <c r="D64" i="36" s="1"/>
  <c r="C94" i="36"/>
  <c r="C95" i="36" s="1"/>
  <c r="D49" i="36"/>
  <c r="F29" i="27" s="1"/>
  <c r="C101" i="36"/>
  <c r="C102" i="36" s="1"/>
  <c r="D75" i="36"/>
  <c r="D76" i="36" s="1"/>
  <c r="D78" i="36"/>
  <c r="D79" i="36" s="1"/>
  <c r="D94" i="36"/>
  <c r="D95" i="36" s="1"/>
  <c r="D104" i="36"/>
  <c r="D105" i="36" s="1"/>
  <c r="F22" i="24" s="1"/>
  <c r="D91" i="36"/>
  <c r="D92" i="36" s="1"/>
  <c r="D48" i="36"/>
  <c r="D53" i="36"/>
  <c r="F33" i="27" s="1"/>
  <c r="D46" i="36"/>
  <c r="D56" i="36" s="1"/>
  <c r="D83" i="10"/>
  <c r="E17" i="36"/>
  <c r="E24" i="36"/>
  <c r="E25" i="36"/>
  <c r="F25" i="36"/>
  <c r="F17" i="36"/>
  <c r="C34" i="36"/>
  <c r="G24" i="36"/>
  <c r="G17" i="36"/>
  <c r="G25" i="36"/>
  <c r="H24" i="36"/>
  <c r="H25" i="36"/>
  <c r="H46" i="36" s="1"/>
  <c r="AS36" i="24"/>
  <c r="HU217" i="24" l="1"/>
  <c r="HU283" i="24"/>
  <c r="HV217" i="24"/>
  <c r="HV15" i="24"/>
  <c r="ID217" i="24"/>
  <c r="ID15" i="24"/>
  <c r="GJ217" i="24"/>
  <c r="GJ15" i="24"/>
  <c r="IE217" i="24"/>
  <c r="IE15" i="24"/>
  <c r="IB217" i="24"/>
  <c r="IB15" i="24"/>
  <c r="IO217" i="24"/>
  <c r="IO15" i="24"/>
  <c r="II217" i="24"/>
  <c r="II15" i="24"/>
  <c r="HZ217" i="24"/>
  <c r="HZ15" i="24"/>
  <c r="IA217" i="24"/>
  <c r="IA15" i="24"/>
  <c r="IC217" i="24"/>
  <c r="IC15" i="24"/>
  <c r="EX217" i="24"/>
  <c r="EX15" i="24"/>
  <c r="EW283" i="24"/>
  <c r="EW15" i="24"/>
  <c r="IN217" i="24"/>
  <c r="IN15" i="24"/>
  <c r="IH217" i="24"/>
  <c r="IH15" i="24"/>
  <c r="IG217" i="24"/>
  <c r="IG15" i="24"/>
  <c r="GI283" i="24"/>
  <c r="GI15" i="24"/>
  <c r="IF217" i="24"/>
  <c r="IF15" i="24"/>
  <c r="AT283" i="24"/>
  <c r="AT15" i="24"/>
  <c r="AX283" i="24"/>
  <c r="AX15" i="24"/>
  <c r="HV282" i="24"/>
  <c r="JF11" i="24"/>
  <c r="JF9" i="24" s="1"/>
  <c r="HB268" i="24"/>
  <c r="MW11" i="24"/>
  <c r="MW9" i="24" s="1"/>
  <c r="MC11" i="24"/>
  <c r="MC9" i="24" s="1"/>
  <c r="LJ11" i="24"/>
  <c r="LJ9" i="24" s="1"/>
  <c r="MV11" i="24"/>
  <c r="MV9" i="24" s="1"/>
  <c r="HV210" i="24"/>
  <c r="IL11" i="24"/>
  <c r="IL9" i="24" s="1"/>
  <c r="IL213" i="24"/>
  <c r="IL200" i="24" s="1"/>
  <c r="IL196" i="24" s="1"/>
  <c r="IL194" i="24" s="1"/>
  <c r="IO202" i="24"/>
  <c r="HV202" i="24"/>
  <c r="IN202" i="24"/>
  <c r="IM11" i="24"/>
  <c r="IM9" i="24" s="1"/>
  <c r="IM200" i="24"/>
  <c r="IM196" i="24" s="1"/>
  <c r="IM194" i="24" s="1"/>
  <c r="HV266" i="24"/>
  <c r="HS11" i="24"/>
  <c r="HS9" i="24" s="1"/>
  <c r="HB211" i="24"/>
  <c r="GI216" i="24"/>
  <c r="GZ210" i="24"/>
  <c r="EB213" i="24"/>
  <c r="EB200" i="24" s="1"/>
  <c r="EB196" i="24" s="1"/>
  <c r="EB194" i="24" s="1"/>
  <c r="EV11" i="24"/>
  <c r="EV9" i="24" s="1"/>
  <c r="GI217" i="24"/>
  <c r="ED211" i="24"/>
  <c r="GZ213" i="24"/>
  <c r="GJ277" i="24"/>
  <c r="DJ210" i="24"/>
  <c r="HA279" i="24"/>
  <c r="HI271" i="24"/>
  <c r="HI205" i="24"/>
  <c r="HI283" i="24"/>
  <c r="HI217" i="24"/>
  <c r="HO282" i="24"/>
  <c r="HO216" i="24"/>
  <c r="HN217" i="24"/>
  <c r="HN283" i="24"/>
  <c r="HK283" i="24"/>
  <c r="HK217" i="24"/>
  <c r="GJ210" i="24"/>
  <c r="HS279" i="24"/>
  <c r="HS213" i="24"/>
  <c r="HS276" i="24"/>
  <c r="HS210" i="24"/>
  <c r="HG282" i="24"/>
  <c r="HG216" i="24"/>
  <c r="HI282" i="24"/>
  <c r="HI216" i="24"/>
  <c r="HK271" i="24"/>
  <c r="HK205" i="24"/>
  <c r="EB276" i="24"/>
  <c r="EB266" i="24" s="1"/>
  <c r="EB262" i="24" s="1"/>
  <c r="EB260" i="24" s="1"/>
  <c r="EW217" i="24"/>
  <c r="GJ283" i="24"/>
  <c r="GZ11" i="24"/>
  <c r="GZ9" i="24" s="1"/>
  <c r="HK216" i="24"/>
  <c r="HK282" i="24"/>
  <c r="HN271" i="24"/>
  <c r="HN205" i="24"/>
  <c r="HP217" i="24"/>
  <c r="HP283" i="24"/>
  <c r="HJ282" i="24"/>
  <c r="HJ216" i="24"/>
  <c r="HL216" i="24"/>
  <c r="HL282" i="24"/>
  <c r="HH283" i="24"/>
  <c r="HH217" i="24"/>
  <c r="HR228" i="24"/>
  <c r="HG283" i="24"/>
  <c r="HG217" i="24"/>
  <c r="HO283" i="24"/>
  <c r="HO217" i="24"/>
  <c r="HQ228" i="24"/>
  <c r="HH205" i="24"/>
  <c r="HH271" i="24"/>
  <c r="HP282" i="24"/>
  <c r="HP216" i="24"/>
  <c r="HH282" i="24"/>
  <c r="HH216" i="24"/>
  <c r="HN216" i="24"/>
  <c r="HN282" i="24"/>
  <c r="HM282" i="24"/>
  <c r="HM216" i="24"/>
  <c r="HB210" i="24"/>
  <c r="HM217" i="24"/>
  <c r="HM283" i="24"/>
  <c r="HJ271" i="24"/>
  <c r="HJ205" i="24"/>
  <c r="HU277" i="24"/>
  <c r="HU211" i="24"/>
  <c r="HG205" i="24"/>
  <c r="HG271" i="24"/>
  <c r="HM271" i="24"/>
  <c r="HM205" i="24"/>
  <c r="HL271" i="24"/>
  <c r="HL205" i="24"/>
  <c r="HL283" i="24"/>
  <c r="HL217" i="24"/>
  <c r="HJ283" i="24"/>
  <c r="HJ217" i="24"/>
  <c r="HT279" i="24"/>
  <c r="HT266" i="24" s="1"/>
  <c r="HT262" i="24" s="1"/>
  <c r="HT260" i="24" s="1"/>
  <c r="HT213" i="24"/>
  <c r="HT200" i="24" s="1"/>
  <c r="HT196" i="24" s="1"/>
  <c r="HT194" i="24" s="1"/>
  <c r="GJ282" i="24"/>
  <c r="HU276" i="24"/>
  <c r="HU210" i="24"/>
  <c r="HU268" i="24"/>
  <c r="HU202" i="24"/>
  <c r="GZ266" i="24"/>
  <c r="GZ262" i="24" s="1"/>
  <c r="GZ260" i="24" s="1"/>
  <c r="GN217" i="24"/>
  <c r="GN283" i="24"/>
  <c r="GU282" i="24"/>
  <c r="GU216" i="24"/>
  <c r="GX228" i="24"/>
  <c r="GT216" i="24"/>
  <c r="GT282" i="24"/>
  <c r="EX211" i="24"/>
  <c r="GH11" i="24"/>
  <c r="GH9" i="24" s="1"/>
  <c r="GJ268" i="24"/>
  <c r="HA210" i="24"/>
  <c r="HA200" i="24" s="1"/>
  <c r="HA196" i="24" s="1"/>
  <c r="HA194" i="24" s="1"/>
  <c r="HA276" i="24"/>
  <c r="HA266" i="24" s="1"/>
  <c r="HA262" i="24" s="1"/>
  <c r="HA260" i="24" s="1"/>
  <c r="HA11" i="24"/>
  <c r="HA9" i="24" s="1"/>
  <c r="HC268" i="24"/>
  <c r="HC202" i="24"/>
  <c r="GO271" i="24"/>
  <c r="GO205" i="24"/>
  <c r="GR217" i="24"/>
  <c r="GR283" i="24"/>
  <c r="GN282" i="24"/>
  <c r="GN216" i="24"/>
  <c r="GP282" i="24"/>
  <c r="GP216" i="24"/>
  <c r="GR271" i="24"/>
  <c r="GR205" i="24"/>
  <c r="EX282" i="24"/>
  <c r="EV210" i="24"/>
  <c r="GS282" i="24"/>
  <c r="GS216" i="24"/>
  <c r="GU271" i="24"/>
  <c r="GU205" i="24"/>
  <c r="GV282" i="24"/>
  <c r="GV216" i="24"/>
  <c r="FP277" i="24"/>
  <c r="GH210" i="24"/>
  <c r="HC282" i="24"/>
  <c r="HC216" i="24"/>
  <c r="GY228" i="24"/>
  <c r="GO283" i="24"/>
  <c r="GO217" i="24"/>
  <c r="GW216" i="24"/>
  <c r="GW282" i="24"/>
  <c r="GS217" i="24"/>
  <c r="GS283" i="24"/>
  <c r="GU283" i="24"/>
  <c r="GU217" i="24"/>
  <c r="FN213" i="24"/>
  <c r="HB217" i="24"/>
  <c r="HB283" i="24"/>
  <c r="HC217" i="24"/>
  <c r="HC283" i="24"/>
  <c r="GO216" i="24"/>
  <c r="GO282" i="24"/>
  <c r="GP283" i="24"/>
  <c r="GP217" i="24"/>
  <c r="GT271" i="24"/>
  <c r="GT205" i="24"/>
  <c r="GS271" i="24"/>
  <c r="GS205" i="24"/>
  <c r="GW283" i="24"/>
  <c r="GW217" i="24"/>
  <c r="GQ271" i="24"/>
  <c r="GQ205" i="24"/>
  <c r="GQ217" i="24"/>
  <c r="GQ283" i="24"/>
  <c r="GQ216" i="24"/>
  <c r="GQ282" i="24"/>
  <c r="GJ202" i="24"/>
  <c r="FN11" i="24"/>
  <c r="FN9" i="24" s="1"/>
  <c r="GV217" i="24"/>
  <c r="GV283" i="24"/>
  <c r="GN271" i="24"/>
  <c r="GN205" i="24"/>
  <c r="GR216" i="24"/>
  <c r="GR282" i="24"/>
  <c r="GT217" i="24"/>
  <c r="GT283" i="24"/>
  <c r="GP271" i="24"/>
  <c r="GP205" i="24"/>
  <c r="HC277" i="24"/>
  <c r="HC211" i="24"/>
  <c r="HB216" i="24"/>
  <c r="HB282" i="24"/>
  <c r="HC210" i="24"/>
  <c r="HC276" i="24"/>
  <c r="DL202" i="24"/>
  <c r="EB11" i="24"/>
  <c r="EB9" i="24" s="1"/>
  <c r="EX210" i="24"/>
  <c r="FN210" i="24"/>
  <c r="FV205" i="24"/>
  <c r="FV271" i="24"/>
  <c r="FW282" i="24"/>
  <c r="FW216" i="24"/>
  <c r="FZ282" i="24"/>
  <c r="FZ216" i="24"/>
  <c r="GG276" i="24"/>
  <c r="GG210" i="24"/>
  <c r="GD282" i="24"/>
  <c r="GD216" i="24"/>
  <c r="FY271" i="24"/>
  <c r="FY205" i="24"/>
  <c r="GI268" i="24"/>
  <c r="GI202" i="24"/>
  <c r="FD22" i="24"/>
  <c r="FW22" i="24"/>
  <c r="GF228" i="24"/>
  <c r="FU283" i="24"/>
  <c r="FU217" i="24"/>
  <c r="FY282" i="24"/>
  <c r="FY216" i="24"/>
  <c r="GD283" i="24"/>
  <c r="GD217" i="24"/>
  <c r="FX282" i="24"/>
  <c r="FX216" i="24"/>
  <c r="GG11" i="24"/>
  <c r="GG9" i="24" s="1"/>
  <c r="FV283" i="24"/>
  <c r="FV217" i="24"/>
  <c r="GC283" i="24"/>
  <c r="GC217" i="24"/>
  <c r="FV282" i="24"/>
  <c r="FV216" i="24"/>
  <c r="GA282" i="24"/>
  <c r="GA216" i="24"/>
  <c r="FW283" i="24"/>
  <c r="FW217" i="24"/>
  <c r="GA205" i="24"/>
  <c r="GA271" i="24"/>
  <c r="FU271" i="24"/>
  <c r="FU205" i="24"/>
  <c r="FZ271" i="24"/>
  <c r="FZ205" i="24"/>
  <c r="GA283" i="24"/>
  <c r="GA217" i="24"/>
  <c r="FW271" i="24"/>
  <c r="FW205" i="24"/>
  <c r="FX271" i="24"/>
  <c r="FX205" i="24"/>
  <c r="FX283" i="24"/>
  <c r="FX217" i="24"/>
  <c r="FY217" i="24"/>
  <c r="FY283" i="24"/>
  <c r="GB205" i="24"/>
  <c r="GB271" i="24"/>
  <c r="GC282" i="24"/>
  <c r="GC216" i="24"/>
  <c r="FZ217" i="24"/>
  <c r="FZ283" i="24"/>
  <c r="GB283" i="24"/>
  <c r="GB217" i="24"/>
  <c r="FP268" i="24"/>
  <c r="FO279" i="24"/>
  <c r="FP276" i="24"/>
  <c r="GI277" i="24"/>
  <c r="GI211" i="24"/>
  <c r="GG213" i="24"/>
  <c r="GG279" i="24"/>
  <c r="GE228" i="24"/>
  <c r="FU282" i="24"/>
  <c r="FU216" i="24"/>
  <c r="GB282" i="24"/>
  <c r="GB216" i="24"/>
  <c r="GH279" i="24"/>
  <c r="GH266" i="24" s="1"/>
  <c r="GH262" i="24" s="1"/>
  <c r="GH260" i="24" s="1"/>
  <c r="GH213" i="24"/>
  <c r="GI276" i="24"/>
  <c r="GI210" i="24"/>
  <c r="EX283" i="24"/>
  <c r="EX266" i="24" s="1"/>
  <c r="EW282" i="24"/>
  <c r="EU11" i="24"/>
  <c r="EU9" i="24" s="1"/>
  <c r="FP216" i="24"/>
  <c r="FP282" i="24"/>
  <c r="FD283" i="24"/>
  <c r="FD217" i="24"/>
  <c r="FB205" i="24"/>
  <c r="FB271" i="24"/>
  <c r="FG205" i="24"/>
  <c r="FG271" i="24"/>
  <c r="FH217" i="24"/>
  <c r="FH283" i="24"/>
  <c r="FG217" i="24"/>
  <c r="FG283" i="24"/>
  <c r="FI283" i="24"/>
  <c r="FI217" i="24"/>
  <c r="FD205" i="24"/>
  <c r="FD271" i="24"/>
  <c r="FE205" i="24"/>
  <c r="FE271" i="24"/>
  <c r="FE283" i="24"/>
  <c r="FE217" i="24"/>
  <c r="FH205" i="24"/>
  <c r="FH271" i="24"/>
  <c r="FI205" i="24"/>
  <c r="FI271" i="24"/>
  <c r="FF216" i="24"/>
  <c r="FF282" i="24"/>
  <c r="FJ282" i="24"/>
  <c r="FJ216" i="24"/>
  <c r="FK283" i="24"/>
  <c r="FK217" i="24"/>
  <c r="FE216" i="24"/>
  <c r="FE282" i="24"/>
  <c r="EX202" i="24"/>
  <c r="FQ277" i="24"/>
  <c r="FQ211" i="24"/>
  <c r="FN266" i="24"/>
  <c r="FN262" i="24" s="1"/>
  <c r="FN260" i="24" s="1"/>
  <c r="FQ202" i="24"/>
  <c r="FQ268" i="24"/>
  <c r="FQ217" i="24"/>
  <c r="FQ283" i="24"/>
  <c r="FQ282" i="24"/>
  <c r="FQ216" i="24"/>
  <c r="FG282" i="24"/>
  <c r="FG216" i="24"/>
  <c r="FC283" i="24"/>
  <c r="FC217" i="24"/>
  <c r="FM228" i="24"/>
  <c r="FB283" i="24"/>
  <c r="FB217" i="24"/>
  <c r="FJ283" i="24"/>
  <c r="FJ217" i="24"/>
  <c r="FL228" i="24"/>
  <c r="FC205" i="24"/>
  <c r="FC271" i="24"/>
  <c r="FC282" i="24"/>
  <c r="FC216" i="24"/>
  <c r="FI282" i="24"/>
  <c r="FI216" i="24"/>
  <c r="FB282" i="24"/>
  <c r="FB216" i="24"/>
  <c r="FD216" i="24"/>
  <c r="FD282" i="24"/>
  <c r="FO276" i="24"/>
  <c r="FO210" i="24"/>
  <c r="FO200" i="24" s="1"/>
  <c r="FO196" i="24" s="1"/>
  <c r="FO194" i="24" s="1"/>
  <c r="FO11" i="24"/>
  <c r="FO9" i="24" s="1"/>
  <c r="FK282" i="24"/>
  <c r="FK216" i="24"/>
  <c r="FH282" i="24"/>
  <c r="FH216" i="24"/>
  <c r="FF205" i="24"/>
  <c r="FF271" i="24"/>
  <c r="FQ210" i="24"/>
  <c r="FQ276" i="24"/>
  <c r="FP217" i="24"/>
  <c r="FP283" i="24"/>
  <c r="FF217" i="24"/>
  <c r="FF283" i="24"/>
  <c r="ED202" i="24"/>
  <c r="ED210" i="24"/>
  <c r="EI282" i="24"/>
  <c r="EI216" i="24"/>
  <c r="EP271" i="24"/>
  <c r="EP205" i="24"/>
  <c r="ET228" i="24"/>
  <c r="EN216" i="24"/>
  <c r="EN282" i="24"/>
  <c r="EJ283" i="24"/>
  <c r="EJ217" i="24"/>
  <c r="EP282" i="24"/>
  <c r="EP216" i="24"/>
  <c r="EO283" i="24"/>
  <c r="EO217" i="24"/>
  <c r="EL271" i="24"/>
  <c r="EL205" i="24"/>
  <c r="EK271" i="24"/>
  <c r="EK205" i="24"/>
  <c r="EV213" i="24"/>
  <c r="EV200" i="24" s="1"/>
  <c r="EV196" i="24" s="1"/>
  <c r="EV194" i="24" s="1"/>
  <c r="EV279" i="24"/>
  <c r="EV266" i="24" s="1"/>
  <c r="EV262" i="24" s="1"/>
  <c r="EV260" i="24" s="1"/>
  <c r="EW268" i="24"/>
  <c r="EW202" i="24"/>
  <c r="EK283" i="24"/>
  <c r="EK217" i="24"/>
  <c r="EM217" i="24"/>
  <c r="EM283" i="24"/>
  <c r="EJ271" i="24"/>
  <c r="EJ205" i="24"/>
  <c r="EL216" i="24"/>
  <c r="EL282" i="24"/>
  <c r="EW276" i="24"/>
  <c r="EW210" i="24"/>
  <c r="EL283" i="24"/>
  <c r="EL217" i="24"/>
  <c r="ER283" i="24"/>
  <c r="ER217" i="24"/>
  <c r="EQ217" i="24"/>
  <c r="EQ283" i="24"/>
  <c r="EM271" i="24"/>
  <c r="EM205" i="24"/>
  <c r="EC213" i="24"/>
  <c r="EM282" i="24"/>
  <c r="EM216" i="24"/>
  <c r="EN217" i="24"/>
  <c r="EN283" i="24"/>
  <c r="EI217" i="24"/>
  <c r="EI283" i="24"/>
  <c r="ER282" i="24"/>
  <c r="ER216" i="24"/>
  <c r="EO271" i="24"/>
  <c r="EO205" i="24"/>
  <c r="EO216" i="24"/>
  <c r="EO282" i="24"/>
  <c r="EW277" i="24"/>
  <c r="EW211" i="24"/>
  <c r="EU279" i="24"/>
  <c r="EU213" i="24"/>
  <c r="EJ282" i="24"/>
  <c r="EJ216" i="24"/>
  <c r="EI271" i="24"/>
  <c r="EI205" i="24"/>
  <c r="ES228" i="24"/>
  <c r="EK216" i="24"/>
  <c r="EK282" i="24"/>
  <c r="EQ282" i="24"/>
  <c r="EQ216" i="24"/>
  <c r="EP217" i="24"/>
  <c r="EP283" i="24"/>
  <c r="EN271" i="24"/>
  <c r="EN205" i="24"/>
  <c r="EU276" i="24"/>
  <c r="EU210" i="24"/>
  <c r="CP279" i="24"/>
  <c r="CP266" i="24" s="1"/>
  <c r="CP262" i="24" s="1"/>
  <c r="CP260" i="24" s="1"/>
  <c r="DL210" i="24"/>
  <c r="CQ213" i="24"/>
  <c r="DL211" i="24"/>
  <c r="DL216" i="24"/>
  <c r="DL282" i="24"/>
  <c r="BF106" i="24"/>
  <c r="BF217" i="24"/>
  <c r="BF283" i="24"/>
  <c r="BF266" i="24" s="1"/>
  <c r="CR216" i="24"/>
  <c r="CR282" i="24"/>
  <c r="ED282" i="24"/>
  <c r="ED216" i="24"/>
  <c r="DL276" i="24"/>
  <c r="CS217" i="24"/>
  <c r="CS283" i="24"/>
  <c r="EE216" i="24"/>
  <c r="EE282" i="24"/>
  <c r="ED283" i="24"/>
  <c r="ED217" i="24"/>
  <c r="EE283" i="24"/>
  <c r="EE217" i="24"/>
  <c r="BY283" i="24"/>
  <c r="BY217" i="24"/>
  <c r="BY106" i="24"/>
  <c r="BZ282" i="24"/>
  <c r="BZ108" i="24"/>
  <c r="BZ216" i="24"/>
  <c r="BZ106" i="24"/>
  <c r="BZ217" i="24"/>
  <c r="BZ283" i="24"/>
  <c r="DK283" i="24"/>
  <c r="DK217" i="24"/>
  <c r="CR283" i="24"/>
  <c r="CR217" i="24"/>
  <c r="DL217" i="24"/>
  <c r="DL283" i="24"/>
  <c r="BF108" i="24"/>
  <c r="BF216" i="24"/>
  <c r="BF282" i="24"/>
  <c r="BG106" i="24"/>
  <c r="BG217" i="24"/>
  <c r="BG283" i="24"/>
  <c r="BG216" i="24"/>
  <c r="BG282" i="24"/>
  <c r="BG108" i="24"/>
  <c r="DK216" i="24"/>
  <c r="DK282" i="24"/>
  <c r="CS216" i="24"/>
  <c r="CS282" i="24"/>
  <c r="BY282" i="24"/>
  <c r="BY216" i="24"/>
  <c r="BY108" i="24"/>
  <c r="DJ11" i="24"/>
  <c r="DJ9" i="24" s="1"/>
  <c r="DR282" i="24"/>
  <c r="DR216" i="24"/>
  <c r="DY283" i="24"/>
  <c r="DY217" i="24"/>
  <c r="DX282" i="24"/>
  <c r="DX216" i="24"/>
  <c r="DS271" i="24"/>
  <c r="DS205" i="24"/>
  <c r="DU283" i="24"/>
  <c r="DU217" i="24"/>
  <c r="DW271" i="24"/>
  <c r="DW205" i="24"/>
  <c r="DP217" i="24"/>
  <c r="DP283" i="24"/>
  <c r="EA228" i="24"/>
  <c r="DW282" i="24"/>
  <c r="DW216" i="24"/>
  <c r="DT271" i="24"/>
  <c r="DT205" i="24"/>
  <c r="DW217" i="24"/>
  <c r="DW283" i="24"/>
  <c r="EC276" i="24"/>
  <c r="EC266" i="24" s="1"/>
  <c r="EC262" i="24" s="1"/>
  <c r="EC260" i="24" s="1"/>
  <c r="EC210" i="24"/>
  <c r="EC11" i="24"/>
  <c r="EC9" i="24" s="1"/>
  <c r="DV271" i="24"/>
  <c r="DV205" i="24"/>
  <c r="DP282" i="24"/>
  <c r="DP216" i="24"/>
  <c r="DU271" i="24"/>
  <c r="DU205" i="24"/>
  <c r="DQ282" i="24"/>
  <c r="DQ216" i="24"/>
  <c r="DT283" i="24"/>
  <c r="DT217" i="24"/>
  <c r="DR271" i="24"/>
  <c r="DR205" i="24"/>
  <c r="DP271" i="24"/>
  <c r="DP205" i="24"/>
  <c r="EE276" i="24"/>
  <c r="EE210" i="24"/>
  <c r="DT282" i="24"/>
  <c r="DT216" i="24"/>
  <c r="DU282" i="24"/>
  <c r="DU216" i="24"/>
  <c r="DR283" i="24"/>
  <c r="DR217" i="24"/>
  <c r="DZ228" i="24"/>
  <c r="DQ271" i="24"/>
  <c r="DQ205" i="24"/>
  <c r="DV283" i="24"/>
  <c r="DV217" i="24"/>
  <c r="EE268" i="24"/>
  <c r="EE202" i="24"/>
  <c r="EE277" i="24"/>
  <c r="EE211" i="24"/>
  <c r="DS282" i="24"/>
  <c r="DS216" i="24"/>
  <c r="DS283" i="24"/>
  <c r="DS217" i="24"/>
  <c r="DQ283" i="24"/>
  <c r="DQ217" i="24"/>
  <c r="DY282" i="24"/>
  <c r="DY216" i="24"/>
  <c r="DX217" i="24"/>
  <c r="DX283" i="24"/>
  <c r="DV216" i="24"/>
  <c r="DV282" i="24"/>
  <c r="CR268" i="24"/>
  <c r="CR210" i="24"/>
  <c r="BX276" i="24"/>
  <c r="CY271" i="24"/>
  <c r="CY205" i="24"/>
  <c r="DD282" i="24"/>
  <c r="DD216" i="24"/>
  <c r="DF283" i="24"/>
  <c r="DF217" i="24"/>
  <c r="DK277" i="24"/>
  <c r="DK211" i="24"/>
  <c r="DK276" i="24"/>
  <c r="DK210" i="24"/>
  <c r="DD271" i="24"/>
  <c r="DD205" i="24"/>
  <c r="DD217" i="24"/>
  <c r="DD283" i="24"/>
  <c r="DB216" i="24"/>
  <c r="DB282" i="24"/>
  <c r="CW283" i="24"/>
  <c r="CW217" i="24"/>
  <c r="DC217" i="24"/>
  <c r="DC283" i="24"/>
  <c r="DI276" i="24"/>
  <c r="DI210" i="24"/>
  <c r="CZ271" i="24"/>
  <c r="CZ205" i="24"/>
  <c r="DA271" i="24"/>
  <c r="DA205" i="24"/>
  <c r="DA283" i="24"/>
  <c r="DA217" i="24"/>
  <c r="CW271" i="24"/>
  <c r="CW205" i="24"/>
  <c r="CZ216" i="24"/>
  <c r="CZ282" i="24"/>
  <c r="BZ202" i="24"/>
  <c r="CP210" i="24"/>
  <c r="CP200" i="24" s="1"/>
  <c r="CP196" i="24" s="1"/>
  <c r="CP194" i="24" s="1"/>
  <c r="DI11" i="24"/>
  <c r="DI9" i="24" s="1"/>
  <c r="DA216" i="24"/>
  <c r="DA282" i="24"/>
  <c r="CY283" i="24"/>
  <c r="CY217" i="24"/>
  <c r="DE283" i="24"/>
  <c r="DE217" i="24"/>
  <c r="DG228" i="24"/>
  <c r="CZ217" i="24"/>
  <c r="CZ283" i="24"/>
  <c r="CX271" i="24"/>
  <c r="CX205" i="24"/>
  <c r="CP11" i="24"/>
  <c r="CP9" i="24" s="1"/>
  <c r="DJ213" i="24"/>
  <c r="DJ279" i="24"/>
  <c r="DJ266" i="24" s="1"/>
  <c r="DJ262" i="24" s="1"/>
  <c r="DJ260" i="24" s="1"/>
  <c r="DH228" i="24"/>
  <c r="CW282" i="24"/>
  <c r="CW216" i="24"/>
  <c r="DB217" i="24"/>
  <c r="DB283" i="24"/>
  <c r="CX216" i="24"/>
  <c r="CX282" i="24"/>
  <c r="DC271" i="24"/>
  <c r="DC205" i="24"/>
  <c r="BZ110" i="24"/>
  <c r="CR211" i="24"/>
  <c r="CY282" i="24"/>
  <c r="CY216" i="24"/>
  <c r="DB271" i="24"/>
  <c r="DB205" i="24"/>
  <c r="CX283" i="24"/>
  <c r="CX217" i="24"/>
  <c r="DF216" i="24"/>
  <c r="DF282" i="24"/>
  <c r="DE282" i="24"/>
  <c r="DE216" i="24"/>
  <c r="DC282" i="24"/>
  <c r="DC216" i="24"/>
  <c r="DI279" i="24"/>
  <c r="DI213" i="24"/>
  <c r="DK268" i="24"/>
  <c r="DK202" i="24"/>
  <c r="BZ277" i="24"/>
  <c r="BZ114" i="24"/>
  <c r="BE266" i="24"/>
  <c r="BE262" i="24" s="1"/>
  <c r="BE334" i="24" s="1"/>
  <c r="CO228" i="24"/>
  <c r="CL216" i="24"/>
  <c r="CL282" i="24"/>
  <c r="CI283" i="24"/>
  <c r="CI217" i="24"/>
  <c r="CK271" i="24"/>
  <c r="CK205" i="24"/>
  <c r="CD217" i="24"/>
  <c r="CD283" i="24"/>
  <c r="CK217" i="24"/>
  <c r="CK283" i="24"/>
  <c r="BZ210" i="24"/>
  <c r="BX113" i="24"/>
  <c r="CS268" i="24"/>
  <c r="CS202" i="24"/>
  <c r="CF216" i="24"/>
  <c r="CF282" i="24"/>
  <c r="CG271" i="24"/>
  <c r="CG205" i="24"/>
  <c r="BZ113" i="24"/>
  <c r="CJ217" i="24"/>
  <c r="CJ283" i="24"/>
  <c r="CH216" i="24"/>
  <c r="CH282" i="24"/>
  <c r="CI216" i="24"/>
  <c r="CI282" i="24"/>
  <c r="CF217" i="24"/>
  <c r="CF283" i="24"/>
  <c r="CF271" i="24"/>
  <c r="CF205" i="24"/>
  <c r="CD271" i="24"/>
  <c r="CD205" i="24"/>
  <c r="CN228" i="24"/>
  <c r="CK216" i="24"/>
  <c r="CK282" i="24"/>
  <c r="CD216" i="24"/>
  <c r="CD282" i="24"/>
  <c r="CI271" i="24"/>
  <c r="CI205" i="24"/>
  <c r="CH271" i="24"/>
  <c r="CH205" i="24"/>
  <c r="CS277" i="24"/>
  <c r="CS211" i="24"/>
  <c r="CE271" i="24"/>
  <c r="CE205" i="24"/>
  <c r="CG282" i="24"/>
  <c r="CG216" i="24"/>
  <c r="CG217" i="24"/>
  <c r="CG283" i="24"/>
  <c r="CE216" i="24"/>
  <c r="CE282" i="24"/>
  <c r="CS276" i="24"/>
  <c r="CS210" i="24"/>
  <c r="CM217" i="24"/>
  <c r="CM283" i="24"/>
  <c r="CE217" i="24"/>
  <c r="CE283" i="24"/>
  <c r="CM216" i="24"/>
  <c r="CM282" i="24"/>
  <c r="CH217" i="24"/>
  <c r="CH283" i="24"/>
  <c r="CJ271" i="24"/>
  <c r="CJ205" i="24"/>
  <c r="CL217" i="24"/>
  <c r="CL283" i="24"/>
  <c r="CJ216" i="24"/>
  <c r="CJ282" i="24"/>
  <c r="CQ276" i="24"/>
  <c r="CQ266" i="24" s="1"/>
  <c r="CQ262" i="24" s="1"/>
  <c r="CQ260" i="24" s="1"/>
  <c r="CQ210" i="24"/>
  <c r="CQ11" i="24"/>
  <c r="CQ9" i="24" s="1"/>
  <c r="BW116" i="24"/>
  <c r="BW279" i="24"/>
  <c r="BW213" i="24"/>
  <c r="BO282" i="24"/>
  <c r="BO216" i="24"/>
  <c r="BM283" i="24"/>
  <c r="BM217" i="24"/>
  <c r="BK271" i="24"/>
  <c r="BK205" i="24"/>
  <c r="BU228" i="24"/>
  <c r="BY268" i="24"/>
  <c r="BY202" i="24"/>
  <c r="BW113" i="24"/>
  <c r="BW276" i="24"/>
  <c r="BW210" i="24"/>
  <c r="BN271" i="24"/>
  <c r="BN205" i="24"/>
  <c r="BK282" i="24"/>
  <c r="BK216" i="24"/>
  <c r="BR282" i="24"/>
  <c r="BR216" i="24"/>
  <c r="BQ283" i="24"/>
  <c r="BQ217" i="24"/>
  <c r="BL282" i="24"/>
  <c r="BL216" i="24"/>
  <c r="BO283" i="24"/>
  <c r="BO217" i="24"/>
  <c r="BY113" i="24"/>
  <c r="BY276" i="24"/>
  <c r="BY210" i="24"/>
  <c r="BX213" i="24"/>
  <c r="BX200" i="24" s="1"/>
  <c r="BX196" i="24" s="1"/>
  <c r="BX279" i="24"/>
  <c r="BV228" i="24"/>
  <c r="BP282" i="24"/>
  <c r="BP216" i="24"/>
  <c r="BM271" i="24"/>
  <c r="BM205" i="24"/>
  <c r="BD15" i="24"/>
  <c r="BD11" i="24" s="1"/>
  <c r="BD9" i="24" s="1"/>
  <c r="BL283" i="24"/>
  <c r="BL217" i="24"/>
  <c r="BT282" i="24"/>
  <c r="BT216" i="24"/>
  <c r="BQ271" i="24"/>
  <c r="BQ205" i="24"/>
  <c r="BS283" i="24"/>
  <c r="BS217" i="24"/>
  <c r="BQ282" i="24"/>
  <c r="BQ216" i="24"/>
  <c r="BO271" i="24"/>
  <c r="BO205" i="24"/>
  <c r="BL271" i="24"/>
  <c r="BL205" i="24"/>
  <c r="BN216" i="24"/>
  <c r="BN282" i="24"/>
  <c r="BN283" i="24"/>
  <c r="BN217" i="24"/>
  <c r="BM282" i="24"/>
  <c r="BM216" i="24"/>
  <c r="BP217" i="24"/>
  <c r="BP283" i="24"/>
  <c r="BT283" i="24"/>
  <c r="BT217" i="24"/>
  <c r="BS282" i="24"/>
  <c r="BS216" i="24"/>
  <c r="BY114" i="24"/>
  <c r="BY277" i="24"/>
  <c r="BY211" i="24"/>
  <c r="BP271" i="24"/>
  <c r="BP205" i="24"/>
  <c r="BD210" i="24"/>
  <c r="BD276" i="24"/>
  <c r="BD266" i="24" s="1"/>
  <c r="BD262" i="24" s="1"/>
  <c r="BR205" i="24"/>
  <c r="BR271" i="24"/>
  <c r="BK283" i="24"/>
  <c r="BK217" i="24"/>
  <c r="BR283" i="24"/>
  <c r="BR217" i="24"/>
  <c r="BG113" i="24"/>
  <c r="BG210" i="24"/>
  <c r="BF110" i="24"/>
  <c r="BF202" i="24"/>
  <c r="BE15" i="24"/>
  <c r="BE11" i="24" s="1"/>
  <c r="BE9" i="24" s="1"/>
  <c r="BE210" i="24"/>
  <c r="BF113" i="24"/>
  <c r="BF210" i="24"/>
  <c r="BE116" i="24"/>
  <c r="BE213" i="24"/>
  <c r="BG110" i="24"/>
  <c r="BG202" i="24"/>
  <c r="BG114" i="24"/>
  <c r="BG211" i="24"/>
  <c r="BF114" i="24"/>
  <c r="BF211" i="24"/>
  <c r="BD116" i="24"/>
  <c r="BD213" i="24"/>
  <c r="BF15" i="24"/>
  <c r="BE113" i="24"/>
  <c r="BY110" i="24"/>
  <c r="BD113" i="24"/>
  <c r="BW11" i="24"/>
  <c r="BW9" i="24" s="1"/>
  <c r="BX11" i="24"/>
  <c r="BX9" i="24" s="1"/>
  <c r="BX116" i="24"/>
  <c r="BA283" i="24"/>
  <c r="BG15" i="24"/>
  <c r="E98" i="36"/>
  <c r="E99" i="36" s="1"/>
  <c r="G29" i="24"/>
  <c r="IV29" i="24" s="1"/>
  <c r="F29" i="24"/>
  <c r="G69" i="36"/>
  <c r="G98" i="36"/>
  <c r="G99" i="36" s="1"/>
  <c r="G23" i="24"/>
  <c r="KH23" i="24" s="1"/>
  <c r="F23" i="24"/>
  <c r="F98" i="36"/>
  <c r="F99" i="36" s="1"/>
  <c r="S81" i="10"/>
  <c r="S82" i="10" s="1"/>
  <c r="M60" i="10"/>
  <c r="R81" i="10"/>
  <c r="R82" i="10" s="1"/>
  <c r="L60" i="10"/>
  <c r="K60" i="10"/>
  <c r="J60" i="10"/>
  <c r="I60" i="10"/>
  <c r="H60" i="10"/>
  <c r="IC282" i="24"/>
  <c r="IE271" i="24"/>
  <c r="IA282" i="24"/>
  <c r="IH283" i="24"/>
  <c r="II282" i="24"/>
  <c r="IG283" i="24"/>
  <c r="ID282" i="24"/>
  <c r="ID283" i="24"/>
  <c r="IG282" i="24"/>
  <c r="IF282" i="24"/>
  <c r="IB283" i="24"/>
  <c r="IH282" i="24"/>
  <c r="II283" i="24"/>
  <c r="IE282" i="24"/>
  <c r="HZ283" i="24"/>
  <c r="IA271" i="24"/>
  <c r="IF283" i="24"/>
  <c r="IE283" i="24"/>
  <c r="HZ282" i="24"/>
  <c r="IB282" i="24"/>
  <c r="ID271" i="24"/>
  <c r="IB271" i="24"/>
  <c r="IG271" i="24"/>
  <c r="IA283" i="24"/>
  <c r="IF271" i="24"/>
  <c r="IC271" i="24"/>
  <c r="IC283" i="24"/>
  <c r="HZ271" i="24"/>
  <c r="LR19" i="24"/>
  <c r="IA19" i="24"/>
  <c r="IT19" i="24"/>
  <c r="MK19" i="24"/>
  <c r="ND19" i="24"/>
  <c r="JM19" i="24"/>
  <c r="KY19" i="24"/>
  <c r="KF19" i="24"/>
  <c r="KE29" i="24"/>
  <c r="JL29" i="24"/>
  <c r="HZ29" i="24"/>
  <c r="HZ214" i="24" s="1"/>
  <c r="NC29" i="24"/>
  <c r="MJ29" i="24"/>
  <c r="LQ29" i="24"/>
  <c r="KX29" i="24"/>
  <c r="IS29" i="24"/>
  <c r="D59" i="36"/>
  <c r="F24" i="24" s="1"/>
  <c r="D19" i="24"/>
  <c r="GN19" i="24" s="1"/>
  <c r="BO108" i="24"/>
  <c r="BM106" i="24"/>
  <c r="BU107" i="24"/>
  <c r="BM108" i="24"/>
  <c r="BP106" i="24"/>
  <c r="BK108" i="24"/>
  <c r="BP107" i="24"/>
  <c r="BP108" i="24"/>
  <c r="BM107" i="24"/>
  <c r="BR108" i="24"/>
  <c r="BO107" i="24"/>
  <c r="BQ106" i="24"/>
  <c r="BK107" i="24"/>
  <c r="BL107" i="24"/>
  <c r="BN106" i="24"/>
  <c r="BL108" i="24"/>
  <c r="BL106" i="24"/>
  <c r="BT108" i="24"/>
  <c r="BQ107" i="24"/>
  <c r="BS106" i="24"/>
  <c r="BQ108" i="24"/>
  <c r="BO106" i="24"/>
  <c r="BN108" i="24"/>
  <c r="BT106" i="24"/>
  <c r="BS108" i="24"/>
  <c r="BR107" i="24"/>
  <c r="BK106" i="24"/>
  <c r="BR106" i="24"/>
  <c r="BN107" i="24"/>
  <c r="BV107" i="24"/>
  <c r="AT108" i="24"/>
  <c r="AT216" i="24"/>
  <c r="AW106" i="24"/>
  <c r="AW217" i="24"/>
  <c r="BA106" i="24"/>
  <c r="BA217" i="24"/>
  <c r="AZ108" i="24"/>
  <c r="AZ216" i="24"/>
  <c r="AY107" i="24"/>
  <c r="AY271" i="24"/>
  <c r="AY205" i="24"/>
  <c r="AU107" i="24"/>
  <c r="AU205" i="24"/>
  <c r="AU271" i="24"/>
  <c r="AW107" i="24"/>
  <c r="AW271" i="24"/>
  <c r="AW205" i="24"/>
  <c r="AV107" i="24"/>
  <c r="AV205" i="24"/>
  <c r="AV271" i="24"/>
  <c r="AW108" i="24"/>
  <c r="AW216" i="24"/>
  <c r="AT107" i="24"/>
  <c r="AT271" i="24"/>
  <c r="AT205" i="24"/>
  <c r="AY108" i="24"/>
  <c r="AY216" i="24"/>
  <c r="AX106" i="24"/>
  <c r="AX217" i="24"/>
  <c r="AY106" i="24"/>
  <c r="AY217" i="24"/>
  <c r="AT106" i="24"/>
  <c r="AT217" i="24"/>
  <c r="BB107" i="24"/>
  <c r="BB228" i="24"/>
  <c r="AV106" i="24"/>
  <c r="AV217" i="24"/>
  <c r="AU108" i="24"/>
  <c r="AU216" i="24"/>
  <c r="BC107" i="24"/>
  <c r="BC228" i="24"/>
  <c r="AU106" i="24"/>
  <c r="AU217" i="24"/>
  <c r="AZ106" i="24"/>
  <c r="AZ217" i="24"/>
  <c r="AR108" i="24"/>
  <c r="AR282" i="24"/>
  <c r="AR216" i="24"/>
  <c r="AV108" i="24"/>
  <c r="AV216" i="24"/>
  <c r="BA108" i="24"/>
  <c r="BA216" i="24"/>
  <c r="AX107" i="24"/>
  <c r="AX271" i="24"/>
  <c r="AX205" i="24"/>
  <c r="AX108" i="24"/>
  <c r="AX216" i="24"/>
  <c r="H41" i="37"/>
  <c r="HH19" i="24"/>
  <c r="GO19" i="24"/>
  <c r="FV19" i="24"/>
  <c r="FC19" i="24"/>
  <c r="HG29" i="24"/>
  <c r="GN29" i="24"/>
  <c r="FB29" i="24"/>
  <c r="FU29" i="24"/>
  <c r="EJ19" i="24"/>
  <c r="CX19" i="24"/>
  <c r="DQ19" i="24"/>
  <c r="CE19" i="24"/>
  <c r="BL19" i="24"/>
  <c r="EI29" i="24"/>
  <c r="DP29" i="24"/>
  <c r="CW29" i="24"/>
  <c r="CD29" i="24"/>
  <c r="BK29" i="24"/>
  <c r="G19" i="24"/>
  <c r="F19" i="24"/>
  <c r="C31" i="37"/>
  <c r="G34" i="24"/>
  <c r="F34" i="24"/>
  <c r="E35" i="24"/>
  <c r="D35" i="24"/>
  <c r="F87" i="36"/>
  <c r="F88" i="36" s="1"/>
  <c r="F84" i="36"/>
  <c r="F85" i="36" s="1"/>
  <c r="E29" i="24"/>
  <c r="G35" i="24"/>
  <c r="F35" i="24"/>
  <c r="H126" i="36"/>
  <c r="H127" i="36" s="1"/>
  <c r="H120" i="36"/>
  <c r="H121" i="36" s="1"/>
  <c r="H117" i="36"/>
  <c r="H118" i="36" s="1"/>
  <c r="H123" i="36"/>
  <c r="H124" i="36" s="1"/>
  <c r="H114" i="36"/>
  <c r="H115" i="36" s="1"/>
  <c r="E84" i="36"/>
  <c r="E85" i="36" s="1"/>
  <c r="E87" i="36"/>
  <c r="E88" i="36" s="1"/>
  <c r="D33" i="24"/>
  <c r="E33" i="24"/>
  <c r="G101" i="36"/>
  <c r="G102" i="36" s="1"/>
  <c r="G87" i="36"/>
  <c r="G88" i="36" s="1"/>
  <c r="G84" i="36"/>
  <c r="G85" i="36" s="1"/>
  <c r="D34" i="24"/>
  <c r="E34" i="24"/>
  <c r="G33" i="24"/>
  <c r="F33" i="24"/>
  <c r="D22" i="24"/>
  <c r="D61" i="36"/>
  <c r="G26" i="24" s="1"/>
  <c r="E22" i="24"/>
  <c r="D57" i="36"/>
  <c r="H111" i="36"/>
  <c r="H112" i="36" s="1"/>
  <c r="H108" i="36"/>
  <c r="H109" i="36" s="1"/>
  <c r="C56" i="36"/>
  <c r="E23" i="24"/>
  <c r="D23" i="24"/>
  <c r="D30" i="24"/>
  <c r="E30" i="24"/>
  <c r="G22" i="24"/>
  <c r="G21" i="24"/>
  <c r="E78" i="36"/>
  <c r="E79" i="36" s="1"/>
  <c r="I30" i="24" s="1"/>
  <c r="E91" i="36"/>
  <c r="E92" i="36" s="1"/>
  <c r="H19" i="24" s="1"/>
  <c r="E94" i="36"/>
  <c r="E95" i="36" s="1"/>
  <c r="E101" i="36"/>
  <c r="E102" i="36" s="1"/>
  <c r="E104" i="36"/>
  <c r="E105" i="36" s="1"/>
  <c r="G30" i="24"/>
  <c r="F30" i="24"/>
  <c r="G78" i="36"/>
  <c r="G79" i="36" s="1"/>
  <c r="M30" i="24" s="1"/>
  <c r="G104" i="36"/>
  <c r="G105" i="36" s="1"/>
  <c r="G94" i="36"/>
  <c r="G95" i="36" s="1"/>
  <c r="G91" i="36"/>
  <c r="G92" i="36" s="1"/>
  <c r="L19" i="24" s="1"/>
  <c r="F78" i="36"/>
  <c r="F79" i="36" s="1"/>
  <c r="K30" i="24" s="1"/>
  <c r="F104" i="36"/>
  <c r="F105" i="36" s="1"/>
  <c r="F91" i="36"/>
  <c r="F92" i="36" s="1"/>
  <c r="F94" i="36"/>
  <c r="F95" i="36" s="1"/>
  <c r="F101" i="36"/>
  <c r="F102" i="36" s="1"/>
  <c r="F25" i="27"/>
  <c r="D60" i="36"/>
  <c r="F25" i="24" s="1"/>
  <c r="F28" i="27"/>
  <c r="F69" i="36"/>
  <c r="F81" i="36"/>
  <c r="F82" i="36" s="1"/>
  <c r="F75" i="36"/>
  <c r="F76" i="36" s="1"/>
  <c r="G75" i="36"/>
  <c r="G76" i="36" s="1"/>
  <c r="G81" i="36"/>
  <c r="G82" i="36" s="1"/>
  <c r="E69" i="36"/>
  <c r="E81" i="36"/>
  <c r="E82" i="36" s="1"/>
  <c r="E75" i="36"/>
  <c r="E76" i="36" s="1"/>
  <c r="C37" i="36"/>
  <c r="D25" i="27"/>
  <c r="G27" i="36"/>
  <c r="G31" i="36"/>
  <c r="G42" i="36" s="1"/>
  <c r="G33" i="36"/>
  <c r="G44" i="36" s="1"/>
  <c r="G29" i="36"/>
  <c r="G40" i="36" s="1"/>
  <c r="G32" i="36"/>
  <c r="G43" i="36" s="1"/>
  <c r="G34" i="36"/>
  <c r="G28" i="36"/>
  <c r="G39" i="36" s="1"/>
  <c r="G30" i="36"/>
  <c r="G41" i="36" s="1"/>
  <c r="E47" i="36"/>
  <c r="E51" i="36"/>
  <c r="E63" i="36" s="1"/>
  <c r="E50" i="36"/>
  <c r="E62" i="36" s="1"/>
  <c r="E46" i="36"/>
  <c r="E56" i="36" s="1"/>
  <c r="E48" i="36"/>
  <c r="E52" i="36"/>
  <c r="E64" i="36" s="1"/>
  <c r="E49" i="36"/>
  <c r="E53" i="36"/>
  <c r="H33" i="27" s="1"/>
  <c r="E27" i="36"/>
  <c r="E32" i="36"/>
  <c r="E43" i="36" s="1"/>
  <c r="E34" i="36"/>
  <c r="E28" i="36"/>
  <c r="E39" i="36" s="1"/>
  <c r="E30" i="36"/>
  <c r="E41" i="36" s="1"/>
  <c r="E31" i="36"/>
  <c r="E42" i="36" s="1"/>
  <c r="E33" i="36"/>
  <c r="E44" i="36" s="1"/>
  <c r="E29" i="36"/>
  <c r="E40" i="36" s="1"/>
  <c r="C49" i="36"/>
  <c r="C53" i="36"/>
  <c r="D33" i="27" s="1"/>
  <c r="C48" i="36"/>
  <c r="C52" i="36"/>
  <c r="C64" i="36" s="1"/>
  <c r="C51" i="36"/>
  <c r="C63" i="36" s="1"/>
  <c r="H50" i="36"/>
  <c r="H62" i="36" s="1"/>
  <c r="H56" i="36"/>
  <c r="H49" i="36"/>
  <c r="H61" i="36" s="1"/>
  <c r="H53" i="36"/>
  <c r="N33" i="27" s="1"/>
  <c r="H48" i="36"/>
  <c r="H60" i="36" s="1"/>
  <c r="H52" i="36"/>
  <c r="H47" i="36"/>
  <c r="H59" i="36" s="1"/>
  <c r="H51" i="36"/>
  <c r="F27" i="36"/>
  <c r="F29" i="36"/>
  <c r="F40" i="36" s="1"/>
  <c r="F32" i="36"/>
  <c r="F43" i="36" s="1"/>
  <c r="F34" i="36"/>
  <c r="F39" i="36"/>
  <c r="F30" i="36"/>
  <c r="F41" i="36" s="1"/>
  <c r="F31" i="36"/>
  <c r="F42" i="36" s="1"/>
  <c r="F33" i="36"/>
  <c r="F44" i="36" s="1"/>
  <c r="H27" i="36"/>
  <c r="H32" i="36"/>
  <c r="H43" i="36" s="1"/>
  <c r="H28" i="36"/>
  <c r="H39" i="36" s="1"/>
  <c r="H29" i="36"/>
  <c r="H40" i="36" s="1"/>
  <c r="H30" i="36"/>
  <c r="H41" i="36" s="1"/>
  <c r="H31" i="36"/>
  <c r="H42" i="36" s="1"/>
  <c r="H33" i="36"/>
  <c r="H44" i="36" s="1"/>
  <c r="H34" i="36"/>
  <c r="G48" i="36"/>
  <c r="G52" i="36"/>
  <c r="G64" i="36" s="1"/>
  <c r="G53" i="36"/>
  <c r="L33" i="27" s="1"/>
  <c r="G47" i="36"/>
  <c r="G51" i="36"/>
  <c r="G63" i="36" s="1"/>
  <c r="G46" i="36"/>
  <c r="G56" i="36" s="1"/>
  <c r="G49" i="36"/>
  <c r="G50" i="36"/>
  <c r="G62" i="36" s="1"/>
  <c r="F49" i="36"/>
  <c r="F53" i="36"/>
  <c r="J33" i="27" s="1"/>
  <c r="F48" i="36"/>
  <c r="F52" i="36"/>
  <c r="F64" i="36" s="1"/>
  <c r="F47" i="36"/>
  <c r="F51" i="36"/>
  <c r="F63" i="36" s="1"/>
  <c r="F50" i="36"/>
  <c r="F62" i="36" s="1"/>
  <c r="F46" i="36"/>
  <c r="F56" i="36" s="1"/>
  <c r="C33" i="36"/>
  <c r="C44" i="36" s="1"/>
  <c r="C28" i="36"/>
  <c r="C39" i="36" s="1"/>
  <c r="C30" i="36"/>
  <c r="C41" i="36" s="1"/>
  <c r="C29" i="36"/>
  <c r="C40" i="36" s="1"/>
  <c r="C32" i="36"/>
  <c r="C43" i="36" s="1"/>
  <c r="E89" i="10"/>
  <c r="M48" i="10"/>
  <c r="L48" i="10"/>
  <c r="L22" i="27" s="1"/>
  <c r="K48" i="10"/>
  <c r="E20" i="27"/>
  <c r="F20" i="27"/>
  <c r="G20" i="27"/>
  <c r="H20" i="27"/>
  <c r="I20" i="27"/>
  <c r="J20" i="27"/>
  <c r="K20" i="27"/>
  <c r="L20" i="27"/>
  <c r="M20" i="27"/>
  <c r="N20" i="27"/>
  <c r="O20" i="27"/>
  <c r="D20" i="27"/>
  <c r="E13" i="27"/>
  <c r="F13" i="27"/>
  <c r="G13" i="27"/>
  <c r="H13" i="27"/>
  <c r="I13" i="27"/>
  <c r="J13" i="27"/>
  <c r="K13" i="27"/>
  <c r="L13" i="27"/>
  <c r="M13" i="27"/>
  <c r="N13" i="27"/>
  <c r="O13" i="27"/>
  <c r="D13" i="27"/>
  <c r="E12" i="27"/>
  <c r="F12" i="27"/>
  <c r="G12" i="27"/>
  <c r="H12" i="27"/>
  <c r="I12" i="27"/>
  <c r="J12" i="27"/>
  <c r="K12" i="27"/>
  <c r="L12" i="27"/>
  <c r="M12" i="27"/>
  <c r="N12" i="27"/>
  <c r="O12" i="27"/>
  <c r="D12" i="27"/>
  <c r="M34" i="10"/>
  <c r="L34" i="10"/>
  <c r="J34" i="10"/>
  <c r="K25" i="34"/>
  <c r="K4" i="34"/>
  <c r="K25" i="33"/>
  <c r="K4" i="33"/>
  <c r="E23" i="10"/>
  <c r="F23" i="10"/>
  <c r="G23" i="10"/>
  <c r="G24" i="10" s="1"/>
  <c r="N38" i="34"/>
  <c r="M38" i="34"/>
  <c r="N37" i="34"/>
  <c r="M37" i="34"/>
  <c r="I29" i="34"/>
  <c r="I28" i="34"/>
  <c r="I27" i="34"/>
  <c r="I26" i="34"/>
  <c r="F25" i="34"/>
  <c r="N17" i="34"/>
  <c r="M17" i="34"/>
  <c r="N16" i="34"/>
  <c r="M16" i="34"/>
  <c r="I8" i="34"/>
  <c r="I7" i="34"/>
  <c r="I6" i="34"/>
  <c r="I5" i="34"/>
  <c r="F4" i="34"/>
  <c r="T4" i="34" s="1"/>
  <c r="N38" i="33"/>
  <c r="M38" i="33"/>
  <c r="N37" i="33"/>
  <c r="M37" i="33"/>
  <c r="I29" i="33"/>
  <c r="I28" i="33"/>
  <c r="I27" i="33"/>
  <c r="I26" i="33"/>
  <c r="F25" i="33"/>
  <c r="N17" i="33"/>
  <c r="M17" i="33"/>
  <c r="N16" i="33"/>
  <c r="M16" i="33"/>
  <c r="I8" i="33"/>
  <c r="I7" i="33"/>
  <c r="I6" i="33"/>
  <c r="I5" i="33"/>
  <c r="F4" i="33"/>
  <c r="IO200" i="24" l="1"/>
  <c r="IN200" i="24"/>
  <c r="HV200" i="24"/>
  <c r="GJ200" i="24"/>
  <c r="GZ200" i="24"/>
  <c r="GZ196" i="24" s="1"/>
  <c r="GZ194" i="24" s="1"/>
  <c r="HB200" i="24"/>
  <c r="HU200" i="24"/>
  <c r="GJ266" i="24"/>
  <c r="HB266" i="24"/>
  <c r="EX200" i="24"/>
  <c r="DJ200" i="24"/>
  <c r="DJ196" i="24" s="1"/>
  <c r="DJ194" i="24" s="1"/>
  <c r="HS266" i="24"/>
  <c r="HS262" i="24" s="1"/>
  <c r="HS260" i="24" s="1"/>
  <c r="HS200" i="24"/>
  <c r="HS196" i="24" s="1"/>
  <c r="HS194" i="24" s="1"/>
  <c r="FP200" i="24"/>
  <c r="HG214" i="24"/>
  <c r="HG280" i="24"/>
  <c r="GH200" i="24"/>
  <c r="GH196" i="24" s="1"/>
  <c r="GH194" i="24" s="1"/>
  <c r="HU266" i="24"/>
  <c r="GG266" i="24"/>
  <c r="GG262" i="24" s="1"/>
  <c r="GG260" i="24" s="1"/>
  <c r="GN214" i="24"/>
  <c r="GN280" i="24"/>
  <c r="HC266" i="24"/>
  <c r="GG200" i="24"/>
  <c r="GG196" i="24" s="1"/>
  <c r="GG194" i="24" s="1"/>
  <c r="FN200" i="24"/>
  <c r="FN196" i="24" s="1"/>
  <c r="FN194" i="24" s="1"/>
  <c r="HC200" i="24"/>
  <c r="FO266" i="24"/>
  <c r="FO262" i="24" s="1"/>
  <c r="FO260" i="24" s="1"/>
  <c r="CQ200" i="24"/>
  <c r="CQ196" i="24" s="1"/>
  <c r="CQ194" i="24" s="1"/>
  <c r="FB22" i="24"/>
  <c r="FU22" i="24"/>
  <c r="GI266" i="24"/>
  <c r="BZ266" i="24"/>
  <c r="GI200" i="24"/>
  <c r="FC22" i="24"/>
  <c r="FV22" i="24"/>
  <c r="FE22" i="24"/>
  <c r="FX22" i="24"/>
  <c r="BZ200" i="24"/>
  <c r="FU280" i="24"/>
  <c r="FU214" i="24"/>
  <c r="BX266" i="24"/>
  <c r="BX262" i="24" s="1"/>
  <c r="BX260" i="24" s="1"/>
  <c r="FP266" i="24"/>
  <c r="EC200" i="24"/>
  <c r="EC196" i="24" s="1"/>
  <c r="EC194" i="24" s="1"/>
  <c r="CR266" i="24"/>
  <c r="EU266" i="24"/>
  <c r="EU262" i="24" s="1"/>
  <c r="EU260" i="24" s="1"/>
  <c r="BE260" i="24"/>
  <c r="DL200" i="24"/>
  <c r="ED266" i="24"/>
  <c r="FQ200" i="24"/>
  <c r="FB214" i="24"/>
  <c r="FB280" i="24"/>
  <c r="G24" i="24"/>
  <c r="KH24" i="24" s="1"/>
  <c r="BG266" i="24"/>
  <c r="FQ266" i="24"/>
  <c r="EI280" i="24"/>
  <c r="EI214" i="24"/>
  <c r="EW200" i="24"/>
  <c r="EW266" i="24"/>
  <c r="DL266" i="24"/>
  <c r="EU200" i="24"/>
  <c r="EU196" i="24" s="1"/>
  <c r="EU194" i="24" s="1"/>
  <c r="ED200" i="24"/>
  <c r="K4" i="14"/>
  <c r="BW200" i="24"/>
  <c r="BW196" i="24" s="1"/>
  <c r="BW333" i="24" s="1"/>
  <c r="DK266" i="24"/>
  <c r="DP280" i="24"/>
  <c r="DP214" i="24"/>
  <c r="DK200" i="24"/>
  <c r="CS200" i="24"/>
  <c r="CR200" i="24"/>
  <c r="EE200" i="24"/>
  <c r="EE266" i="24"/>
  <c r="DI200" i="24"/>
  <c r="DI196" i="24" s="1"/>
  <c r="DI194" i="24" s="1"/>
  <c r="CW214" i="24"/>
  <c r="CW280" i="24"/>
  <c r="DI266" i="24"/>
  <c r="DI262" i="24" s="1"/>
  <c r="DI260" i="24" s="1"/>
  <c r="BY266" i="24"/>
  <c r="BY200" i="24"/>
  <c r="CD280" i="24"/>
  <c r="CD214" i="24"/>
  <c r="BW266" i="24"/>
  <c r="BW262" i="24" s="1"/>
  <c r="BW260" i="24" s="1"/>
  <c r="CS266" i="24"/>
  <c r="BE200" i="24"/>
  <c r="BE196" i="24" s="1"/>
  <c r="BE194" i="24" s="1"/>
  <c r="BX194" i="24"/>
  <c r="BX333" i="24"/>
  <c r="BD260" i="24"/>
  <c r="BD334" i="24"/>
  <c r="BK280" i="24"/>
  <c r="BK214" i="24"/>
  <c r="BD200" i="24"/>
  <c r="BD196" i="24" s="1"/>
  <c r="BG200" i="24"/>
  <c r="BF200" i="24"/>
  <c r="EL29" i="24"/>
  <c r="LA23" i="24"/>
  <c r="CZ23" i="24"/>
  <c r="DS23" i="24"/>
  <c r="EL23" i="24"/>
  <c r="C80" i="37"/>
  <c r="FE23" i="24"/>
  <c r="FX23" i="24"/>
  <c r="BN23" i="24"/>
  <c r="HJ23" i="24"/>
  <c r="AU23" i="24"/>
  <c r="GQ23" i="24"/>
  <c r="CG23" i="24"/>
  <c r="C89" i="37"/>
  <c r="MM29" i="24"/>
  <c r="BN29" i="24"/>
  <c r="FE29" i="24"/>
  <c r="NF29" i="24"/>
  <c r="CG29" i="24"/>
  <c r="FX29" i="24"/>
  <c r="IC29" i="24"/>
  <c r="CZ29" i="24"/>
  <c r="HJ29" i="24"/>
  <c r="JO29" i="24"/>
  <c r="DS29" i="24"/>
  <c r="KH29" i="24"/>
  <c r="LT29" i="24"/>
  <c r="LA29" i="24"/>
  <c r="AU29" i="24"/>
  <c r="AU117" i="24" s="1"/>
  <c r="GQ29" i="24"/>
  <c r="MM23" i="24"/>
  <c r="IV23" i="24"/>
  <c r="JO23" i="24"/>
  <c r="LT23" i="24"/>
  <c r="NF23" i="24"/>
  <c r="IC23" i="24"/>
  <c r="CD19" i="24"/>
  <c r="R75" i="10"/>
  <c r="R78" i="10" s="1"/>
  <c r="R79" i="10" s="1"/>
  <c r="R77" i="10"/>
  <c r="R76" i="10"/>
  <c r="R83" i="10"/>
  <c r="S83" i="10"/>
  <c r="S77" i="10"/>
  <c r="S76" i="10"/>
  <c r="S75" i="10"/>
  <c r="S78" i="10" s="1"/>
  <c r="S79" i="10" s="1"/>
  <c r="KE30" i="24"/>
  <c r="KX30" i="24"/>
  <c r="MJ30" i="24"/>
  <c r="NC30" i="24"/>
  <c r="JL30" i="24"/>
  <c r="HZ30" i="24"/>
  <c r="HZ215" i="24" s="1"/>
  <c r="IS30" i="24"/>
  <c r="LQ30" i="24"/>
  <c r="CW19" i="24"/>
  <c r="LQ23" i="24"/>
  <c r="NC23" i="24"/>
  <c r="KE23" i="24"/>
  <c r="MJ23" i="24"/>
  <c r="IS23" i="24"/>
  <c r="JL23" i="24"/>
  <c r="HZ23" i="24"/>
  <c r="KX23" i="24"/>
  <c r="NL30" i="24"/>
  <c r="KN30" i="24"/>
  <c r="LG30" i="24"/>
  <c r="MS30" i="24"/>
  <c r="LZ30" i="24"/>
  <c r="JU30" i="24"/>
  <c r="II30" i="24"/>
  <c r="II215" i="24" s="1"/>
  <c r="JB30" i="24"/>
  <c r="KG21" i="24"/>
  <c r="KZ21" i="24"/>
  <c r="ML21" i="24"/>
  <c r="NE21" i="24"/>
  <c r="JN21" i="24"/>
  <c r="IB21" i="24"/>
  <c r="IU21" i="24"/>
  <c r="LS21" i="24"/>
  <c r="MK23" i="24"/>
  <c r="LR23" i="24"/>
  <c r="ND23" i="24"/>
  <c r="KY23" i="24"/>
  <c r="KF23" i="24"/>
  <c r="IT23" i="24"/>
  <c r="IA23" i="24"/>
  <c r="JM23" i="24"/>
  <c r="FB19" i="24"/>
  <c r="NF24" i="24"/>
  <c r="NE30" i="24"/>
  <c r="KG30" i="24"/>
  <c r="KZ30" i="24"/>
  <c r="ML30" i="24"/>
  <c r="LS30" i="24"/>
  <c r="JN30" i="24"/>
  <c r="IB30" i="24"/>
  <c r="IB215" i="24" s="1"/>
  <c r="IU30" i="24"/>
  <c r="NF21" i="24"/>
  <c r="KH21" i="24"/>
  <c r="LA21" i="24"/>
  <c r="MM21" i="24"/>
  <c r="JO21" i="24"/>
  <c r="IC21" i="24"/>
  <c r="IV21" i="24"/>
  <c r="LT21" i="24"/>
  <c r="ML23" i="24"/>
  <c r="LS23" i="24"/>
  <c r="NE23" i="24"/>
  <c r="KZ23" i="24"/>
  <c r="KG23" i="24"/>
  <c r="IU23" i="24"/>
  <c r="JN23" i="24"/>
  <c r="IB23" i="24"/>
  <c r="HG19" i="24"/>
  <c r="LT26" i="24"/>
  <c r="NF26" i="24"/>
  <c r="KH26" i="24"/>
  <c r="LA26" i="24"/>
  <c r="MM26" i="24"/>
  <c r="JO26" i="24"/>
  <c r="IC26" i="24"/>
  <c r="IC211" i="24" s="1"/>
  <c r="IV26" i="24"/>
  <c r="NE24" i="24"/>
  <c r="KG24" i="24"/>
  <c r="KZ24" i="24"/>
  <c r="ML24" i="24"/>
  <c r="LS24" i="24"/>
  <c r="JN24" i="24"/>
  <c r="IB24" i="24"/>
  <c r="IB209" i="24" s="1"/>
  <c r="IU24" i="24"/>
  <c r="LT30" i="24"/>
  <c r="NF30" i="24"/>
  <c r="KH30" i="24"/>
  <c r="LA30" i="24"/>
  <c r="MM30" i="24"/>
  <c r="JO30" i="24"/>
  <c r="IC30" i="24"/>
  <c r="IC215" i="24" s="1"/>
  <c r="IV30" i="24"/>
  <c r="NE22" i="24"/>
  <c r="KG22" i="24"/>
  <c r="KZ22" i="24"/>
  <c r="ML22" i="24"/>
  <c r="LS22" i="24"/>
  <c r="JN22" i="24"/>
  <c r="IB22" i="24"/>
  <c r="IU22" i="24"/>
  <c r="H31" i="37"/>
  <c r="MO30" i="24"/>
  <c r="LV30" i="24"/>
  <c r="NH30" i="24"/>
  <c r="IX30" i="24"/>
  <c r="LC30" i="24"/>
  <c r="KJ30" i="24"/>
  <c r="JQ30" i="24"/>
  <c r="IE30" i="24"/>
  <c r="IE215" i="24" s="1"/>
  <c r="LT22" i="24"/>
  <c r="NF22" i="24"/>
  <c r="KH22" i="24"/>
  <c r="LA22" i="24"/>
  <c r="MM22" i="24"/>
  <c r="JO22" i="24"/>
  <c r="IC22" i="24"/>
  <c r="IV22" i="24"/>
  <c r="KG19" i="24"/>
  <c r="KZ19" i="24"/>
  <c r="ML19" i="24"/>
  <c r="NE19" i="24"/>
  <c r="JN19" i="24"/>
  <c r="IB19" i="24"/>
  <c r="LS19" i="24"/>
  <c r="IU19" i="24"/>
  <c r="LE30" i="24"/>
  <c r="MQ30" i="24"/>
  <c r="LX30" i="24"/>
  <c r="KL30" i="24"/>
  <c r="JS30" i="24"/>
  <c r="IG30" i="24"/>
  <c r="IG215" i="24" s="1"/>
  <c r="IZ30" i="24"/>
  <c r="NJ30" i="24"/>
  <c r="ML29" i="24"/>
  <c r="LS29" i="24"/>
  <c r="NE29" i="24"/>
  <c r="KZ29" i="24"/>
  <c r="IU29" i="24"/>
  <c r="JN29" i="24"/>
  <c r="IB29" i="24"/>
  <c r="IB214" i="24" s="1"/>
  <c r="KG29" i="24"/>
  <c r="NF19" i="24"/>
  <c r="KH19" i="24"/>
  <c r="LA19" i="24"/>
  <c r="MM19" i="24"/>
  <c r="JO19" i="24"/>
  <c r="IC19" i="24"/>
  <c r="LT19" i="24"/>
  <c r="IV19" i="24"/>
  <c r="ND30" i="24"/>
  <c r="KF30" i="24"/>
  <c r="KY30" i="24"/>
  <c r="MK30" i="24"/>
  <c r="JM30" i="24"/>
  <c r="IA30" i="24"/>
  <c r="IA215" i="24" s="1"/>
  <c r="IT30" i="24"/>
  <c r="LR30" i="24"/>
  <c r="BK19" i="24"/>
  <c r="KF22" i="24"/>
  <c r="MK22" i="24"/>
  <c r="IA22" i="24"/>
  <c r="KY22" i="24"/>
  <c r="ND22" i="24"/>
  <c r="LR22" i="24"/>
  <c r="JM22" i="24"/>
  <c r="IT22" i="24"/>
  <c r="KE22" i="24"/>
  <c r="MJ22" i="24"/>
  <c r="HZ22" i="24"/>
  <c r="KX22" i="24"/>
  <c r="NC22" i="24"/>
  <c r="LQ22" i="24"/>
  <c r="JL22" i="24"/>
  <c r="IS22" i="24"/>
  <c r="DP19" i="24"/>
  <c r="EI19" i="24"/>
  <c r="FU19" i="24"/>
  <c r="IS19" i="24"/>
  <c r="MJ19" i="24"/>
  <c r="NC19" i="24"/>
  <c r="KE19" i="24"/>
  <c r="JL19" i="24"/>
  <c r="LQ19" i="24"/>
  <c r="HZ19" i="24"/>
  <c r="KX19" i="24"/>
  <c r="HZ280" i="24"/>
  <c r="KF29" i="24"/>
  <c r="JM29" i="24"/>
  <c r="IA29" i="24"/>
  <c r="IA214" i="24" s="1"/>
  <c r="ND29" i="24"/>
  <c r="MK29" i="24"/>
  <c r="LR29" i="24"/>
  <c r="KY29" i="24"/>
  <c r="IT29" i="24"/>
  <c r="BK117" i="24"/>
  <c r="F24" i="10"/>
  <c r="E24" i="10"/>
  <c r="H82" i="37"/>
  <c r="H35" i="37"/>
  <c r="C44" i="37"/>
  <c r="H93" i="37"/>
  <c r="H80" i="37"/>
  <c r="H44" i="37"/>
  <c r="H94" i="37"/>
  <c r="C93" i="37"/>
  <c r="C46" i="37"/>
  <c r="H92" i="37"/>
  <c r="H85" i="37"/>
  <c r="H83" i="37"/>
  <c r="C92" i="37"/>
  <c r="C94" i="37"/>
  <c r="H32" i="37"/>
  <c r="C83" i="37"/>
  <c r="H79" i="37"/>
  <c r="C45" i="37"/>
  <c r="H89" i="37"/>
  <c r="H45" i="37"/>
  <c r="H90" i="37"/>
  <c r="H42" i="37"/>
  <c r="C35" i="37"/>
  <c r="H46" i="37"/>
  <c r="GN23" i="24"/>
  <c r="HG23" i="24"/>
  <c r="FU23" i="24"/>
  <c r="FB23" i="24"/>
  <c r="GW30" i="24"/>
  <c r="HP30" i="24"/>
  <c r="GD30" i="24"/>
  <c r="FK30" i="24"/>
  <c r="HH23" i="24"/>
  <c r="GO23" i="24"/>
  <c r="FV23" i="24"/>
  <c r="FC23" i="24"/>
  <c r="HI23" i="24"/>
  <c r="GP23" i="24"/>
  <c r="FW23" i="24"/>
  <c r="FD23" i="24"/>
  <c r="HJ30" i="24"/>
  <c r="GQ30" i="24"/>
  <c r="FX30" i="24"/>
  <c r="FE30" i="24"/>
  <c r="HH29" i="24"/>
  <c r="GO29" i="24"/>
  <c r="FV29" i="24"/>
  <c r="FC29" i="24"/>
  <c r="GP19" i="24"/>
  <c r="HI19" i="24"/>
  <c r="FW19" i="24"/>
  <c r="FD19" i="24"/>
  <c r="GP30" i="24"/>
  <c r="HI30" i="24"/>
  <c r="FD30" i="24"/>
  <c r="FW30" i="24"/>
  <c r="HI24" i="24"/>
  <c r="GP24" i="24"/>
  <c r="FW24" i="24"/>
  <c r="FD24" i="24"/>
  <c r="HN30" i="24"/>
  <c r="GU30" i="24"/>
  <c r="GB30" i="24"/>
  <c r="FI30" i="24"/>
  <c r="GP29" i="24"/>
  <c r="FD29" i="24"/>
  <c r="HI29" i="24"/>
  <c r="FW29" i="24"/>
  <c r="HJ19" i="24"/>
  <c r="GQ19" i="24"/>
  <c r="FX19" i="24"/>
  <c r="FE19" i="24"/>
  <c r="HJ26" i="24"/>
  <c r="FX26" i="24"/>
  <c r="FE26" i="24"/>
  <c r="GQ26" i="24"/>
  <c r="HJ24" i="24"/>
  <c r="HJ21" i="24"/>
  <c r="GQ21" i="24"/>
  <c r="FX21" i="24"/>
  <c r="FE21" i="24"/>
  <c r="HH30" i="24"/>
  <c r="GO30" i="24"/>
  <c r="FC30" i="24"/>
  <c r="FV30" i="24"/>
  <c r="HL30" i="24"/>
  <c r="GS30" i="24"/>
  <c r="FZ30" i="24"/>
  <c r="FG30" i="24"/>
  <c r="HI21" i="24"/>
  <c r="FW21" i="24"/>
  <c r="FD21" i="24"/>
  <c r="GP21" i="24"/>
  <c r="HG30" i="24"/>
  <c r="GN30" i="24"/>
  <c r="FB30" i="24"/>
  <c r="FU30" i="24"/>
  <c r="C87" i="37"/>
  <c r="EL26" i="24"/>
  <c r="DS26" i="24"/>
  <c r="CG26" i="24"/>
  <c r="CZ26" i="24"/>
  <c r="BN26" i="24"/>
  <c r="AU26" i="24"/>
  <c r="DP30" i="24"/>
  <c r="EI30" i="24"/>
  <c r="CW30" i="24"/>
  <c r="CD30" i="24"/>
  <c r="BK30" i="24"/>
  <c r="DR30" i="24"/>
  <c r="EK30" i="24"/>
  <c r="CY30" i="24"/>
  <c r="CF30" i="24"/>
  <c r="BM30" i="24"/>
  <c r="AT30" i="24"/>
  <c r="C82" i="37"/>
  <c r="BN21" i="24"/>
  <c r="EK23" i="24"/>
  <c r="DR23" i="24"/>
  <c r="CF23" i="24"/>
  <c r="BM23" i="24"/>
  <c r="CY23" i="24"/>
  <c r="AT23" i="24"/>
  <c r="C138" i="37"/>
  <c r="EN30" i="24"/>
  <c r="DB30" i="24"/>
  <c r="CI30" i="24"/>
  <c r="DU30" i="24"/>
  <c r="BP30" i="24"/>
  <c r="AW30" i="24"/>
  <c r="C32" i="37"/>
  <c r="DQ23" i="24"/>
  <c r="EJ23" i="24"/>
  <c r="CX23" i="24"/>
  <c r="BL23" i="24"/>
  <c r="CE23" i="24"/>
  <c r="EK24" i="24"/>
  <c r="DR24" i="24"/>
  <c r="CY24" i="24"/>
  <c r="CF24" i="24"/>
  <c r="BM24" i="24"/>
  <c r="AT24" i="24"/>
  <c r="C90" i="37"/>
  <c r="DS30" i="24"/>
  <c r="EL30" i="24"/>
  <c r="CZ30" i="24"/>
  <c r="BN30" i="24"/>
  <c r="CG30" i="24"/>
  <c r="AU30" i="24"/>
  <c r="C233" i="37"/>
  <c r="DY30" i="24"/>
  <c r="DF30" i="24"/>
  <c r="ER30" i="24"/>
  <c r="CM30" i="24"/>
  <c r="BT30" i="24"/>
  <c r="BA30" i="24"/>
  <c r="C41" i="37"/>
  <c r="EJ29" i="24"/>
  <c r="DQ29" i="24"/>
  <c r="CX29" i="24"/>
  <c r="CE29" i="24"/>
  <c r="BL29" i="24"/>
  <c r="EK19" i="24"/>
  <c r="CY19" i="24"/>
  <c r="DR19" i="24"/>
  <c r="BM19" i="24"/>
  <c r="CF19" i="24"/>
  <c r="C186" i="37"/>
  <c r="EP30" i="24"/>
  <c r="DW30" i="24"/>
  <c r="CK30" i="24"/>
  <c r="DD30" i="24"/>
  <c r="BR30" i="24"/>
  <c r="AY30" i="24"/>
  <c r="DR29" i="24"/>
  <c r="CY29" i="24"/>
  <c r="EK29" i="24"/>
  <c r="CF29" i="24"/>
  <c r="BM29" i="24"/>
  <c r="AT29" i="24"/>
  <c r="C79" i="37"/>
  <c r="DS19" i="24"/>
  <c r="EL19" i="24"/>
  <c r="CZ19" i="24"/>
  <c r="BN19" i="24"/>
  <c r="CG19" i="24"/>
  <c r="EI23" i="24"/>
  <c r="DP23" i="24"/>
  <c r="CW23" i="24"/>
  <c r="CD23" i="24"/>
  <c r="BK23" i="24"/>
  <c r="BM21" i="24"/>
  <c r="C42" i="37"/>
  <c r="EJ30" i="24"/>
  <c r="CX30" i="24"/>
  <c r="CE30" i="24"/>
  <c r="DQ30" i="24"/>
  <c r="BL30" i="24"/>
  <c r="I19" i="24"/>
  <c r="F26" i="24"/>
  <c r="K34" i="24"/>
  <c r="J34" i="24"/>
  <c r="I35" i="24"/>
  <c r="H35" i="24"/>
  <c r="I33" i="24"/>
  <c r="H33" i="24"/>
  <c r="L34" i="24"/>
  <c r="M34" i="24"/>
  <c r="M33" i="24"/>
  <c r="L33" i="24"/>
  <c r="N47" i="24"/>
  <c r="O47" i="24"/>
  <c r="J35" i="24"/>
  <c r="K35" i="24"/>
  <c r="H34" i="24"/>
  <c r="I34" i="24"/>
  <c r="J33" i="24"/>
  <c r="K33" i="24"/>
  <c r="M35" i="24"/>
  <c r="L35" i="24"/>
  <c r="O45" i="24"/>
  <c r="N45" i="24"/>
  <c r="O46" i="24"/>
  <c r="N46" i="24"/>
  <c r="O48" i="24"/>
  <c r="N48" i="24"/>
  <c r="H30" i="24"/>
  <c r="I16" i="24"/>
  <c r="H16" i="24"/>
  <c r="M19" i="24"/>
  <c r="H38" i="36"/>
  <c r="H37" i="36"/>
  <c r="O41" i="24"/>
  <c r="N41" i="24"/>
  <c r="C38" i="36"/>
  <c r="F38" i="36"/>
  <c r="F37" i="36"/>
  <c r="E38" i="36"/>
  <c r="E37" i="36"/>
  <c r="G38" i="36"/>
  <c r="G37" i="36"/>
  <c r="K19" i="24"/>
  <c r="J19" i="24"/>
  <c r="N37" i="24"/>
  <c r="O37" i="24"/>
  <c r="AS23" i="24"/>
  <c r="F16" i="24"/>
  <c r="G16" i="24"/>
  <c r="O40" i="24"/>
  <c r="N40" i="24"/>
  <c r="I22" i="24"/>
  <c r="H22" i="24"/>
  <c r="M22" i="24"/>
  <c r="L22" i="24"/>
  <c r="J22" i="24"/>
  <c r="K22" i="24"/>
  <c r="I21" i="24"/>
  <c r="H21" i="24"/>
  <c r="J23" i="24"/>
  <c r="K23" i="24"/>
  <c r="I23" i="24"/>
  <c r="H23" i="24"/>
  <c r="G25" i="24"/>
  <c r="M23" i="24"/>
  <c r="L23" i="24"/>
  <c r="J30" i="24"/>
  <c r="L30" i="24"/>
  <c r="L29" i="24"/>
  <c r="M29" i="24"/>
  <c r="H29" i="24"/>
  <c r="I29" i="24"/>
  <c r="K29" i="24"/>
  <c r="J29" i="24"/>
  <c r="J27" i="27"/>
  <c r="F59" i="36"/>
  <c r="C60" i="36"/>
  <c r="E57" i="36"/>
  <c r="H25" i="27"/>
  <c r="G59" i="36"/>
  <c r="L27" i="27"/>
  <c r="J28" i="27"/>
  <c r="F60" i="36"/>
  <c r="C61" i="36"/>
  <c r="D29" i="27"/>
  <c r="L29" i="27"/>
  <c r="G61" i="36"/>
  <c r="G57" i="36"/>
  <c r="L25" i="27"/>
  <c r="N32" i="27"/>
  <c r="H64" i="36"/>
  <c r="N25" i="27"/>
  <c r="H57" i="36"/>
  <c r="D30" i="27"/>
  <c r="H27" i="27"/>
  <c r="E59" i="36"/>
  <c r="F61" i="36"/>
  <c r="J29" i="27"/>
  <c r="L28" i="27"/>
  <c r="G60" i="36"/>
  <c r="E17" i="24"/>
  <c r="D17" i="24"/>
  <c r="F57" i="36"/>
  <c r="J25" i="27"/>
  <c r="H63" i="36"/>
  <c r="N31" i="27"/>
  <c r="E61" i="36"/>
  <c r="H29" i="27"/>
  <c r="D27" i="27"/>
  <c r="C59" i="36"/>
  <c r="H28" i="27"/>
  <c r="E60" i="36"/>
  <c r="IC280" i="24" l="1"/>
  <c r="IC214" i="24"/>
  <c r="C85" i="37"/>
  <c r="IC24" i="24"/>
  <c r="IC209" i="24" s="1"/>
  <c r="BN24" i="24"/>
  <c r="HI215" i="24"/>
  <c r="HI281" i="24"/>
  <c r="HJ209" i="24"/>
  <c r="HJ275" i="24"/>
  <c r="HN281" i="24"/>
  <c r="HN215" i="24"/>
  <c r="HH214" i="24"/>
  <c r="HH280" i="24"/>
  <c r="HG281" i="24"/>
  <c r="HG215" i="24"/>
  <c r="HL281" i="24"/>
  <c r="HL215" i="24"/>
  <c r="HP281" i="24"/>
  <c r="HP215" i="24"/>
  <c r="HH281" i="24"/>
  <c r="HH215" i="24"/>
  <c r="HJ214" i="24"/>
  <c r="HJ280" i="24"/>
  <c r="HI280" i="24"/>
  <c r="HI214" i="24"/>
  <c r="HJ211" i="24"/>
  <c r="HJ277" i="24"/>
  <c r="HI209" i="24"/>
  <c r="HI275" i="24"/>
  <c r="HJ215" i="24"/>
  <c r="HJ281" i="24"/>
  <c r="GQ277" i="24"/>
  <c r="GQ211" i="24"/>
  <c r="GO215" i="24"/>
  <c r="GO281" i="24"/>
  <c r="GP275" i="24"/>
  <c r="GP209" i="24"/>
  <c r="GQ281" i="24"/>
  <c r="GQ215" i="24"/>
  <c r="GP214" i="24"/>
  <c r="GP280" i="24"/>
  <c r="GN281" i="24"/>
  <c r="GN215" i="24"/>
  <c r="GS281" i="24"/>
  <c r="GS215" i="24"/>
  <c r="GQ280" i="24"/>
  <c r="GQ214" i="24"/>
  <c r="GU215" i="24"/>
  <c r="GU281" i="24"/>
  <c r="GO280" i="24"/>
  <c r="GO214" i="24"/>
  <c r="GP215" i="24"/>
  <c r="GP281" i="24"/>
  <c r="GW215" i="24"/>
  <c r="GW281" i="24"/>
  <c r="BX334" i="24"/>
  <c r="BX335" i="24" s="1"/>
  <c r="BX337" i="24" s="1"/>
  <c r="FW275" i="24"/>
  <c r="FW209" i="24"/>
  <c r="FX280" i="24"/>
  <c r="FX214" i="24"/>
  <c r="FI22" i="24"/>
  <c r="GB22" i="24"/>
  <c r="FX277" i="24"/>
  <c r="FX211" i="24"/>
  <c r="FV215" i="24"/>
  <c r="FV281" i="24"/>
  <c r="FH22" i="24"/>
  <c r="GA22" i="24"/>
  <c r="FU215" i="24"/>
  <c r="FU281" i="24"/>
  <c r="FW280" i="24"/>
  <c r="FW214" i="24"/>
  <c r="FX281" i="24"/>
  <c r="FX215" i="24"/>
  <c r="FJ22" i="24"/>
  <c r="GC22" i="24"/>
  <c r="FZ281" i="24"/>
  <c r="FZ215" i="24"/>
  <c r="FW281" i="24"/>
  <c r="FW215" i="24"/>
  <c r="FV280" i="24"/>
  <c r="FV214" i="24"/>
  <c r="FG22" i="24"/>
  <c r="FZ22" i="24"/>
  <c r="FK22" i="24"/>
  <c r="GD22" i="24"/>
  <c r="GB281" i="24"/>
  <c r="GB215" i="24"/>
  <c r="GD281" i="24"/>
  <c r="GD215" i="24"/>
  <c r="FF22" i="24"/>
  <c r="FY22" i="24"/>
  <c r="FE24" i="24"/>
  <c r="FI281" i="24"/>
  <c r="FI215" i="24"/>
  <c r="FC280" i="24"/>
  <c r="FC214" i="24"/>
  <c r="FK215" i="24"/>
  <c r="FK281" i="24"/>
  <c r="LT24" i="24"/>
  <c r="FE280" i="24"/>
  <c r="FE214" i="24"/>
  <c r="AU24" i="24"/>
  <c r="AU112" i="24" s="1"/>
  <c r="FC215" i="24"/>
  <c r="FC281" i="24"/>
  <c r="FX24" i="24"/>
  <c r="FD215" i="24"/>
  <c r="FD281" i="24"/>
  <c r="IV24" i="24"/>
  <c r="CG24" i="24"/>
  <c r="CG275" i="24" s="1"/>
  <c r="GQ24" i="24"/>
  <c r="JO24" i="24"/>
  <c r="CZ24" i="24"/>
  <c r="CZ209" i="24" s="1"/>
  <c r="FG281" i="24"/>
  <c r="FG215" i="24"/>
  <c r="FD209" i="24"/>
  <c r="FD275" i="24"/>
  <c r="FE281" i="24"/>
  <c r="FE215" i="24"/>
  <c r="MM24" i="24"/>
  <c r="BW194" i="24"/>
  <c r="DS24" i="24"/>
  <c r="DS275" i="24" s="1"/>
  <c r="FB215" i="24"/>
  <c r="FB281" i="24"/>
  <c r="FE277" i="24"/>
  <c r="FE211" i="24"/>
  <c r="LA24" i="24"/>
  <c r="EL24" i="24"/>
  <c r="EL275" i="24" s="1"/>
  <c r="FD280" i="24"/>
  <c r="FD214" i="24"/>
  <c r="ER215" i="24"/>
  <c r="ER281" i="24"/>
  <c r="EK281" i="24"/>
  <c r="EK215" i="24"/>
  <c r="EP281" i="24"/>
  <c r="EP215" i="24"/>
  <c r="EK275" i="24"/>
  <c r="EK209" i="24"/>
  <c r="EJ215" i="24"/>
  <c r="EJ281" i="24"/>
  <c r="EK280" i="24"/>
  <c r="EK214" i="24"/>
  <c r="EL215" i="24"/>
  <c r="EL281" i="24"/>
  <c r="EJ280" i="24"/>
  <c r="EJ214" i="24"/>
  <c r="EN281" i="24"/>
  <c r="EN215" i="24"/>
  <c r="EL280" i="24"/>
  <c r="EL214" i="24"/>
  <c r="EL277" i="24"/>
  <c r="EL211" i="24"/>
  <c r="EI215" i="24"/>
  <c r="EI281" i="24"/>
  <c r="DR281" i="24"/>
  <c r="DR215" i="24"/>
  <c r="DS277" i="24"/>
  <c r="DS211" i="24"/>
  <c r="DW281" i="24"/>
  <c r="DW215" i="24"/>
  <c r="DR275" i="24"/>
  <c r="DR209" i="24"/>
  <c r="DP281" i="24"/>
  <c r="DP215" i="24"/>
  <c r="DS280" i="24"/>
  <c r="DS214" i="24"/>
  <c r="DU281" i="24"/>
  <c r="DU215" i="24"/>
  <c r="DS281" i="24"/>
  <c r="DS215" i="24"/>
  <c r="DR214" i="24"/>
  <c r="DR280" i="24"/>
  <c r="DQ280" i="24"/>
  <c r="DQ214" i="24"/>
  <c r="DY281" i="24"/>
  <c r="DY215" i="24"/>
  <c r="BW334" i="24"/>
  <c r="BW336" i="24" s="1"/>
  <c r="BW338" i="24" s="1"/>
  <c r="DQ281" i="24"/>
  <c r="DQ215" i="24"/>
  <c r="CZ280" i="24"/>
  <c r="CZ214" i="24"/>
  <c r="CZ215" i="24"/>
  <c r="CZ281" i="24"/>
  <c r="CW281" i="24"/>
  <c r="CW215" i="24"/>
  <c r="DD215" i="24"/>
  <c r="DD281" i="24"/>
  <c r="CY275" i="24"/>
  <c r="CY209" i="24"/>
  <c r="CX214" i="24"/>
  <c r="CX280" i="24"/>
  <c r="CY280" i="24"/>
  <c r="CY214" i="24"/>
  <c r="DF215" i="24"/>
  <c r="DF281" i="24"/>
  <c r="DB281" i="24"/>
  <c r="DB215" i="24"/>
  <c r="CY215" i="24"/>
  <c r="CY281" i="24"/>
  <c r="CX215" i="24"/>
  <c r="CX281" i="24"/>
  <c r="CZ277" i="24"/>
  <c r="CZ211" i="24"/>
  <c r="BE333" i="24"/>
  <c r="BE336" i="24" s="1"/>
  <c r="BE338" i="24" s="1"/>
  <c r="CK215" i="24"/>
  <c r="CK281" i="24"/>
  <c r="CG277" i="24"/>
  <c r="CG211" i="24"/>
  <c r="CG215" i="24"/>
  <c r="CG281" i="24"/>
  <c r="CF280" i="24"/>
  <c r="CF214" i="24"/>
  <c r="CM281" i="24"/>
  <c r="CM215" i="24"/>
  <c r="CD215" i="24"/>
  <c r="CD281" i="24"/>
  <c r="CE280" i="24"/>
  <c r="CE214" i="24"/>
  <c r="CE281" i="24"/>
  <c r="CE215" i="24"/>
  <c r="CI215" i="24"/>
  <c r="CI281" i="24"/>
  <c r="CF275" i="24"/>
  <c r="CF209" i="24"/>
  <c r="CF215" i="24"/>
  <c r="CF281" i="24"/>
  <c r="CG280" i="24"/>
  <c r="CG214" i="24"/>
  <c r="BN281" i="24"/>
  <c r="BN215" i="24"/>
  <c r="BL280" i="24"/>
  <c r="BL214" i="24"/>
  <c r="BP281" i="24"/>
  <c r="BP215" i="24"/>
  <c r="BL215" i="24"/>
  <c r="BL281" i="24"/>
  <c r="BT215" i="24"/>
  <c r="BT281" i="24"/>
  <c r="BN277" i="24"/>
  <c r="BN211" i="24"/>
  <c r="BN275" i="24"/>
  <c r="BN209" i="24"/>
  <c r="BM280" i="24"/>
  <c r="BM214" i="24"/>
  <c r="BK281" i="24"/>
  <c r="BK215" i="24"/>
  <c r="BD194" i="24"/>
  <c r="BD333" i="24"/>
  <c r="BD336" i="24" s="1"/>
  <c r="BD338" i="24" s="1"/>
  <c r="BN280" i="24"/>
  <c r="BN214" i="24"/>
  <c r="BR281" i="24"/>
  <c r="BR215" i="24"/>
  <c r="BM275" i="24"/>
  <c r="BM209" i="24"/>
  <c r="BM281" i="24"/>
  <c r="BM215" i="24"/>
  <c r="AU214" i="24"/>
  <c r="BN117" i="24"/>
  <c r="AU280" i="24"/>
  <c r="R53" i="10"/>
  <c r="R6" i="10"/>
  <c r="M4" i="49" s="1"/>
  <c r="R80" i="10"/>
  <c r="S6" i="10"/>
  <c r="M40" i="49" s="1"/>
  <c r="S80" i="10"/>
  <c r="S53" i="10"/>
  <c r="KM22" i="24"/>
  <c r="LF22" i="24"/>
  <c r="MR22" i="24"/>
  <c r="NK22" i="24"/>
  <c r="JT22" i="24"/>
  <c r="IH22" i="24"/>
  <c r="JA22" i="24"/>
  <c r="LY22" i="24"/>
  <c r="LX29" i="24"/>
  <c r="NJ29" i="24"/>
  <c r="KL29" i="24"/>
  <c r="LE29" i="24"/>
  <c r="JS29" i="24"/>
  <c r="IG29" i="24"/>
  <c r="IG214" i="24" s="1"/>
  <c r="MQ29" i="24"/>
  <c r="IZ29" i="24"/>
  <c r="LV21" i="24"/>
  <c r="NH21" i="24"/>
  <c r="KJ21" i="24"/>
  <c r="LC21" i="24"/>
  <c r="JQ21" i="24"/>
  <c r="IE21" i="24"/>
  <c r="MO21" i="24"/>
  <c r="IX21" i="24"/>
  <c r="NH29" i="24"/>
  <c r="KJ29" i="24"/>
  <c r="LC29" i="24"/>
  <c r="MO29" i="24"/>
  <c r="JQ29" i="24"/>
  <c r="IE29" i="24"/>
  <c r="IE214" i="24" s="1"/>
  <c r="LV29" i="24"/>
  <c r="IX29" i="24"/>
  <c r="ML25" i="24"/>
  <c r="LS25" i="24"/>
  <c r="NE25" i="24"/>
  <c r="KZ25" i="24"/>
  <c r="IU25" i="24"/>
  <c r="KG25" i="24"/>
  <c r="JN25" i="24"/>
  <c r="IB25" i="24"/>
  <c r="IB210" i="24" s="1"/>
  <c r="LE22" i="24"/>
  <c r="MQ22" i="24"/>
  <c r="LX22" i="24"/>
  <c r="KL22" i="24"/>
  <c r="NJ22" i="24"/>
  <c r="JS22" i="24"/>
  <c r="IG22" i="24"/>
  <c r="IZ22" i="24"/>
  <c r="MM16" i="24"/>
  <c r="LT16" i="24"/>
  <c r="NF16" i="24"/>
  <c r="LA16" i="24"/>
  <c r="IV16" i="24"/>
  <c r="KH16" i="24"/>
  <c r="IC16" i="24"/>
  <c r="IC201" i="24" s="1"/>
  <c r="JO16" i="24"/>
  <c r="IE281" i="24"/>
  <c r="KI29" i="24"/>
  <c r="LB29" i="24"/>
  <c r="MN29" i="24"/>
  <c r="NG29" i="24"/>
  <c r="JP29" i="24"/>
  <c r="ID29" i="24"/>
  <c r="ID214" i="24" s="1"/>
  <c r="LU29" i="24"/>
  <c r="IW29" i="24"/>
  <c r="HZ281" i="24"/>
  <c r="MK17" i="24"/>
  <c r="LR17" i="24"/>
  <c r="ND17" i="24"/>
  <c r="IT17" i="24"/>
  <c r="KY17" i="24"/>
  <c r="KF17" i="24"/>
  <c r="IA17" i="24"/>
  <c r="IA202" i="24" s="1"/>
  <c r="JM17" i="24"/>
  <c r="LY29" i="24"/>
  <c r="NK29" i="24"/>
  <c r="KM29" i="24"/>
  <c r="MR29" i="24"/>
  <c r="JA29" i="24"/>
  <c r="LF29" i="24"/>
  <c r="JT29" i="24"/>
  <c r="IH29" i="24"/>
  <c r="IH214" i="24" s="1"/>
  <c r="NH23" i="24"/>
  <c r="KJ23" i="24"/>
  <c r="LC23" i="24"/>
  <c r="MO23" i="24"/>
  <c r="JQ23" i="24"/>
  <c r="IE23" i="24"/>
  <c r="LV23" i="24"/>
  <c r="IX23" i="24"/>
  <c r="NL22" i="24"/>
  <c r="KN22" i="24"/>
  <c r="LG22" i="24"/>
  <c r="MS22" i="24"/>
  <c r="JU22" i="24"/>
  <c r="II22" i="24"/>
  <c r="JB22" i="24"/>
  <c r="LZ22" i="24"/>
  <c r="MB37" i="24"/>
  <c r="NN37" i="24"/>
  <c r="KP37" i="24"/>
  <c r="LI37" i="24"/>
  <c r="IK37" i="24"/>
  <c r="IK222" i="24" s="1"/>
  <c r="JW37" i="24"/>
  <c r="MU37" i="24"/>
  <c r="JD37" i="24"/>
  <c r="LG19" i="24"/>
  <c r="MS19" i="24"/>
  <c r="LZ19" i="24"/>
  <c r="KN19" i="24"/>
  <c r="JU19" i="24"/>
  <c r="II19" i="24"/>
  <c r="NL19" i="24"/>
  <c r="JB19" i="24"/>
  <c r="LH45" i="24"/>
  <c r="MA45" i="24"/>
  <c r="MT45" i="24"/>
  <c r="KO45" i="24"/>
  <c r="NM45" i="24"/>
  <c r="JC45" i="24"/>
  <c r="IJ45" i="24"/>
  <c r="JV45" i="24"/>
  <c r="LV19" i="24"/>
  <c r="NH19" i="24"/>
  <c r="KJ19" i="24"/>
  <c r="LC19" i="24"/>
  <c r="MO19" i="24"/>
  <c r="JQ19" i="24"/>
  <c r="IE19" i="24"/>
  <c r="IX19" i="24"/>
  <c r="LA25" i="24"/>
  <c r="MM25" i="24"/>
  <c r="LT25" i="24"/>
  <c r="KH25" i="24"/>
  <c r="JO25" i="24"/>
  <c r="IC25" i="24"/>
  <c r="NF25" i="24"/>
  <c r="IV25" i="24"/>
  <c r="LQ17" i="24"/>
  <c r="NC17" i="24"/>
  <c r="KE17" i="24"/>
  <c r="MJ17" i="24"/>
  <c r="IS17" i="24"/>
  <c r="KX17" i="24"/>
  <c r="JL17" i="24"/>
  <c r="HZ17" i="24"/>
  <c r="HZ202" i="24" s="1"/>
  <c r="MS29" i="24"/>
  <c r="LZ29" i="24"/>
  <c r="NL29" i="24"/>
  <c r="JB29" i="24"/>
  <c r="KN29" i="24"/>
  <c r="LG29" i="24"/>
  <c r="JU29" i="24"/>
  <c r="II29" i="24"/>
  <c r="II214" i="24" s="1"/>
  <c r="MR19" i="24"/>
  <c r="LY19" i="24"/>
  <c r="NK19" i="24"/>
  <c r="LF19" i="24"/>
  <c r="JA19" i="24"/>
  <c r="JT19" i="24"/>
  <c r="IH19" i="24"/>
  <c r="KM19" i="24"/>
  <c r="IA281" i="24"/>
  <c r="IC281" i="24"/>
  <c r="KM30" i="24"/>
  <c r="LF30" i="24"/>
  <c r="MR30" i="24"/>
  <c r="NK30" i="24"/>
  <c r="LY30" i="24"/>
  <c r="JT30" i="24"/>
  <c r="IH30" i="24"/>
  <c r="IH215" i="24" s="1"/>
  <c r="JA30" i="24"/>
  <c r="LX23" i="24"/>
  <c r="NJ23" i="24"/>
  <c r="KL23" i="24"/>
  <c r="LE23" i="24"/>
  <c r="JS23" i="24"/>
  <c r="IG23" i="24"/>
  <c r="MQ23" i="24"/>
  <c r="IZ23" i="24"/>
  <c r="LU22" i="24"/>
  <c r="NG22" i="24"/>
  <c r="KI22" i="24"/>
  <c r="MN22" i="24"/>
  <c r="IW22" i="24"/>
  <c r="LB22" i="24"/>
  <c r="JP22" i="24"/>
  <c r="ID22" i="24"/>
  <c r="NM37" i="24"/>
  <c r="KO37" i="24"/>
  <c r="LH37" i="24"/>
  <c r="MT37" i="24"/>
  <c r="MA37" i="24"/>
  <c r="IJ37" i="24"/>
  <c r="IJ222" i="24" s="1"/>
  <c r="JV37" i="24"/>
  <c r="JC37" i="24"/>
  <c r="LB16" i="24"/>
  <c r="MN16" i="24"/>
  <c r="LU16" i="24"/>
  <c r="BO16" i="24"/>
  <c r="NG16" i="24"/>
  <c r="JP16" i="24"/>
  <c r="IW16" i="24"/>
  <c r="KI16" i="24"/>
  <c r="ID16" i="24"/>
  <c r="ID201" i="24" s="1"/>
  <c r="KP45" i="24"/>
  <c r="LI45" i="24"/>
  <c r="NN45" i="24"/>
  <c r="JW45" i="24"/>
  <c r="JD45" i="24"/>
  <c r="MB45" i="24"/>
  <c r="MU45" i="24"/>
  <c r="IK45" i="24"/>
  <c r="MP22" i="24"/>
  <c r="LW22" i="24"/>
  <c r="NI22" i="24"/>
  <c r="LD22" i="24"/>
  <c r="IY22" i="24"/>
  <c r="JR22" i="24"/>
  <c r="IF22" i="24"/>
  <c r="KK22" i="24"/>
  <c r="KI23" i="24"/>
  <c r="LB23" i="24"/>
  <c r="MN23" i="24"/>
  <c r="NG23" i="24"/>
  <c r="JP23" i="24"/>
  <c r="ID23" i="24"/>
  <c r="LU23" i="24"/>
  <c r="IW23" i="24"/>
  <c r="IC277" i="24"/>
  <c r="MP30" i="24"/>
  <c r="LW30" i="24"/>
  <c r="NI30" i="24"/>
  <c r="LD30" i="24"/>
  <c r="IY30" i="24"/>
  <c r="KK30" i="24"/>
  <c r="JR30" i="24"/>
  <c r="IF30" i="24"/>
  <c r="IF215" i="24" s="1"/>
  <c r="NI23" i="24"/>
  <c r="KK23" i="24"/>
  <c r="LD23" i="24"/>
  <c r="MP23" i="24"/>
  <c r="LW23" i="24"/>
  <c r="JR23" i="24"/>
  <c r="IF23" i="24"/>
  <c r="IY23" i="24"/>
  <c r="MO22" i="24"/>
  <c r="LV22" i="24"/>
  <c r="NH22" i="24"/>
  <c r="IX22" i="24"/>
  <c r="LC22" i="24"/>
  <c r="KJ22" i="24"/>
  <c r="IE22" i="24"/>
  <c r="JQ22" i="24"/>
  <c r="LW19" i="24"/>
  <c r="NI19" i="24"/>
  <c r="KK19" i="24"/>
  <c r="MP19" i="24"/>
  <c r="IY19" i="24"/>
  <c r="LD19" i="24"/>
  <c r="JR19" i="24"/>
  <c r="IF19" i="24"/>
  <c r="LC16" i="24"/>
  <c r="MO16" i="24"/>
  <c r="NH16" i="24"/>
  <c r="JQ16" i="24"/>
  <c r="IX16" i="24"/>
  <c r="KJ16" i="24"/>
  <c r="LV16" i="24"/>
  <c r="IE16" i="24"/>
  <c r="IE201" i="24" s="1"/>
  <c r="IB281" i="24"/>
  <c r="IC275" i="24"/>
  <c r="IB280" i="24"/>
  <c r="IG281" i="24"/>
  <c r="IB275" i="24"/>
  <c r="NI29" i="24"/>
  <c r="KK29" i="24"/>
  <c r="LD29" i="24"/>
  <c r="MP29" i="24"/>
  <c r="LW29" i="24"/>
  <c r="JR29" i="24"/>
  <c r="IF29" i="24"/>
  <c r="IF214" i="24" s="1"/>
  <c r="IY29" i="24"/>
  <c r="LY23" i="24"/>
  <c r="NK23" i="24"/>
  <c r="KM23" i="24"/>
  <c r="MR23" i="24"/>
  <c r="JA23" i="24"/>
  <c r="LF23" i="24"/>
  <c r="JT23" i="24"/>
  <c r="IH23" i="24"/>
  <c r="NG21" i="24"/>
  <c r="KI21" i="24"/>
  <c r="LB21" i="24"/>
  <c r="MN21" i="24"/>
  <c r="LU21" i="24"/>
  <c r="JP21" i="24"/>
  <c r="ID21" i="24"/>
  <c r="IW21" i="24"/>
  <c r="MA40" i="24"/>
  <c r="MT40" i="24"/>
  <c r="NM40" i="24"/>
  <c r="KO40" i="24"/>
  <c r="LH40" i="24"/>
  <c r="IJ40" i="24"/>
  <c r="IJ225" i="24" s="1"/>
  <c r="JV40" i="24"/>
  <c r="JC40" i="24"/>
  <c r="MQ19" i="24"/>
  <c r="LX19" i="24"/>
  <c r="NJ19" i="24"/>
  <c r="IZ19" i="24"/>
  <c r="LE19" i="24"/>
  <c r="KL19" i="24"/>
  <c r="IG19" i="24"/>
  <c r="JS19" i="24"/>
  <c r="LH41" i="24"/>
  <c r="MA41" i="24"/>
  <c r="MT41" i="24"/>
  <c r="KO41" i="24"/>
  <c r="JC41" i="24"/>
  <c r="NM41" i="24"/>
  <c r="IJ41" i="24"/>
  <c r="IJ226" i="24" s="1"/>
  <c r="JV41" i="24"/>
  <c r="LU30" i="24"/>
  <c r="NG30" i="24"/>
  <c r="KI30" i="24"/>
  <c r="MN30" i="24"/>
  <c r="IW30" i="24"/>
  <c r="LB30" i="24"/>
  <c r="JP30" i="24"/>
  <c r="ID30" i="24"/>
  <c r="ID215" i="24" s="1"/>
  <c r="II281" i="24"/>
  <c r="ML16" i="24"/>
  <c r="LS16" i="24"/>
  <c r="NE16" i="24"/>
  <c r="KZ16" i="24"/>
  <c r="IU16" i="24"/>
  <c r="KG16" i="24"/>
  <c r="IB16" i="24"/>
  <c r="IB201" i="24" s="1"/>
  <c r="JN16" i="24"/>
  <c r="NE26" i="24"/>
  <c r="KG26" i="24"/>
  <c r="KZ26" i="24"/>
  <c r="ML26" i="24"/>
  <c r="LS26" i="24"/>
  <c r="JN26" i="24"/>
  <c r="IB26" i="24"/>
  <c r="IB211" i="24" s="1"/>
  <c r="IU26" i="24"/>
  <c r="NG19" i="24"/>
  <c r="KI19" i="24"/>
  <c r="LB19" i="24"/>
  <c r="MN19" i="24"/>
  <c r="LU19" i="24"/>
  <c r="JP19" i="24"/>
  <c r="ID19" i="24"/>
  <c r="IW19" i="24"/>
  <c r="MS23" i="24"/>
  <c r="LZ23" i="24"/>
  <c r="NL23" i="24"/>
  <c r="JB23" i="24"/>
  <c r="LG23" i="24"/>
  <c r="KN23" i="24"/>
  <c r="II23" i="24"/>
  <c r="JU23" i="24"/>
  <c r="MB40" i="24"/>
  <c r="MU40" i="24"/>
  <c r="NN40" i="24"/>
  <c r="KP40" i="24"/>
  <c r="LI40" i="24"/>
  <c r="IK40" i="24"/>
  <c r="IK225" i="24" s="1"/>
  <c r="JW40" i="24"/>
  <c r="JD40" i="24"/>
  <c r="KP41" i="24"/>
  <c r="LI41" i="24"/>
  <c r="NN41" i="24"/>
  <c r="JW41" i="24"/>
  <c r="JD41" i="24"/>
  <c r="MB41" i="24"/>
  <c r="MU41" i="24"/>
  <c r="IK41" i="24"/>
  <c r="IK226" i="24" s="1"/>
  <c r="IA280" i="24"/>
  <c r="BL117" i="24"/>
  <c r="BN112" i="24"/>
  <c r="BK118" i="24"/>
  <c r="BR118" i="24"/>
  <c r="BM112" i="24"/>
  <c r="BM118" i="24"/>
  <c r="BP118" i="24"/>
  <c r="BL118" i="24"/>
  <c r="BM117" i="24"/>
  <c r="BT118" i="24"/>
  <c r="BN118" i="24"/>
  <c r="BN114" i="24"/>
  <c r="AW118" i="24"/>
  <c r="AW281" i="24"/>
  <c r="AW215" i="24"/>
  <c r="AU118" i="24"/>
  <c r="AU281" i="24"/>
  <c r="AU215" i="24"/>
  <c r="AY118" i="24"/>
  <c r="AY215" i="24"/>
  <c r="AY281" i="24"/>
  <c r="AT112" i="24"/>
  <c r="AT209" i="24"/>
  <c r="AT275" i="24"/>
  <c r="AT117" i="24"/>
  <c r="AT214" i="24"/>
  <c r="AT280" i="24"/>
  <c r="BA118" i="24"/>
  <c r="BA215" i="24"/>
  <c r="BA281" i="24"/>
  <c r="AU114" i="24"/>
  <c r="AU211" i="24"/>
  <c r="AU277" i="24"/>
  <c r="AT118" i="24"/>
  <c r="AT215" i="24"/>
  <c r="AT281" i="24"/>
  <c r="H175" i="37"/>
  <c r="H142" i="37"/>
  <c r="H30" i="37"/>
  <c r="H86" i="37"/>
  <c r="C179" i="37"/>
  <c r="H269" i="37"/>
  <c r="H138" i="37"/>
  <c r="C237" i="37"/>
  <c r="H274" i="37"/>
  <c r="C142" i="37"/>
  <c r="H179" i="37"/>
  <c r="H77" i="37"/>
  <c r="H275" i="37"/>
  <c r="C188" i="37"/>
  <c r="H235" i="37"/>
  <c r="H189" i="37"/>
  <c r="H185" i="37"/>
  <c r="H128" i="37"/>
  <c r="C275" i="37"/>
  <c r="H188" i="37"/>
  <c r="C235" i="37"/>
  <c r="C189" i="37"/>
  <c r="H223" i="37"/>
  <c r="C140" i="37"/>
  <c r="H226" i="37"/>
  <c r="H232" i="37"/>
  <c r="C226" i="37"/>
  <c r="H273" i="37"/>
  <c r="C141" i="37"/>
  <c r="C236" i="37"/>
  <c r="H87" i="37"/>
  <c r="H270" i="37"/>
  <c r="H237" i="37"/>
  <c r="H233" i="37"/>
  <c r="H131" i="37"/>
  <c r="H222" i="37"/>
  <c r="C273" i="37"/>
  <c r="H141" i="37"/>
  <c r="H236" i="37"/>
  <c r="H127" i="37"/>
  <c r="H130" i="37"/>
  <c r="H137" i="37"/>
  <c r="H186" i="37"/>
  <c r="H176" i="37"/>
  <c r="C131" i="37"/>
  <c r="H272" i="37"/>
  <c r="C190" i="37"/>
  <c r="H140" i="37"/>
  <c r="H125" i="37"/>
  <c r="H190" i="37"/>
  <c r="C274" i="37"/>
  <c r="GF37" i="24"/>
  <c r="DH37" i="24"/>
  <c r="EA37" i="24"/>
  <c r="HR37" i="24"/>
  <c r="ET37" i="24"/>
  <c r="CO37" i="24"/>
  <c r="BV37" i="24"/>
  <c r="GY37" i="24"/>
  <c r="FM37" i="24"/>
  <c r="BB37" i="24"/>
  <c r="BB288" i="24" s="1"/>
  <c r="H268" i="37"/>
  <c r="DZ37" i="24"/>
  <c r="GE37" i="24"/>
  <c r="ES37" i="24"/>
  <c r="DG37" i="24"/>
  <c r="BU37" i="24"/>
  <c r="GX37" i="24"/>
  <c r="FL37" i="24"/>
  <c r="CN37" i="24"/>
  <c r="HQ37" i="24"/>
  <c r="GS29" i="24"/>
  <c r="HL29" i="24"/>
  <c r="FG29" i="24"/>
  <c r="FZ29" i="24"/>
  <c r="GQ16" i="24"/>
  <c r="HJ16" i="24"/>
  <c r="FX16" i="24"/>
  <c r="FE16" i="24"/>
  <c r="GR30" i="24"/>
  <c r="HK30" i="24"/>
  <c r="FY30" i="24"/>
  <c r="FF30" i="24"/>
  <c r="HI16" i="24"/>
  <c r="GP16" i="24"/>
  <c r="FW16" i="24"/>
  <c r="FD16" i="24"/>
  <c r="HP29" i="24"/>
  <c r="GW29" i="24"/>
  <c r="GD29" i="24"/>
  <c r="FK29" i="24"/>
  <c r="HK23" i="24"/>
  <c r="GR23" i="24"/>
  <c r="FY23" i="24"/>
  <c r="FF23" i="24"/>
  <c r="HG17" i="24"/>
  <c r="FB17" i="24"/>
  <c r="GN17" i="24"/>
  <c r="FU17" i="24"/>
  <c r="HI25" i="24"/>
  <c r="GP25" i="24"/>
  <c r="FW25" i="24"/>
  <c r="FD25" i="24"/>
  <c r="HJ25" i="24"/>
  <c r="GQ25" i="24"/>
  <c r="FX25" i="24"/>
  <c r="FE25" i="24"/>
  <c r="HN23" i="24"/>
  <c r="GB23" i="24"/>
  <c r="GU23" i="24"/>
  <c r="FI23" i="24"/>
  <c r="HM30" i="24"/>
  <c r="GT30" i="24"/>
  <c r="FH30" i="24"/>
  <c r="GA30" i="24"/>
  <c r="GT23" i="24"/>
  <c r="FH23" i="24"/>
  <c r="GA23" i="24"/>
  <c r="HM23" i="24"/>
  <c r="GW19" i="24"/>
  <c r="HP19" i="24"/>
  <c r="GD19" i="24"/>
  <c r="FK19" i="24"/>
  <c r="HQ45" i="24"/>
  <c r="GE45" i="24"/>
  <c r="GX45" i="24"/>
  <c r="FL45" i="24"/>
  <c r="HL19" i="24"/>
  <c r="FZ19" i="24"/>
  <c r="GS19" i="24"/>
  <c r="FG19" i="24"/>
  <c r="GX41" i="24"/>
  <c r="HQ41" i="24"/>
  <c r="GE41" i="24"/>
  <c r="FL41" i="24"/>
  <c r="HR41" i="24"/>
  <c r="GF41" i="24"/>
  <c r="GY41" i="24"/>
  <c r="FM41" i="24"/>
  <c r="HL23" i="24"/>
  <c r="GS23" i="24"/>
  <c r="FG23" i="24"/>
  <c r="FZ23" i="24"/>
  <c r="HI26" i="24"/>
  <c r="FW26" i="24"/>
  <c r="GP26" i="24"/>
  <c r="FD26" i="24"/>
  <c r="GR19" i="24"/>
  <c r="HK19" i="24"/>
  <c r="FY19" i="24"/>
  <c r="FF19" i="24"/>
  <c r="HM29" i="24"/>
  <c r="GA29" i="24"/>
  <c r="GT29" i="24"/>
  <c r="FH29" i="24"/>
  <c r="GC23" i="24"/>
  <c r="FJ23" i="24"/>
  <c r="GV23" i="24"/>
  <c r="HO23" i="24"/>
  <c r="HK21" i="24"/>
  <c r="GR21" i="24"/>
  <c r="FF21" i="24"/>
  <c r="FY21" i="24"/>
  <c r="HQ40" i="24"/>
  <c r="GX40" i="24"/>
  <c r="GE40" i="24"/>
  <c r="FL40" i="24"/>
  <c r="HM19" i="24"/>
  <c r="FH19" i="24"/>
  <c r="GT19" i="24"/>
  <c r="GA19" i="24"/>
  <c r="HK16" i="24"/>
  <c r="FF16" i="24"/>
  <c r="GR16" i="24"/>
  <c r="FY16" i="24"/>
  <c r="HR45" i="24"/>
  <c r="GY45" i="24"/>
  <c r="GF45" i="24"/>
  <c r="FM45" i="24"/>
  <c r="HH17" i="24"/>
  <c r="GO17" i="24"/>
  <c r="FV17" i="24"/>
  <c r="FC17" i="24"/>
  <c r="HK29" i="24"/>
  <c r="GR29" i="24"/>
  <c r="FY29" i="24"/>
  <c r="FF29" i="24"/>
  <c r="HO29" i="24"/>
  <c r="GC29" i="24"/>
  <c r="GV29" i="24"/>
  <c r="FJ29" i="24"/>
  <c r="HO30" i="24"/>
  <c r="GC30" i="24"/>
  <c r="GV30" i="24"/>
  <c r="FJ30" i="24"/>
  <c r="HO19" i="24"/>
  <c r="GC19" i="24"/>
  <c r="GV19" i="24"/>
  <c r="FJ19" i="24"/>
  <c r="GU29" i="24"/>
  <c r="HN29" i="24"/>
  <c r="GB29" i="24"/>
  <c r="FI29" i="24"/>
  <c r="GW23" i="24"/>
  <c r="GD23" i="24"/>
  <c r="FK23" i="24"/>
  <c r="HP23" i="24"/>
  <c r="HL21" i="24"/>
  <c r="GS21" i="24"/>
  <c r="FZ21" i="24"/>
  <c r="FG21" i="24"/>
  <c r="HR40" i="24"/>
  <c r="GY40" i="24"/>
  <c r="GF40" i="24"/>
  <c r="FM40" i="24"/>
  <c r="HN19" i="24"/>
  <c r="GU19" i="24"/>
  <c r="GB19" i="24"/>
  <c r="FI19" i="24"/>
  <c r="GS16" i="24"/>
  <c r="HL16" i="24"/>
  <c r="FZ16" i="24"/>
  <c r="FG16" i="24"/>
  <c r="ES40" i="24"/>
  <c r="DZ40" i="24"/>
  <c r="DG40" i="24"/>
  <c r="CN40" i="24"/>
  <c r="BU40" i="24"/>
  <c r="BB40" i="24"/>
  <c r="BB291" i="24" s="1"/>
  <c r="C176" i="37"/>
  <c r="DW23" i="24"/>
  <c r="EP23" i="24"/>
  <c r="DD23" i="24"/>
  <c r="CK23" i="24"/>
  <c r="BR23" i="24"/>
  <c r="AY23" i="24"/>
  <c r="C268" i="37"/>
  <c r="BC37" i="24"/>
  <c r="BC288" i="24" s="1"/>
  <c r="EM19" i="24"/>
  <c r="DA19" i="24"/>
  <c r="DT19" i="24"/>
  <c r="BO19" i="24"/>
  <c r="CH19" i="24"/>
  <c r="EO30" i="24"/>
  <c r="DC30" i="24"/>
  <c r="CJ30" i="24"/>
  <c r="BQ30" i="24"/>
  <c r="DV30" i="24"/>
  <c r="AX30" i="24"/>
  <c r="EO23" i="24"/>
  <c r="DV23" i="24"/>
  <c r="CJ23" i="24"/>
  <c r="DC23" i="24"/>
  <c r="AX23" i="24"/>
  <c r="BQ23" i="24"/>
  <c r="C222" i="37"/>
  <c r="DY19" i="24"/>
  <c r="ER19" i="24"/>
  <c r="DF19" i="24"/>
  <c r="CM19" i="24"/>
  <c r="BT19" i="24"/>
  <c r="BU45" i="24"/>
  <c r="C127" i="37"/>
  <c r="DU19" i="24"/>
  <c r="EN19" i="24"/>
  <c r="DB19" i="24"/>
  <c r="CI19" i="24"/>
  <c r="BP19" i="24"/>
  <c r="EO19" i="24"/>
  <c r="DV19" i="24"/>
  <c r="DC19" i="24"/>
  <c r="CJ19" i="24"/>
  <c r="BQ19" i="24"/>
  <c r="C130" i="37"/>
  <c r="BP21" i="24"/>
  <c r="C125" i="37"/>
  <c r="DB16" i="24"/>
  <c r="DU16" i="24"/>
  <c r="EN16" i="24"/>
  <c r="CI16" i="24"/>
  <c r="BP16" i="24"/>
  <c r="AW16" i="24"/>
  <c r="BO21" i="24"/>
  <c r="C272" i="37"/>
  <c r="BV45" i="24"/>
  <c r="C270" i="37"/>
  <c r="ET40" i="24"/>
  <c r="EA40" i="24"/>
  <c r="DH40" i="24"/>
  <c r="CO40" i="24"/>
  <c r="BV40" i="24"/>
  <c r="BC40" i="24"/>
  <c r="BC291" i="24" s="1"/>
  <c r="ES41" i="24"/>
  <c r="DZ41" i="24"/>
  <c r="DG41" i="24"/>
  <c r="BU41" i="24"/>
  <c r="BB41" i="24"/>
  <c r="BB292" i="24" s="1"/>
  <c r="CN41" i="24"/>
  <c r="EM29" i="24"/>
  <c r="DA29" i="24"/>
  <c r="DT29" i="24"/>
  <c r="CH29" i="24"/>
  <c r="BO29" i="24"/>
  <c r="AV29" i="24"/>
  <c r="C86" i="37"/>
  <c r="EL25" i="24"/>
  <c r="DS25" i="24"/>
  <c r="CZ25" i="24"/>
  <c r="CG25" i="24"/>
  <c r="BN25" i="24"/>
  <c r="AU25" i="24"/>
  <c r="EK16" i="24"/>
  <c r="CY16" i="24"/>
  <c r="DR16" i="24"/>
  <c r="CF16" i="24"/>
  <c r="BM16" i="24"/>
  <c r="AT16" i="24"/>
  <c r="C269" i="37"/>
  <c r="EA41" i="24"/>
  <c r="DH41" i="24"/>
  <c r="CO41" i="24"/>
  <c r="ET41" i="24"/>
  <c r="BV41" i="24"/>
  <c r="BC41" i="24"/>
  <c r="BC292" i="24" s="1"/>
  <c r="DV29" i="24"/>
  <c r="EO29" i="24"/>
  <c r="DC29" i="24"/>
  <c r="CJ29" i="24"/>
  <c r="BQ29" i="24"/>
  <c r="AX29" i="24"/>
  <c r="DT16" i="24"/>
  <c r="DA16" i="24"/>
  <c r="EM16" i="24"/>
  <c r="CH16" i="24"/>
  <c r="AV16" i="24"/>
  <c r="C185" i="37"/>
  <c r="DD29" i="24"/>
  <c r="EP29" i="24"/>
  <c r="DW29" i="24"/>
  <c r="CK29" i="24"/>
  <c r="BR29" i="24"/>
  <c r="AY29" i="24"/>
  <c r="C175" i="37"/>
  <c r="EP19" i="24"/>
  <c r="DW19" i="24"/>
  <c r="CK19" i="24"/>
  <c r="BR19" i="24"/>
  <c r="DD19" i="24"/>
  <c r="EI17" i="24"/>
  <c r="CW17" i="24"/>
  <c r="BK17" i="24"/>
  <c r="CD17" i="24"/>
  <c r="AR17" i="24"/>
  <c r="AR110" i="24" s="1"/>
  <c r="C137" i="37"/>
  <c r="EN29" i="24"/>
  <c r="CI29" i="24"/>
  <c r="DU29" i="24"/>
  <c r="DB29" i="24"/>
  <c r="BP29" i="24"/>
  <c r="AW29" i="24"/>
  <c r="C77" i="37"/>
  <c r="EL16" i="24"/>
  <c r="DS16" i="24"/>
  <c r="CG16" i="24"/>
  <c r="CZ16" i="24"/>
  <c r="BN16" i="24"/>
  <c r="AU16" i="24"/>
  <c r="C232" i="37"/>
  <c r="ER29" i="24"/>
  <c r="DF29" i="24"/>
  <c r="DY29" i="24"/>
  <c r="CM29" i="24"/>
  <c r="BT29" i="24"/>
  <c r="BA29" i="24"/>
  <c r="DT23" i="24"/>
  <c r="DA23" i="24"/>
  <c r="AV23" i="24"/>
  <c r="EM23" i="24"/>
  <c r="CH23" i="24"/>
  <c r="BO23" i="24"/>
  <c r="EQ23" i="24"/>
  <c r="DX23" i="24"/>
  <c r="DE23" i="24"/>
  <c r="CL23" i="24"/>
  <c r="AZ23" i="24"/>
  <c r="BS23" i="24"/>
  <c r="C223" i="37"/>
  <c r="DY23" i="24"/>
  <c r="ER23" i="24"/>
  <c r="CM23" i="24"/>
  <c r="DF23" i="24"/>
  <c r="BA23" i="24"/>
  <c r="BT23" i="24"/>
  <c r="EK25" i="24"/>
  <c r="DR25" i="24"/>
  <c r="CY25" i="24"/>
  <c r="CF25" i="24"/>
  <c r="BM25" i="24"/>
  <c r="AT25" i="24"/>
  <c r="EM30" i="24"/>
  <c r="DT30" i="24"/>
  <c r="DA30" i="24"/>
  <c r="CH30" i="24"/>
  <c r="BO30" i="24"/>
  <c r="AV30" i="24"/>
  <c r="C30" i="37"/>
  <c r="EJ17" i="24"/>
  <c r="DQ17" i="24"/>
  <c r="CX17" i="24"/>
  <c r="BL17" i="24"/>
  <c r="CE17" i="24"/>
  <c r="DX29" i="24"/>
  <c r="EQ29" i="24"/>
  <c r="DE29" i="24"/>
  <c r="CL29" i="24"/>
  <c r="BS29" i="24"/>
  <c r="AZ29" i="24"/>
  <c r="C128" i="37"/>
  <c r="EN23" i="24"/>
  <c r="DU23" i="24"/>
  <c r="DB23" i="24"/>
  <c r="AW23" i="24"/>
  <c r="CI23" i="24"/>
  <c r="BP23" i="24"/>
  <c r="EK26" i="24"/>
  <c r="DR26" i="24"/>
  <c r="CY26" i="24"/>
  <c r="CF26" i="24"/>
  <c r="BM26" i="24"/>
  <c r="AT26" i="24"/>
  <c r="DE30" i="24"/>
  <c r="DX30" i="24"/>
  <c r="EQ30" i="24"/>
  <c r="CL30" i="24"/>
  <c r="BS30" i="24"/>
  <c r="AZ30" i="24"/>
  <c r="EQ19" i="24"/>
  <c r="DE19" i="24"/>
  <c r="DX19" i="24"/>
  <c r="CL19" i="24"/>
  <c r="BS19" i="24"/>
  <c r="E26" i="24"/>
  <c r="D26" i="24"/>
  <c r="H24" i="24"/>
  <c r="I24" i="24"/>
  <c r="K17" i="24"/>
  <c r="J17" i="24"/>
  <c r="M17" i="24"/>
  <c r="L17" i="24"/>
  <c r="D27" i="24"/>
  <c r="E27" i="24"/>
  <c r="M26" i="24"/>
  <c r="L26" i="24"/>
  <c r="I26" i="24"/>
  <c r="H26" i="24"/>
  <c r="M24" i="24"/>
  <c r="L24" i="24"/>
  <c r="I25" i="24"/>
  <c r="H25" i="24"/>
  <c r="M25" i="24"/>
  <c r="L25" i="24"/>
  <c r="E24" i="24"/>
  <c r="D24" i="24"/>
  <c r="J25" i="24"/>
  <c r="K25" i="24"/>
  <c r="J26" i="24"/>
  <c r="K26" i="24"/>
  <c r="K24" i="24"/>
  <c r="J24" i="24"/>
  <c r="BX336" i="24" l="1"/>
  <c r="BX338" i="24" s="1"/>
  <c r="IB200" i="24"/>
  <c r="IC210" i="24"/>
  <c r="IC200" i="24" s="1"/>
  <c r="HO281" i="24"/>
  <c r="HO215" i="24"/>
  <c r="HK281" i="24"/>
  <c r="HK215" i="24"/>
  <c r="HL280" i="24"/>
  <c r="HL214" i="24"/>
  <c r="HK280" i="24"/>
  <c r="HK214" i="24"/>
  <c r="HM280" i="24"/>
  <c r="HM214" i="24"/>
  <c r="HI277" i="24"/>
  <c r="HI211" i="24"/>
  <c r="HR226" i="24"/>
  <c r="HM281" i="24"/>
  <c r="HM215" i="24"/>
  <c r="HJ276" i="24"/>
  <c r="HJ210" i="24"/>
  <c r="HG268" i="24"/>
  <c r="HG202" i="24"/>
  <c r="HP214" i="24"/>
  <c r="HP280" i="24"/>
  <c r="HQ222" i="24"/>
  <c r="HR222" i="24"/>
  <c r="HN280" i="24"/>
  <c r="HN214" i="24"/>
  <c r="HL267" i="24"/>
  <c r="HL201" i="24"/>
  <c r="HR225" i="24"/>
  <c r="HQ226" i="24"/>
  <c r="HJ267" i="24"/>
  <c r="HJ266" i="24" s="1"/>
  <c r="HJ201" i="24"/>
  <c r="HO214" i="24"/>
  <c r="HO280" i="24"/>
  <c r="HH268" i="24"/>
  <c r="HH202" i="24"/>
  <c r="HK267" i="24"/>
  <c r="HK201" i="24"/>
  <c r="HQ225" i="24"/>
  <c r="HI276" i="24"/>
  <c r="HI210" i="24"/>
  <c r="HI267" i="24"/>
  <c r="HI201" i="24"/>
  <c r="GV281" i="24"/>
  <c r="GV215" i="24"/>
  <c r="GY222" i="24"/>
  <c r="GT280" i="24"/>
  <c r="GT214" i="24"/>
  <c r="GP211" i="24"/>
  <c r="GP277" i="24"/>
  <c r="GY226" i="24"/>
  <c r="GN268" i="24"/>
  <c r="GN202" i="24"/>
  <c r="GU214" i="24"/>
  <c r="GU280" i="24"/>
  <c r="GR280" i="24"/>
  <c r="GR214" i="24"/>
  <c r="GT281" i="24"/>
  <c r="GT215" i="24"/>
  <c r="GQ276" i="24"/>
  <c r="GQ210" i="24"/>
  <c r="GW280" i="24"/>
  <c r="GW214" i="24"/>
  <c r="GR215" i="24"/>
  <c r="GR281" i="24"/>
  <c r="GS214" i="24"/>
  <c r="GS280" i="24"/>
  <c r="GY225" i="24"/>
  <c r="GV214" i="24"/>
  <c r="GV280" i="24"/>
  <c r="GR267" i="24"/>
  <c r="GR201" i="24"/>
  <c r="GS267" i="24"/>
  <c r="GS201" i="24"/>
  <c r="GO268" i="24"/>
  <c r="GO202" i="24"/>
  <c r="GX225" i="24"/>
  <c r="GP276" i="24"/>
  <c r="GP210" i="24"/>
  <c r="GP267" i="24"/>
  <c r="GP201" i="24"/>
  <c r="GQ275" i="24"/>
  <c r="GQ209" i="24"/>
  <c r="GX226" i="24"/>
  <c r="GQ267" i="24"/>
  <c r="GQ201" i="24"/>
  <c r="GX222" i="24"/>
  <c r="CG209" i="24"/>
  <c r="FU268" i="24"/>
  <c r="FU202" i="24"/>
  <c r="GC281" i="24"/>
  <c r="GC215" i="24"/>
  <c r="FY280" i="24"/>
  <c r="FY214" i="24"/>
  <c r="FX276" i="24"/>
  <c r="FX210" i="24"/>
  <c r="GD280" i="24"/>
  <c r="GD214" i="24"/>
  <c r="FY281" i="24"/>
  <c r="FY215" i="24"/>
  <c r="AU209" i="24"/>
  <c r="EL209" i="24"/>
  <c r="GC280" i="24"/>
  <c r="GC214" i="24"/>
  <c r="GF222" i="24"/>
  <c r="GB280" i="24"/>
  <c r="GB214" i="24"/>
  <c r="FZ280" i="24"/>
  <c r="FZ214" i="24"/>
  <c r="AU275" i="24"/>
  <c r="GA280" i="24"/>
  <c r="GA214" i="24"/>
  <c r="FW277" i="24"/>
  <c r="FW211" i="24"/>
  <c r="GF226" i="24"/>
  <c r="GE222" i="24"/>
  <c r="FX275" i="24"/>
  <c r="FX209" i="24"/>
  <c r="FZ267" i="24"/>
  <c r="FZ201" i="24"/>
  <c r="GF225" i="24"/>
  <c r="FY267" i="24"/>
  <c r="FY201" i="24"/>
  <c r="GA281" i="24"/>
  <c r="GA215" i="24"/>
  <c r="FV268" i="24"/>
  <c r="FV202" i="24"/>
  <c r="GE225" i="24"/>
  <c r="GE226" i="24"/>
  <c r="FW276" i="24"/>
  <c r="FW210" i="24"/>
  <c r="FW267" i="24"/>
  <c r="FW201" i="24"/>
  <c r="FX267" i="24"/>
  <c r="FX201" i="24"/>
  <c r="CZ275" i="24"/>
  <c r="DS209" i="24"/>
  <c r="FI214" i="24"/>
  <c r="FI280" i="24"/>
  <c r="FJ215" i="24"/>
  <c r="FJ281" i="24"/>
  <c r="FM222" i="24"/>
  <c r="FF201" i="24"/>
  <c r="FF267" i="24"/>
  <c r="FL222" i="24"/>
  <c r="FF280" i="24"/>
  <c r="FF214" i="24"/>
  <c r="FH214" i="24"/>
  <c r="FH280" i="24"/>
  <c r="FD277" i="24"/>
  <c r="FD211" i="24"/>
  <c r="FM226" i="24"/>
  <c r="FE210" i="24"/>
  <c r="FE276" i="24"/>
  <c r="FK280" i="24"/>
  <c r="FK214" i="24"/>
  <c r="FF281" i="24"/>
  <c r="FF215" i="24"/>
  <c r="FG280" i="24"/>
  <c r="FG214" i="24"/>
  <c r="FB202" i="24"/>
  <c r="FB268" i="24"/>
  <c r="FG201" i="24"/>
  <c r="FG267" i="24"/>
  <c r="FM225" i="24"/>
  <c r="FJ214" i="24"/>
  <c r="FJ280" i="24"/>
  <c r="FC202" i="24"/>
  <c r="FC268" i="24"/>
  <c r="FL225" i="24"/>
  <c r="FL226" i="24"/>
  <c r="FD210" i="24"/>
  <c r="FD276" i="24"/>
  <c r="FD201" i="24"/>
  <c r="FD267" i="24"/>
  <c r="FE201" i="24"/>
  <c r="FE267" i="24"/>
  <c r="FH281" i="24"/>
  <c r="FH215" i="24"/>
  <c r="FE209" i="24"/>
  <c r="FE275" i="24"/>
  <c r="EJ268" i="24"/>
  <c r="EJ202" i="24"/>
  <c r="EK267" i="24"/>
  <c r="EK201" i="24"/>
  <c r="ES225" i="24"/>
  <c r="ES222" i="24"/>
  <c r="ET225" i="24"/>
  <c r="EN267" i="24"/>
  <c r="EN201" i="24"/>
  <c r="ET222" i="24"/>
  <c r="EO214" i="24"/>
  <c r="EO280" i="24"/>
  <c r="EI268" i="24"/>
  <c r="EI202" i="24"/>
  <c r="EM267" i="24"/>
  <c r="EM201" i="24"/>
  <c r="ES226" i="24"/>
  <c r="EM215" i="24"/>
  <c r="EM281" i="24"/>
  <c r="EN280" i="24"/>
  <c r="EN214" i="24"/>
  <c r="EO281" i="24"/>
  <c r="EO215" i="24"/>
  <c r="EK276" i="24"/>
  <c r="EK210" i="24"/>
  <c r="EL267" i="24"/>
  <c r="EL201" i="24"/>
  <c r="EM280" i="24"/>
  <c r="EM214" i="24"/>
  <c r="EQ280" i="24"/>
  <c r="EQ214" i="24"/>
  <c r="EQ215" i="24"/>
  <c r="EQ281" i="24"/>
  <c r="EK277" i="24"/>
  <c r="EK211" i="24"/>
  <c r="ER214" i="24"/>
  <c r="ER280" i="24"/>
  <c r="EP214" i="24"/>
  <c r="EP280" i="24"/>
  <c r="ET226" i="24"/>
  <c r="EL276" i="24"/>
  <c r="EL210" i="24"/>
  <c r="M47" i="49"/>
  <c r="M58" i="49"/>
  <c r="M66" i="49"/>
  <c r="M42" i="49"/>
  <c r="M57" i="49"/>
  <c r="M59" i="49"/>
  <c r="M62" i="49"/>
  <c r="M41" i="49"/>
  <c r="M63" i="49"/>
  <c r="M55" i="49"/>
  <c r="M65" i="49"/>
  <c r="M60" i="49"/>
  <c r="M53" i="49"/>
  <c r="M52" i="49"/>
  <c r="M61" i="49"/>
  <c r="M54" i="49"/>
  <c r="M64" i="49"/>
  <c r="M43" i="49"/>
  <c r="M19" i="49"/>
  <c r="M23" i="49"/>
  <c r="M25" i="49"/>
  <c r="P40" i="49" s="1"/>
  <c r="M30" i="49"/>
  <c r="M22" i="49"/>
  <c r="M27" i="49"/>
  <c r="M16" i="49"/>
  <c r="M18" i="49"/>
  <c r="M5" i="49"/>
  <c r="M29" i="49"/>
  <c r="M21" i="49"/>
  <c r="M6" i="49"/>
  <c r="M24" i="49"/>
  <c r="M28" i="49"/>
  <c r="M11" i="49"/>
  <c r="M7" i="49"/>
  <c r="M26" i="49"/>
  <c r="M17" i="49"/>
  <c r="DR276" i="24"/>
  <c r="DR210" i="24"/>
  <c r="DS267" i="24"/>
  <c r="DS201" i="24"/>
  <c r="DT215" i="24"/>
  <c r="DT281" i="24"/>
  <c r="DR267" i="24"/>
  <c r="DR201" i="24"/>
  <c r="DZ222" i="24"/>
  <c r="BW335" i="24"/>
  <c r="BW337" i="24" s="1"/>
  <c r="DY280" i="24"/>
  <c r="DY214" i="24"/>
  <c r="DR211" i="24"/>
  <c r="DR277" i="24"/>
  <c r="DW280" i="24"/>
  <c r="DW214" i="24"/>
  <c r="DX281" i="24"/>
  <c r="DX215" i="24"/>
  <c r="DQ268" i="24"/>
  <c r="DQ202" i="24"/>
  <c r="EA222" i="24"/>
  <c r="DU267" i="24"/>
  <c r="DU201" i="24"/>
  <c r="DV281" i="24"/>
  <c r="DV215" i="24"/>
  <c r="EA225" i="24"/>
  <c r="DP268" i="24"/>
  <c r="DP202" i="24"/>
  <c r="DZ226" i="24"/>
  <c r="DS276" i="24"/>
  <c r="DS210" i="24"/>
  <c r="EA226" i="24"/>
  <c r="DX280" i="24"/>
  <c r="DX214" i="24"/>
  <c r="DV280" i="24"/>
  <c r="DV214" i="24"/>
  <c r="DT280" i="24"/>
  <c r="DT214" i="24"/>
  <c r="DZ225" i="24"/>
  <c r="DU280" i="24"/>
  <c r="DU214" i="24"/>
  <c r="DT267" i="24"/>
  <c r="DT201" i="24"/>
  <c r="CX268" i="24"/>
  <c r="CX202" i="24"/>
  <c r="DG225" i="24"/>
  <c r="CY267" i="24"/>
  <c r="CY201" i="24"/>
  <c r="DH225" i="24"/>
  <c r="DB267" i="24"/>
  <c r="DB201" i="24"/>
  <c r="DG222" i="24"/>
  <c r="DD214" i="24"/>
  <c r="DD280" i="24"/>
  <c r="DE281" i="24"/>
  <c r="DE215" i="24"/>
  <c r="DH226" i="24"/>
  <c r="DE214" i="24"/>
  <c r="DE280" i="24"/>
  <c r="DB280" i="24"/>
  <c r="DB214" i="24"/>
  <c r="DG226" i="24"/>
  <c r="CW268" i="24"/>
  <c r="CW202" i="24"/>
  <c r="DC280" i="24"/>
  <c r="DC214" i="24"/>
  <c r="CZ267" i="24"/>
  <c r="CZ201" i="24"/>
  <c r="CY276" i="24"/>
  <c r="CY210" i="24"/>
  <c r="DC281" i="24"/>
  <c r="DC215" i="24"/>
  <c r="CY277" i="24"/>
  <c r="CY211" i="24"/>
  <c r="DA267" i="24"/>
  <c r="DA201" i="24"/>
  <c r="CZ276" i="24"/>
  <c r="CZ210" i="24"/>
  <c r="DA280" i="24"/>
  <c r="DA214" i="24"/>
  <c r="DH222" i="24"/>
  <c r="DA281" i="24"/>
  <c r="DA215" i="24"/>
  <c r="DF214" i="24"/>
  <c r="DF280" i="24"/>
  <c r="BE335" i="24"/>
  <c r="BE337" i="24" s="1"/>
  <c r="CO225" i="24"/>
  <c r="CD268" i="24"/>
  <c r="CD202" i="24"/>
  <c r="CO226" i="24"/>
  <c r="CL214" i="24"/>
  <c r="CL280" i="24"/>
  <c r="CJ214" i="24"/>
  <c r="CJ280" i="24"/>
  <c r="CI267" i="24"/>
  <c r="CI201" i="24"/>
  <c r="CO222" i="24"/>
  <c r="CN226" i="24"/>
  <c r="CF276" i="24"/>
  <c r="CF210" i="24"/>
  <c r="CH267" i="24"/>
  <c r="CH201" i="24"/>
  <c r="CH280" i="24"/>
  <c r="CH214" i="24"/>
  <c r="CJ215" i="24"/>
  <c r="CJ281" i="24"/>
  <c r="CF277" i="24"/>
  <c r="CF211" i="24"/>
  <c r="CM214" i="24"/>
  <c r="CM280" i="24"/>
  <c r="CG267" i="24"/>
  <c r="CG201" i="24"/>
  <c r="CI280" i="24"/>
  <c r="CI214" i="24"/>
  <c r="CG276" i="24"/>
  <c r="CG210" i="24"/>
  <c r="CN222" i="24"/>
  <c r="CE268" i="24"/>
  <c r="CE202" i="24"/>
  <c r="CH215" i="24"/>
  <c r="CH281" i="24"/>
  <c r="CK280" i="24"/>
  <c r="CK214" i="24"/>
  <c r="CL215" i="24"/>
  <c r="CL281" i="24"/>
  <c r="CF267" i="24"/>
  <c r="CF201" i="24"/>
  <c r="CN225" i="24"/>
  <c r="BS281" i="24"/>
  <c r="BS215" i="24"/>
  <c r="BV225" i="24"/>
  <c r="BL202" i="24"/>
  <c r="BL268" i="24"/>
  <c r="BQ281" i="24"/>
  <c r="BQ215" i="24"/>
  <c r="BS280" i="24"/>
  <c r="BS214" i="24"/>
  <c r="BP280" i="24"/>
  <c r="BP214" i="24"/>
  <c r="BK268" i="24"/>
  <c r="BK202" i="24"/>
  <c r="BU226" i="24"/>
  <c r="BU225" i="24"/>
  <c r="BD335" i="24"/>
  <c r="BD337" i="24" s="1"/>
  <c r="BM267" i="24"/>
  <c r="BQ280" i="24"/>
  <c r="BQ214" i="24"/>
  <c r="BP267" i="24"/>
  <c r="BP201" i="24"/>
  <c r="BO267" i="24"/>
  <c r="BO201" i="24"/>
  <c r="BV226" i="24"/>
  <c r="BM276" i="24"/>
  <c r="BM210" i="24"/>
  <c r="BN267" i="24"/>
  <c r="BN201" i="24"/>
  <c r="BO280" i="24"/>
  <c r="BO214" i="24"/>
  <c r="BM277" i="24"/>
  <c r="BM211" i="24"/>
  <c r="BT280" i="24"/>
  <c r="BT214" i="24"/>
  <c r="BN276" i="24"/>
  <c r="BN210" i="24"/>
  <c r="BU222" i="24"/>
  <c r="BO281" i="24"/>
  <c r="BO215" i="24"/>
  <c r="BR214" i="24"/>
  <c r="BR280" i="24"/>
  <c r="BV222" i="24"/>
  <c r="S7" i="10"/>
  <c r="S98" i="10" s="1"/>
  <c r="S4" i="27"/>
  <c r="R7" i="10"/>
  <c r="R108" i="10" s="1"/>
  <c r="R4" i="27"/>
  <c r="S52" i="10"/>
  <c r="S49" i="10" s="1"/>
  <c r="S25" i="10"/>
  <c r="R25" i="10"/>
  <c r="R52" i="10"/>
  <c r="R49" i="10" s="1"/>
  <c r="LX25" i="24"/>
  <c r="NJ25" i="24"/>
  <c r="KL25" i="24"/>
  <c r="LE25" i="24"/>
  <c r="JS25" i="24"/>
  <c r="IG25" i="24"/>
  <c r="IG210" i="24" s="1"/>
  <c r="MQ25" i="24"/>
  <c r="IZ25" i="24"/>
  <c r="IE280" i="24"/>
  <c r="LY25" i="24"/>
  <c r="NK25" i="24"/>
  <c r="KM25" i="24"/>
  <c r="MR25" i="24"/>
  <c r="JA25" i="24"/>
  <c r="LF25" i="24"/>
  <c r="JT25" i="24"/>
  <c r="IH25" i="24"/>
  <c r="IH210" i="24" s="1"/>
  <c r="MP26" i="24"/>
  <c r="LW26" i="24"/>
  <c r="NI26" i="24"/>
  <c r="LD26" i="24"/>
  <c r="KK26" i="24"/>
  <c r="IY26" i="24"/>
  <c r="JR26" i="24"/>
  <c r="IF26" i="24"/>
  <c r="IF211" i="24" s="1"/>
  <c r="NH25" i="24"/>
  <c r="KJ25" i="24"/>
  <c r="LC25" i="24"/>
  <c r="MO25" i="24"/>
  <c r="JQ25" i="24"/>
  <c r="IE25" i="24"/>
  <c r="IE210" i="24" s="1"/>
  <c r="IX25" i="24"/>
  <c r="LV25" i="24"/>
  <c r="ND26" i="24"/>
  <c r="KF26" i="24"/>
  <c r="KY26" i="24"/>
  <c r="MK26" i="24"/>
  <c r="JM26" i="24"/>
  <c r="IA26" i="24"/>
  <c r="IA211" i="24" s="1"/>
  <c r="LR26" i="24"/>
  <c r="IT26" i="24"/>
  <c r="IF280" i="24"/>
  <c r="IC267" i="24"/>
  <c r="IH280" i="24"/>
  <c r="NI25" i="24"/>
  <c r="KK25" i="24"/>
  <c r="LD25" i="24"/>
  <c r="MP25" i="24"/>
  <c r="LW25" i="24"/>
  <c r="JR25" i="24"/>
  <c r="IF25" i="24"/>
  <c r="IF210" i="24" s="1"/>
  <c r="IY25" i="24"/>
  <c r="ID267" i="24"/>
  <c r="IA268" i="24"/>
  <c r="IG280" i="24"/>
  <c r="NL24" i="24"/>
  <c r="KN24" i="24"/>
  <c r="LG24" i="24"/>
  <c r="MS24" i="24"/>
  <c r="LZ24" i="24"/>
  <c r="JU24" i="24"/>
  <c r="II24" i="24"/>
  <c r="II209" i="24" s="1"/>
  <c r="JB24" i="24"/>
  <c r="LU26" i="24"/>
  <c r="NG26" i="24"/>
  <c r="KI26" i="24"/>
  <c r="MN26" i="24"/>
  <c r="IW26" i="24"/>
  <c r="JP26" i="24"/>
  <c r="ID26" i="24"/>
  <c r="ID211" i="24" s="1"/>
  <c r="LB26" i="24"/>
  <c r="IC276" i="24"/>
  <c r="MS17" i="24"/>
  <c r="LZ17" i="24"/>
  <c r="NL17" i="24"/>
  <c r="LG17" i="24"/>
  <c r="JB17" i="24"/>
  <c r="KN17" i="24"/>
  <c r="JU17" i="24"/>
  <c r="II17" i="24"/>
  <c r="II202" i="24" s="1"/>
  <c r="KE24" i="24"/>
  <c r="KX24" i="24"/>
  <c r="MJ24" i="24"/>
  <c r="NC24" i="24"/>
  <c r="JL24" i="24"/>
  <c r="HZ24" i="24"/>
  <c r="HZ209" i="24" s="1"/>
  <c r="IS24" i="24"/>
  <c r="LQ24" i="24"/>
  <c r="NI17" i="24"/>
  <c r="KK17" i="24"/>
  <c r="LD17" i="24"/>
  <c r="MP17" i="24"/>
  <c r="LW17" i="24"/>
  <c r="JR17" i="24"/>
  <c r="IF17" i="24"/>
  <c r="IF202" i="24" s="1"/>
  <c r="IY17" i="24"/>
  <c r="ND24" i="24"/>
  <c r="KF24" i="24"/>
  <c r="KY24" i="24"/>
  <c r="MK24" i="24"/>
  <c r="JM24" i="24"/>
  <c r="IA24" i="24"/>
  <c r="IA209" i="24" s="1"/>
  <c r="IT24" i="24"/>
  <c r="LR24" i="24"/>
  <c r="MO26" i="24"/>
  <c r="LV26" i="24"/>
  <c r="NH26" i="24"/>
  <c r="LC26" i="24"/>
  <c r="KJ26" i="24"/>
  <c r="IX26" i="24"/>
  <c r="JQ26" i="24"/>
  <c r="IE26" i="24"/>
  <c r="IE211" i="24" s="1"/>
  <c r="LX17" i="24"/>
  <c r="NJ17" i="24"/>
  <c r="KL17" i="24"/>
  <c r="LE17" i="24"/>
  <c r="MQ17" i="24"/>
  <c r="JS17" i="24"/>
  <c r="IG17" i="24"/>
  <c r="IG202" i="24" s="1"/>
  <c r="IZ17" i="24"/>
  <c r="IB277" i="24"/>
  <c r="IB267" i="24"/>
  <c r="IE267" i="24"/>
  <c r="IF281" i="24"/>
  <c r="IH281" i="24"/>
  <c r="LY17" i="24"/>
  <c r="NK17" i="24"/>
  <c r="KM17" i="24"/>
  <c r="MR17" i="24"/>
  <c r="JA17" i="24"/>
  <c r="JT17" i="24"/>
  <c r="IH17" i="24"/>
  <c r="IH202" i="24" s="1"/>
  <c r="LF17" i="24"/>
  <c r="ID280" i="24"/>
  <c r="MO24" i="24"/>
  <c r="LV24" i="24"/>
  <c r="NH24" i="24"/>
  <c r="IX24" i="24"/>
  <c r="JQ24" i="24"/>
  <c r="LC24" i="24"/>
  <c r="IE24" i="24"/>
  <c r="IE209" i="24" s="1"/>
  <c r="IE200" i="24" s="1"/>
  <c r="KJ24" i="24"/>
  <c r="LE24" i="24"/>
  <c r="MQ24" i="24"/>
  <c r="LX24" i="24"/>
  <c r="KL24" i="24"/>
  <c r="JS24" i="24"/>
  <c r="IG24" i="24"/>
  <c r="IG209" i="24" s="1"/>
  <c r="IZ24" i="24"/>
  <c r="NJ24" i="24"/>
  <c r="MS25" i="24"/>
  <c r="LZ25" i="24"/>
  <c r="NL25" i="24"/>
  <c r="JB25" i="24"/>
  <c r="LG25" i="24"/>
  <c r="KN25" i="24"/>
  <c r="JU25" i="24"/>
  <c r="II25" i="24"/>
  <c r="II210" i="24" s="1"/>
  <c r="NL26" i="24"/>
  <c r="KN26" i="24"/>
  <c r="LG26" i="24"/>
  <c r="MS26" i="24"/>
  <c r="JU26" i="24"/>
  <c r="II26" i="24"/>
  <c r="II211" i="24" s="1"/>
  <c r="LZ26" i="24"/>
  <c r="JB26" i="24"/>
  <c r="LU24" i="24"/>
  <c r="NG24" i="24"/>
  <c r="KI24" i="24"/>
  <c r="MN24" i="24"/>
  <c r="IW24" i="24"/>
  <c r="LB24" i="24"/>
  <c r="JP24" i="24"/>
  <c r="ID24" i="24"/>
  <c r="ID209" i="24" s="1"/>
  <c r="KM24" i="24"/>
  <c r="LF24" i="24"/>
  <c r="MR24" i="24"/>
  <c r="NK24" i="24"/>
  <c r="LY24" i="24"/>
  <c r="JT24" i="24"/>
  <c r="IH24" i="24"/>
  <c r="IH209" i="24" s="1"/>
  <c r="JA24" i="24"/>
  <c r="MP24" i="24"/>
  <c r="LW24" i="24"/>
  <c r="NI24" i="24"/>
  <c r="LD24" i="24"/>
  <c r="IY24" i="24"/>
  <c r="KK24" i="24"/>
  <c r="JR24" i="24"/>
  <c r="IF24" i="24"/>
  <c r="IF209" i="24" s="1"/>
  <c r="KM26" i="24"/>
  <c r="LF26" i="24"/>
  <c r="MR26" i="24"/>
  <c r="NK26" i="24"/>
  <c r="JT26" i="24"/>
  <c r="IH26" i="24"/>
  <c r="IH211" i="24" s="1"/>
  <c r="LY26" i="24"/>
  <c r="JA26" i="24"/>
  <c r="LE26" i="24"/>
  <c r="MQ26" i="24"/>
  <c r="LX26" i="24"/>
  <c r="KL26" i="24"/>
  <c r="JS26" i="24"/>
  <c r="IG26" i="24"/>
  <c r="IG211" i="24" s="1"/>
  <c r="IZ26" i="24"/>
  <c r="NJ26" i="24"/>
  <c r="KI25" i="24"/>
  <c r="LB25" i="24"/>
  <c r="MN25" i="24"/>
  <c r="NG25" i="24"/>
  <c r="LU25" i="24"/>
  <c r="JP25" i="24"/>
  <c r="ID25" i="24"/>
  <c r="ID210" i="24" s="1"/>
  <c r="IW25" i="24"/>
  <c r="KE26" i="24"/>
  <c r="KX26" i="24"/>
  <c r="MJ26" i="24"/>
  <c r="NC26" i="24"/>
  <c r="JL26" i="24"/>
  <c r="HZ26" i="24"/>
  <c r="HZ211" i="24" s="1"/>
  <c r="LQ26" i="24"/>
  <c r="IS26" i="24"/>
  <c r="ID281" i="24"/>
  <c r="II280" i="24"/>
  <c r="HZ268" i="24"/>
  <c r="IB276" i="24"/>
  <c r="LQ27" i="24"/>
  <c r="JL27" i="24"/>
  <c r="NC27" i="24"/>
  <c r="MJ27" i="24"/>
  <c r="KE27" i="24"/>
  <c r="IS27" i="24"/>
  <c r="KX27" i="24"/>
  <c r="HZ27" i="24"/>
  <c r="HZ212" i="24" s="1"/>
  <c r="KY27" i="24"/>
  <c r="IA27" i="24"/>
  <c r="IA212" i="24" s="1"/>
  <c r="ND27" i="24"/>
  <c r="LR27" i="24"/>
  <c r="MK27" i="24"/>
  <c r="KF27" i="24"/>
  <c r="IT27" i="24"/>
  <c r="JM27" i="24"/>
  <c r="BS118" i="24"/>
  <c r="BV109" i="24"/>
  <c r="BL110" i="24"/>
  <c r="BM109" i="24"/>
  <c r="BS117" i="24"/>
  <c r="BP117" i="24"/>
  <c r="BK110" i="24"/>
  <c r="BQ117" i="24"/>
  <c r="BV120" i="24"/>
  <c r="BQ118" i="24"/>
  <c r="BM113" i="24"/>
  <c r="BN109" i="24"/>
  <c r="BU119" i="24"/>
  <c r="BU120" i="24"/>
  <c r="BM114" i="24"/>
  <c r="BT117" i="24"/>
  <c r="BO109" i="24"/>
  <c r="BO117" i="24"/>
  <c r="BP109" i="24"/>
  <c r="BO118" i="24"/>
  <c r="BR117" i="24"/>
  <c r="BU109" i="24"/>
  <c r="BV119" i="24"/>
  <c r="AZ117" i="24"/>
  <c r="AZ214" i="24"/>
  <c r="AZ280" i="24"/>
  <c r="AR268" i="24"/>
  <c r="AR202" i="24"/>
  <c r="AW117" i="24"/>
  <c r="AW280" i="24"/>
  <c r="AW214" i="24"/>
  <c r="AX117" i="24"/>
  <c r="AX280" i="24"/>
  <c r="AX214" i="24"/>
  <c r="BC109" i="24"/>
  <c r="BC222" i="24"/>
  <c r="AT113" i="24"/>
  <c r="AT210" i="24"/>
  <c r="AT276" i="24"/>
  <c r="AU109" i="24"/>
  <c r="AU267" i="24"/>
  <c r="AU201" i="24"/>
  <c r="BB119" i="24"/>
  <c r="BB226" i="24"/>
  <c r="BB120" i="24"/>
  <c r="BB225" i="24"/>
  <c r="AT114" i="24"/>
  <c r="AT211" i="24"/>
  <c r="AT277" i="24"/>
  <c r="BA117" i="24"/>
  <c r="BA214" i="24"/>
  <c r="BA280" i="24"/>
  <c r="AV109" i="24"/>
  <c r="AV267" i="24"/>
  <c r="AV201" i="24"/>
  <c r="AV117" i="24"/>
  <c r="AV280" i="24"/>
  <c r="AV214" i="24"/>
  <c r="AW109" i="24"/>
  <c r="AW267" i="24"/>
  <c r="AW201" i="24"/>
  <c r="BB109" i="24"/>
  <c r="BB222" i="24"/>
  <c r="AV118" i="24"/>
  <c r="AV281" i="24"/>
  <c r="AV215" i="24"/>
  <c r="AU113" i="24"/>
  <c r="AU210" i="24"/>
  <c r="AU276" i="24"/>
  <c r="AY117" i="24"/>
  <c r="AY214" i="24"/>
  <c r="AY280" i="24"/>
  <c r="AZ118" i="24"/>
  <c r="AZ281" i="24"/>
  <c r="AZ215" i="24"/>
  <c r="AT109" i="24"/>
  <c r="AT267" i="24"/>
  <c r="AT201" i="24"/>
  <c r="AX118" i="24"/>
  <c r="AX215" i="24"/>
  <c r="AX281" i="24"/>
  <c r="BC119" i="24"/>
  <c r="BC226" i="24"/>
  <c r="BC120" i="24"/>
  <c r="BC225" i="24"/>
  <c r="H228" i="37"/>
  <c r="H133" i="37"/>
  <c r="H134" i="37"/>
  <c r="H39" i="37"/>
  <c r="H221" i="37"/>
  <c r="H182" i="37"/>
  <c r="H37" i="37"/>
  <c r="H135" i="37"/>
  <c r="H174" i="37"/>
  <c r="H183" i="37"/>
  <c r="H181" i="37"/>
  <c r="H229" i="37"/>
  <c r="H230" i="37"/>
  <c r="HH27" i="24"/>
  <c r="EJ27" i="24"/>
  <c r="FC27" i="24"/>
  <c r="FV27" i="24"/>
  <c r="GO27" i="24"/>
  <c r="CX27" i="24"/>
  <c r="DQ27" i="24"/>
  <c r="BL27" i="24"/>
  <c r="CE27" i="24"/>
  <c r="AR27" i="24"/>
  <c r="H40" i="37"/>
  <c r="FB27" i="24"/>
  <c r="EI27" i="24"/>
  <c r="FU27" i="24"/>
  <c r="CD27" i="24"/>
  <c r="HG27" i="24"/>
  <c r="GN27" i="24"/>
  <c r="DP27" i="24"/>
  <c r="CW27" i="24"/>
  <c r="BK27" i="24"/>
  <c r="GE36" i="24"/>
  <c r="BN113" i="24"/>
  <c r="GF36" i="24"/>
  <c r="HM25" i="24"/>
  <c r="GA25" i="24"/>
  <c r="FH25" i="24"/>
  <c r="GT25" i="24"/>
  <c r="HP17" i="24"/>
  <c r="GW17" i="24"/>
  <c r="GD17" i="24"/>
  <c r="FK17" i="24"/>
  <c r="HM17" i="24"/>
  <c r="GT17" i="24"/>
  <c r="GA17" i="24"/>
  <c r="FH17" i="24"/>
  <c r="HL24" i="24"/>
  <c r="GS24" i="24"/>
  <c r="FZ24" i="24"/>
  <c r="FG24" i="24"/>
  <c r="HP26" i="24"/>
  <c r="GW26" i="24"/>
  <c r="FK26" i="24"/>
  <c r="GD26" i="24"/>
  <c r="HP24" i="24"/>
  <c r="GW24" i="24"/>
  <c r="GD24" i="24"/>
  <c r="FK24" i="24"/>
  <c r="HK26" i="24"/>
  <c r="GR26" i="24"/>
  <c r="FF26" i="24"/>
  <c r="FY26" i="24"/>
  <c r="GU17" i="24"/>
  <c r="HN17" i="24"/>
  <c r="GB17" i="24"/>
  <c r="FI17" i="24"/>
  <c r="HO25" i="24"/>
  <c r="GV25" i="24"/>
  <c r="GC25" i="24"/>
  <c r="FJ25" i="24"/>
  <c r="HP25" i="24"/>
  <c r="GD25" i="24"/>
  <c r="GW25" i="24"/>
  <c r="FK25" i="24"/>
  <c r="HN26" i="24"/>
  <c r="GB26" i="24"/>
  <c r="FI26" i="24"/>
  <c r="GU26" i="24"/>
  <c r="HG26" i="24"/>
  <c r="GN26" i="24"/>
  <c r="FU26" i="24"/>
  <c r="FB26" i="24"/>
  <c r="GN24" i="24"/>
  <c r="HG24" i="24"/>
  <c r="FU24" i="24"/>
  <c r="FB24" i="24"/>
  <c r="GO24" i="24"/>
  <c r="HH24" i="24"/>
  <c r="FC24" i="24"/>
  <c r="FV24" i="24"/>
  <c r="GC26" i="24"/>
  <c r="HO26" i="24"/>
  <c r="GV26" i="24"/>
  <c r="FJ26" i="24"/>
  <c r="HN24" i="24"/>
  <c r="GU24" i="24"/>
  <c r="FI24" i="24"/>
  <c r="GB24" i="24"/>
  <c r="GS25" i="24"/>
  <c r="HL25" i="24"/>
  <c r="FZ25" i="24"/>
  <c r="FG25" i="24"/>
  <c r="HH26" i="24"/>
  <c r="FV26" i="24"/>
  <c r="GO26" i="24"/>
  <c r="FC26" i="24"/>
  <c r="GS26" i="24"/>
  <c r="FG26" i="24"/>
  <c r="HL26" i="24"/>
  <c r="FZ26" i="24"/>
  <c r="HM24" i="24"/>
  <c r="GT24" i="24"/>
  <c r="FH24" i="24"/>
  <c r="GA24" i="24"/>
  <c r="HK24" i="24"/>
  <c r="GR24" i="24"/>
  <c r="FY24" i="24"/>
  <c r="FF24" i="24"/>
  <c r="HK25" i="24"/>
  <c r="GR25" i="24"/>
  <c r="FY25" i="24"/>
  <c r="FF25" i="24"/>
  <c r="HM26" i="24"/>
  <c r="GA26" i="24"/>
  <c r="GT26" i="24"/>
  <c r="FH26" i="24"/>
  <c r="HN25" i="24"/>
  <c r="GU25" i="24"/>
  <c r="GB25" i="24"/>
  <c r="FI25" i="24"/>
  <c r="HO24" i="24"/>
  <c r="GV24" i="24"/>
  <c r="FJ24" i="24"/>
  <c r="GC24" i="24"/>
  <c r="HO17" i="24"/>
  <c r="GC17" i="24"/>
  <c r="GV17" i="24"/>
  <c r="FJ17" i="24"/>
  <c r="EO25" i="24"/>
  <c r="DV25" i="24"/>
  <c r="DC25" i="24"/>
  <c r="CJ25" i="24"/>
  <c r="BQ25" i="24"/>
  <c r="AX25" i="24"/>
  <c r="C221" i="37"/>
  <c r="ER17" i="24"/>
  <c r="DY17" i="24"/>
  <c r="DF17" i="24"/>
  <c r="CM17" i="24"/>
  <c r="BT17" i="24"/>
  <c r="BA17" i="24"/>
  <c r="EI24" i="24"/>
  <c r="DP24" i="24"/>
  <c r="CD24" i="24"/>
  <c r="CW24" i="24"/>
  <c r="BK24" i="24"/>
  <c r="EM26" i="24"/>
  <c r="DT26" i="24"/>
  <c r="DA26" i="24"/>
  <c r="CH26" i="24"/>
  <c r="BO26" i="24"/>
  <c r="AV26" i="24"/>
  <c r="DV17" i="24"/>
  <c r="EO17" i="24"/>
  <c r="DC17" i="24"/>
  <c r="CJ17" i="24"/>
  <c r="BQ17" i="24"/>
  <c r="AX17" i="24"/>
  <c r="C181" i="37"/>
  <c r="EP24" i="24"/>
  <c r="DW24" i="24"/>
  <c r="DD24" i="24"/>
  <c r="CK24" i="24"/>
  <c r="BR24" i="24"/>
  <c r="AY24" i="24"/>
  <c r="C229" i="37"/>
  <c r="ER25" i="24"/>
  <c r="DY25" i="24"/>
  <c r="DF25" i="24"/>
  <c r="CM25" i="24"/>
  <c r="BT25" i="24"/>
  <c r="BA25" i="24"/>
  <c r="C230" i="37"/>
  <c r="ER26" i="24"/>
  <c r="DY26" i="24"/>
  <c r="DF26" i="24"/>
  <c r="CM26" i="24"/>
  <c r="BT26" i="24"/>
  <c r="BA26" i="24"/>
  <c r="DT24" i="24"/>
  <c r="EM24" i="24"/>
  <c r="DA24" i="24"/>
  <c r="CH24" i="24"/>
  <c r="BO24" i="24"/>
  <c r="AV24" i="24"/>
  <c r="DX26" i="24"/>
  <c r="EQ26" i="24"/>
  <c r="DE26" i="24"/>
  <c r="CL26" i="24"/>
  <c r="BS26" i="24"/>
  <c r="AZ26" i="24"/>
  <c r="C37" i="37"/>
  <c r="EJ24" i="24"/>
  <c r="DQ24" i="24"/>
  <c r="CX24" i="24"/>
  <c r="BL24" i="24"/>
  <c r="CE24" i="24"/>
  <c r="EO24" i="24"/>
  <c r="CJ24" i="24"/>
  <c r="DC24" i="24"/>
  <c r="BQ24" i="24"/>
  <c r="DV24" i="24"/>
  <c r="AX24" i="24"/>
  <c r="DT25" i="24"/>
  <c r="EM25" i="24"/>
  <c r="CH25" i="24"/>
  <c r="BO25" i="24"/>
  <c r="DA25" i="24"/>
  <c r="AV25" i="24"/>
  <c r="C134" i="37"/>
  <c r="EN25" i="24"/>
  <c r="DU25" i="24"/>
  <c r="DB25" i="24"/>
  <c r="CI25" i="24"/>
  <c r="BP25" i="24"/>
  <c r="AW25" i="24"/>
  <c r="C174" i="37"/>
  <c r="EP17" i="24"/>
  <c r="DD17" i="24"/>
  <c r="DW17" i="24"/>
  <c r="CK17" i="24"/>
  <c r="BR17" i="24"/>
  <c r="AY17" i="24"/>
  <c r="C133" i="37"/>
  <c r="EN24" i="24"/>
  <c r="DU24" i="24"/>
  <c r="DB24" i="24"/>
  <c r="CI24" i="24"/>
  <c r="BP24" i="24"/>
  <c r="AW24" i="24"/>
  <c r="C183" i="37"/>
  <c r="EP26" i="24"/>
  <c r="DD26" i="24"/>
  <c r="DW26" i="24"/>
  <c r="CK26" i="24"/>
  <c r="BR26" i="24"/>
  <c r="AY26" i="24"/>
  <c r="EI26" i="24"/>
  <c r="CW26" i="24"/>
  <c r="DP26" i="24"/>
  <c r="CD26" i="24"/>
  <c r="BK26" i="24"/>
  <c r="DV26" i="24"/>
  <c r="EO26" i="24"/>
  <c r="DC26" i="24"/>
  <c r="CJ26" i="24"/>
  <c r="BQ26" i="24"/>
  <c r="AX26" i="24"/>
  <c r="C39" i="37"/>
  <c r="DQ26" i="24"/>
  <c r="EJ26" i="24"/>
  <c r="CE26" i="24"/>
  <c r="BL26" i="24"/>
  <c r="CX26" i="24"/>
  <c r="C182" i="37"/>
  <c r="EP25" i="24"/>
  <c r="DW25" i="24"/>
  <c r="DD25" i="24"/>
  <c r="CK25" i="24"/>
  <c r="BR25" i="24"/>
  <c r="AY25" i="24"/>
  <c r="EQ24" i="24"/>
  <c r="DX24" i="24"/>
  <c r="DE24" i="24"/>
  <c r="CL24" i="24"/>
  <c r="BS24" i="24"/>
  <c r="AZ24" i="24"/>
  <c r="DX17" i="24"/>
  <c r="EQ17" i="24"/>
  <c r="DE17" i="24"/>
  <c r="CL17" i="24"/>
  <c r="BS17" i="24"/>
  <c r="AZ17" i="24"/>
  <c r="AU15" i="24"/>
  <c r="C135" i="37"/>
  <c r="DB26" i="24"/>
  <c r="EN26" i="24"/>
  <c r="DU26" i="24"/>
  <c r="CI26" i="24"/>
  <c r="BP26" i="24"/>
  <c r="AW26" i="24"/>
  <c r="EQ25" i="24"/>
  <c r="DX25" i="24"/>
  <c r="DE25" i="24"/>
  <c r="CL25" i="24"/>
  <c r="BS25" i="24"/>
  <c r="AZ25" i="24"/>
  <c r="C228" i="37"/>
  <c r="DY24" i="24"/>
  <c r="ER24" i="24"/>
  <c r="DF24" i="24"/>
  <c r="CM24" i="24"/>
  <c r="BT24" i="24"/>
  <c r="BA24" i="24"/>
  <c r="AS27" i="24"/>
  <c r="C40" i="37"/>
  <c r="IF200" i="24" l="1"/>
  <c r="IA200" i="24"/>
  <c r="HZ200" i="24"/>
  <c r="ID200" i="24"/>
  <c r="P62" i="49"/>
  <c r="P66" i="49"/>
  <c r="IG200" i="24"/>
  <c r="IH200" i="24"/>
  <c r="II200" i="24"/>
  <c r="HI266" i="24"/>
  <c r="HJ200" i="24"/>
  <c r="HI200" i="24"/>
  <c r="HL277" i="24"/>
  <c r="HL211" i="24"/>
  <c r="HO275" i="24"/>
  <c r="HO209" i="24"/>
  <c r="HM277" i="24"/>
  <c r="HM211" i="24"/>
  <c r="HK275" i="24"/>
  <c r="HK209" i="24"/>
  <c r="HL276" i="24"/>
  <c r="HL210" i="24"/>
  <c r="HO211" i="24"/>
  <c r="HO277" i="24"/>
  <c r="HG275" i="24"/>
  <c r="HG209" i="24"/>
  <c r="HP275" i="24"/>
  <c r="HP209" i="24"/>
  <c r="HN277" i="24"/>
  <c r="HN211" i="24"/>
  <c r="HL275" i="24"/>
  <c r="HL209" i="24"/>
  <c r="HP202" i="24"/>
  <c r="HP268" i="24"/>
  <c r="HO276" i="24"/>
  <c r="HO210" i="24"/>
  <c r="HK277" i="24"/>
  <c r="HK211" i="24"/>
  <c r="HH278" i="24"/>
  <c r="HH212" i="24"/>
  <c r="HO268" i="24"/>
  <c r="HO202" i="24"/>
  <c r="HN210" i="24"/>
  <c r="HN276" i="24"/>
  <c r="HK276" i="24"/>
  <c r="HK210" i="24"/>
  <c r="HH275" i="24"/>
  <c r="HH209" i="24"/>
  <c r="HG278" i="24"/>
  <c r="HG212" i="24"/>
  <c r="HM275" i="24"/>
  <c r="HM209" i="24"/>
  <c r="HH211" i="24"/>
  <c r="HH277" i="24"/>
  <c r="HN275" i="24"/>
  <c r="HN209" i="24"/>
  <c r="HG211" i="24"/>
  <c r="HG277" i="24"/>
  <c r="HP276" i="24"/>
  <c r="HP210" i="24"/>
  <c r="HN268" i="24"/>
  <c r="HN202" i="24"/>
  <c r="HP211" i="24"/>
  <c r="HP277" i="24"/>
  <c r="HM268" i="24"/>
  <c r="HM202" i="24"/>
  <c r="HM210" i="24"/>
  <c r="HM276" i="24"/>
  <c r="FW200" i="24"/>
  <c r="FW266" i="24"/>
  <c r="FX200" i="24"/>
  <c r="GP266" i="24"/>
  <c r="GR276" i="24"/>
  <c r="GR210" i="24"/>
  <c r="GV275" i="24"/>
  <c r="GV209" i="24"/>
  <c r="GR275" i="24"/>
  <c r="GR209" i="24"/>
  <c r="GV211" i="24"/>
  <c r="GV277" i="24"/>
  <c r="GW275" i="24"/>
  <c r="GW209" i="24"/>
  <c r="GO212" i="24"/>
  <c r="GO278" i="24"/>
  <c r="GQ266" i="24"/>
  <c r="GS275" i="24"/>
  <c r="GS209" i="24"/>
  <c r="GS211" i="24"/>
  <c r="GS277" i="24"/>
  <c r="GS276" i="24"/>
  <c r="GS210" i="24"/>
  <c r="GN275" i="24"/>
  <c r="GN209" i="24"/>
  <c r="GV276" i="24"/>
  <c r="GV210" i="24"/>
  <c r="GV268" i="24"/>
  <c r="GV202" i="24"/>
  <c r="GR277" i="24"/>
  <c r="GR211" i="24"/>
  <c r="GT276" i="24"/>
  <c r="GT210" i="24"/>
  <c r="GN278" i="24"/>
  <c r="GN212" i="24"/>
  <c r="GW268" i="24"/>
  <c r="GW202" i="24"/>
  <c r="GU276" i="24"/>
  <c r="GU210" i="24"/>
  <c r="GO277" i="24"/>
  <c r="GO211" i="24"/>
  <c r="GT275" i="24"/>
  <c r="GT209" i="24"/>
  <c r="GU275" i="24"/>
  <c r="GU209" i="24"/>
  <c r="GN211" i="24"/>
  <c r="GN277" i="24"/>
  <c r="GW277" i="24"/>
  <c r="GW211" i="24"/>
  <c r="GT268" i="24"/>
  <c r="GT202" i="24"/>
  <c r="GP200" i="24"/>
  <c r="GW276" i="24"/>
  <c r="GW210" i="24"/>
  <c r="GO275" i="24"/>
  <c r="GO209" i="24"/>
  <c r="GT277" i="24"/>
  <c r="GT211" i="24"/>
  <c r="GU211" i="24"/>
  <c r="GU277" i="24"/>
  <c r="GU268" i="24"/>
  <c r="GU202" i="24"/>
  <c r="GQ200" i="24"/>
  <c r="FV277" i="24"/>
  <c r="FV211" i="24"/>
  <c r="GD276" i="24"/>
  <c r="GD210" i="24"/>
  <c r="GB268" i="24"/>
  <c r="GB202" i="24"/>
  <c r="GA276" i="24"/>
  <c r="GA210" i="24"/>
  <c r="FY275" i="24"/>
  <c r="FY209" i="24"/>
  <c r="GD209" i="24"/>
  <c r="GD275" i="24"/>
  <c r="FU278" i="24"/>
  <c r="FU212" i="24"/>
  <c r="GA211" i="24"/>
  <c r="GA277" i="24"/>
  <c r="FZ276" i="24"/>
  <c r="FZ210" i="24"/>
  <c r="FU275" i="24"/>
  <c r="FU209" i="24"/>
  <c r="FZ275" i="24"/>
  <c r="FZ209" i="24"/>
  <c r="GD268" i="24"/>
  <c r="GD202" i="24"/>
  <c r="FX266" i="24"/>
  <c r="GB211" i="24"/>
  <c r="GB277" i="24"/>
  <c r="GC276" i="24"/>
  <c r="GC210" i="24"/>
  <c r="FY277" i="24"/>
  <c r="FY211" i="24"/>
  <c r="FV278" i="24"/>
  <c r="FV212" i="24"/>
  <c r="GC277" i="24"/>
  <c r="GC211" i="24"/>
  <c r="GC275" i="24"/>
  <c r="GC209" i="24"/>
  <c r="FZ277" i="24"/>
  <c r="FZ211" i="24"/>
  <c r="GB210" i="24"/>
  <c r="GB276" i="24"/>
  <c r="FY276" i="24"/>
  <c r="FY210" i="24"/>
  <c r="GA275" i="24"/>
  <c r="GA209" i="24"/>
  <c r="GB275" i="24"/>
  <c r="GB209" i="24"/>
  <c r="FV275" i="24"/>
  <c r="FV209" i="24"/>
  <c r="GD211" i="24"/>
  <c r="GD277" i="24"/>
  <c r="GC268" i="24"/>
  <c r="GC202" i="24"/>
  <c r="FU277" i="24"/>
  <c r="FU211" i="24"/>
  <c r="GA268" i="24"/>
  <c r="GA202" i="24"/>
  <c r="EK200" i="24"/>
  <c r="FD266" i="24"/>
  <c r="FE200" i="24"/>
  <c r="FJ209" i="24"/>
  <c r="FJ275" i="24"/>
  <c r="FI211" i="24"/>
  <c r="FI277" i="24"/>
  <c r="FJ276" i="24"/>
  <c r="FJ210" i="24"/>
  <c r="FJ211" i="24"/>
  <c r="FJ277" i="24"/>
  <c r="FG277" i="24"/>
  <c r="FG211" i="24"/>
  <c r="FB278" i="24"/>
  <c r="FB212" i="24"/>
  <c r="FE266" i="24"/>
  <c r="FF210" i="24"/>
  <c r="FF276" i="24"/>
  <c r="FC277" i="24"/>
  <c r="FC211" i="24"/>
  <c r="FB211" i="24"/>
  <c r="FB277" i="24"/>
  <c r="FK276" i="24"/>
  <c r="FK210" i="24"/>
  <c r="FH202" i="24"/>
  <c r="FH268" i="24"/>
  <c r="FG210" i="24"/>
  <c r="FG276" i="24"/>
  <c r="FG209" i="24"/>
  <c r="FG275" i="24"/>
  <c r="FI276" i="24"/>
  <c r="FI210" i="24"/>
  <c r="FF277" i="24"/>
  <c r="FF211" i="24"/>
  <c r="FH209" i="24"/>
  <c r="FH275" i="24"/>
  <c r="FI209" i="24"/>
  <c r="FI275" i="24"/>
  <c r="FC209" i="24"/>
  <c r="FC275" i="24"/>
  <c r="FI202" i="24"/>
  <c r="FI268" i="24"/>
  <c r="FK277" i="24"/>
  <c r="FK211" i="24"/>
  <c r="FH210" i="24"/>
  <c r="FH276" i="24"/>
  <c r="FD200" i="24"/>
  <c r="FB209" i="24"/>
  <c r="FB275" i="24"/>
  <c r="FK202" i="24"/>
  <c r="FK268" i="24"/>
  <c r="FC278" i="24"/>
  <c r="FC212" i="24"/>
  <c r="R109" i="10"/>
  <c r="R50" i="24" s="1"/>
  <c r="FJ202" i="24"/>
  <c r="FJ268" i="24"/>
  <c r="FH211" i="24"/>
  <c r="FH277" i="24"/>
  <c r="FF209" i="24"/>
  <c r="FF275" i="24"/>
  <c r="FK209" i="24"/>
  <c r="FK275" i="24"/>
  <c r="EP276" i="24"/>
  <c r="EP210" i="24"/>
  <c r="EP277" i="24"/>
  <c r="EP211" i="24"/>
  <c r="EQ277" i="24"/>
  <c r="EQ211" i="24"/>
  <c r="EM277" i="24"/>
  <c r="EM211" i="24"/>
  <c r="EL200" i="24"/>
  <c r="EJ275" i="24"/>
  <c r="EJ209" i="24"/>
  <c r="EO268" i="24"/>
  <c r="EO202" i="24"/>
  <c r="EL266" i="24"/>
  <c r="EN210" i="24"/>
  <c r="EN276" i="24"/>
  <c r="EN277" i="24"/>
  <c r="EN211" i="24"/>
  <c r="EQ275" i="24"/>
  <c r="EQ209" i="24"/>
  <c r="EI277" i="24"/>
  <c r="EI211" i="24"/>
  <c r="EO276" i="24"/>
  <c r="EO210" i="24"/>
  <c r="ER268" i="24"/>
  <c r="ER202" i="24"/>
  <c r="EQ268" i="24"/>
  <c r="EQ202" i="24"/>
  <c r="EO277" i="24"/>
  <c r="EO211" i="24"/>
  <c r="EO275" i="24"/>
  <c r="EO209" i="24"/>
  <c r="ER276" i="24"/>
  <c r="ER210" i="24"/>
  <c r="EI278" i="24"/>
  <c r="EI212" i="24"/>
  <c r="EP275" i="24"/>
  <c r="EP209" i="24"/>
  <c r="ER209" i="24"/>
  <c r="ER275" i="24"/>
  <c r="EQ276" i="24"/>
  <c r="EQ210" i="24"/>
  <c r="EJ277" i="24"/>
  <c r="EJ211" i="24"/>
  <c r="EM276" i="24"/>
  <c r="EM210" i="24"/>
  <c r="ER277" i="24"/>
  <c r="ER211" i="24"/>
  <c r="EI275" i="24"/>
  <c r="EI209" i="24"/>
  <c r="EK266" i="24"/>
  <c r="EP268" i="24"/>
  <c r="EP202" i="24"/>
  <c r="EM275" i="24"/>
  <c r="EM209" i="24"/>
  <c r="EN275" i="24"/>
  <c r="EN209" i="24"/>
  <c r="EJ278" i="24"/>
  <c r="EJ212" i="24"/>
  <c r="DR266" i="24"/>
  <c r="S108" i="10"/>
  <c r="Q65" i="49"/>
  <c r="Q61" i="49"/>
  <c r="Q57" i="49"/>
  <c r="Q52" i="49"/>
  <c r="P43" i="49"/>
  <c r="Q58" i="49"/>
  <c r="Q47" i="49"/>
  <c r="P58" i="49"/>
  <c r="Q43" i="49"/>
  <c r="Q68" i="49"/>
  <c r="P65" i="49"/>
  <c r="P61" i="49"/>
  <c r="P57" i="49"/>
  <c r="P52" i="49"/>
  <c r="O43" i="49"/>
  <c r="Q59" i="49"/>
  <c r="Q41" i="49"/>
  <c r="Q63" i="49"/>
  <c r="P59" i="49"/>
  <c r="Q40" i="49"/>
  <c r="Q4" i="49"/>
  <c r="O65" i="49"/>
  <c r="O61" i="49"/>
  <c r="O57" i="49"/>
  <c r="O52" i="49"/>
  <c r="Q42" i="49"/>
  <c r="Q67" i="49"/>
  <c r="O64" i="49"/>
  <c r="O55" i="49"/>
  <c r="Q49" i="49"/>
  <c r="P41" i="49"/>
  <c r="Q66" i="49"/>
  <c r="Q53" i="49"/>
  <c r="Q64" i="49"/>
  <c r="Q60" i="49"/>
  <c r="Q55" i="49"/>
  <c r="Q51" i="49"/>
  <c r="P42" i="49"/>
  <c r="Q54" i="49"/>
  <c r="P63" i="49"/>
  <c r="P54" i="49"/>
  <c r="Q62" i="49"/>
  <c r="S62" i="49" s="1"/>
  <c r="O59" i="49"/>
  <c r="O51" i="49"/>
  <c r="Q15" i="49"/>
  <c r="Q13" i="49"/>
  <c r="Q11" i="49"/>
  <c r="Q21" i="49"/>
  <c r="Q27" i="49"/>
  <c r="Q24" i="49"/>
  <c r="P30" i="49"/>
  <c r="O19" i="49"/>
  <c r="O42" i="49"/>
  <c r="R42" i="49" s="1"/>
  <c r="O63" i="49"/>
  <c r="O4" i="49"/>
  <c r="Q6" i="49"/>
  <c r="P6" i="49"/>
  <c r="S6" i="49" s="1"/>
  <c r="O6" i="49"/>
  <c r="O18" i="49"/>
  <c r="P24" i="49"/>
  <c r="P21" i="49"/>
  <c r="S21" i="49" s="1"/>
  <c r="O27" i="49"/>
  <c r="P26" i="49"/>
  <c r="O16" i="49"/>
  <c r="O17" i="49"/>
  <c r="Q30" i="49"/>
  <c r="P55" i="49"/>
  <c r="O40" i="49"/>
  <c r="Q32" i="49"/>
  <c r="Q17" i="49"/>
  <c r="O28" i="49"/>
  <c r="O7" i="49"/>
  <c r="Q16" i="49"/>
  <c r="O21" i="49"/>
  <c r="Q19" i="49"/>
  <c r="Q25" i="49"/>
  <c r="O24" i="49"/>
  <c r="P17" i="49"/>
  <c r="S17" i="49" s="1"/>
  <c r="O41" i="49"/>
  <c r="P18" i="49"/>
  <c r="P5" i="49"/>
  <c r="O5" i="49"/>
  <c r="O62" i="49"/>
  <c r="O22" i="49"/>
  <c r="Q18" i="49"/>
  <c r="P29" i="49"/>
  <c r="O66" i="49"/>
  <c r="P15" i="49"/>
  <c r="O26" i="49"/>
  <c r="P60" i="49"/>
  <c r="O47" i="49"/>
  <c r="O30" i="49"/>
  <c r="P28" i="49"/>
  <c r="Q26" i="49"/>
  <c r="Q22" i="49"/>
  <c r="P27" i="49"/>
  <c r="P16" i="49"/>
  <c r="S16" i="49" s="1"/>
  <c r="P22" i="49"/>
  <c r="O11" i="49"/>
  <c r="Q7" i="49"/>
  <c r="O15" i="49"/>
  <c r="P19" i="49"/>
  <c r="O54" i="49"/>
  <c r="O23" i="49"/>
  <c r="Q5" i="49"/>
  <c r="P64" i="49"/>
  <c r="S64" i="49" s="1"/>
  <c r="O53" i="49"/>
  <c r="Q28" i="49"/>
  <c r="O25" i="49"/>
  <c r="P23" i="49"/>
  <c r="Q31" i="49"/>
  <c r="P11" i="49"/>
  <c r="O58" i="49"/>
  <c r="P25" i="49"/>
  <c r="S25" i="49" s="1"/>
  <c r="Q23" i="49"/>
  <c r="Q29" i="49"/>
  <c r="P7" i="49"/>
  <c r="S7" i="49" s="1"/>
  <c r="P4" i="49"/>
  <c r="O29" i="49"/>
  <c r="P51" i="49"/>
  <c r="DR200" i="24"/>
  <c r="P53" i="49"/>
  <c r="O60" i="49"/>
  <c r="R60" i="49" s="1"/>
  <c r="S40" i="49"/>
  <c r="S66" i="49"/>
  <c r="S99" i="10"/>
  <c r="S112" i="10" s="1"/>
  <c r="S14" i="24" s="1"/>
  <c r="P47" i="49"/>
  <c r="S47" i="49" s="1"/>
  <c r="DS266" i="24"/>
  <c r="CY200" i="24"/>
  <c r="DY275" i="24"/>
  <c r="DY209" i="24"/>
  <c r="DQ277" i="24"/>
  <c r="DQ211" i="24"/>
  <c r="DW277" i="24"/>
  <c r="DW211" i="24"/>
  <c r="DU275" i="24"/>
  <c r="DU209" i="24"/>
  <c r="DU276" i="24"/>
  <c r="DU210" i="24"/>
  <c r="DT276" i="24"/>
  <c r="DT210" i="24"/>
  <c r="DY276" i="24"/>
  <c r="DY210" i="24"/>
  <c r="DW276" i="24"/>
  <c r="DW210" i="24"/>
  <c r="DT209" i="24"/>
  <c r="DT275" i="24"/>
  <c r="DT277" i="24"/>
  <c r="DT211" i="24"/>
  <c r="DP278" i="24"/>
  <c r="DP212" i="24"/>
  <c r="DP277" i="24"/>
  <c r="DP211" i="24"/>
  <c r="DV275" i="24"/>
  <c r="DV209" i="24"/>
  <c r="DQ275" i="24"/>
  <c r="DQ209" i="24"/>
  <c r="DV277" i="24"/>
  <c r="DV211" i="24"/>
  <c r="DU277" i="24"/>
  <c r="DU211" i="24"/>
  <c r="DX275" i="24"/>
  <c r="DX209" i="24"/>
  <c r="DX277" i="24"/>
  <c r="DX211" i="24"/>
  <c r="DV276" i="24"/>
  <c r="DV210" i="24"/>
  <c r="DW275" i="24"/>
  <c r="DW209" i="24"/>
  <c r="DV268" i="24"/>
  <c r="DV202" i="24"/>
  <c r="DY268" i="24"/>
  <c r="DY202" i="24"/>
  <c r="DQ278" i="24"/>
  <c r="DQ212" i="24"/>
  <c r="DS200" i="24"/>
  <c r="DX210" i="24"/>
  <c r="DX276" i="24"/>
  <c r="DX268" i="24"/>
  <c r="DX202" i="24"/>
  <c r="DW268" i="24"/>
  <c r="DW202" i="24"/>
  <c r="DY277" i="24"/>
  <c r="DY211" i="24"/>
  <c r="DP275" i="24"/>
  <c r="DP209" i="24"/>
  <c r="CZ200" i="24"/>
  <c r="CZ266" i="24"/>
  <c r="CY266" i="24"/>
  <c r="DF268" i="24"/>
  <c r="DF202" i="24"/>
  <c r="DB276" i="24"/>
  <c r="DB210" i="24"/>
  <c r="DA277" i="24"/>
  <c r="DA211" i="24"/>
  <c r="CW278" i="24"/>
  <c r="CW212" i="24"/>
  <c r="DB275" i="24"/>
  <c r="DB209" i="24"/>
  <c r="DD276" i="24"/>
  <c r="DD210" i="24"/>
  <c r="DD211" i="24"/>
  <c r="DD277" i="24"/>
  <c r="CX275" i="24"/>
  <c r="CX209" i="24"/>
  <c r="DE211" i="24"/>
  <c r="DE277" i="24"/>
  <c r="CW211" i="24"/>
  <c r="CW277" i="24"/>
  <c r="DE275" i="24"/>
  <c r="DE209" i="24"/>
  <c r="DC268" i="24"/>
  <c r="DC202" i="24"/>
  <c r="DC276" i="24"/>
  <c r="DC210" i="24"/>
  <c r="DC275" i="24"/>
  <c r="DC209" i="24"/>
  <c r="DF276" i="24"/>
  <c r="DF210" i="24"/>
  <c r="CW275" i="24"/>
  <c r="CW209" i="24"/>
  <c r="DE268" i="24"/>
  <c r="DE202" i="24"/>
  <c r="CX211" i="24"/>
  <c r="CX277" i="24"/>
  <c r="DA276" i="24"/>
  <c r="DA210" i="24"/>
  <c r="DE276" i="24"/>
  <c r="DE210" i="24"/>
  <c r="DB211" i="24"/>
  <c r="DB277" i="24"/>
  <c r="DC277" i="24"/>
  <c r="DC211" i="24"/>
  <c r="DF211" i="24"/>
  <c r="DF277" i="24"/>
  <c r="CX278" i="24"/>
  <c r="CX212" i="24"/>
  <c r="DF275" i="24"/>
  <c r="DF209" i="24"/>
  <c r="DD275" i="24"/>
  <c r="DD209" i="24"/>
  <c r="DD268" i="24"/>
  <c r="DD202" i="24"/>
  <c r="DA275" i="24"/>
  <c r="DA209" i="24"/>
  <c r="CF266" i="24"/>
  <c r="CG266" i="24"/>
  <c r="CF200" i="24"/>
  <c r="CG200" i="24"/>
  <c r="CM275" i="24"/>
  <c r="CM209" i="24"/>
  <c r="CK268" i="24"/>
  <c r="CK202" i="24"/>
  <c r="CJ275" i="24"/>
  <c r="CJ209" i="24"/>
  <c r="CD275" i="24"/>
  <c r="CD209" i="24"/>
  <c r="CJ277" i="24"/>
  <c r="CJ211" i="24"/>
  <c r="CE277" i="24"/>
  <c r="CE211" i="24"/>
  <c r="CI275" i="24"/>
  <c r="CI209" i="24"/>
  <c r="CI276" i="24"/>
  <c r="CI210" i="24"/>
  <c r="CH276" i="24"/>
  <c r="CH210" i="24"/>
  <c r="CH275" i="24"/>
  <c r="CH209" i="24"/>
  <c r="CM277" i="24"/>
  <c r="CM211" i="24"/>
  <c r="CK276" i="24"/>
  <c r="CK210" i="24"/>
  <c r="CK277" i="24"/>
  <c r="CK211" i="24"/>
  <c r="CH277" i="24"/>
  <c r="CH211" i="24"/>
  <c r="CE275" i="24"/>
  <c r="CE209" i="24"/>
  <c r="CL211" i="24"/>
  <c r="CL277" i="24"/>
  <c r="CL276" i="24"/>
  <c r="CL210" i="24"/>
  <c r="CD278" i="24"/>
  <c r="CD212" i="24"/>
  <c r="CD211" i="24"/>
  <c r="CD277" i="24"/>
  <c r="CJ210" i="24"/>
  <c r="CJ276" i="24"/>
  <c r="CL275" i="24"/>
  <c r="CL209" i="24"/>
  <c r="CJ268" i="24"/>
  <c r="CJ202" i="24"/>
  <c r="CI277" i="24"/>
  <c r="CI211" i="24"/>
  <c r="CK275" i="24"/>
  <c r="CK209" i="24"/>
  <c r="CM268" i="24"/>
  <c r="CM202" i="24"/>
  <c r="CE278" i="24"/>
  <c r="CE212" i="24"/>
  <c r="CL268" i="24"/>
  <c r="CL202" i="24"/>
  <c r="CM276" i="24"/>
  <c r="CM210" i="24"/>
  <c r="BP210" i="24"/>
  <c r="BP276" i="24"/>
  <c r="BR276" i="24"/>
  <c r="BR210" i="24"/>
  <c r="BR277" i="24"/>
  <c r="BR211" i="24"/>
  <c r="BO277" i="24"/>
  <c r="BO211" i="24"/>
  <c r="BO275" i="24"/>
  <c r="BO209" i="24"/>
  <c r="BM200" i="24"/>
  <c r="BT209" i="24"/>
  <c r="BT275" i="24"/>
  <c r="BS275" i="24"/>
  <c r="BS209" i="24"/>
  <c r="BK277" i="24"/>
  <c r="BK211" i="24"/>
  <c r="BL209" i="24"/>
  <c r="BL275" i="24"/>
  <c r="BQ268" i="24"/>
  <c r="BQ202" i="24"/>
  <c r="BQ276" i="24"/>
  <c r="BQ210" i="24"/>
  <c r="BM266" i="24"/>
  <c r="BP275" i="24"/>
  <c r="BP209" i="24"/>
  <c r="BP277" i="24"/>
  <c r="BP211" i="24"/>
  <c r="BR275" i="24"/>
  <c r="BR209" i="24"/>
  <c r="BT268" i="24"/>
  <c r="BT202" i="24"/>
  <c r="BL277" i="24"/>
  <c r="BL211" i="24"/>
  <c r="BO276" i="24"/>
  <c r="BO210" i="24"/>
  <c r="BS268" i="24"/>
  <c r="BS202" i="24"/>
  <c r="BT276" i="24"/>
  <c r="BT210" i="24"/>
  <c r="BR268" i="24"/>
  <c r="BR202" i="24"/>
  <c r="BN266" i="24"/>
  <c r="BS277" i="24"/>
  <c r="BS211" i="24"/>
  <c r="BK278" i="24"/>
  <c r="BK212" i="24"/>
  <c r="BS276" i="24"/>
  <c r="BS210" i="24"/>
  <c r="BQ277" i="24"/>
  <c r="BQ211" i="24"/>
  <c r="BQ275" i="24"/>
  <c r="BQ209" i="24"/>
  <c r="BT277" i="24"/>
  <c r="BT211" i="24"/>
  <c r="BK275" i="24"/>
  <c r="BK209" i="24"/>
  <c r="BL278" i="24"/>
  <c r="BL212" i="24"/>
  <c r="BN200" i="24"/>
  <c r="BA15" i="24"/>
  <c r="S43" i="27"/>
  <c r="S10" i="24"/>
  <c r="R43" i="27"/>
  <c r="R10" i="24"/>
  <c r="R34" i="27"/>
  <c r="S13" i="24"/>
  <c r="S109" i="10"/>
  <c r="R26" i="10"/>
  <c r="R28" i="10" s="1"/>
  <c r="R7" i="27"/>
  <c r="S26" i="10"/>
  <c r="S27" i="10" s="1"/>
  <c r="S7" i="27"/>
  <c r="R105" i="10"/>
  <c r="R99" i="10"/>
  <c r="R12" i="24" s="1"/>
  <c r="R98" i="10"/>
  <c r="R13" i="24" s="1"/>
  <c r="S105" i="10"/>
  <c r="R55" i="10"/>
  <c r="R56" i="10" s="1"/>
  <c r="S28" i="10"/>
  <c r="S55" i="10"/>
  <c r="II277" i="24"/>
  <c r="IG268" i="24"/>
  <c r="IF268" i="24"/>
  <c r="HZ277" i="24"/>
  <c r="IG277" i="24"/>
  <c r="IH277" i="24"/>
  <c r="IH275" i="24"/>
  <c r="IH268" i="24"/>
  <c r="IA275" i="24"/>
  <c r="HZ275" i="24"/>
  <c r="IF276" i="24"/>
  <c r="IG275" i="24"/>
  <c r="IG276" i="24"/>
  <c r="IE276" i="24"/>
  <c r="IB266" i="24"/>
  <c r="ID276" i="24"/>
  <c r="IA277" i="24"/>
  <c r="ID275" i="24"/>
  <c r="II276" i="24"/>
  <c r="IC266" i="24"/>
  <c r="IF277" i="24"/>
  <c r="IH276" i="24"/>
  <c r="IF275" i="24"/>
  <c r="IE275" i="24"/>
  <c r="IE277" i="24"/>
  <c r="II268" i="24"/>
  <c r="ID277" i="24"/>
  <c r="II275" i="24"/>
  <c r="HZ278" i="24"/>
  <c r="IA278" i="24"/>
  <c r="AU200" i="24"/>
  <c r="BP114" i="24"/>
  <c r="BT110" i="24"/>
  <c r="BS110" i="24"/>
  <c r="BL115" i="24"/>
  <c r="BK112" i="24"/>
  <c r="BR110" i="24"/>
  <c r="BR112" i="24"/>
  <c r="BS113" i="24"/>
  <c r="BT112" i="24"/>
  <c r="BL114" i="24"/>
  <c r="BP112" i="24"/>
  <c r="BP113" i="24"/>
  <c r="BO113" i="24"/>
  <c r="BO112" i="24"/>
  <c r="AU266" i="24"/>
  <c r="BQ114" i="24"/>
  <c r="BT114" i="24"/>
  <c r="BR114" i="24"/>
  <c r="BO114" i="24"/>
  <c r="BS114" i="24"/>
  <c r="BK115" i="24"/>
  <c r="BT113" i="24"/>
  <c r="BQ112" i="24"/>
  <c r="BR113" i="24"/>
  <c r="BS112" i="24"/>
  <c r="BK114" i="24"/>
  <c r="BL112" i="24"/>
  <c r="BQ110" i="24"/>
  <c r="BQ113" i="24"/>
  <c r="AZ114" i="24"/>
  <c r="AZ277" i="24"/>
  <c r="AZ211" i="24"/>
  <c r="AZ112" i="24"/>
  <c r="AZ275" i="24"/>
  <c r="AZ209" i="24"/>
  <c r="BA110" i="24"/>
  <c r="BA268" i="24"/>
  <c r="BA202" i="24"/>
  <c r="AX113" i="24"/>
  <c r="AX276" i="24"/>
  <c r="AX210" i="24"/>
  <c r="AY112" i="24"/>
  <c r="AY275" i="24"/>
  <c r="AY209" i="24"/>
  <c r="AS115" i="24"/>
  <c r="AS212" i="24"/>
  <c r="AS278" i="24"/>
  <c r="AZ110" i="24"/>
  <c r="AZ202" i="24"/>
  <c r="AZ268" i="24"/>
  <c r="AX112" i="24"/>
  <c r="AX275" i="24"/>
  <c r="AX209" i="24"/>
  <c r="BA113" i="24"/>
  <c r="BA276" i="24"/>
  <c r="BA210" i="24"/>
  <c r="AR115" i="24"/>
  <c r="AR278" i="24"/>
  <c r="AR212" i="24"/>
  <c r="AZ113" i="24"/>
  <c r="AZ276" i="24"/>
  <c r="AZ210" i="24"/>
  <c r="AX114" i="24"/>
  <c r="AX211" i="24"/>
  <c r="AX277" i="24"/>
  <c r="BA114" i="24"/>
  <c r="BA211" i="24"/>
  <c r="BA277" i="24"/>
  <c r="AX110" i="24"/>
  <c r="AX202" i="24"/>
  <c r="AX268" i="24"/>
  <c r="AY110" i="24"/>
  <c r="AY202" i="24"/>
  <c r="AY268" i="24"/>
  <c r="AV113" i="24"/>
  <c r="AV210" i="24"/>
  <c r="AV276" i="24"/>
  <c r="AW113" i="24"/>
  <c r="AW276" i="24"/>
  <c r="AW210" i="24"/>
  <c r="AV112" i="24"/>
  <c r="AV209" i="24"/>
  <c r="AV275" i="24"/>
  <c r="AW114" i="24"/>
  <c r="AW211" i="24"/>
  <c r="AW277" i="24"/>
  <c r="BA112" i="24"/>
  <c r="BA275" i="24"/>
  <c r="BA209" i="24"/>
  <c r="AW112" i="24"/>
  <c r="AW209" i="24"/>
  <c r="AW275" i="24"/>
  <c r="AY113" i="24"/>
  <c r="AY210" i="24"/>
  <c r="AY276" i="24"/>
  <c r="AY114" i="24"/>
  <c r="AY277" i="24"/>
  <c r="AY211" i="24"/>
  <c r="AV114" i="24"/>
  <c r="AV277" i="24"/>
  <c r="AV211" i="24"/>
  <c r="AT266" i="24"/>
  <c r="AT200" i="24"/>
  <c r="AV15" i="24"/>
  <c r="AW15" i="24"/>
  <c r="AY15" i="24"/>
  <c r="AZ15" i="24"/>
  <c r="R30" i="49" l="1"/>
  <c r="S24" i="49"/>
  <c r="R64" i="49"/>
  <c r="R11" i="49"/>
  <c r="R47" i="49"/>
  <c r="R62" i="49"/>
  <c r="S55" i="49"/>
  <c r="S51" i="49"/>
  <c r="R44" i="27"/>
  <c r="S4" i="49"/>
  <c r="S19" i="49"/>
  <c r="S52" i="49"/>
  <c r="R41" i="49"/>
  <c r="S23" i="49"/>
  <c r="R65" i="49"/>
  <c r="S43" i="49"/>
  <c r="R22" i="49"/>
  <c r="R18" i="49"/>
  <c r="S65" i="49"/>
  <c r="S53" i="49"/>
  <c r="S22" i="49"/>
  <c r="R21" i="49"/>
  <c r="R6" i="49"/>
  <c r="MF14" i="24"/>
  <c r="LM14" i="24"/>
  <c r="NR14" i="24"/>
  <c r="KT14" i="24"/>
  <c r="MY14" i="24"/>
  <c r="IO14" i="24"/>
  <c r="IO199" i="24" s="1"/>
  <c r="JH14" i="24"/>
  <c r="KA14" i="24"/>
  <c r="MY10" i="24"/>
  <c r="MF10" i="24"/>
  <c r="LM10" i="24"/>
  <c r="NR10" i="24"/>
  <c r="IO10" i="24"/>
  <c r="IO195" i="24" s="1"/>
  <c r="JH10" i="24"/>
  <c r="KT10" i="24"/>
  <c r="KA10" i="24"/>
  <c r="NQ50" i="24"/>
  <c r="ME50" i="24"/>
  <c r="LL50" i="24"/>
  <c r="KS50" i="24"/>
  <c r="MX50" i="24"/>
  <c r="IN50" i="24"/>
  <c r="IN235" i="24" s="1"/>
  <c r="JG50" i="24"/>
  <c r="JZ50" i="24"/>
  <c r="MX13" i="24"/>
  <c r="ME13" i="24"/>
  <c r="LL13" i="24"/>
  <c r="NQ13" i="24"/>
  <c r="IN13" i="24"/>
  <c r="IN198" i="24" s="1"/>
  <c r="JG13" i="24"/>
  <c r="KS13" i="24"/>
  <c r="JZ13" i="24"/>
  <c r="MY13" i="24"/>
  <c r="MF13" i="24"/>
  <c r="LM13" i="24"/>
  <c r="NR13" i="24"/>
  <c r="IO13" i="24"/>
  <c r="IO198" i="24" s="1"/>
  <c r="JH13" i="24"/>
  <c r="KT13" i="24"/>
  <c r="KA13" i="24"/>
  <c r="MX12" i="24"/>
  <c r="ME12" i="24"/>
  <c r="LL12" i="24"/>
  <c r="NQ12" i="24"/>
  <c r="KS12" i="24"/>
  <c r="JZ12" i="24"/>
  <c r="IN12" i="24"/>
  <c r="JG12" i="24"/>
  <c r="MX10" i="24"/>
  <c r="ME10" i="24"/>
  <c r="LL10" i="24"/>
  <c r="NQ10" i="24"/>
  <c r="IN10" i="24"/>
  <c r="IN195" i="24" s="1"/>
  <c r="JG10" i="24"/>
  <c r="KS10" i="24"/>
  <c r="JZ10" i="24"/>
  <c r="HL266" i="24"/>
  <c r="GR200" i="24"/>
  <c r="HL200" i="24"/>
  <c r="HK200" i="24"/>
  <c r="HH200" i="24"/>
  <c r="HG200" i="24"/>
  <c r="HN200" i="24"/>
  <c r="HH266" i="24"/>
  <c r="HG266" i="24"/>
  <c r="GN266" i="24"/>
  <c r="HK266" i="24"/>
  <c r="FU200" i="24"/>
  <c r="HC13" i="24"/>
  <c r="HC264" i="24" s="1"/>
  <c r="HV13" i="24"/>
  <c r="HB12" i="24"/>
  <c r="HB263" i="24" s="1"/>
  <c r="HU12" i="24"/>
  <c r="FZ266" i="24"/>
  <c r="HN266" i="24"/>
  <c r="HB10" i="24"/>
  <c r="HB261" i="24" s="1"/>
  <c r="HU10" i="24"/>
  <c r="GW200" i="24"/>
  <c r="GR266" i="24"/>
  <c r="HC14" i="24"/>
  <c r="HC199" i="24" s="1"/>
  <c r="HV14" i="24"/>
  <c r="HM200" i="24"/>
  <c r="HB13" i="24"/>
  <c r="HB198" i="24" s="1"/>
  <c r="HU13" i="24"/>
  <c r="HC10" i="24"/>
  <c r="HC195" i="24" s="1"/>
  <c r="HV10" i="24"/>
  <c r="HB50" i="24"/>
  <c r="HB301" i="24" s="1"/>
  <c r="HU50" i="24"/>
  <c r="HM266" i="24"/>
  <c r="HO200" i="24"/>
  <c r="HO266" i="24"/>
  <c r="HP200" i="24"/>
  <c r="HP266" i="24"/>
  <c r="GW266" i="24"/>
  <c r="FU266" i="24"/>
  <c r="FF200" i="24"/>
  <c r="GO200" i="24"/>
  <c r="GS266" i="24"/>
  <c r="GO266" i="24"/>
  <c r="GN200" i="24"/>
  <c r="FV266" i="24"/>
  <c r="GT200" i="24"/>
  <c r="DB200" i="24"/>
  <c r="GT266" i="24"/>
  <c r="GV200" i="24"/>
  <c r="GU200" i="24"/>
  <c r="FV200" i="24"/>
  <c r="GU266" i="24"/>
  <c r="GV266" i="24"/>
  <c r="GS200" i="24"/>
  <c r="FZ200" i="24"/>
  <c r="FY200" i="24"/>
  <c r="FY266" i="24"/>
  <c r="GD200" i="24"/>
  <c r="GC200" i="24"/>
  <c r="FP10" i="24"/>
  <c r="FP195" i="24" s="1"/>
  <c r="GI10" i="24"/>
  <c r="FQ10" i="24"/>
  <c r="FQ195" i="24" s="1"/>
  <c r="GJ10" i="24"/>
  <c r="FP50" i="24"/>
  <c r="FP235" i="24" s="1"/>
  <c r="GI50" i="24"/>
  <c r="GC266" i="24"/>
  <c r="FC200" i="24"/>
  <c r="GB200" i="24"/>
  <c r="FP13" i="24"/>
  <c r="FP264" i="24" s="1"/>
  <c r="GI13" i="24"/>
  <c r="FQ13" i="24"/>
  <c r="FQ198" i="24" s="1"/>
  <c r="GJ13" i="24"/>
  <c r="GA200" i="24"/>
  <c r="GB266" i="24"/>
  <c r="GD266" i="24"/>
  <c r="FP12" i="24"/>
  <c r="FP197" i="24" s="1"/>
  <c r="GI12" i="24"/>
  <c r="GA266" i="24"/>
  <c r="FQ14" i="24"/>
  <c r="FQ199" i="24" s="1"/>
  <c r="GJ14" i="24"/>
  <c r="FG266" i="24"/>
  <c r="EP266" i="24"/>
  <c r="EJ200" i="24"/>
  <c r="FF266" i="24"/>
  <c r="FC266" i="24"/>
  <c r="FG200" i="24"/>
  <c r="FJ266" i="24"/>
  <c r="FB266" i="24"/>
  <c r="FI266" i="24"/>
  <c r="FH266" i="24"/>
  <c r="FB200" i="24"/>
  <c r="FK200" i="24"/>
  <c r="FP198" i="24"/>
  <c r="S57" i="49"/>
  <c r="EM266" i="24"/>
  <c r="EM200" i="24"/>
  <c r="R51" i="49"/>
  <c r="EI266" i="24"/>
  <c r="FI200" i="24"/>
  <c r="S60" i="49"/>
  <c r="S12" i="24"/>
  <c r="R58" i="49"/>
  <c r="R52" i="49"/>
  <c r="FH200" i="24"/>
  <c r="R35" i="27"/>
  <c r="R23" i="49"/>
  <c r="S15" i="49"/>
  <c r="S18" i="49"/>
  <c r="R7" i="49"/>
  <c r="S58" i="49"/>
  <c r="FK266" i="24"/>
  <c r="FJ200" i="24"/>
  <c r="R66" i="49"/>
  <c r="S41" i="49"/>
  <c r="R61" i="49"/>
  <c r="EN266" i="24"/>
  <c r="EI200" i="24"/>
  <c r="EJ266" i="24"/>
  <c r="EN200" i="24"/>
  <c r="ER266" i="24"/>
  <c r="ED13" i="24"/>
  <c r="ED264" i="24" s="1"/>
  <c r="EW13" i="24"/>
  <c r="EE13" i="24"/>
  <c r="EE264" i="24" s="1"/>
  <c r="EX13" i="24"/>
  <c r="EE10" i="24"/>
  <c r="EE261" i="24" s="1"/>
  <c r="EX10" i="24"/>
  <c r="ED12" i="24"/>
  <c r="ED263" i="24" s="1"/>
  <c r="EW12" i="24"/>
  <c r="DT266" i="24"/>
  <c r="ED10" i="24"/>
  <c r="ED195" i="24" s="1"/>
  <c r="EW10" i="24"/>
  <c r="EQ200" i="24"/>
  <c r="EO200" i="24"/>
  <c r="EO266" i="24"/>
  <c r="EQ266" i="24"/>
  <c r="EE14" i="24"/>
  <c r="EE265" i="24" s="1"/>
  <c r="EX14" i="24"/>
  <c r="ED50" i="24"/>
  <c r="ED301" i="24" s="1"/>
  <c r="EW50" i="24"/>
  <c r="EP200" i="24"/>
  <c r="ER200" i="24"/>
  <c r="DU266" i="24"/>
  <c r="DP200" i="24"/>
  <c r="R40" i="49"/>
  <c r="R55" i="49"/>
  <c r="DQ200" i="24"/>
  <c r="R19" i="49"/>
  <c r="S11" i="49"/>
  <c r="R5" i="49"/>
  <c r="S30" i="49"/>
  <c r="R59" i="49"/>
  <c r="S67" i="49"/>
  <c r="R67" i="49"/>
  <c r="S61" i="49"/>
  <c r="CW200" i="24"/>
  <c r="R29" i="49"/>
  <c r="S31" i="49"/>
  <c r="R31" i="49"/>
  <c r="R54" i="49"/>
  <c r="S27" i="49"/>
  <c r="R26" i="49"/>
  <c r="S5" i="49"/>
  <c r="S59" i="49"/>
  <c r="R17" i="49"/>
  <c r="S54" i="49"/>
  <c r="R68" i="49"/>
  <c r="S68" i="49"/>
  <c r="R25" i="49"/>
  <c r="R15" i="49"/>
  <c r="R28" i="49"/>
  <c r="R16" i="49"/>
  <c r="S63" i="49"/>
  <c r="R57" i="49"/>
  <c r="S29" i="49"/>
  <c r="S26" i="49"/>
  <c r="R4" i="49"/>
  <c r="R53" i="49"/>
  <c r="S28" i="49"/>
  <c r="R24" i="49"/>
  <c r="R32" i="49"/>
  <c r="S32" i="49"/>
  <c r="R27" i="49"/>
  <c r="R63" i="49"/>
  <c r="S42" i="49"/>
  <c r="R43" i="49"/>
  <c r="DA266" i="24"/>
  <c r="DD200" i="24"/>
  <c r="DX266" i="24"/>
  <c r="CX266" i="24"/>
  <c r="DB266" i="24"/>
  <c r="DP266" i="24"/>
  <c r="DT200" i="24"/>
  <c r="DU200" i="24"/>
  <c r="DW200" i="24"/>
  <c r="DQ266" i="24"/>
  <c r="DY266" i="24"/>
  <c r="DV200" i="24"/>
  <c r="DV266" i="24"/>
  <c r="DW266" i="24"/>
  <c r="DE266" i="24"/>
  <c r="DY200" i="24"/>
  <c r="DX200" i="24"/>
  <c r="BK200" i="24"/>
  <c r="CJ200" i="24"/>
  <c r="CH200" i="24"/>
  <c r="CX200" i="24"/>
  <c r="DF266" i="24"/>
  <c r="DA200" i="24"/>
  <c r="CW266" i="24"/>
  <c r="CH266" i="24"/>
  <c r="DC200" i="24"/>
  <c r="CS14" i="24"/>
  <c r="CS265" i="24" s="1"/>
  <c r="DL14" i="24"/>
  <c r="CR50" i="24"/>
  <c r="CR235" i="24" s="1"/>
  <c r="DK50" i="24"/>
  <c r="CD200" i="24"/>
  <c r="DC266" i="24"/>
  <c r="DF200" i="24"/>
  <c r="CR13" i="24"/>
  <c r="CR264" i="24" s="1"/>
  <c r="DK13" i="24"/>
  <c r="CS13" i="24"/>
  <c r="CS198" i="24" s="1"/>
  <c r="DL13" i="24"/>
  <c r="CS10" i="24"/>
  <c r="CS195" i="24" s="1"/>
  <c r="DL10" i="24"/>
  <c r="DD266" i="24"/>
  <c r="DE200" i="24"/>
  <c r="CR12" i="24"/>
  <c r="CR263" i="24" s="1"/>
  <c r="DK12" i="24"/>
  <c r="CI266" i="24"/>
  <c r="CR10" i="24"/>
  <c r="CR261" i="24" s="1"/>
  <c r="DK10" i="24"/>
  <c r="CL200" i="24"/>
  <c r="CK266" i="24"/>
  <c r="CD266" i="24"/>
  <c r="CI200" i="24"/>
  <c r="CE200" i="24"/>
  <c r="BK266" i="24"/>
  <c r="BL200" i="24"/>
  <c r="CE266" i="24"/>
  <c r="CJ266" i="24"/>
  <c r="CK200" i="24"/>
  <c r="BS200" i="24"/>
  <c r="BO266" i="24"/>
  <c r="CM266" i="24"/>
  <c r="CL266" i="24"/>
  <c r="CM200" i="24"/>
  <c r="BQ266" i="24"/>
  <c r="BO200" i="24"/>
  <c r="BL266" i="24"/>
  <c r="BP200" i="24"/>
  <c r="BP266" i="24"/>
  <c r="BS266" i="24"/>
  <c r="BR200" i="24"/>
  <c r="BT200" i="24"/>
  <c r="BR266" i="24"/>
  <c r="BQ200" i="24"/>
  <c r="BT266" i="24"/>
  <c r="BG14" i="24"/>
  <c r="BG265" i="24" s="1"/>
  <c r="BZ14" i="24"/>
  <c r="BF50" i="24"/>
  <c r="BY50" i="24"/>
  <c r="BF13" i="24"/>
  <c r="BF264" i="24" s="1"/>
  <c r="BY13" i="24"/>
  <c r="BG13" i="24"/>
  <c r="BG264" i="24" s="1"/>
  <c r="BZ13" i="24"/>
  <c r="BG10" i="24"/>
  <c r="BZ10" i="24"/>
  <c r="BF12" i="24"/>
  <c r="BF263" i="24" s="1"/>
  <c r="BY12" i="24"/>
  <c r="BF10" i="24"/>
  <c r="BY10" i="24"/>
  <c r="R46" i="27"/>
  <c r="R64" i="24"/>
  <c r="S46" i="27"/>
  <c r="S64" i="24"/>
  <c r="R39" i="27"/>
  <c r="R56" i="24"/>
  <c r="R27" i="10"/>
  <c r="C346" i="37"/>
  <c r="C336" i="37"/>
  <c r="S39" i="27"/>
  <c r="S56" i="24"/>
  <c r="S44" i="27"/>
  <c r="S50" i="24"/>
  <c r="C343" i="37"/>
  <c r="C334" i="37"/>
  <c r="R112" i="10"/>
  <c r="R14" i="24" s="1"/>
  <c r="R92" i="10"/>
  <c r="R94" i="10" s="1"/>
  <c r="R57" i="10"/>
  <c r="R50" i="10"/>
  <c r="R101" i="10" s="1"/>
  <c r="R51" i="10"/>
  <c r="R100" i="10" s="1"/>
  <c r="S50" i="10"/>
  <c r="S101" i="10" s="1"/>
  <c r="S56" i="10"/>
  <c r="S57" i="10"/>
  <c r="S51" i="10"/>
  <c r="S100" i="10" s="1"/>
  <c r="IG266" i="24"/>
  <c r="ID266" i="24"/>
  <c r="IE266" i="24"/>
  <c r="IA266" i="24"/>
  <c r="II266" i="24"/>
  <c r="HZ266" i="24"/>
  <c r="IF266" i="24"/>
  <c r="IH266" i="24"/>
  <c r="AW200" i="24"/>
  <c r="BA200" i="24"/>
  <c r="AW266" i="24"/>
  <c r="AV266" i="24"/>
  <c r="AY200" i="24"/>
  <c r="AX266" i="24"/>
  <c r="AZ266" i="24"/>
  <c r="BA266" i="24"/>
  <c r="AY266" i="24"/>
  <c r="AV200" i="24"/>
  <c r="AX200" i="24"/>
  <c r="AZ200" i="24"/>
  <c r="R113" i="10" l="1"/>
  <c r="MF12" i="24"/>
  <c r="MF11" i="24" s="1"/>
  <c r="MF9" i="24" s="1"/>
  <c r="LM12" i="24"/>
  <c r="LM11" i="24" s="1"/>
  <c r="LM9" i="24" s="1"/>
  <c r="NR12" i="24"/>
  <c r="NR11" i="24" s="1"/>
  <c r="NR9" i="24" s="1"/>
  <c r="MY12" i="24"/>
  <c r="MY11" i="24" s="1"/>
  <c r="MY9" i="24" s="1"/>
  <c r="IO12" i="24"/>
  <c r="JH12" i="24"/>
  <c r="JH11" i="24" s="1"/>
  <c r="JH9" i="24" s="1"/>
  <c r="KT12" i="24"/>
  <c r="KT11" i="24" s="1"/>
  <c r="KT9" i="24" s="1"/>
  <c r="KA12" i="24"/>
  <c r="KA11" i="24" s="1"/>
  <c r="KA9" i="24" s="1"/>
  <c r="HU14" i="24"/>
  <c r="HU199" i="24" s="1"/>
  <c r="MX14" i="24"/>
  <c r="ME14" i="24"/>
  <c r="ME11" i="24" s="1"/>
  <c r="ME9" i="24" s="1"/>
  <c r="LL14" i="24"/>
  <c r="LL11" i="24" s="1"/>
  <c r="LL9" i="24" s="1"/>
  <c r="NQ14" i="24"/>
  <c r="NQ11" i="24" s="1"/>
  <c r="NQ9" i="24" s="1"/>
  <c r="JZ14" i="24"/>
  <c r="JZ11" i="24" s="1"/>
  <c r="JZ9" i="24" s="1"/>
  <c r="KS14" i="24"/>
  <c r="KS11" i="24" s="1"/>
  <c r="KS9" i="24" s="1"/>
  <c r="IN14" i="24"/>
  <c r="IN199" i="24" s="1"/>
  <c r="JG14" i="24"/>
  <c r="HU56" i="24"/>
  <c r="HU241" i="24" s="1"/>
  <c r="HU237" i="24" s="1"/>
  <c r="NQ56" i="24"/>
  <c r="NQ52" i="24" s="1"/>
  <c r="NQ49" i="24" s="1"/>
  <c r="JG56" i="24"/>
  <c r="JG52" i="24" s="1"/>
  <c r="JG49" i="24" s="1"/>
  <c r="IN56" i="24"/>
  <c r="LL56" i="24"/>
  <c r="LL52" i="24" s="1"/>
  <c r="LL49" i="24" s="1"/>
  <c r="KS56" i="24"/>
  <c r="KS52" i="24" s="1"/>
  <c r="KS49" i="24" s="1"/>
  <c r="JZ56" i="24"/>
  <c r="JZ52" i="24" s="1"/>
  <c r="JZ49" i="24" s="1"/>
  <c r="ME56" i="24"/>
  <c r="ME52" i="24" s="1"/>
  <c r="ME49" i="24" s="1"/>
  <c r="MX56" i="24"/>
  <c r="MX52" i="24" s="1"/>
  <c r="MX49" i="24" s="1"/>
  <c r="NR50" i="24"/>
  <c r="MF50" i="24"/>
  <c r="LM50" i="24"/>
  <c r="KT50" i="24"/>
  <c r="MY50" i="24"/>
  <c r="IO50" i="24"/>
  <c r="JH50" i="24"/>
  <c r="KA50" i="24"/>
  <c r="HV64" i="24"/>
  <c r="HV249" i="24" s="1"/>
  <c r="NR64" i="24"/>
  <c r="LM64" i="24"/>
  <c r="KT64" i="24"/>
  <c r="MY64" i="24"/>
  <c r="MF64" i="24"/>
  <c r="KA64" i="24"/>
  <c r="IO64" i="24"/>
  <c r="IO249" i="24" s="1"/>
  <c r="JH64" i="24"/>
  <c r="NR56" i="24"/>
  <c r="NR52" i="24" s="1"/>
  <c r="LM56" i="24"/>
  <c r="LM52" i="24" s="1"/>
  <c r="KT56" i="24"/>
  <c r="KT52" i="24" s="1"/>
  <c r="JH56" i="24"/>
  <c r="JH52" i="24" s="1"/>
  <c r="IO56" i="24"/>
  <c r="MY56" i="24"/>
  <c r="MY52" i="24" s="1"/>
  <c r="KA56" i="24"/>
  <c r="KA52" i="24" s="1"/>
  <c r="MF56" i="24"/>
  <c r="MF52" i="24" s="1"/>
  <c r="MX11" i="24"/>
  <c r="MX9" i="24" s="1"/>
  <c r="NQ64" i="24"/>
  <c r="ME64" i="24"/>
  <c r="LL64" i="24"/>
  <c r="KS64" i="24"/>
  <c r="MX64" i="24"/>
  <c r="JG64" i="24"/>
  <c r="JZ64" i="24"/>
  <c r="IN64" i="24"/>
  <c r="IN249" i="24" s="1"/>
  <c r="JG11" i="24"/>
  <c r="JG9" i="24" s="1"/>
  <c r="IN197" i="24"/>
  <c r="HC265" i="24"/>
  <c r="HB197" i="24"/>
  <c r="HB264" i="24"/>
  <c r="FP261" i="24"/>
  <c r="HB235" i="24"/>
  <c r="HB195" i="24"/>
  <c r="HC198" i="24"/>
  <c r="HC261" i="24"/>
  <c r="HU301" i="24"/>
  <c r="HU235" i="24"/>
  <c r="HV265" i="24"/>
  <c r="HV199" i="24"/>
  <c r="HU263" i="24"/>
  <c r="HU197" i="24"/>
  <c r="HU11" i="24"/>
  <c r="HU9" i="24" s="1"/>
  <c r="HU307" i="24"/>
  <c r="HU303" i="24" s="1"/>
  <c r="HU52" i="24"/>
  <c r="HU49" i="24" s="1"/>
  <c r="HV261" i="24"/>
  <c r="HV195" i="24"/>
  <c r="HC50" i="24"/>
  <c r="HC301" i="24" s="1"/>
  <c r="HV50" i="24"/>
  <c r="HV264" i="24"/>
  <c r="HV198" i="24"/>
  <c r="HU265" i="24"/>
  <c r="HV315" i="24"/>
  <c r="HC12" i="24"/>
  <c r="HC263" i="24" s="1"/>
  <c r="HV12" i="24"/>
  <c r="HU264" i="24"/>
  <c r="HU198" i="24"/>
  <c r="HC56" i="24"/>
  <c r="HC241" i="24" s="1"/>
  <c r="HC237" i="24" s="1"/>
  <c r="HV56" i="24"/>
  <c r="HU261" i="24"/>
  <c r="HU195" i="24"/>
  <c r="HB64" i="24"/>
  <c r="HB249" i="24" s="1"/>
  <c r="HU64" i="24"/>
  <c r="FQ264" i="24"/>
  <c r="C330" i="37"/>
  <c r="GI14" i="24"/>
  <c r="GI199" i="24" s="1"/>
  <c r="HB14" i="24"/>
  <c r="GI56" i="24"/>
  <c r="GI307" i="24" s="1"/>
  <c r="GI303" i="24" s="1"/>
  <c r="HB56" i="24"/>
  <c r="GJ64" i="24"/>
  <c r="GJ315" i="24" s="1"/>
  <c r="HC64" i="24"/>
  <c r="FP263" i="24"/>
  <c r="ED198" i="24"/>
  <c r="BZ12" i="24"/>
  <c r="BZ121" i="24" s="1"/>
  <c r="ED261" i="24"/>
  <c r="GJ261" i="24"/>
  <c r="GJ195" i="24"/>
  <c r="FP64" i="24"/>
  <c r="FP315" i="24" s="1"/>
  <c r="GI64" i="24"/>
  <c r="GI261" i="24"/>
  <c r="GI195" i="24"/>
  <c r="GI264" i="24"/>
  <c r="GI198" i="24"/>
  <c r="FQ12" i="24"/>
  <c r="FQ197" i="24" s="1"/>
  <c r="FQ196" i="24" s="1"/>
  <c r="FQ194" i="24" s="1"/>
  <c r="GJ12" i="24"/>
  <c r="FP301" i="24"/>
  <c r="GJ265" i="24"/>
  <c r="GJ199" i="24"/>
  <c r="GI263" i="24"/>
  <c r="GI197" i="24"/>
  <c r="FQ261" i="24"/>
  <c r="FQ265" i="24"/>
  <c r="FQ56" i="24"/>
  <c r="FQ307" i="24" s="1"/>
  <c r="FQ303" i="24" s="1"/>
  <c r="GJ56" i="24"/>
  <c r="FQ50" i="24"/>
  <c r="FQ235" i="24" s="1"/>
  <c r="GJ50" i="24"/>
  <c r="GJ264" i="24"/>
  <c r="GJ198" i="24"/>
  <c r="GI301" i="24"/>
  <c r="GI235" i="24"/>
  <c r="C335" i="37"/>
  <c r="C344" i="37"/>
  <c r="BG12" i="24"/>
  <c r="BG263" i="24" s="1"/>
  <c r="BG262" i="24" s="1"/>
  <c r="S11" i="24"/>
  <c r="S9" i="24" s="1"/>
  <c r="CS12" i="24"/>
  <c r="CS263" i="24" s="1"/>
  <c r="EX12" i="24"/>
  <c r="EX263" i="24" s="1"/>
  <c r="EE12" i="24"/>
  <c r="EE263" i="24" s="1"/>
  <c r="EE262" i="24" s="1"/>
  <c r="EE260" i="24" s="1"/>
  <c r="DL12" i="24"/>
  <c r="DL263" i="24" s="1"/>
  <c r="CS261" i="24"/>
  <c r="EE199" i="24"/>
  <c r="EW56" i="24"/>
  <c r="EW241" i="24" s="1"/>
  <c r="EW237" i="24" s="1"/>
  <c r="FP56" i="24"/>
  <c r="EW14" i="24"/>
  <c r="EW265" i="24" s="1"/>
  <c r="FP14" i="24"/>
  <c r="EX64" i="24"/>
  <c r="EX249" i="24" s="1"/>
  <c r="FQ64" i="24"/>
  <c r="ED235" i="24"/>
  <c r="ED197" i="24"/>
  <c r="EE198" i="24"/>
  <c r="EX261" i="24"/>
  <c r="EX195" i="24"/>
  <c r="EE50" i="24"/>
  <c r="EE235" i="24" s="1"/>
  <c r="EX50" i="24"/>
  <c r="EW195" i="24"/>
  <c r="EW261" i="24"/>
  <c r="EX264" i="24"/>
  <c r="EX198" i="24"/>
  <c r="EE56" i="24"/>
  <c r="EE307" i="24" s="1"/>
  <c r="EE303" i="24" s="1"/>
  <c r="EX56" i="24"/>
  <c r="EX11" i="24"/>
  <c r="EX9" i="24" s="1"/>
  <c r="EW264" i="24"/>
  <c r="EW198" i="24"/>
  <c r="EW301" i="24"/>
  <c r="EW235" i="24"/>
  <c r="EW263" i="24"/>
  <c r="EW197" i="24"/>
  <c r="EE195" i="24"/>
  <c r="ED64" i="24"/>
  <c r="ED249" i="24" s="1"/>
  <c r="EW64" i="24"/>
  <c r="CR198" i="24"/>
  <c r="EX265" i="24"/>
  <c r="EX199" i="24"/>
  <c r="CS264" i="24"/>
  <c r="R107" i="10"/>
  <c r="R42" i="27" s="1"/>
  <c r="M13" i="49"/>
  <c r="DK56" i="24"/>
  <c r="DK52" i="24" s="1"/>
  <c r="DK49" i="24" s="1"/>
  <c r="ED56" i="24"/>
  <c r="CR301" i="24"/>
  <c r="DK14" i="24"/>
  <c r="DK11" i="24" s="1"/>
  <c r="DK9" i="24" s="1"/>
  <c r="ED14" i="24"/>
  <c r="DL64" i="24"/>
  <c r="DL315" i="24" s="1"/>
  <c r="EE64" i="24"/>
  <c r="CR195" i="24"/>
  <c r="DK264" i="24"/>
  <c r="DK198" i="24"/>
  <c r="DK261" i="24"/>
  <c r="DK195" i="24"/>
  <c r="CS199" i="24"/>
  <c r="DL264" i="24"/>
  <c r="DL198" i="24"/>
  <c r="DL265" i="24"/>
  <c r="DL199" i="24"/>
  <c r="CR64" i="24"/>
  <c r="CR315" i="24" s="1"/>
  <c r="DK64" i="24"/>
  <c r="CR197" i="24"/>
  <c r="CS56" i="24"/>
  <c r="CS307" i="24" s="1"/>
  <c r="CS303" i="24" s="1"/>
  <c r="DL56" i="24"/>
  <c r="DL261" i="24"/>
  <c r="DL195" i="24"/>
  <c r="CS50" i="24"/>
  <c r="CS235" i="24" s="1"/>
  <c r="DL50" i="24"/>
  <c r="DK235" i="24"/>
  <c r="DK301" i="24"/>
  <c r="DK263" i="24"/>
  <c r="DK197" i="24"/>
  <c r="BY56" i="24"/>
  <c r="BY307" i="24" s="1"/>
  <c r="BY303" i="24" s="1"/>
  <c r="CR56" i="24"/>
  <c r="BY14" i="24"/>
  <c r="BY11" i="24" s="1"/>
  <c r="BY9" i="24" s="1"/>
  <c r="CR14" i="24"/>
  <c r="BZ64" i="24"/>
  <c r="BZ315" i="24" s="1"/>
  <c r="CS64" i="24"/>
  <c r="BY261" i="24"/>
  <c r="BY195" i="24"/>
  <c r="BY122" i="24"/>
  <c r="BY264" i="24"/>
  <c r="BY198" i="24"/>
  <c r="BZ122" i="24"/>
  <c r="BZ264" i="24"/>
  <c r="BZ198" i="24"/>
  <c r="BF195" i="24"/>
  <c r="BF261" i="24"/>
  <c r="BY263" i="24"/>
  <c r="BY197" i="24"/>
  <c r="BY301" i="24"/>
  <c r="BY235" i="24"/>
  <c r="BF235" i="24"/>
  <c r="BF301" i="24"/>
  <c r="BZ261" i="24"/>
  <c r="BZ195" i="24"/>
  <c r="BZ123" i="24"/>
  <c r="BZ265" i="24"/>
  <c r="BZ199" i="24"/>
  <c r="BG195" i="24"/>
  <c r="BG261" i="24"/>
  <c r="BF121" i="24"/>
  <c r="BF197" i="24"/>
  <c r="BG123" i="24"/>
  <c r="BG199" i="24"/>
  <c r="BF122" i="24"/>
  <c r="BF198" i="24"/>
  <c r="BG122" i="24"/>
  <c r="BG198" i="24"/>
  <c r="BY121" i="24"/>
  <c r="BF64" i="24"/>
  <c r="BY64" i="24"/>
  <c r="BG56" i="24"/>
  <c r="BG307" i="24" s="1"/>
  <c r="BG303" i="24" s="1"/>
  <c r="BZ56" i="24"/>
  <c r="BZ11" i="24"/>
  <c r="BZ9" i="24" s="1"/>
  <c r="BG50" i="24"/>
  <c r="BZ50" i="24"/>
  <c r="R49" i="24"/>
  <c r="BF56" i="24"/>
  <c r="BF307" i="24" s="1"/>
  <c r="BF303" i="24" s="1"/>
  <c r="R11" i="24"/>
  <c r="R9" i="24" s="1"/>
  <c r="BF14" i="24"/>
  <c r="C332" i="37"/>
  <c r="BG64" i="24"/>
  <c r="S49" i="24"/>
  <c r="C329" i="37" s="1"/>
  <c r="C338" i="37"/>
  <c r="C341" i="37"/>
  <c r="C339" i="37"/>
  <c r="R47" i="10"/>
  <c r="R21" i="10"/>
  <c r="R29" i="10" s="1"/>
  <c r="S113" i="10"/>
  <c r="R30" i="10"/>
  <c r="S47" i="10"/>
  <c r="S29" i="10"/>
  <c r="S92" i="10"/>
  <c r="S94" i="10" s="1"/>
  <c r="MF49" i="24" l="1"/>
  <c r="HC262" i="24"/>
  <c r="HC260" i="24" s="1"/>
  <c r="HC307" i="24"/>
  <c r="HC303" i="24" s="1"/>
  <c r="HC300" i="24" s="1"/>
  <c r="R63" i="24"/>
  <c r="IN11" i="24"/>
  <c r="IN9" i="24" s="1"/>
  <c r="HC11" i="24"/>
  <c r="HC9" i="24" s="1"/>
  <c r="IN196" i="24"/>
  <c r="IN194" i="24" s="1"/>
  <c r="BZ263" i="24"/>
  <c r="BZ262" i="24" s="1"/>
  <c r="BZ260" i="24" s="1"/>
  <c r="IO241" i="24"/>
  <c r="IO237" i="24" s="1"/>
  <c r="IO52" i="24"/>
  <c r="IO49" i="24" s="1"/>
  <c r="IO197" i="24"/>
  <c r="IO196" i="24" s="1"/>
  <c r="IO194" i="24" s="1"/>
  <c r="IO11" i="24"/>
  <c r="IO9" i="24" s="1"/>
  <c r="JH49" i="24"/>
  <c r="NQ63" i="24"/>
  <c r="MX63" i="24"/>
  <c r="ME63" i="24"/>
  <c r="JZ63" i="24"/>
  <c r="JG63" i="24"/>
  <c r="IN63" i="24"/>
  <c r="IN248" i="24" s="1"/>
  <c r="LL63" i="24"/>
  <c r="KS63" i="24"/>
  <c r="IO235" i="24"/>
  <c r="KT49" i="24"/>
  <c r="LM49" i="24"/>
  <c r="KA49" i="24"/>
  <c r="MY49" i="24"/>
  <c r="NR49" i="24"/>
  <c r="IN241" i="24"/>
  <c r="IN237" i="24" s="1"/>
  <c r="IN234" i="24" s="1"/>
  <c r="IN52" i="24"/>
  <c r="IN49" i="24" s="1"/>
  <c r="BZ197" i="24"/>
  <c r="HB315" i="24"/>
  <c r="HC52" i="24"/>
  <c r="HC49" i="24" s="1"/>
  <c r="HU300" i="24"/>
  <c r="GI11" i="24"/>
  <c r="GI9" i="24" s="1"/>
  <c r="FP249" i="24"/>
  <c r="GI265" i="24"/>
  <c r="GI262" i="24" s="1"/>
  <c r="GI260" i="24" s="1"/>
  <c r="HC235" i="24"/>
  <c r="HC234" i="24" s="1"/>
  <c r="HC197" i="24"/>
  <c r="HC196" i="24" s="1"/>
  <c r="HC194" i="24" s="1"/>
  <c r="HV52" i="24"/>
  <c r="HV49" i="24" s="1"/>
  <c r="HV307" i="24"/>
  <c r="HV303" i="24" s="1"/>
  <c r="HV241" i="24"/>
  <c r="HV237" i="24" s="1"/>
  <c r="HU196" i="24"/>
  <c r="HU194" i="24" s="1"/>
  <c r="HU262" i="24"/>
  <c r="HU260" i="24" s="1"/>
  <c r="HB63" i="24"/>
  <c r="HB248" i="24" s="1"/>
  <c r="HU63" i="24"/>
  <c r="HU315" i="24"/>
  <c r="HU249" i="24"/>
  <c r="HV263" i="24"/>
  <c r="HV262" i="24" s="1"/>
  <c r="HV260" i="24" s="1"/>
  <c r="HV197" i="24"/>
  <c r="HV196" i="24" s="1"/>
  <c r="HV194" i="24" s="1"/>
  <c r="HV11" i="24"/>
  <c r="HV9" i="24" s="1"/>
  <c r="HU234" i="24"/>
  <c r="HV301" i="24"/>
  <c r="HV235" i="24"/>
  <c r="BG121" i="24"/>
  <c r="FQ11" i="24"/>
  <c r="FQ9" i="24" s="1"/>
  <c r="FQ263" i="24"/>
  <c r="FQ262" i="24" s="1"/>
  <c r="FQ260" i="24" s="1"/>
  <c r="GI52" i="24"/>
  <c r="GI49" i="24" s="1"/>
  <c r="EE52" i="24"/>
  <c r="EE49" i="24" s="1"/>
  <c r="GI241" i="24"/>
  <c r="GI237" i="24" s="1"/>
  <c r="GI234" i="24" s="1"/>
  <c r="GJ249" i="24"/>
  <c r="HB265" i="24"/>
  <c r="HB262" i="24" s="1"/>
  <c r="HB260" i="24" s="1"/>
  <c r="HB199" i="24"/>
  <c r="HB196" i="24" s="1"/>
  <c r="HB194" i="24" s="1"/>
  <c r="HB11" i="24"/>
  <c r="HB9" i="24" s="1"/>
  <c r="GI196" i="24"/>
  <c r="GI194" i="24" s="1"/>
  <c r="HB307" i="24"/>
  <c r="HB303" i="24" s="1"/>
  <c r="HB300" i="24" s="1"/>
  <c r="HB241" i="24"/>
  <c r="HB237" i="24" s="1"/>
  <c r="HB234" i="24" s="1"/>
  <c r="HB52" i="24"/>
  <c r="HB49" i="24" s="1"/>
  <c r="EE197" i="24"/>
  <c r="HC249" i="24"/>
  <c r="HC315" i="24"/>
  <c r="CS262" i="24"/>
  <c r="CS260" i="24" s="1"/>
  <c r="EX197" i="24"/>
  <c r="EX196" i="24" s="1"/>
  <c r="EX194" i="24" s="1"/>
  <c r="CS197" i="24"/>
  <c r="CS196" i="24" s="1"/>
  <c r="CS194" i="24" s="1"/>
  <c r="EX315" i="24"/>
  <c r="EE301" i="24"/>
  <c r="EE300" i="24" s="1"/>
  <c r="GJ263" i="24"/>
  <c r="GJ262" i="24" s="1"/>
  <c r="GJ260" i="24" s="1"/>
  <c r="GJ197" i="24"/>
  <c r="GJ196" i="24" s="1"/>
  <c r="GJ194" i="24" s="1"/>
  <c r="GJ11" i="24"/>
  <c r="GJ9" i="24" s="1"/>
  <c r="GI300" i="24"/>
  <c r="GI315" i="24"/>
  <c r="GI249" i="24"/>
  <c r="GJ52" i="24"/>
  <c r="GJ49" i="24" s="1"/>
  <c r="GJ307" i="24"/>
  <c r="GJ303" i="24" s="1"/>
  <c r="GJ241" i="24"/>
  <c r="GJ237" i="24" s="1"/>
  <c r="FP63" i="24"/>
  <c r="FP314" i="24" s="1"/>
  <c r="GI63" i="24"/>
  <c r="ED315" i="24"/>
  <c r="EE11" i="24"/>
  <c r="EE9" i="24" s="1"/>
  <c r="FQ52" i="24"/>
  <c r="FQ49" i="24" s="1"/>
  <c r="FQ301" i="24"/>
  <c r="FQ300" i="24" s="1"/>
  <c r="BG11" i="24"/>
  <c r="BG9" i="24" s="1"/>
  <c r="FQ241" i="24"/>
  <c r="FQ237" i="24" s="1"/>
  <c r="FQ234" i="24" s="1"/>
  <c r="BG197" i="24"/>
  <c r="BG196" i="24" s="1"/>
  <c r="EE241" i="24"/>
  <c r="EE237" i="24" s="1"/>
  <c r="EE234" i="24" s="1"/>
  <c r="GJ301" i="24"/>
  <c r="GJ235" i="24"/>
  <c r="CS11" i="24"/>
  <c r="CS9" i="24" s="1"/>
  <c r="DL11" i="24"/>
  <c r="DL9" i="24" s="1"/>
  <c r="DL197" i="24"/>
  <c r="DL196" i="24" s="1"/>
  <c r="DL194" i="24" s="1"/>
  <c r="EW307" i="24"/>
  <c r="EW303" i="24" s="1"/>
  <c r="EW300" i="24" s="1"/>
  <c r="EE196" i="24"/>
  <c r="EE194" i="24" s="1"/>
  <c r="FP199" i="24"/>
  <c r="FP196" i="24" s="1"/>
  <c r="FP194" i="24" s="1"/>
  <c r="FP265" i="24"/>
  <c r="FP262" i="24" s="1"/>
  <c r="FP260" i="24" s="1"/>
  <c r="FP11" i="24"/>
  <c r="FP9" i="24" s="1"/>
  <c r="FP307" i="24"/>
  <c r="FP303" i="24" s="1"/>
  <c r="FP300" i="24" s="1"/>
  <c r="FP241" i="24"/>
  <c r="FP237" i="24" s="1"/>
  <c r="FP234" i="24" s="1"/>
  <c r="FP52" i="24"/>
  <c r="FP49" i="24" s="1"/>
  <c r="EW199" i="24"/>
  <c r="EW196" i="24" s="1"/>
  <c r="EW194" i="24" s="1"/>
  <c r="EW11" i="24"/>
  <c r="EW9" i="24" s="1"/>
  <c r="EW52" i="24"/>
  <c r="EW49" i="24" s="1"/>
  <c r="FQ315" i="24"/>
  <c r="FQ249" i="24"/>
  <c r="EW234" i="24"/>
  <c r="EX52" i="24"/>
  <c r="EX49" i="24" s="1"/>
  <c r="EX307" i="24"/>
  <c r="EX303" i="24" s="1"/>
  <c r="EX241" i="24"/>
  <c r="EX237" i="24" s="1"/>
  <c r="EW262" i="24"/>
  <c r="EW260" i="24" s="1"/>
  <c r="EX301" i="24"/>
  <c r="EX235" i="24"/>
  <c r="ED63" i="24"/>
  <c r="ED248" i="24" s="1"/>
  <c r="EW63" i="24"/>
  <c r="EW315" i="24"/>
  <c r="EW249" i="24"/>
  <c r="EX262" i="24"/>
  <c r="EX260" i="24" s="1"/>
  <c r="DK307" i="24"/>
  <c r="DK303" i="24" s="1"/>
  <c r="DK300" i="24" s="1"/>
  <c r="DK241" i="24"/>
  <c r="DK237" i="24" s="1"/>
  <c r="DK234" i="24" s="1"/>
  <c r="DK199" i="24"/>
  <c r="DK196" i="24" s="1"/>
  <c r="DK194" i="24" s="1"/>
  <c r="O13" i="49"/>
  <c r="P13" i="49"/>
  <c r="S13" i="49" s="1"/>
  <c r="S34" i="49" s="1"/>
  <c r="F17" i="16" s="1"/>
  <c r="R67" i="24" s="1"/>
  <c r="S107" i="10"/>
  <c r="M49" i="49"/>
  <c r="DL262" i="24"/>
  <c r="DL260" i="24" s="1"/>
  <c r="ED265" i="24"/>
  <c r="ED262" i="24" s="1"/>
  <c r="ED260" i="24" s="1"/>
  <c r="ED199" i="24"/>
  <c r="ED196" i="24" s="1"/>
  <c r="ED194" i="24" s="1"/>
  <c r="ED11" i="24"/>
  <c r="ED9" i="24" s="1"/>
  <c r="CS301" i="24"/>
  <c r="CS300" i="24" s="1"/>
  <c r="DL249" i="24"/>
  <c r="DK265" i="24"/>
  <c r="DK262" i="24" s="1"/>
  <c r="DK260" i="24" s="1"/>
  <c r="ED307" i="24"/>
  <c r="ED303" i="24" s="1"/>
  <c r="ED300" i="24" s="1"/>
  <c r="ED241" i="24"/>
  <c r="ED237" i="24" s="1"/>
  <c r="ED234" i="24" s="1"/>
  <c r="ED52" i="24"/>
  <c r="ED49" i="24" s="1"/>
  <c r="EE315" i="24"/>
  <c r="EE249" i="24"/>
  <c r="DL235" i="24"/>
  <c r="DL301" i="24"/>
  <c r="DL307" i="24"/>
  <c r="DL303" i="24" s="1"/>
  <c r="DL241" i="24"/>
  <c r="DL237" i="24" s="1"/>
  <c r="DL52" i="24"/>
  <c r="DL49" i="24" s="1"/>
  <c r="BZ249" i="24"/>
  <c r="CR249" i="24"/>
  <c r="CS52" i="24"/>
  <c r="CS49" i="24" s="1"/>
  <c r="CS241" i="24"/>
  <c r="CS237" i="24" s="1"/>
  <c r="CS234" i="24" s="1"/>
  <c r="DK315" i="24"/>
  <c r="DK249" i="24"/>
  <c r="CR63" i="24"/>
  <c r="CR314" i="24" s="1"/>
  <c r="DK63" i="24"/>
  <c r="BY300" i="24"/>
  <c r="BY241" i="24"/>
  <c r="BY237" i="24" s="1"/>
  <c r="BY234" i="24" s="1"/>
  <c r="BY52" i="24"/>
  <c r="BY49" i="24" s="1"/>
  <c r="CR52" i="24"/>
  <c r="CR49" i="24" s="1"/>
  <c r="CR307" i="24"/>
  <c r="CR303" i="24" s="1"/>
  <c r="CR300" i="24" s="1"/>
  <c r="CR241" i="24"/>
  <c r="CR237" i="24" s="1"/>
  <c r="CR234" i="24" s="1"/>
  <c r="BY199" i="24"/>
  <c r="BY196" i="24" s="1"/>
  <c r="BY333" i="24" s="1"/>
  <c r="BY265" i="24"/>
  <c r="BY262" i="24" s="1"/>
  <c r="BY260" i="24" s="1"/>
  <c r="BY123" i="24"/>
  <c r="CS315" i="24"/>
  <c r="CS249" i="24"/>
  <c r="CR265" i="24"/>
  <c r="CR262" i="24" s="1"/>
  <c r="CR260" i="24" s="1"/>
  <c r="CR199" i="24"/>
  <c r="CR196" i="24" s="1"/>
  <c r="CR194" i="24" s="1"/>
  <c r="CR11" i="24"/>
  <c r="CR9" i="24" s="1"/>
  <c r="BF300" i="24"/>
  <c r="BY315" i="24"/>
  <c r="BY249" i="24"/>
  <c r="BF199" i="24"/>
  <c r="BF196" i="24" s="1"/>
  <c r="BF265" i="24"/>
  <c r="BF262" i="24" s="1"/>
  <c r="BZ235" i="24"/>
  <c r="BZ301" i="24"/>
  <c r="BG235" i="24"/>
  <c r="BG301" i="24"/>
  <c r="BG300" i="24" s="1"/>
  <c r="BG249" i="24"/>
  <c r="BG315" i="24"/>
  <c r="BZ196" i="24"/>
  <c r="BZ52" i="24"/>
  <c r="BZ49" i="24" s="1"/>
  <c r="BZ307" i="24"/>
  <c r="BZ303" i="24" s="1"/>
  <c r="BZ241" i="24"/>
  <c r="BZ237" i="24" s="1"/>
  <c r="BF249" i="24"/>
  <c r="BF315" i="24"/>
  <c r="BG260" i="24"/>
  <c r="BG334" i="24"/>
  <c r="BG52" i="24"/>
  <c r="BG49" i="24" s="1"/>
  <c r="BG241" i="24"/>
  <c r="BG237" i="24" s="1"/>
  <c r="BF52" i="24"/>
  <c r="BF49" i="24" s="1"/>
  <c r="BF241" i="24"/>
  <c r="BF237" i="24" s="1"/>
  <c r="BF234" i="24" s="1"/>
  <c r="BF11" i="24"/>
  <c r="BF9" i="24" s="1"/>
  <c r="BF123" i="24"/>
  <c r="BF63" i="24"/>
  <c r="BY63" i="24"/>
  <c r="R6" i="24"/>
  <c r="R7" i="24" s="1"/>
  <c r="S42" i="27"/>
  <c r="S63" i="24"/>
  <c r="R31" i="10"/>
  <c r="R5" i="27"/>
  <c r="S30" i="10"/>
  <c r="IO234" i="24" l="1"/>
  <c r="NR63" i="24"/>
  <c r="MY63" i="24"/>
  <c r="MF63" i="24"/>
  <c r="LM63" i="24"/>
  <c r="KT63" i="24"/>
  <c r="KA63" i="24"/>
  <c r="JH63" i="24"/>
  <c r="IO63" i="24"/>
  <c r="IO248" i="24" s="1"/>
  <c r="HU67" i="24"/>
  <c r="HU318" i="24" s="1"/>
  <c r="NQ67" i="24"/>
  <c r="ME67" i="24"/>
  <c r="LL67" i="24"/>
  <c r="KS67" i="24"/>
  <c r="MX67" i="24"/>
  <c r="JZ67" i="24"/>
  <c r="JG67" i="24"/>
  <c r="IN67" i="24"/>
  <c r="IN252" i="24" s="1"/>
  <c r="HV234" i="24"/>
  <c r="HV300" i="24"/>
  <c r="HB314" i="24"/>
  <c r="HU314" i="24"/>
  <c r="HU248" i="24"/>
  <c r="HC63" i="24"/>
  <c r="HC248" i="24" s="1"/>
  <c r="HV63" i="24"/>
  <c r="FP248" i="24"/>
  <c r="GI67" i="24"/>
  <c r="GI252" i="24" s="1"/>
  <c r="HB67" i="24"/>
  <c r="GI248" i="24"/>
  <c r="GI314" i="24"/>
  <c r="GJ234" i="24"/>
  <c r="FQ63" i="24"/>
  <c r="FQ314" i="24" s="1"/>
  <c r="GJ63" i="24"/>
  <c r="GJ300" i="24"/>
  <c r="ED314" i="24"/>
  <c r="EX300" i="24"/>
  <c r="EW67" i="24"/>
  <c r="EW318" i="24" s="1"/>
  <c r="FP67" i="24"/>
  <c r="EX234" i="24"/>
  <c r="EE63" i="24"/>
  <c r="EE248" i="24" s="1"/>
  <c r="EX63" i="24"/>
  <c r="EW314" i="24"/>
  <c r="EW248" i="24"/>
  <c r="O49" i="49"/>
  <c r="P49" i="49"/>
  <c r="S49" i="49" s="1"/>
  <c r="S70" i="49" s="1"/>
  <c r="F18" i="16" s="1"/>
  <c r="S67" i="24" s="1"/>
  <c r="ED67" i="24"/>
  <c r="CR67" i="24"/>
  <c r="BY67" i="24"/>
  <c r="DK67" i="24"/>
  <c r="BF67" i="24"/>
  <c r="R13" i="49"/>
  <c r="R34" i="49" s="1"/>
  <c r="P35" i="49"/>
  <c r="CR248" i="24"/>
  <c r="DK314" i="24"/>
  <c r="DK248" i="24"/>
  <c r="DL300" i="24"/>
  <c r="CS63" i="24"/>
  <c r="CS314" i="24" s="1"/>
  <c r="DL63" i="24"/>
  <c r="DL234" i="24"/>
  <c r="BZ334" i="24"/>
  <c r="BG234" i="24"/>
  <c r="BY334" i="24"/>
  <c r="BY336" i="24" s="1"/>
  <c r="BY338" i="24" s="1"/>
  <c r="BZ234" i="24"/>
  <c r="BF194" i="24"/>
  <c r="BF333" i="24"/>
  <c r="BY194" i="24"/>
  <c r="BF248" i="24"/>
  <c r="BF314" i="24"/>
  <c r="BZ194" i="24"/>
  <c r="BZ333" i="24"/>
  <c r="BF260" i="24"/>
  <c r="BF334" i="24"/>
  <c r="BY314" i="24"/>
  <c r="BY248" i="24"/>
  <c r="BG194" i="24"/>
  <c r="BG333" i="24"/>
  <c r="BG336" i="24" s="1"/>
  <c r="BG338" i="24" s="1"/>
  <c r="BZ300" i="24"/>
  <c r="BG63" i="24"/>
  <c r="BZ63" i="24"/>
  <c r="C331" i="37"/>
  <c r="S6" i="24"/>
  <c r="S7" i="24" s="1"/>
  <c r="S31" i="10"/>
  <c r="S5" i="27"/>
  <c r="R6" i="27"/>
  <c r="H81" i="10"/>
  <c r="F54" i="10"/>
  <c r="HU252" i="24" l="1"/>
  <c r="GI318" i="24"/>
  <c r="HV67" i="24"/>
  <c r="HV252" i="24" s="1"/>
  <c r="NR67" i="24"/>
  <c r="LM67" i="24"/>
  <c r="KT67" i="24"/>
  <c r="MY67" i="24"/>
  <c r="MF67" i="24"/>
  <c r="IO67" i="24"/>
  <c r="IO252" i="24" s="1"/>
  <c r="KA67" i="24"/>
  <c r="JH67" i="24"/>
  <c r="HC314" i="24"/>
  <c r="HV314" i="24"/>
  <c r="HV248" i="24"/>
  <c r="GJ67" i="24"/>
  <c r="GJ318" i="24" s="1"/>
  <c r="HC67" i="24"/>
  <c r="HB318" i="24"/>
  <c r="HB252" i="24"/>
  <c r="FQ248" i="24"/>
  <c r="GJ314" i="24"/>
  <c r="GJ248" i="24"/>
  <c r="EW252" i="24"/>
  <c r="EX67" i="24"/>
  <c r="EX318" i="24" s="1"/>
  <c r="FQ67" i="24"/>
  <c r="EE314" i="24"/>
  <c r="FP252" i="24"/>
  <c r="FP318" i="24"/>
  <c r="EX248" i="24"/>
  <c r="EX314" i="24"/>
  <c r="CS248" i="24"/>
  <c r="BF252" i="24"/>
  <c r="BF318" i="24"/>
  <c r="DK252" i="24"/>
  <c r="DK318" i="24"/>
  <c r="BY318" i="24"/>
  <c r="BY252" i="24"/>
  <c r="CR318" i="24"/>
  <c r="CR252" i="24"/>
  <c r="ED318" i="24"/>
  <c r="ED252" i="24"/>
  <c r="EE67" i="24"/>
  <c r="CS67" i="24"/>
  <c r="DL67" i="24"/>
  <c r="BZ67" i="24"/>
  <c r="BG67" i="24"/>
  <c r="R49" i="49"/>
  <c r="R70" i="49" s="1"/>
  <c r="P71" i="49"/>
  <c r="E17" i="16"/>
  <c r="S35" i="49"/>
  <c r="BZ336" i="24"/>
  <c r="BZ338" i="24" s="1"/>
  <c r="DL314" i="24"/>
  <c r="DL248" i="24"/>
  <c r="BG335" i="24"/>
  <c r="BG337" i="24" s="1"/>
  <c r="BY335" i="24"/>
  <c r="BY337" i="24" s="1"/>
  <c r="BZ335" i="24"/>
  <c r="BZ337" i="24" s="1"/>
  <c r="BZ314" i="24"/>
  <c r="BZ248" i="24"/>
  <c r="BG248" i="24"/>
  <c r="BG314" i="24"/>
  <c r="BF335" i="24"/>
  <c r="BF337" i="24" s="1"/>
  <c r="BF336" i="24"/>
  <c r="BF338" i="24" s="1"/>
  <c r="S6" i="27"/>
  <c r="HV318" i="24" l="1"/>
  <c r="GJ252" i="24"/>
  <c r="HC318" i="24"/>
  <c r="HC252" i="24"/>
  <c r="EX252" i="24"/>
  <c r="FQ252" i="24"/>
  <c r="FQ318" i="24"/>
  <c r="CS318" i="24"/>
  <c r="CS252" i="24"/>
  <c r="R66" i="24"/>
  <c r="G17" i="16"/>
  <c r="BG318" i="24"/>
  <c r="BG252" i="24"/>
  <c r="BZ318" i="24"/>
  <c r="BZ252" i="24"/>
  <c r="EE252" i="24"/>
  <c r="EE318" i="24"/>
  <c r="S71" i="49"/>
  <c r="E18" i="16"/>
  <c r="DL318" i="24"/>
  <c r="DL252" i="24"/>
  <c r="J23" i="10"/>
  <c r="J24" i="10" s="1"/>
  <c r="HU66" i="24" l="1"/>
  <c r="HU65" i="24" s="1"/>
  <c r="HU68" i="24" s="1"/>
  <c r="NQ66" i="24"/>
  <c r="NQ65" i="24" s="1"/>
  <c r="NQ68" i="24" s="1"/>
  <c r="ME66" i="24"/>
  <c r="ME65" i="24" s="1"/>
  <c r="ME68" i="24" s="1"/>
  <c r="LL66" i="24"/>
  <c r="LL65" i="24" s="1"/>
  <c r="LL68" i="24" s="1"/>
  <c r="KS66" i="24"/>
  <c r="KS65" i="24" s="1"/>
  <c r="KS68" i="24" s="1"/>
  <c r="MX66" i="24"/>
  <c r="MX65" i="24" s="1"/>
  <c r="MX68" i="24" s="1"/>
  <c r="IN66" i="24"/>
  <c r="JZ66" i="24"/>
  <c r="JZ65" i="24" s="1"/>
  <c r="JZ68" i="24" s="1"/>
  <c r="JG66" i="24"/>
  <c r="JG65" i="24" s="1"/>
  <c r="JG68" i="24" s="1"/>
  <c r="GI66" i="24"/>
  <c r="GI317" i="24" s="1"/>
  <c r="GI316" i="24" s="1"/>
  <c r="GI319" i="24" s="1"/>
  <c r="GI327" i="24" s="1"/>
  <c r="HB66" i="24"/>
  <c r="GI65" i="24"/>
  <c r="GI68" i="24" s="1"/>
  <c r="GI251" i="24"/>
  <c r="GI250" i="24" s="1"/>
  <c r="GI253" i="24" s="1"/>
  <c r="GI326" i="24" s="1"/>
  <c r="EW66" i="24"/>
  <c r="EW65" i="24" s="1"/>
  <c r="EW68" i="24" s="1"/>
  <c r="FP66" i="24"/>
  <c r="R65" i="24"/>
  <c r="DK66" i="24"/>
  <c r="CR66" i="24"/>
  <c r="ED66" i="24"/>
  <c r="G18" i="16"/>
  <c r="S66" i="24"/>
  <c r="J48" i="10"/>
  <c r="J22" i="27" s="1"/>
  <c r="K81" i="10"/>
  <c r="HU317" i="24" l="1"/>
  <c r="HU316" i="24" s="1"/>
  <c r="HU319" i="24" s="1"/>
  <c r="HU327" i="24" s="1"/>
  <c r="HU251" i="24"/>
  <c r="HU250" i="24" s="1"/>
  <c r="HU253" i="24" s="1"/>
  <c r="HU326" i="24" s="1"/>
  <c r="IN65" i="24"/>
  <c r="IN68" i="24" s="1"/>
  <c r="IN251" i="24"/>
  <c r="IN250" i="24" s="1"/>
  <c r="IN253" i="24" s="1"/>
  <c r="HV66" i="24"/>
  <c r="HV65" i="24" s="1"/>
  <c r="HV68" i="24" s="1"/>
  <c r="NR66" i="24"/>
  <c r="NR65" i="24" s="1"/>
  <c r="NR68" i="24" s="1"/>
  <c r="MF66" i="24"/>
  <c r="MF65" i="24" s="1"/>
  <c r="MF68" i="24" s="1"/>
  <c r="LM66" i="24"/>
  <c r="LM65" i="24" s="1"/>
  <c r="LM68" i="24" s="1"/>
  <c r="KT66" i="24"/>
  <c r="KT65" i="24" s="1"/>
  <c r="KT68" i="24" s="1"/>
  <c r="MY66" i="24"/>
  <c r="MY65" i="24" s="1"/>
  <c r="MY68" i="24" s="1"/>
  <c r="IO66" i="24"/>
  <c r="KA66" i="24"/>
  <c r="KA65" i="24" s="1"/>
  <c r="KA68" i="24" s="1"/>
  <c r="JH66" i="24"/>
  <c r="JH65" i="24" s="1"/>
  <c r="JH68" i="24" s="1"/>
  <c r="HV251" i="24"/>
  <c r="HV250" i="24" s="1"/>
  <c r="HV253" i="24" s="1"/>
  <c r="HV326" i="24" s="1"/>
  <c r="HV317" i="24"/>
  <c r="HV316" i="24" s="1"/>
  <c r="HV319" i="24" s="1"/>
  <c r="HV327" i="24" s="1"/>
  <c r="GJ66" i="24"/>
  <c r="GJ317" i="24" s="1"/>
  <c r="GJ316" i="24" s="1"/>
  <c r="GJ319" i="24" s="1"/>
  <c r="GJ327" i="24" s="1"/>
  <c r="HC66" i="24"/>
  <c r="HB65" i="24"/>
  <c r="HB68" i="24" s="1"/>
  <c r="HB317" i="24"/>
  <c r="HB316" i="24" s="1"/>
  <c r="HB319" i="24" s="1"/>
  <c r="HB327" i="24" s="1"/>
  <c r="HB251" i="24"/>
  <c r="HB250" i="24" s="1"/>
  <c r="HB253" i="24" s="1"/>
  <c r="HB326" i="24" s="1"/>
  <c r="GI329" i="24"/>
  <c r="GI331" i="24" s="1"/>
  <c r="GI328" i="24"/>
  <c r="GI330" i="24" s="1"/>
  <c r="EW251" i="24"/>
  <c r="EW250" i="24" s="1"/>
  <c r="EW253" i="24" s="1"/>
  <c r="EW326" i="24" s="1"/>
  <c r="EW317" i="24"/>
  <c r="EW316" i="24" s="1"/>
  <c r="EW319" i="24" s="1"/>
  <c r="EW327" i="24" s="1"/>
  <c r="EX66" i="24"/>
  <c r="EX65" i="24" s="1"/>
  <c r="EX68" i="24" s="1"/>
  <c r="FQ66" i="24"/>
  <c r="FP65" i="24"/>
  <c r="FP68" i="24" s="1"/>
  <c r="FP251" i="24"/>
  <c r="FP250" i="24" s="1"/>
  <c r="FP253" i="24" s="1"/>
  <c r="FP326" i="24" s="1"/>
  <c r="FP317" i="24"/>
  <c r="FP316" i="24" s="1"/>
  <c r="FP319" i="24" s="1"/>
  <c r="FP327" i="24" s="1"/>
  <c r="ED317" i="24"/>
  <c r="ED316" i="24" s="1"/>
  <c r="ED319" i="24" s="1"/>
  <c r="ED327" i="24" s="1"/>
  <c r="ED251" i="24"/>
  <c r="ED250" i="24" s="1"/>
  <c r="ED253" i="24" s="1"/>
  <c r="ED326" i="24" s="1"/>
  <c r="ED65" i="24"/>
  <c r="ED68" i="24" s="1"/>
  <c r="DK251" i="24"/>
  <c r="DK250" i="24" s="1"/>
  <c r="DK253" i="24" s="1"/>
  <c r="DK326" i="24" s="1"/>
  <c r="DK317" i="24"/>
  <c r="DK316" i="24" s="1"/>
  <c r="DK319" i="24" s="1"/>
  <c r="DK327" i="24" s="1"/>
  <c r="DK65" i="24"/>
  <c r="DK68" i="24" s="1"/>
  <c r="S65" i="24"/>
  <c r="DL66" i="24"/>
  <c r="CS66" i="24"/>
  <c r="EE66" i="24"/>
  <c r="CR317" i="24"/>
  <c r="CR316" i="24" s="1"/>
  <c r="CR319" i="24" s="1"/>
  <c r="CR327" i="24" s="1"/>
  <c r="CR251" i="24"/>
  <c r="CR250" i="24" s="1"/>
  <c r="CR253" i="24" s="1"/>
  <c r="CR326" i="24" s="1"/>
  <c r="CR65" i="24"/>
  <c r="CR68" i="24" s="1"/>
  <c r="K82" i="10"/>
  <c r="HU329" i="24" l="1"/>
  <c r="HU331" i="24" s="1"/>
  <c r="HU328" i="24"/>
  <c r="HU330" i="24" s="1"/>
  <c r="IO65" i="24"/>
  <c r="IO68" i="24" s="1"/>
  <c r="IO251" i="24"/>
  <c r="IO250" i="24" s="1"/>
  <c r="IO253" i="24" s="1"/>
  <c r="GJ65" i="24"/>
  <c r="GJ68" i="24" s="1"/>
  <c r="GJ251" i="24"/>
  <c r="GJ250" i="24" s="1"/>
  <c r="GJ253" i="24" s="1"/>
  <c r="GJ326" i="24" s="1"/>
  <c r="GJ328" i="24" s="1"/>
  <c r="HV329" i="24"/>
  <c r="HV331" i="24" s="1"/>
  <c r="HV328" i="24"/>
  <c r="HV330" i="24" s="1"/>
  <c r="HB329" i="24"/>
  <c r="HB331" i="24" s="1"/>
  <c r="HB328" i="24"/>
  <c r="HB330" i="24" s="1"/>
  <c r="HC65" i="24"/>
  <c r="HC68" i="24" s="1"/>
  <c r="HC317" i="24"/>
  <c r="HC316" i="24" s="1"/>
  <c r="HC319" i="24" s="1"/>
  <c r="HC327" i="24" s="1"/>
  <c r="HC251" i="24"/>
  <c r="HC250" i="24" s="1"/>
  <c r="HC253" i="24" s="1"/>
  <c r="HC326" i="24" s="1"/>
  <c r="EX317" i="24"/>
  <c r="EX316" i="24" s="1"/>
  <c r="EX319" i="24" s="1"/>
  <c r="EX327" i="24" s="1"/>
  <c r="FP328" i="24"/>
  <c r="FP330" i="24" s="1"/>
  <c r="GJ329" i="24"/>
  <c r="EW329" i="24"/>
  <c r="EW331" i="24" s="1"/>
  <c r="EW328" i="24"/>
  <c r="EW330" i="24" s="1"/>
  <c r="FP329" i="24"/>
  <c r="FP331" i="24" s="1"/>
  <c r="EX251" i="24"/>
  <c r="EX250" i="24" s="1"/>
  <c r="EX253" i="24" s="1"/>
  <c r="EX326" i="24" s="1"/>
  <c r="FQ65" i="24"/>
  <c r="FQ68" i="24" s="1"/>
  <c r="FQ251" i="24"/>
  <c r="FQ250" i="24" s="1"/>
  <c r="FQ253" i="24" s="1"/>
  <c r="FQ326" i="24" s="1"/>
  <c r="FQ317" i="24"/>
  <c r="FQ316" i="24" s="1"/>
  <c r="FQ319" i="24" s="1"/>
  <c r="FQ327" i="24" s="1"/>
  <c r="DK329" i="24"/>
  <c r="DK331" i="24" s="1"/>
  <c r="DK328" i="24"/>
  <c r="DK330" i="24" s="1"/>
  <c r="CR328" i="24"/>
  <c r="CR330" i="24" s="1"/>
  <c r="CR329" i="24"/>
  <c r="CR331" i="24" s="1"/>
  <c r="DL251" i="24"/>
  <c r="DL250" i="24" s="1"/>
  <c r="DL253" i="24" s="1"/>
  <c r="DL326" i="24" s="1"/>
  <c r="DL317" i="24"/>
  <c r="DL316" i="24" s="1"/>
  <c r="DL319" i="24" s="1"/>
  <c r="DL327" i="24" s="1"/>
  <c r="DL65" i="24"/>
  <c r="DL68" i="24" s="1"/>
  <c r="EE317" i="24"/>
  <c r="EE316" i="24" s="1"/>
  <c r="EE319" i="24" s="1"/>
  <c r="EE327" i="24" s="1"/>
  <c r="EE251" i="24"/>
  <c r="EE250" i="24" s="1"/>
  <c r="EE253" i="24" s="1"/>
  <c r="EE326" i="24" s="1"/>
  <c r="EE65" i="24"/>
  <c r="EE68" i="24" s="1"/>
  <c r="CS317" i="24"/>
  <c r="CS316" i="24" s="1"/>
  <c r="CS319" i="24" s="1"/>
  <c r="CS327" i="24" s="1"/>
  <c r="CS251" i="24"/>
  <c r="CS250" i="24" s="1"/>
  <c r="CS253" i="24" s="1"/>
  <c r="CS326" i="24" s="1"/>
  <c r="CS65" i="24"/>
  <c r="CS68" i="24" s="1"/>
  <c r="ED329" i="24"/>
  <c r="ED331" i="24" s="1"/>
  <c r="ED328" i="24"/>
  <c r="ED330" i="24" s="1"/>
  <c r="H23" i="10"/>
  <c r="H24" i="10" s="1"/>
  <c r="GJ331" i="24" l="1"/>
  <c r="GJ330" i="24"/>
  <c r="HC329" i="24"/>
  <c r="HC331" i="24" s="1"/>
  <c r="HC328" i="24"/>
  <c r="HC330" i="24" s="1"/>
  <c r="EX328" i="24"/>
  <c r="EX330" i="24" s="1"/>
  <c r="EX329" i="24"/>
  <c r="EX331" i="24" s="1"/>
  <c r="FQ329" i="24"/>
  <c r="FQ331" i="24" s="1"/>
  <c r="FQ328" i="24"/>
  <c r="FQ330" i="24" s="1"/>
  <c r="DL329" i="24"/>
  <c r="DL331" i="24" s="1"/>
  <c r="DL328" i="24"/>
  <c r="DL330" i="24" s="1"/>
  <c r="EE328" i="24"/>
  <c r="EE330" i="24" s="1"/>
  <c r="EE329" i="24"/>
  <c r="EE331" i="24" s="1"/>
  <c r="CS328" i="24"/>
  <c r="CS330" i="24" s="1"/>
  <c r="CS329" i="24"/>
  <c r="CS331" i="24" s="1"/>
  <c r="H82" i="10"/>
  <c r="H75" i="10" l="1"/>
  <c r="H78" i="10" l="1"/>
  <c r="H79" i="10" s="1"/>
  <c r="H6" i="10" s="1"/>
  <c r="H4" i="27" s="1"/>
  <c r="N17" i="13"/>
  <c r="I5" i="13"/>
  <c r="I7" i="13"/>
  <c r="H7" i="10" l="1"/>
  <c r="F89" i="10"/>
  <c r="G89" i="10"/>
  <c r="D46" i="10"/>
  <c r="F46" i="10"/>
  <c r="G46" i="10"/>
  <c r="H46" i="10"/>
  <c r="I46" i="10"/>
  <c r="J46" i="10"/>
  <c r="K46" i="10"/>
  <c r="L46" i="10"/>
  <c r="M46" i="10"/>
  <c r="N46" i="10"/>
  <c r="H109" i="10" l="1"/>
  <c r="H44" i="27" s="1"/>
  <c r="H111" i="10"/>
  <c r="H45" i="27" s="1"/>
  <c r="C35" i="19"/>
  <c r="C36" i="19" s="1"/>
  <c r="C51" i="19" s="1"/>
  <c r="C34" i="19"/>
  <c r="C38" i="19"/>
  <c r="C41" i="19" s="1"/>
  <c r="C42" i="19" s="1"/>
  <c r="B35" i="19" l="1"/>
  <c r="H60" i="24"/>
  <c r="H50" i="24"/>
  <c r="BO50" i="24" s="1"/>
  <c r="C48" i="19"/>
  <c r="C47" i="19"/>
  <c r="C44" i="19"/>
  <c r="C39" i="19"/>
  <c r="E37" i="19"/>
  <c r="G37" i="19"/>
  <c r="F37" i="19"/>
  <c r="B33" i="19"/>
  <c r="H36" i="19"/>
  <c r="G36" i="19"/>
  <c r="F36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H41" i="19" l="1"/>
  <c r="BO301" i="24"/>
  <c r="BO235" i="24"/>
  <c r="CH60" i="24"/>
  <c r="LU60" i="24"/>
  <c r="MN60" i="24"/>
  <c r="LB60" i="24"/>
  <c r="KI60" i="24"/>
  <c r="IW60" i="24"/>
  <c r="JP60" i="24"/>
  <c r="ID60" i="24"/>
  <c r="ID245" i="24" s="1"/>
  <c r="NG60" i="24"/>
  <c r="FF50" i="24"/>
  <c r="MN50" i="24"/>
  <c r="NG50" i="24"/>
  <c r="KI50" i="24"/>
  <c r="LU50" i="24"/>
  <c r="JP50" i="24"/>
  <c r="LB50" i="24"/>
  <c r="ID50" i="24"/>
  <c r="ID235" i="24" s="1"/>
  <c r="IW50" i="24"/>
  <c r="DA60" i="24"/>
  <c r="AV60" i="24"/>
  <c r="AV245" i="24" s="1"/>
  <c r="HK60" i="24"/>
  <c r="FF60" i="24"/>
  <c r="GR60" i="24"/>
  <c r="DT60" i="24"/>
  <c r="H102" i="37"/>
  <c r="EM60" i="24"/>
  <c r="FY60" i="24"/>
  <c r="BO60" i="24"/>
  <c r="HK50" i="24"/>
  <c r="AV50" i="24"/>
  <c r="AV301" i="24" s="1"/>
  <c r="CH50" i="24"/>
  <c r="GR50" i="24"/>
  <c r="DT50" i="24"/>
  <c r="FY50" i="24"/>
  <c r="H110" i="37"/>
  <c r="DA50" i="24"/>
  <c r="EM50" i="24"/>
  <c r="K33" i="19"/>
  <c r="C46" i="19"/>
  <c r="HK301" i="24" l="1"/>
  <c r="HK235" i="24"/>
  <c r="HK311" i="24"/>
  <c r="HK245" i="24"/>
  <c r="GR301" i="24"/>
  <c r="GR235" i="24"/>
  <c r="GR311" i="24"/>
  <c r="GR245" i="24"/>
  <c r="FY245" i="24"/>
  <c r="FY311" i="24"/>
  <c r="FY301" i="24"/>
  <c r="FY235" i="24"/>
  <c r="FF235" i="24"/>
  <c r="FF301" i="24"/>
  <c r="FF311" i="24"/>
  <c r="FF245" i="24"/>
  <c r="EM301" i="24"/>
  <c r="EM235" i="24"/>
  <c r="EM311" i="24"/>
  <c r="EM245" i="24"/>
  <c r="DT235" i="24"/>
  <c r="DT301" i="24"/>
  <c r="DT311" i="24"/>
  <c r="DT245" i="24"/>
  <c r="DA311" i="24"/>
  <c r="DA245" i="24"/>
  <c r="DA235" i="24"/>
  <c r="DA301" i="24"/>
  <c r="CH311" i="24"/>
  <c r="CH245" i="24"/>
  <c r="CH235" i="24"/>
  <c r="CH301" i="24"/>
  <c r="BO311" i="24"/>
  <c r="BO245" i="24"/>
  <c r="ID311" i="24"/>
  <c r="ID301" i="24"/>
  <c r="AV311" i="24"/>
  <c r="AV235" i="24"/>
  <c r="D77" i="10" l="1"/>
  <c r="D76" i="10"/>
  <c r="D75" i="10"/>
  <c r="G54" i="10"/>
  <c r="F72" i="10"/>
  <c r="G73" i="10"/>
  <c r="F73" i="10"/>
  <c r="G72" i="10"/>
  <c r="G81" i="10"/>
  <c r="G82" i="10" s="1"/>
  <c r="F81" i="10"/>
  <c r="F82" i="10" s="1"/>
  <c r="H54" i="10"/>
  <c r="E54" i="10"/>
  <c r="O54" i="10"/>
  <c r="I54" i="10"/>
  <c r="D78" i="10" l="1"/>
  <c r="D79" i="10" s="1"/>
  <c r="D53" i="10" s="1"/>
  <c r="D25" i="10" s="1"/>
  <c r="F75" i="10"/>
  <c r="F83" i="10"/>
  <c r="G75" i="10"/>
  <c r="G78" i="10" s="1"/>
  <c r="G79" i="10" s="1"/>
  <c r="G83" i="10"/>
  <c r="F77" i="10"/>
  <c r="F76" i="10"/>
  <c r="G76" i="10"/>
  <c r="G77" i="10"/>
  <c r="H77" i="10"/>
  <c r="H76" i="10"/>
  <c r="E81" i="10"/>
  <c r="E82" i="10" s="1"/>
  <c r="E73" i="10"/>
  <c r="D73" i="10"/>
  <c r="D26" i="10" l="1"/>
  <c r="D28" i="10" s="1"/>
  <c r="D7" i="27"/>
  <c r="D52" i="10"/>
  <c r="D49" i="10" s="1"/>
  <c r="D6" i="10"/>
  <c r="H98" i="10"/>
  <c r="H99" i="10"/>
  <c r="H12" i="24" s="1"/>
  <c r="F78" i="10"/>
  <c r="F79" i="10" s="1"/>
  <c r="H53" i="10"/>
  <c r="H25" i="10" s="1"/>
  <c r="G80" i="10"/>
  <c r="G6" i="10"/>
  <c r="G4" i="27" s="1"/>
  <c r="G53" i="10"/>
  <c r="G25" i="10" s="1"/>
  <c r="G26" i="10" s="1"/>
  <c r="E75" i="10"/>
  <c r="E77" i="10"/>
  <c r="E76" i="10"/>
  <c r="E72" i="10"/>
  <c r="K25" i="15"/>
  <c r="K4" i="15"/>
  <c r="N38" i="15"/>
  <c r="M38" i="15"/>
  <c r="N37" i="15"/>
  <c r="M37" i="15"/>
  <c r="I29" i="15"/>
  <c r="I28" i="15"/>
  <c r="I27" i="15"/>
  <c r="I26" i="15"/>
  <c r="F25" i="15"/>
  <c r="N17" i="15"/>
  <c r="M17" i="15"/>
  <c r="N16" i="15"/>
  <c r="M16" i="15"/>
  <c r="I8" i="15"/>
  <c r="I7" i="15"/>
  <c r="I6" i="15"/>
  <c r="I5" i="15"/>
  <c r="F4" i="15"/>
  <c r="N38" i="14"/>
  <c r="M38" i="14"/>
  <c r="N37" i="14"/>
  <c r="M37" i="14"/>
  <c r="I29" i="14"/>
  <c r="I28" i="14"/>
  <c r="I27" i="14"/>
  <c r="I26" i="14"/>
  <c r="F25" i="14"/>
  <c r="N17" i="14"/>
  <c r="M17" i="14"/>
  <c r="N16" i="14"/>
  <c r="M16" i="14"/>
  <c r="I8" i="14"/>
  <c r="I7" i="14"/>
  <c r="I6" i="14"/>
  <c r="I5" i="14"/>
  <c r="F4" i="14"/>
  <c r="N38" i="13"/>
  <c r="M38" i="13"/>
  <c r="N37" i="13"/>
  <c r="M37" i="13"/>
  <c r="I29" i="13"/>
  <c r="I28" i="13"/>
  <c r="I27" i="13"/>
  <c r="I26" i="13"/>
  <c r="K25" i="13"/>
  <c r="F25" i="13"/>
  <c r="M17" i="13"/>
  <c r="N16" i="13"/>
  <c r="M16" i="13"/>
  <c r="I8" i="13"/>
  <c r="I6" i="13"/>
  <c r="K4" i="13"/>
  <c r="F4" i="13"/>
  <c r="N38" i="12"/>
  <c r="M38" i="12"/>
  <c r="N37" i="12"/>
  <c r="M37" i="12"/>
  <c r="I29" i="12"/>
  <c r="I28" i="12"/>
  <c r="I27" i="12"/>
  <c r="I26" i="12"/>
  <c r="F25" i="12"/>
  <c r="LU12" i="24" l="1"/>
  <c r="MN12" i="24"/>
  <c r="LB12" i="24"/>
  <c r="KI12" i="24"/>
  <c r="IW12" i="24"/>
  <c r="NG12" i="24"/>
  <c r="JP12" i="24"/>
  <c r="ID12" i="24"/>
  <c r="ID197" i="24" s="1"/>
  <c r="D64" i="24"/>
  <c r="D46" i="27"/>
  <c r="D27" i="10"/>
  <c r="G28" i="10"/>
  <c r="G7" i="27"/>
  <c r="H26" i="10"/>
  <c r="H27" i="10" s="1"/>
  <c r="H7" i="27"/>
  <c r="H121" i="37"/>
  <c r="GR12" i="24"/>
  <c r="HK12" i="24"/>
  <c r="FY12" i="24"/>
  <c r="FF12" i="24"/>
  <c r="EM12" i="24"/>
  <c r="DT12" i="24"/>
  <c r="CH12" i="24"/>
  <c r="BO12" i="24"/>
  <c r="DA12" i="24"/>
  <c r="AV12" i="24"/>
  <c r="H13" i="24"/>
  <c r="H112" i="10"/>
  <c r="H14" i="24" s="1"/>
  <c r="D55" i="10"/>
  <c r="D57" i="10" s="1"/>
  <c r="E83" i="10"/>
  <c r="D7" i="10"/>
  <c r="I13" i="34" s="1"/>
  <c r="D4" i="27"/>
  <c r="E78" i="10"/>
  <c r="E79" i="10" s="1"/>
  <c r="E6" i="10" s="1"/>
  <c r="E4" i="27" s="1"/>
  <c r="F80" i="10"/>
  <c r="F6" i="10"/>
  <c r="F4" i="27" s="1"/>
  <c r="K32" i="33"/>
  <c r="K30" i="33"/>
  <c r="K29" i="33"/>
  <c r="K36" i="33"/>
  <c r="K28" i="33"/>
  <c r="K35" i="33"/>
  <c r="K33" i="33"/>
  <c r="K31" i="33"/>
  <c r="K27" i="33"/>
  <c r="K26" i="33"/>
  <c r="H52" i="10"/>
  <c r="H49" i="10" s="1"/>
  <c r="H102" i="10" s="1"/>
  <c r="H53" i="24" s="1"/>
  <c r="G52" i="10"/>
  <c r="G49" i="10" s="1"/>
  <c r="F53" i="10"/>
  <c r="F25" i="10" s="1"/>
  <c r="H80" i="10"/>
  <c r="K5" i="13" s="1"/>
  <c r="G7" i="10"/>
  <c r="D80" i="10"/>
  <c r="O23" i="10"/>
  <c r="O24" i="10" s="1"/>
  <c r="K23" i="10"/>
  <c r="K24" i="10" s="1"/>
  <c r="L23" i="10"/>
  <c r="L24" i="10" s="1"/>
  <c r="M23" i="10"/>
  <c r="M24" i="10" s="1"/>
  <c r="N23" i="10"/>
  <c r="N24" i="10" s="1"/>
  <c r="I23" i="10"/>
  <c r="I24" i="10" s="1"/>
  <c r="I7" i="12"/>
  <c r="HK263" i="24" l="1"/>
  <c r="HK197" i="24"/>
  <c r="GR263" i="24"/>
  <c r="GR197" i="24"/>
  <c r="FY263" i="24"/>
  <c r="FY197" i="24"/>
  <c r="FF197" i="24"/>
  <c r="FF263" i="24"/>
  <c r="EM263" i="24"/>
  <c r="EM197" i="24"/>
  <c r="DT263" i="24"/>
  <c r="DT197" i="24"/>
  <c r="DA263" i="24"/>
  <c r="DA197" i="24"/>
  <c r="CH263" i="24"/>
  <c r="CH197" i="24"/>
  <c r="BO197" i="24"/>
  <c r="BO263" i="24"/>
  <c r="LU13" i="24"/>
  <c r="NG13" i="24"/>
  <c r="MN13" i="24"/>
  <c r="LB13" i="24"/>
  <c r="ID13" i="24"/>
  <c r="ID198" i="24" s="1"/>
  <c r="KI13" i="24"/>
  <c r="IW13" i="24"/>
  <c r="JP13" i="24"/>
  <c r="ID263" i="24"/>
  <c r="H8" i="37"/>
  <c r="LQ64" i="24"/>
  <c r="MJ64" i="24"/>
  <c r="NC64" i="24"/>
  <c r="KE64" i="24"/>
  <c r="JL64" i="24"/>
  <c r="KX64" i="24"/>
  <c r="IS64" i="24"/>
  <c r="HZ64" i="24"/>
  <c r="HZ249" i="24" s="1"/>
  <c r="NG14" i="24"/>
  <c r="LU14" i="24"/>
  <c r="KI14" i="24"/>
  <c r="MN14" i="24"/>
  <c r="LB14" i="24"/>
  <c r="IW14" i="24"/>
  <c r="JP14" i="24"/>
  <c r="ID14" i="24"/>
  <c r="ID199" i="24" s="1"/>
  <c r="H28" i="10"/>
  <c r="H64" i="24" s="1"/>
  <c r="LU53" i="24"/>
  <c r="MN53" i="24"/>
  <c r="LB53" i="24"/>
  <c r="NG53" i="24"/>
  <c r="KI53" i="24"/>
  <c r="JP53" i="24"/>
  <c r="IW53" i="24"/>
  <c r="ID53" i="24"/>
  <c r="K9" i="34"/>
  <c r="K5" i="34"/>
  <c r="BK64" i="24"/>
  <c r="CD64" i="24"/>
  <c r="GN64" i="24"/>
  <c r="FU64" i="24"/>
  <c r="FB64" i="24"/>
  <c r="EI64" i="24"/>
  <c r="CW64" i="24"/>
  <c r="HG64" i="24"/>
  <c r="AR64" i="24"/>
  <c r="DP64" i="24"/>
  <c r="G64" i="24"/>
  <c r="G46" i="27"/>
  <c r="F26" i="10"/>
  <c r="F27" i="10" s="1"/>
  <c r="F7" i="27"/>
  <c r="G27" i="10"/>
  <c r="BO121" i="24"/>
  <c r="AV121" i="24"/>
  <c r="AV197" i="24"/>
  <c r="AV263" i="24"/>
  <c r="D51" i="10"/>
  <c r="D50" i="10"/>
  <c r="D56" i="10"/>
  <c r="D40" i="10"/>
  <c r="D21" i="10" s="1"/>
  <c r="D29" i="10" s="1"/>
  <c r="H114" i="37"/>
  <c r="H123" i="37"/>
  <c r="H108" i="37"/>
  <c r="H120" i="37"/>
  <c r="H107" i="37"/>
  <c r="FY53" i="24"/>
  <c r="FF53" i="24"/>
  <c r="GR53" i="24"/>
  <c r="HK53" i="24"/>
  <c r="HK14" i="24"/>
  <c r="GR14" i="24"/>
  <c r="FY14" i="24"/>
  <c r="FF14" i="24"/>
  <c r="HK13" i="24"/>
  <c r="GR13" i="24"/>
  <c r="FY13" i="24"/>
  <c r="FF13" i="24"/>
  <c r="EM14" i="24"/>
  <c r="DT14" i="24"/>
  <c r="DA14" i="24"/>
  <c r="CH14" i="24"/>
  <c r="BO14" i="24"/>
  <c r="AV14" i="24"/>
  <c r="DT13" i="24"/>
  <c r="EM13" i="24"/>
  <c r="DA13" i="24"/>
  <c r="CH13" i="24"/>
  <c r="BO13" i="24"/>
  <c r="AV13" i="24"/>
  <c r="DT53" i="24"/>
  <c r="EM53" i="24"/>
  <c r="DA53" i="24"/>
  <c r="CH53" i="24"/>
  <c r="BO53" i="24"/>
  <c r="AV53" i="24"/>
  <c r="H11" i="24"/>
  <c r="D100" i="10"/>
  <c r="D58" i="24" s="1"/>
  <c r="D102" i="10"/>
  <c r="D53" i="24" s="1"/>
  <c r="D99" i="10"/>
  <c r="D12" i="24" s="1"/>
  <c r="G109" i="10"/>
  <c r="G111" i="10"/>
  <c r="G108" i="10"/>
  <c r="D111" i="10"/>
  <c r="D108" i="10"/>
  <c r="D109" i="10"/>
  <c r="D50" i="24" s="1"/>
  <c r="BK50" i="24" s="1"/>
  <c r="D98" i="10"/>
  <c r="G98" i="10"/>
  <c r="G99" i="10"/>
  <c r="G102" i="10"/>
  <c r="E53" i="10"/>
  <c r="E25" i="10" s="1"/>
  <c r="E80" i="10"/>
  <c r="E7" i="10"/>
  <c r="I34" i="34" s="1"/>
  <c r="H55" i="10"/>
  <c r="H50" i="10" s="1"/>
  <c r="K14" i="33"/>
  <c r="K5" i="33"/>
  <c r="K12" i="33"/>
  <c r="K11" i="33"/>
  <c r="K6" i="33"/>
  <c r="K10" i="33"/>
  <c r="K8" i="33"/>
  <c r="K9" i="33"/>
  <c r="N28" i="33" s="1"/>
  <c r="K7" i="33"/>
  <c r="K15" i="33"/>
  <c r="K12" i="34"/>
  <c r="K10" i="34"/>
  <c r="K11" i="34"/>
  <c r="K8" i="34"/>
  <c r="K15" i="34"/>
  <c r="K7" i="34"/>
  <c r="K14" i="34"/>
  <c r="K6" i="34"/>
  <c r="I34" i="33"/>
  <c r="K34" i="33" s="1"/>
  <c r="G55" i="10"/>
  <c r="G50" i="10" s="1"/>
  <c r="F7" i="10"/>
  <c r="F52" i="10"/>
  <c r="F49" i="10" s="1"/>
  <c r="I13" i="13"/>
  <c r="K13" i="13" s="1"/>
  <c r="K9" i="13"/>
  <c r="O25" i="13" s="1"/>
  <c r="ID196" i="24" l="1"/>
  <c r="ID238" i="24"/>
  <c r="HK238" i="24"/>
  <c r="HK304" i="24"/>
  <c r="HG315" i="24"/>
  <c r="HG249" i="24"/>
  <c r="HK264" i="24"/>
  <c r="HK198" i="24"/>
  <c r="HK265" i="24"/>
  <c r="HK199" i="24"/>
  <c r="GR264" i="24"/>
  <c r="GR198" i="24"/>
  <c r="GR304" i="24"/>
  <c r="GR238" i="24"/>
  <c r="GR265" i="24"/>
  <c r="GR199" i="24"/>
  <c r="GN315" i="24"/>
  <c r="GN249" i="24"/>
  <c r="FY264" i="24"/>
  <c r="FY198" i="24"/>
  <c r="FY304" i="24"/>
  <c r="FY238" i="24"/>
  <c r="FY265" i="24"/>
  <c r="FY199" i="24"/>
  <c r="FU315" i="24"/>
  <c r="FU249" i="24"/>
  <c r="FF198" i="24"/>
  <c r="FF264" i="24"/>
  <c r="FB315" i="24"/>
  <c r="FB249" i="24"/>
  <c r="FF304" i="24"/>
  <c r="FF238" i="24"/>
  <c r="FF199" i="24"/>
  <c r="FF265" i="24"/>
  <c r="EM238" i="24"/>
  <c r="EM304" i="24"/>
  <c r="EI249" i="24"/>
  <c r="EI315" i="24"/>
  <c r="EM264" i="24"/>
  <c r="EM198" i="24"/>
  <c r="EM265" i="24"/>
  <c r="EM199" i="24"/>
  <c r="DP249" i="24"/>
  <c r="DP315" i="24"/>
  <c r="DT264" i="24"/>
  <c r="DT198" i="24"/>
  <c r="DT238" i="24"/>
  <c r="DT304" i="24"/>
  <c r="DT199" i="24"/>
  <c r="DT265" i="24"/>
  <c r="DA238" i="24"/>
  <c r="DA304" i="24"/>
  <c r="DA265" i="24"/>
  <c r="DA199" i="24"/>
  <c r="CW249" i="24"/>
  <c r="CW315" i="24"/>
  <c r="DA264" i="24"/>
  <c r="DA198" i="24"/>
  <c r="CH264" i="24"/>
  <c r="CH198" i="24"/>
  <c r="CH304" i="24"/>
  <c r="CH238" i="24"/>
  <c r="CH265" i="24"/>
  <c r="CH199" i="24"/>
  <c r="CD315" i="24"/>
  <c r="CD249" i="24"/>
  <c r="BK301" i="24"/>
  <c r="BK235" i="24"/>
  <c r="BO265" i="24"/>
  <c r="BO199" i="24"/>
  <c r="BO198" i="24"/>
  <c r="BO264" i="24"/>
  <c r="BO304" i="24"/>
  <c r="BO238" i="24"/>
  <c r="BK315" i="24"/>
  <c r="BK249" i="24"/>
  <c r="MN11" i="24"/>
  <c r="JP11" i="24"/>
  <c r="IW11" i="24"/>
  <c r="LU11" i="24"/>
  <c r="H46" i="27"/>
  <c r="KI11" i="24"/>
  <c r="LB11" i="24"/>
  <c r="NG11" i="24"/>
  <c r="LQ53" i="24"/>
  <c r="MJ53" i="24"/>
  <c r="KX53" i="24"/>
  <c r="KE53" i="24"/>
  <c r="NC53" i="24"/>
  <c r="JL53" i="24"/>
  <c r="IS53" i="24"/>
  <c r="HZ53" i="24"/>
  <c r="HZ315" i="24"/>
  <c r="ID264" i="24"/>
  <c r="ID11" i="24"/>
  <c r="H104" i="37"/>
  <c r="LU64" i="24"/>
  <c r="MN64" i="24"/>
  <c r="LB64" i="24"/>
  <c r="NG64" i="24"/>
  <c r="KI64" i="24"/>
  <c r="IW64" i="24"/>
  <c r="ID64" i="24"/>
  <c r="ID249" i="24" s="1"/>
  <c r="JP64" i="24"/>
  <c r="ID304" i="24"/>
  <c r="NC12" i="24"/>
  <c r="MJ12" i="24"/>
  <c r="LQ12" i="24"/>
  <c r="KX12" i="24"/>
  <c r="HZ12" i="24"/>
  <c r="HZ197" i="24" s="1"/>
  <c r="IS12" i="24"/>
  <c r="KE12" i="24"/>
  <c r="JL12" i="24"/>
  <c r="C56" i="37"/>
  <c r="MM64" i="24"/>
  <c r="NF64" i="24"/>
  <c r="LA64" i="24"/>
  <c r="LT64" i="24"/>
  <c r="IC64" i="24"/>
  <c r="IC249" i="24" s="1"/>
  <c r="KH64" i="24"/>
  <c r="JO64" i="24"/>
  <c r="IV64" i="24"/>
  <c r="ID265" i="24"/>
  <c r="D92" i="10"/>
  <c r="D94" i="10" s="1"/>
  <c r="D106" i="10" s="1"/>
  <c r="D61" i="24" s="1"/>
  <c r="K28" i="34"/>
  <c r="N28" i="34" s="1"/>
  <c r="K26" i="34"/>
  <c r="N26" i="34" s="1"/>
  <c r="M4" i="34"/>
  <c r="M5" i="34"/>
  <c r="O30" i="34"/>
  <c r="CZ64" i="24"/>
  <c r="FX64" i="24"/>
  <c r="DS64" i="24"/>
  <c r="AV64" i="24"/>
  <c r="AV315" i="24" s="1"/>
  <c r="CH64" i="24"/>
  <c r="BO64" i="24"/>
  <c r="GR64" i="24"/>
  <c r="CG64" i="24"/>
  <c r="F28" i="10"/>
  <c r="F64" i="24" s="1"/>
  <c r="FF64" i="24"/>
  <c r="HK64" i="24"/>
  <c r="AU64" i="24"/>
  <c r="DT64" i="24"/>
  <c r="GQ64" i="24"/>
  <c r="AR315" i="24"/>
  <c r="AR249" i="24"/>
  <c r="HJ64" i="24"/>
  <c r="EM64" i="24"/>
  <c r="FE64" i="24"/>
  <c r="FY64" i="24"/>
  <c r="EL64" i="24"/>
  <c r="BN64" i="24"/>
  <c r="DA64" i="24"/>
  <c r="E26" i="10"/>
  <c r="E28" i="10" s="1"/>
  <c r="E46" i="27" s="1"/>
  <c r="E7" i="27"/>
  <c r="D101" i="10"/>
  <c r="AV238" i="24"/>
  <c r="AV304" i="24"/>
  <c r="BO122" i="24"/>
  <c r="E109" i="10"/>
  <c r="E50" i="24" s="1"/>
  <c r="BL50" i="24" s="1"/>
  <c r="BO123" i="24"/>
  <c r="AV123" i="24"/>
  <c r="AV199" i="24"/>
  <c r="AV265" i="24"/>
  <c r="AV198" i="24"/>
  <c r="AV264" i="24"/>
  <c r="D19" i="27"/>
  <c r="K36" i="34"/>
  <c r="M36" i="34" s="1"/>
  <c r="D47" i="10"/>
  <c r="K29" i="34"/>
  <c r="M29" i="34" s="1"/>
  <c r="H18" i="37"/>
  <c r="H25" i="37"/>
  <c r="CH11" i="24"/>
  <c r="AV11" i="24"/>
  <c r="AV122" i="24"/>
  <c r="HK11" i="24"/>
  <c r="BO11" i="24"/>
  <c r="FY11" i="24"/>
  <c r="EM11" i="24"/>
  <c r="GR11" i="24"/>
  <c r="DA11" i="24"/>
  <c r="DT11" i="24"/>
  <c r="FF11" i="24"/>
  <c r="GN12" i="24"/>
  <c r="HG12" i="24"/>
  <c r="FU12" i="24"/>
  <c r="FB12" i="24"/>
  <c r="GN53" i="24"/>
  <c r="HG53" i="24"/>
  <c r="FU53" i="24"/>
  <c r="FB53" i="24"/>
  <c r="EI53" i="24"/>
  <c r="DP53" i="24"/>
  <c r="CW53" i="24"/>
  <c r="CD53" i="24"/>
  <c r="BK53" i="24"/>
  <c r="EI12" i="24"/>
  <c r="DP12" i="24"/>
  <c r="CW12" i="24"/>
  <c r="CD12" i="24"/>
  <c r="BK12" i="24"/>
  <c r="AR12" i="24"/>
  <c r="F36" i="27"/>
  <c r="G53" i="24"/>
  <c r="G45" i="27"/>
  <c r="G60" i="24"/>
  <c r="G44" i="27"/>
  <c r="G50" i="24"/>
  <c r="BN50" i="24" s="1"/>
  <c r="D40" i="27"/>
  <c r="G112" i="10"/>
  <c r="G14" i="24" s="1"/>
  <c r="D45" i="27"/>
  <c r="D60" i="24"/>
  <c r="D13" i="24"/>
  <c r="D112" i="10"/>
  <c r="D14" i="24" s="1"/>
  <c r="D44" i="27"/>
  <c r="F102" i="10"/>
  <c r="F53" i="24" s="1"/>
  <c r="K35" i="34"/>
  <c r="N35" i="34" s="1"/>
  <c r="E111" i="10"/>
  <c r="E108" i="10"/>
  <c r="G12" i="24"/>
  <c r="F35" i="27"/>
  <c r="G13" i="24"/>
  <c r="F34" i="27"/>
  <c r="F109" i="10"/>
  <c r="F111" i="10"/>
  <c r="F108" i="10"/>
  <c r="D10" i="24"/>
  <c r="D43" i="27"/>
  <c r="K33" i="34"/>
  <c r="M33" i="34" s="1"/>
  <c r="K31" i="34"/>
  <c r="N31" i="34" s="1"/>
  <c r="G10" i="24"/>
  <c r="G43" i="27"/>
  <c r="E52" i="10"/>
  <c r="E49" i="10" s="1"/>
  <c r="E102" i="10" s="1"/>
  <c r="E98" i="10"/>
  <c r="E99" i="10"/>
  <c r="H101" i="10"/>
  <c r="F99" i="10"/>
  <c r="F12" i="24" s="1"/>
  <c r="F98" i="10"/>
  <c r="G101" i="10"/>
  <c r="K30" i="34"/>
  <c r="N30" i="34" s="1"/>
  <c r="K32" i="34"/>
  <c r="M32" i="34" s="1"/>
  <c r="K27" i="34"/>
  <c r="M27" i="34" s="1"/>
  <c r="K34" i="34"/>
  <c r="N34" i="34" s="1"/>
  <c r="G40" i="10"/>
  <c r="M26" i="33"/>
  <c r="N26" i="33"/>
  <c r="M28" i="33"/>
  <c r="H40" i="10"/>
  <c r="H92" i="10" s="1"/>
  <c r="N29" i="33"/>
  <c r="M29" i="33"/>
  <c r="H56" i="10"/>
  <c r="N27" i="33"/>
  <c r="H51" i="10"/>
  <c r="M27" i="33"/>
  <c r="I13" i="33"/>
  <c r="K13" i="33" s="1"/>
  <c r="N13" i="33" s="1"/>
  <c r="F55" i="10"/>
  <c r="F40" i="10" s="1"/>
  <c r="F92" i="10" s="1"/>
  <c r="O25" i="33"/>
  <c r="O36" i="33"/>
  <c r="O15" i="33"/>
  <c r="M12" i="33"/>
  <c r="N12" i="33"/>
  <c r="O38" i="33"/>
  <c r="O27" i="33"/>
  <c r="M9" i="33"/>
  <c r="O28" i="33"/>
  <c r="O12" i="33"/>
  <c r="O33" i="33"/>
  <c r="O4" i="33"/>
  <c r="O8" i="33"/>
  <c r="N14" i="33"/>
  <c r="O7" i="33"/>
  <c r="M10" i="33"/>
  <c r="M7" i="33"/>
  <c r="O29" i="33"/>
  <c r="N10" i="33"/>
  <c r="N9" i="33"/>
  <c r="O30" i="33"/>
  <c r="M8" i="33"/>
  <c r="O32" i="33"/>
  <c r="M14" i="33"/>
  <c r="O35" i="33"/>
  <c r="N6" i="33"/>
  <c r="O13" i="33"/>
  <c r="N11" i="33"/>
  <c r="O34" i="33"/>
  <c r="N4" i="33"/>
  <c r="N7" i="33"/>
  <c r="O26" i="33"/>
  <c r="M6" i="33"/>
  <c r="O16" i="33"/>
  <c r="M5" i="33"/>
  <c r="M25" i="33"/>
  <c r="O5" i="33"/>
  <c r="N15" i="33"/>
  <c r="M15" i="33"/>
  <c r="O6" i="33"/>
  <c r="O17" i="33"/>
  <c r="M11" i="33"/>
  <c r="O31" i="33"/>
  <c r="O9" i="33"/>
  <c r="O14" i="33"/>
  <c r="O10" i="33"/>
  <c r="N25" i="33"/>
  <c r="N5" i="33"/>
  <c r="O37" i="33"/>
  <c r="M4" i="33"/>
  <c r="O11" i="33"/>
  <c r="N8" i="33"/>
  <c r="N4" i="34"/>
  <c r="O4" i="34"/>
  <c r="M12" i="34"/>
  <c r="O25" i="34"/>
  <c r="O38" i="34"/>
  <c r="M10" i="34"/>
  <c r="O29" i="34"/>
  <c r="N12" i="34"/>
  <c r="O37" i="34"/>
  <c r="O35" i="34"/>
  <c r="M15" i="34"/>
  <c r="N5" i="34"/>
  <c r="O7" i="34"/>
  <c r="O33" i="34"/>
  <c r="N11" i="34"/>
  <c r="M14" i="34"/>
  <c r="O32" i="34"/>
  <c r="O27" i="34"/>
  <c r="O5" i="34"/>
  <c r="M6" i="34"/>
  <c r="N7" i="34"/>
  <c r="N6" i="34"/>
  <c r="O15" i="34"/>
  <c r="M11" i="34"/>
  <c r="O13" i="34"/>
  <c r="O10" i="34"/>
  <c r="N14" i="34"/>
  <c r="M9" i="34"/>
  <c r="M7" i="34"/>
  <c r="N10" i="34"/>
  <c r="N15" i="34"/>
  <c r="M8" i="34"/>
  <c r="O6" i="34"/>
  <c r="M25" i="34"/>
  <c r="N9" i="34"/>
  <c r="O28" i="34"/>
  <c r="O9" i="34"/>
  <c r="O11" i="34"/>
  <c r="O31" i="34"/>
  <c r="N25" i="34"/>
  <c r="O12" i="34"/>
  <c r="O36" i="34"/>
  <c r="O14" i="34"/>
  <c r="N8" i="34"/>
  <c r="O16" i="34"/>
  <c r="O26" i="34"/>
  <c r="O17" i="34"/>
  <c r="O8" i="34"/>
  <c r="O34" i="34"/>
  <c r="K13" i="34"/>
  <c r="M13" i="34" s="1"/>
  <c r="G57" i="10"/>
  <c r="G56" i="10"/>
  <c r="N34" i="33"/>
  <c r="M34" i="33"/>
  <c r="G51" i="10"/>
  <c r="N33" i="33"/>
  <c r="M33" i="33"/>
  <c r="M35" i="33"/>
  <c r="N35" i="33"/>
  <c r="N30" i="33"/>
  <c r="M30" i="33"/>
  <c r="N31" i="33"/>
  <c r="M31" i="33"/>
  <c r="N36" i="33"/>
  <c r="M36" i="33"/>
  <c r="N32" i="33"/>
  <c r="M32" i="33"/>
  <c r="O4" i="13"/>
  <c r="O6" i="13"/>
  <c r="M5" i="13"/>
  <c r="M25" i="13"/>
  <c r="P25" i="13" s="1"/>
  <c r="F4" i="12"/>
  <c r="N17" i="12"/>
  <c r="M17" i="12"/>
  <c r="N16" i="12"/>
  <c r="M16" i="12"/>
  <c r="I8" i="12"/>
  <c r="I6" i="12"/>
  <c r="I5" i="12"/>
  <c r="GR262" i="24" l="1"/>
  <c r="HZ238" i="24"/>
  <c r="HK196" i="24"/>
  <c r="FY262" i="24"/>
  <c r="HK262" i="24"/>
  <c r="GR196" i="24"/>
  <c r="HG263" i="24"/>
  <c r="HG197" i="24"/>
  <c r="HJ315" i="24"/>
  <c r="HJ249" i="24"/>
  <c r="HG304" i="24"/>
  <c r="HG238" i="24"/>
  <c r="HK315" i="24"/>
  <c r="HK249" i="24"/>
  <c r="FY196" i="24"/>
  <c r="GN238" i="24"/>
  <c r="GN304" i="24"/>
  <c r="GQ249" i="24"/>
  <c r="GQ315" i="24"/>
  <c r="GR249" i="24"/>
  <c r="GR315" i="24"/>
  <c r="GN263" i="24"/>
  <c r="GN197" i="24"/>
  <c r="FU263" i="24"/>
  <c r="FU197" i="24"/>
  <c r="FY249" i="24"/>
  <c r="FY315" i="24"/>
  <c r="FX315" i="24"/>
  <c r="FX249" i="24"/>
  <c r="FU238" i="24"/>
  <c r="FU304" i="24"/>
  <c r="FF196" i="24"/>
  <c r="EM196" i="24"/>
  <c r="FF262" i="24"/>
  <c r="FB197" i="24"/>
  <c r="FB263" i="24"/>
  <c r="FE315" i="24"/>
  <c r="FE249" i="24"/>
  <c r="FB238" i="24"/>
  <c r="FB304" i="24"/>
  <c r="FF249" i="24"/>
  <c r="FF315" i="24"/>
  <c r="EM262" i="24"/>
  <c r="EI263" i="24"/>
  <c r="EI197" i="24"/>
  <c r="EM315" i="24"/>
  <c r="EM249" i="24"/>
  <c r="EI304" i="24"/>
  <c r="EI238" i="24"/>
  <c r="EL315" i="24"/>
  <c r="EL249" i="24"/>
  <c r="DA196" i="24"/>
  <c r="DT262" i="24"/>
  <c r="DT196" i="24"/>
  <c r="DP238" i="24"/>
  <c r="DP304" i="24"/>
  <c r="DT249" i="24"/>
  <c r="DT315" i="24"/>
  <c r="DP263" i="24"/>
  <c r="DP197" i="24"/>
  <c r="DA262" i="24"/>
  <c r="DS249" i="24"/>
  <c r="DS315" i="24"/>
  <c r="BO262" i="24"/>
  <c r="BO334" i="24" s="1"/>
  <c r="BO196" i="24"/>
  <c r="BO333" i="24" s="1"/>
  <c r="CZ249" i="24"/>
  <c r="CZ315" i="24"/>
  <c r="CW238" i="24"/>
  <c r="CW304" i="24"/>
  <c r="CH196" i="24"/>
  <c r="CW197" i="24"/>
  <c r="CW263" i="24"/>
  <c r="CH262" i="24"/>
  <c r="DA249" i="24"/>
  <c r="DA315" i="24"/>
  <c r="CG315" i="24"/>
  <c r="CG249" i="24"/>
  <c r="CD304" i="24"/>
  <c r="CD238" i="24"/>
  <c r="CD263" i="24"/>
  <c r="CD197" i="24"/>
  <c r="CH315" i="24"/>
  <c r="CH249" i="24"/>
  <c r="BK304" i="24"/>
  <c r="BK238" i="24"/>
  <c r="BK263" i="24"/>
  <c r="BK197" i="24"/>
  <c r="BN235" i="24"/>
  <c r="BN301" i="24"/>
  <c r="BN315" i="24"/>
  <c r="BN249" i="24"/>
  <c r="BO315" i="24"/>
  <c r="BO249" i="24"/>
  <c r="BL301" i="24"/>
  <c r="BL235" i="24"/>
  <c r="D41" i="27"/>
  <c r="D57" i="24"/>
  <c r="P5" i="34"/>
  <c r="ID262" i="24"/>
  <c r="E64" i="24"/>
  <c r="KY64" i="24" s="1"/>
  <c r="NC13" i="24"/>
  <c r="LQ13" i="24"/>
  <c r="KE13" i="24"/>
  <c r="KX13" i="24"/>
  <c r="IS13" i="24"/>
  <c r="MJ13" i="24"/>
  <c r="JL13" i="24"/>
  <c r="HZ13" i="24"/>
  <c r="HZ198" i="24" s="1"/>
  <c r="NE12" i="24"/>
  <c r="ML12" i="24"/>
  <c r="LS12" i="24"/>
  <c r="KG12" i="24"/>
  <c r="JN12" i="24"/>
  <c r="KZ12" i="24"/>
  <c r="IB12" i="24"/>
  <c r="IB197" i="24" s="1"/>
  <c r="IU12" i="24"/>
  <c r="LQ14" i="24"/>
  <c r="NC14" i="24"/>
  <c r="MJ14" i="24"/>
  <c r="KX14" i="24"/>
  <c r="HZ14" i="24"/>
  <c r="HZ199" i="24" s="1"/>
  <c r="IS14" i="24"/>
  <c r="JL14" i="24"/>
  <c r="KE14" i="24"/>
  <c r="MM53" i="24"/>
  <c r="NF53" i="24"/>
  <c r="LA53" i="24"/>
  <c r="JO53" i="24"/>
  <c r="IC53" i="24"/>
  <c r="LT53" i="24"/>
  <c r="KH53" i="24"/>
  <c r="IV53" i="24"/>
  <c r="CX50" i="24"/>
  <c r="LR50" i="24"/>
  <c r="MK50" i="24"/>
  <c r="KY50" i="24"/>
  <c r="KF50" i="24"/>
  <c r="IA50" i="24"/>
  <c r="IA235" i="24" s="1"/>
  <c r="IT50" i="24"/>
  <c r="JM50" i="24"/>
  <c r="ND50" i="24"/>
  <c r="LQ61" i="24"/>
  <c r="MJ61" i="24"/>
  <c r="KX61" i="24"/>
  <c r="KE61" i="24"/>
  <c r="NC61" i="24"/>
  <c r="IS61" i="24"/>
  <c r="HZ61" i="24"/>
  <c r="HZ246" i="24" s="1"/>
  <c r="JL61" i="24"/>
  <c r="ID315" i="24"/>
  <c r="D30" i="10"/>
  <c r="D31" i="10" s="1"/>
  <c r="MM60" i="24"/>
  <c r="NF60" i="24"/>
  <c r="LA60" i="24"/>
  <c r="LT60" i="24"/>
  <c r="JO60" i="24"/>
  <c r="IC60" i="24"/>
  <c r="IC245" i="24" s="1"/>
  <c r="KH60" i="24"/>
  <c r="IV60" i="24"/>
  <c r="LQ10" i="24"/>
  <c r="MJ10" i="24"/>
  <c r="KX10" i="24"/>
  <c r="HZ10" i="24"/>
  <c r="HZ195" i="24" s="1"/>
  <c r="IS10" i="24"/>
  <c r="KE10" i="24"/>
  <c r="JL10" i="24"/>
  <c r="NC10" i="24"/>
  <c r="MM14" i="24"/>
  <c r="LT14" i="24"/>
  <c r="KH14" i="24"/>
  <c r="LA14" i="24"/>
  <c r="NF14" i="24"/>
  <c r="JO14" i="24"/>
  <c r="IV14" i="24"/>
  <c r="IC14" i="24"/>
  <c r="IC199" i="24" s="1"/>
  <c r="HZ304" i="24"/>
  <c r="NF12" i="24"/>
  <c r="MM12" i="24"/>
  <c r="LT12" i="24"/>
  <c r="LA12" i="24"/>
  <c r="KH12" i="24"/>
  <c r="JO12" i="24"/>
  <c r="IC12" i="24"/>
  <c r="IC197" i="24" s="1"/>
  <c r="IV12" i="24"/>
  <c r="IC315" i="24"/>
  <c r="LQ60" i="24"/>
  <c r="MJ60" i="24"/>
  <c r="KE60" i="24"/>
  <c r="JL60" i="24"/>
  <c r="NC60" i="24"/>
  <c r="KX60" i="24"/>
  <c r="IS60" i="24"/>
  <c r="HZ60" i="24"/>
  <c r="HZ245" i="24" s="1"/>
  <c r="M28" i="34"/>
  <c r="P28" i="34" s="1"/>
  <c r="NE53" i="24"/>
  <c r="KZ53" i="24"/>
  <c r="LS53" i="24"/>
  <c r="ML53" i="24"/>
  <c r="KG53" i="24"/>
  <c r="IB53" i="24"/>
  <c r="IU53" i="24"/>
  <c r="JN53" i="24"/>
  <c r="LQ58" i="24"/>
  <c r="MJ58" i="24"/>
  <c r="KE58" i="24"/>
  <c r="JL58" i="24"/>
  <c r="NC58" i="24"/>
  <c r="KX58" i="24"/>
  <c r="IS58" i="24"/>
  <c r="HZ58" i="24"/>
  <c r="HZ243" i="24" s="1"/>
  <c r="H56" i="37"/>
  <c r="NE64" i="24"/>
  <c r="LS64" i="24"/>
  <c r="ML64" i="24"/>
  <c r="KG64" i="24"/>
  <c r="KZ64" i="24"/>
  <c r="IB64" i="24"/>
  <c r="IB249" i="24" s="1"/>
  <c r="JN64" i="24"/>
  <c r="IU64" i="24"/>
  <c r="HZ263" i="24"/>
  <c r="MM10" i="24"/>
  <c r="LT10" i="24"/>
  <c r="NF10" i="24"/>
  <c r="LA10" i="24"/>
  <c r="IC10" i="24"/>
  <c r="IC195" i="24" s="1"/>
  <c r="IV10" i="24"/>
  <c r="KH10" i="24"/>
  <c r="JO10" i="24"/>
  <c r="MJ50" i="24"/>
  <c r="LQ50" i="24"/>
  <c r="KE50" i="24"/>
  <c r="KX50" i="24"/>
  <c r="JL50" i="24"/>
  <c r="NC50" i="24"/>
  <c r="HZ50" i="24"/>
  <c r="HZ235" i="24" s="1"/>
  <c r="IS50" i="24"/>
  <c r="LT13" i="24"/>
  <c r="MM13" i="24"/>
  <c r="NF13" i="24"/>
  <c r="LA13" i="24"/>
  <c r="KH13" i="24"/>
  <c r="IC13" i="24"/>
  <c r="IC198" i="24" s="1"/>
  <c r="IV13" i="24"/>
  <c r="JO13" i="24"/>
  <c r="LT50" i="24"/>
  <c r="NF50" i="24"/>
  <c r="LA50" i="24"/>
  <c r="MM50" i="24"/>
  <c r="IC50" i="24"/>
  <c r="IC235" i="24" s="1"/>
  <c r="IV50" i="24"/>
  <c r="KH50" i="24"/>
  <c r="JO50" i="24"/>
  <c r="E27" i="10"/>
  <c r="AV249" i="24"/>
  <c r="F46" i="27"/>
  <c r="AU315" i="24"/>
  <c r="AU249" i="24"/>
  <c r="CY64" i="24"/>
  <c r="AT64" i="24"/>
  <c r="GP64" i="24"/>
  <c r="FD64" i="24"/>
  <c r="EK64" i="24"/>
  <c r="BM64" i="24"/>
  <c r="CF64" i="24"/>
  <c r="FW64" i="24"/>
  <c r="DR64" i="24"/>
  <c r="HI64" i="24"/>
  <c r="D113" i="10"/>
  <c r="D59" i="24" s="1"/>
  <c r="P25" i="34"/>
  <c r="N36" i="34"/>
  <c r="Q36" i="34" s="1"/>
  <c r="N29" i="34"/>
  <c r="Q29" i="34" s="1"/>
  <c r="GO50" i="24"/>
  <c r="M35" i="34"/>
  <c r="P35" i="34" s="1"/>
  <c r="FC50" i="24"/>
  <c r="EJ50" i="24"/>
  <c r="HH50" i="24"/>
  <c r="DQ50" i="24"/>
  <c r="CE50" i="24"/>
  <c r="AV196" i="24"/>
  <c r="AV333" i="24" s="1"/>
  <c r="FV50" i="24"/>
  <c r="M31" i="34"/>
  <c r="P31" i="34" s="1"/>
  <c r="BK121" i="24"/>
  <c r="P36" i="33"/>
  <c r="AV262" i="24"/>
  <c r="AV334" i="24" s="1"/>
  <c r="AR121" i="24"/>
  <c r="AR197" i="24"/>
  <c r="AR263" i="24"/>
  <c r="H73" i="37"/>
  <c r="H66" i="37"/>
  <c r="H21" i="37"/>
  <c r="H14" i="37"/>
  <c r="H7" i="37"/>
  <c r="H10" i="37"/>
  <c r="H6" i="37"/>
  <c r="H24" i="37"/>
  <c r="H5" i="37"/>
  <c r="H11" i="37"/>
  <c r="H12" i="37"/>
  <c r="H27" i="37"/>
  <c r="HI12" i="24"/>
  <c r="GP12" i="24"/>
  <c r="FW12" i="24"/>
  <c r="FD12" i="24"/>
  <c r="HI53" i="24"/>
  <c r="GP53" i="24"/>
  <c r="FW53" i="24"/>
  <c r="FD53" i="24"/>
  <c r="HG50" i="24"/>
  <c r="FU50" i="24"/>
  <c r="GN50" i="24"/>
  <c r="FB50" i="24"/>
  <c r="FU61" i="24"/>
  <c r="HG61" i="24"/>
  <c r="GN61" i="24"/>
  <c r="FB61" i="24"/>
  <c r="HJ14" i="24"/>
  <c r="GQ14" i="24"/>
  <c r="FE14" i="24"/>
  <c r="FX14" i="24"/>
  <c r="HJ10" i="24"/>
  <c r="FX10" i="24"/>
  <c r="GQ10" i="24"/>
  <c r="FE10" i="24"/>
  <c r="HG58" i="24"/>
  <c r="GN58" i="24"/>
  <c r="FB58" i="24"/>
  <c r="FU58" i="24"/>
  <c r="GQ13" i="24"/>
  <c r="HJ13" i="24"/>
  <c r="FE13" i="24"/>
  <c r="FX13" i="24"/>
  <c r="GQ12" i="24"/>
  <c r="HJ12" i="24"/>
  <c r="FX12" i="24"/>
  <c r="FE12" i="24"/>
  <c r="GN14" i="24"/>
  <c r="HG14" i="24"/>
  <c r="FU14" i="24"/>
  <c r="FB14" i="24"/>
  <c r="HJ50" i="24"/>
  <c r="GQ50" i="24"/>
  <c r="FX50" i="24"/>
  <c r="FE50" i="24"/>
  <c r="GQ53" i="24"/>
  <c r="HJ53" i="24"/>
  <c r="FX53" i="24"/>
  <c r="FE53" i="24"/>
  <c r="HG10" i="24"/>
  <c r="GN10" i="24"/>
  <c r="FU10" i="24"/>
  <c r="FB10" i="24"/>
  <c r="GN13" i="24"/>
  <c r="HG13" i="24"/>
  <c r="FU13" i="24"/>
  <c r="FB13" i="24"/>
  <c r="GN60" i="24"/>
  <c r="FU60" i="24"/>
  <c r="HG60" i="24"/>
  <c r="FB60" i="24"/>
  <c r="HJ60" i="24"/>
  <c r="GQ60" i="24"/>
  <c r="FX60" i="24"/>
  <c r="FE60" i="24"/>
  <c r="D11" i="24"/>
  <c r="D9" i="24" s="1"/>
  <c r="DP10" i="24"/>
  <c r="CW10" i="24"/>
  <c r="EI10" i="24"/>
  <c r="CD10" i="24"/>
  <c r="AR10" i="24"/>
  <c r="BK10" i="24"/>
  <c r="DP14" i="24"/>
  <c r="EI14" i="24"/>
  <c r="CW14" i="24"/>
  <c r="CD14" i="24"/>
  <c r="BK14" i="24"/>
  <c r="AR14" i="24"/>
  <c r="C62" i="37"/>
  <c r="EL50" i="24"/>
  <c r="CZ50" i="24"/>
  <c r="DS50" i="24"/>
  <c r="CG50" i="24"/>
  <c r="AU50" i="24"/>
  <c r="C66" i="37"/>
  <c r="EL53" i="24"/>
  <c r="CZ53" i="24"/>
  <c r="DS53" i="24"/>
  <c r="BN53" i="24"/>
  <c r="CG53" i="24"/>
  <c r="AU53" i="24"/>
  <c r="EI60" i="24"/>
  <c r="CW60" i="24"/>
  <c r="DP60" i="24"/>
  <c r="CD60" i="24"/>
  <c r="BK60" i="24"/>
  <c r="AR60" i="24"/>
  <c r="C54" i="37"/>
  <c r="DS60" i="24"/>
  <c r="EL60" i="24"/>
  <c r="CZ60" i="24"/>
  <c r="CG60" i="24"/>
  <c r="BN60" i="24"/>
  <c r="AU60" i="24"/>
  <c r="C58" i="37"/>
  <c r="EL10" i="24"/>
  <c r="CZ10" i="24"/>
  <c r="DS10" i="24"/>
  <c r="CG10" i="24"/>
  <c r="BN10" i="24"/>
  <c r="AU10" i="24"/>
  <c r="DR53" i="24"/>
  <c r="EK53" i="24"/>
  <c r="CY53" i="24"/>
  <c r="BM53" i="24"/>
  <c r="CF53" i="24"/>
  <c r="AT53" i="24"/>
  <c r="DS14" i="24"/>
  <c r="EL14" i="24"/>
  <c r="CG14" i="24"/>
  <c r="BN14" i="24"/>
  <c r="CZ14" i="24"/>
  <c r="AU14" i="24"/>
  <c r="DS13" i="24"/>
  <c r="CZ13" i="24"/>
  <c r="EL13" i="24"/>
  <c r="AU13" i="24"/>
  <c r="BN13" i="24"/>
  <c r="CG13" i="24"/>
  <c r="EI58" i="24"/>
  <c r="DP58" i="24"/>
  <c r="CD58" i="24"/>
  <c r="CW58" i="24"/>
  <c r="BK58" i="24"/>
  <c r="EI13" i="24"/>
  <c r="DP13" i="24"/>
  <c r="CW13" i="24"/>
  <c r="CD13" i="24"/>
  <c r="BK13" i="24"/>
  <c r="AR13" i="24"/>
  <c r="EI50" i="24"/>
  <c r="CW50" i="24"/>
  <c r="CD50" i="24"/>
  <c r="DP50" i="24"/>
  <c r="DR12" i="24"/>
  <c r="EK12" i="24"/>
  <c r="CY12" i="24"/>
  <c r="CF12" i="24"/>
  <c r="BM12" i="24"/>
  <c r="AT12" i="24"/>
  <c r="C73" i="37"/>
  <c r="EL12" i="24"/>
  <c r="CZ12" i="24"/>
  <c r="DS12" i="24"/>
  <c r="CG12" i="24"/>
  <c r="BN12" i="24"/>
  <c r="AU12" i="24"/>
  <c r="EI61" i="24"/>
  <c r="CW61" i="24"/>
  <c r="DP61" i="24"/>
  <c r="CD61" i="24"/>
  <c r="BK61" i="24"/>
  <c r="H41" i="27"/>
  <c r="H57" i="24"/>
  <c r="C60" i="37"/>
  <c r="C75" i="37"/>
  <c r="G41" i="27"/>
  <c r="G57" i="24"/>
  <c r="E112" i="10"/>
  <c r="E14" i="24" s="1"/>
  <c r="F13" i="24"/>
  <c r="F112" i="10"/>
  <c r="F14" i="24" s="1"/>
  <c r="D36" i="27"/>
  <c r="E53" i="24"/>
  <c r="E44" i="27"/>
  <c r="C14" i="37"/>
  <c r="D42" i="27"/>
  <c r="F45" i="27"/>
  <c r="F60" i="24"/>
  <c r="E45" i="27"/>
  <c r="E60" i="24"/>
  <c r="F44" i="27"/>
  <c r="F50" i="24"/>
  <c r="BM50" i="24" s="1"/>
  <c r="C72" i="37"/>
  <c r="C59" i="37"/>
  <c r="C53" i="37"/>
  <c r="G11" i="24"/>
  <c r="G9" i="24" s="1"/>
  <c r="E55" i="10"/>
  <c r="E56" i="10" s="1"/>
  <c r="N33" i="34"/>
  <c r="Q33" i="34" s="1"/>
  <c r="E12" i="24"/>
  <c r="D35" i="27"/>
  <c r="E13" i="24"/>
  <c r="D34" i="27"/>
  <c r="G92" i="10"/>
  <c r="G94" i="10" s="1"/>
  <c r="E10" i="24"/>
  <c r="E43" i="27"/>
  <c r="F10" i="24"/>
  <c r="F43" i="27"/>
  <c r="G100" i="10"/>
  <c r="H100" i="10"/>
  <c r="N27" i="34"/>
  <c r="Q27" i="34" s="1"/>
  <c r="M26" i="34"/>
  <c r="P26" i="34" s="1"/>
  <c r="M34" i="34"/>
  <c r="P34" i="34" s="1"/>
  <c r="N32" i="34"/>
  <c r="Q32" i="34" s="1"/>
  <c r="M30" i="34"/>
  <c r="P30" i="34" s="1"/>
  <c r="P33" i="33"/>
  <c r="G21" i="10"/>
  <c r="G29" i="10" s="1"/>
  <c r="G47" i="10"/>
  <c r="AS26" i="24"/>
  <c r="G19" i="27"/>
  <c r="Q33" i="33"/>
  <c r="Q35" i="33"/>
  <c r="Q36" i="33"/>
  <c r="P36" i="34"/>
  <c r="Q25" i="33"/>
  <c r="Q30" i="34"/>
  <c r="H94" i="10"/>
  <c r="H106" i="10" s="1"/>
  <c r="P13" i="34"/>
  <c r="Q12" i="33"/>
  <c r="Q6" i="33"/>
  <c r="P12" i="33"/>
  <c r="H19" i="27"/>
  <c r="Q31" i="34"/>
  <c r="M13" i="33"/>
  <c r="P13" i="33" s="1"/>
  <c r="P32" i="34"/>
  <c r="Q35" i="34"/>
  <c r="Q7" i="33"/>
  <c r="P7" i="33"/>
  <c r="P26" i="33"/>
  <c r="P14" i="33"/>
  <c r="P28" i="33"/>
  <c r="AR25" i="24"/>
  <c r="AR113" i="24" s="1"/>
  <c r="AS25" i="24"/>
  <c r="AS113" i="24" s="1"/>
  <c r="AR26" i="24"/>
  <c r="P29" i="33"/>
  <c r="N13" i="34"/>
  <c r="Q13" i="34" s="1"/>
  <c r="Q15" i="33"/>
  <c r="P9" i="33"/>
  <c r="Q27" i="33"/>
  <c r="Q10" i="34"/>
  <c r="Q12" i="34"/>
  <c r="P34" i="33"/>
  <c r="Q34" i="33"/>
  <c r="P5" i="33"/>
  <c r="Q9" i="33"/>
  <c r="P27" i="33"/>
  <c r="P32" i="33"/>
  <c r="Q10" i="33"/>
  <c r="Q32" i="33"/>
  <c r="Q30" i="33"/>
  <c r="Q5" i="33"/>
  <c r="Q28" i="33"/>
  <c r="Q11" i="34"/>
  <c r="Q6" i="34"/>
  <c r="P10" i="34"/>
  <c r="P27" i="34"/>
  <c r="Q28" i="34"/>
  <c r="Q9" i="34"/>
  <c r="P6" i="34"/>
  <c r="Q26" i="34"/>
  <c r="P29" i="34"/>
  <c r="Q5" i="34"/>
  <c r="P4" i="33"/>
  <c r="P11" i="33"/>
  <c r="Q16" i="33"/>
  <c r="P16" i="33"/>
  <c r="F51" i="10"/>
  <c r="F50" i="10"/>
  <c r="F101" i="10" s="1"/>
  <c r="F56" i="10"/>
  <c r="Q29" i="33"/>
  <c r="Q37" i="33"/>
  <c r="P37" i="33"/>
  <c r="P17" i="33"/>
  <c r="Q17" i="33"/>
  <c r="P6" i="33"/>
  <c r="Q13" i="33"/>
  <c r="P35" i="33"/>
  <c r="P15" i="33"/>
  <c r="P31" i="33"/>
  <c r="Q4" i="33"/>
  <c r="P10" i="33"/>
  <c r="Q26" i="33"/>
  <c r="Q31" i="33"/>
  <c r="P8" i="33"/>
  <c r="Q8" i="33"/>
  <c r="P25" i="33"/>
  <c r="Q11" i="33"/>
  <c r="Q14" i="33"/>
  <c r="Q38" i="33"/>
  <c r="P38" i="33"/>
  <c r="P16" i="34"/>
  <c r="Q16" i="34"/>
  <c r="Q8" i="34"/>
  <c r="P7" i="34"/>
  <c r="P9" i="34"/>
  <c r="Q7" i="34"/>
  <c r="P4" i="34"/>
  <c r="P17" i="34"/>
  <c r="Q17" i="34"/>
  <c r="P15" i="34"/>
  <c r="P12" i="34"/>
  <c r="Q25" i="34"/>
  <c r="P8" i="34"/>
  <c r="P38" i="34"/>
  <c r="Q38" i="34"/>
  <c r="Q14" i="34"/>
  <c r="P33" i="34"/>
  <c r="Q34" i="34"/>
  <c r="Q15" i="34"/>
  <c r="P11" i="34"/>
  <c r="P14" i="34"/>
  <c r="Q37" i="34"/>
  <c r="P37" i="34"/>
  <c r="Q4" i="34"/>
  <c r="P30" i="33"/>
  <c r="N40" i="33"/>
  <c r="F19" i="27"/>
  <c r="F57" i="10"/>
  <c r="H72" i="10"/>
  <c r="H108" i="10" s="1"/>
  <c r="O46" i="10"/>
  <c r="H57" i="10"/>
  <c r="I72" i="10"/>
  <c r="J72" i="10"/>
  <c r="K72" i="10"/>
  <c r="L72" i="10"/>
  <c r="M72" i="10"/>
  <c r="N72" i="10"/>
  <c r="O72" i="10"/>
  <c r="I81" i="10"/>
  <c r="I82" i="10" s="1"/>
  <c r="J81" i="10"/>
  <c r="L81" i="10"/>
  <c r="L82" i="10" s="1"/>
  <c r="M81" i="10"/>
  <c r="M82" i="10" s="1"/>
  <c r="N81" i="10"/>
  <c r="N82" i="10" s="1"/>
  <c r="O81" i="10"/>
  <c r="O82" i="10" s="1"/>
  <c r="HZ196" i="24" l="1"/>
  <c r="HZ194" i="24" s="1"/>
  <c r="IC238" i="24"/>
  <c r="IB238" i="24"/>
  <c r="IC196" i="24"/>
  <c r="IC194" i="24" s="1"/>
  <c r="HJ197" i="24"/>
  <c r="HJ263" i="24"/>
  <c r="HG261" i="24"/>
  <c r="HG195" i="24"/>
  <c r="HJ301" i="24"/>
  <c r="HJ235" i="24"/>
  <c r="HG309" i="24"/>
  <c r="HG243" i="24"/>
  <c r="HJ265" i="24"/>
  <c r="HJ199" i="24"/>
  <c r="HG235" i="24"/>
  <c r="HG301" i="24"/>
  <c r="HI197" i="24"/>
  <c r="HI263" i="24"/>
  <c r="HH301" i="24"/>
  <c r="HH235" i="24"/>
  <c r="HG311" i="24"/>
  <c r="HG245" i="24"/>
  <c r="HI249" i="24"/>
  <c r="HI315" i="24"/>
  <c r="HG264" i="24"/>
  <c r="HG198" i="24"/>
  <c r="HJ238" i="24"/>
  <c r="HJ304" i="24"/>
  <c r="HG265" i="24"/>
  <c r="HG199" i="24"/>
  <c r="HJ198" i="24"/>
  <c r="HJ264" i="24"/>
  <c r="HG312" i="24"/>
  <c r="HG246" i="24"/>
  <c r="HJ311" i="24"/>
  <c r="HJ245" i="24"/>
  <c r="HJ261" i="24"/>
  <c r="HJ195" i="24"/>
  <c r="HI304" i="24"/>
  <c r="HI238" i="24"/>
  <c r="GN264" i="24"/>
  <c r="GN198" i="24"/>
  <c r="GQ238" i="24"/>
  <c r="GQ304" i="24"/>
  <c r="GN265" i="24"/>
  <c r="GN199" i="24"/>
  <c r="GQ264" i="24"/>
  <c r="GQ198" i="24"/>
  <c r="GN301" i="24"/>
  <c r="GN235" i="24"/>
  <c r="GP315" i="24"/>
  <c r="GP249" i="24"/>
  <c r="GN261" i="24"/>
  <c r="GN195" i="24"/>
  <c r="GQ235" i="24"/>
  <c r="GQ301" i="24"/>
  <c r="GN309" i="24"/>
  <c r="GN243" i="24"/>
  <c r="GQ265" i="24"/>
  <c r="GQ199" i="24"/>
  <c r="GP263" i="24"/>
  <c r="GP197" i="24"/>
  <c r="GN311" i="24"/>
  <c r="GN245" i="24"/>
  <c r="GQ263" i="24"/>
  <c r="GQ197" i="24"/>
  <c r="GO301" i="24"/>
  <c r="GO235" i="24"/>
  <c r="GQ261" i="24"/>
  <c r="GQ195" i="24"/>
  <c r="GN312" i="24"/>
  <c r="GN246" i="24"/>
  <c r="GQ245" i="24"/>
  <c r="GQ311" i="24"/>
  <c r="GP304" i="24"/>
  <c r="GP238" i="24"/>
  <c r="FX301" i="24"/>
  <c r="FX235" i="24"/>
  <c r="FW263" i="24"/>
  <c r="FW197" i="24"/>
  <c r="FV301" i="24"/>
  <c r="FV235" i="24"/>
  <c r="FU301" i="24"/>
  <c r="FU235" i="24"/>
  <c r="FX198" i="24"/>
  <c r="FX264" i="24"/>
  <c r="FX199" i="24"/>
  <c r="FX265" i="24"/>
  <c r="FX245" i="24"/>
  <c r="FX311" i="24"/>
  <c r="FU198" i="24"/>
  <c r="FU264" i="24"/>
  <c r="FX304" i="24"/>
  <c r="FX238" i="24"/>
  <c r="FU199" i="24"/>
  <c r="FU265" i="24"/>
  <c r="FW238" i="24"/>
  <c r="FW304" i="24"/>
  <c r="FU261" i="24"/>
  <c r="FU195" i="24"/>
  <c r="FU311" i="24"/>
  <c r="FU245" i="24"/>
  <c r="FW315" i="24"/>
  <c r="FW249" i="24"/>
  <c r="FX195" i="24"/>
  <c r="FX261" i="24"/>
  <c r="FU309" i="24"/>
  <c r="FU243" i="24"/>
  <c r="FX263" i="24"/>
  <c r="FX197" i="24"/>
  <c r="FU312" i="24"/>
  <c r="FU246" i="24"/>
  <c r="FB311" i="24"/>
  <c r="FB245" i="24"/>
  <c r="FB195" i="24"/>
  <c r="FB261" i="24"/>
  <c r="FE235" i="24"/>
  <c r="FE301" i="24"/>
  <c r="FE197" i="24"/>
  <c r="FE263" i="24"/>
  <c r="FB301" i="24"/>
  <c r="FB235" i="24"/>
  <c r="FD197" i="24"/>
  <c r="FD263" i="24"/>
  <c r="FB309" i="24"/>
  <c r="FB243" i="24"/>
  <c r="FE199" i="24"/>
  <c r="FE265" i="24"/>
  <c r="FE245" i="24"/>
  <c r="FE311" i="24"/>
  <c r="FB198" i="24"/>
  <c r="FB264" i="24"/>
  <c r="FE304" i="24"/>
  <c r="FE238" i="24"/>
  <c r="FB199" i="24"/>
  <c r="FB265" i="24"/>
  <c r="FE195" i="24"/>
  <c r="FE261" i="24"/>
  <c r="FB312" i="24"/>
  <c r="FB246" i="24"/>
  <c r="FD304" i="24"/>
  <c r="FD238" i="24"/>
  <c r="FC301" i="24"/>
  <c r="FC235" i="24"/>
  <c r="FD315" i="24"/>
  <c r="FD249" i="24"/>
  <c r="FE198" i="24"/>
  <c r="FE264" i="24"/>
  <c r="EI264" i="24"/>
  <c r="EI198" i="24"/>
  <c r="EL265" i="24"/>
  <c r="EL199" i="24"/>
  <c r="EI246" i="24"/>
  <c r="EI312" i="24"/>
  <c r="EL264" i="24"/>
  <c r="EL198" i="24"/>
  <c r="EL304" i="24"/>
  <c r="EL238" i="24"/>
  <c r="EI301" i="24"/>
  <c r="EI235" i="24"/>
  <c r="EI261" i="24"/>
  <c r="EI195" i="24"/>
  <c r="EJ301" i="24"/>
  <c r="EJ235" i="24"/>
  <c r="EI311" i="24"/>
  <c r="EI245" i="24"/>
  <c r="EK315" i="24"/>
  <c r="EK249" i="24"/>
  <c r="EL311" i="24"/>
  <c r="EL245" i="24"/>
  <c r="EK304" i="24"/>
  <c r="EK238" i="24"/>
  <c r="EK263" i="24"/>
  <c r="EK197" i="24"/>
  <c r="EI309" i="24"/>
  <c r="EI243" i="24"/>
  <c r="EL261" i="24"/>
  <c r="EL195" i="24"/>
  <c r="EI265" i="24"/>
  <c r="EI199" i="24"/>
  <c r="EL263" i="24"/>
  <c r="EL197" i="24"/>
  <c r="EL301" i="24"/>
  <c r="EL235" i="24"/>
  <c r="DP245" i="24"/>
  <c r="DP311" i="24"/>
  <c r="DP309" i="24"/>
  <c r="DP243" i="24"/>
  <c r="DS245" i="24"/>
  <c r="DS311" i="24"/>
  <c r="DP261" i="24"/>
  <c r="DP195" i="24"/>
  <c r="DQ301" i="24"/>
  <c r="DQ235" i="24"/>
  <c r="DS261" i="24"/>
  <c r="DS195" i="24"/>
  <c r="DS263" i="24"/>
  <c r="DS197" i="24"/>
  <c r="DS235" i="24"/>
  <c r="DS301" i="24"/>
  <c r="DR249" i="24"/>
  <c r="DR315" i="24"/>
  <c r="DS264" i="24"/>
  <c r="DS198" i="24"/>
  <c r="DR263" i="24"/>
  <c r="DR197" i="24"/>
  <c r="DP265" i="24"/>
  <c r="DP199" i="24"/>
  <c r="DP246" i="24"/>
  <c r="DP312" i="24"/>
  <c r="DP301" i="24"/>
  <c r="DP235" i="24"/>
  <c r="DP264" i="24"/>
  <c r="DP198" i="24"/>
  <c r="DR304" i="24"/>
  <c r="DR238" i="24"/>
  <c r="DS304" i="24"/>
  <c r="DS238" i="24"/>
  <c r="DS265" i="24"/>
  <c r="DS199" i="24"/>
  <c r="CX235" i="24"/>
  <c r="CX301" i="24"/>
  <c r="CW246" i="24"/>
  <c r="CW312" i="24"/>
  <c r="CZ304" i="24"/>
  <c r="CZ238" i="24"/>
  <c r="CW235" i="24"/>
  <c r="CW301" i="24"/>
  <c r="CW309" i="24"/>
  <c r="CW243" i="24"/>
  <c r="CZ264" i="24"/>
  <c r="CZ198" i="24"/>
  <c r="CZ245" i="24"/>
  <c r="CZ311" i="24"/>
  <c r="CW245" i="24"/>
  <c r="CW311" i="24"/>
  <c r="CW195" i="24"/>
  <c r="CW261" i="24"/>
  <c r="CY249" i="24"/>
  <c r="CY315" i="24"/>
  <c r="CY263" i="24"/>
  <c r="CY197" i="24"/>
  <c r="CZ261" i="24"/>
  <c r="CZ195" i="24"/>
  <c r="CW199" i="24"/>
  <c r="CW265" i="24"/>
  <c r="CZ265" i="24"/>
  <c r="CZ199" i="24"/>
  <c r="CY304" i="24"/>
  <c r="CY238" i="24"/>
  <c r="CZ263" i="24"/>
  <c r="CZ197" i="24"/>
  <c r="CW264" i="24"/>
  <c r="CW198" i="24"/>
  <c r="CZ235" i="24"/>
  <c r="CZ301" i="24"/>
  <c r="CD312" i="24"/>
  <c r="CD246" i="24"/>
  <c r="CG264" i="24"/>
  <c r="CG198" i="24"/>
  <c r="CG265" i="24"/>
  <c r="CG199" i="24"/>
  <c r="CE301" i="24"/>
  <c r="CE235" i="24"/>
  <c r="CD301" i="24"/>
  <c r="CD235" i="24"/>
  <c r="CD245" i="24"/>
  <c r="CD311" i="24"/>
  <c r="CG311" i="24"/>
  <c r="CG245" i="24"/>
  <c r="CD261" i="24"/>
  <c r="CD195" i="24"/>
  <c r="CG261" i="24"/>
  <c r="CG195" i="24"/>
  <c r="CF263" i="24"/>
  <c r="CF197" i="24"/>
  <c r="CD309" i="24"/>
  <c r="CD243" i="24"/>
  <c r="CF304" i="24"/>
  <c r="CF238" i="24"/>
  <c r="CD265" i="24"/>
  <c r="CD199" i="24"/>
  <c r="CF249" i="24"/>
  <c r="CF315" i="24"/>
  <c r="CG263" i="24"/>
  <c r="CG197" i="24"/>
  <c r="CG235" i="24"/>
  <c r="CG301" i="24"/>
  <c r="CD264" i="24"/>
  <c r="CD262" i="24" s="1"/>
  <c r="CD198" i="24"/>
  <c r="CD196" i="24" s="1"/>
  <c r="CG304" i="24"/>
  <c r="CG238" i="24"/>
  <c r="BM235" i="24"/>
  <c r="BM301" i="24"/>
  <c r="BK309" i="24"/>
  <c r="BK243" i="24"/>
  <c r="BN261" i="24"/>
  <c r="BN195" i="24"/>
  <c r="BM263" i="24"/>
  <c r="BM197" i="24"/>
  <c r="BK265" i="24"/>
  <c r="BK199" i="24"/>
  <c r="BM315" i="24"/>
  <c r="BM249" i="24"/>
  <c r="BN311" i="24"/>
  <c r="BN245" i="24"/>
  <c r="BK264" i="24"/>
  <c r="BK198" i="24"/>
  <c r="BM304" i="24"/>
  <c r="BM238" i="24"/>
  <c r="BO336" i="24"/>
  <c r="BO338" i="24" s="1"/>
  <c r="BO335" i="24"/>
  <c r="BO337" i="24" s="1"/>
  <c r="BK312" i="24"/>
  <c r="BK246" i="24"/>
  <c r="BN263" i="24"/>
  <c r="BN197" i="24"/>
  <c r="BN265" i="24"/>
  <c r="BN199" i="24"/>
  <c r="BN304" i="24"/>
  <c r="BN238" i="24"/>
  <c r="BN264" i="24"/>
  <c r="BN198" i="24"/>
  <c r="BK311" i="24"/>
  <c r="BK245" i="24"/>
  <c r="BK261" i="24"/>
  <c r="BK195" i="24"/>
  <c r="CE64" i="24"/>
  <c r="KF64" i="24"/>
  <c r="D52" i="24"/>
  <c r="D49" i="24" s="1"/>
  <c r="D6" i="24" s="1"/>
  <c r="D7" i="24" s="1"/>
  <c r="ND64" i="24"/>
  <c r="AS64" i="24"/>
  <c r="AS315" i="24" s="1"/>
  <c r="D6" i="27"/>
  <c r="D5" i="27"/>
  <c r="KX11" i="24"/>
  <c r="KX9" i="24" s="1"/>
  <c r="LQ11" i="24"/>
  <c r="LQ9" i="24" s="1"/>
  <c r="KE11" i="24"/>
  <c r="KE9" i="24" s="1"/>
  <c r="JL11" i="24"/>
  <c r="JL9" i="24" s="1"/>
  <c r="MJ11" i="24"/>
  <c r="MJ9" i="24" s="1"/>
  <c r="BL64" i="24"/>
  <c r="MK64" i="24"/>
  <c r="CX64" i="24"/>
  <c r="LR64" i="24"/>
  <c r="FC64" i="24"/>
  <c r="IT64" i="24"/>
  <c r="C8" i="37"/>
  <c r="DQ64" i="24"/>
  <c r="HH64" i="24"/>
  <c r="JM64" i="24"/>
  <c r="GO64" i="24"/>
  <c r="EJ64" i="24"/>
  <c r="IA64" i="24"/>
  <c r="IA249" i="24" s="1"/>
  <c r="FV64" i="24"/>
  <c r="HG11" i="24"/>
  <c r="HG9" i="24" s="1"/>
  <c r="IS11" i="24"/>
  <c r="IS9" i="24" s="1"/>
  <c r="LT11" i="24"/>
  <c r="LT9" i="24" s="1"/>
  <c r="NC11" i="24"/>
  <c r="NC9" i="24" s="1"/>
  <c r="IC261" i="24"/>
  <c r="LS10" i="24"/>
  <c r="NE10" i="24"/>
  <c r="ML10" i="24"/>
  <c r="KZ10" i="24"/>
  <c r="KG10" i="24"/>
  <c r="IB10" i="24"/>
  <c r="IB195" i="24" s="1"/>
  <c r="IU10" i="24"/>
  <c r="JN10" i="24"/>
  <c r="ND60" i="24"/>
  <c r="LR60" i="24"/>
  <c r="MK60" i="24"/>
  <c r="KF60" i="24"/>
  <c r="JM60" i="24"/>
  <c r="KY60" i="24"/>
  <c r="IA60" i="24"/>
  <c r="IA245" i="24" s="1"/>
  <c r="IT60" i="24"/>
  <c r="LU57" i="24"/>
  <c r="MN57" i="24"/>
  <c r="KI57" i="24"/>
  <c r="JP57" i="24"/>
  <c r="NG57" i="24"/>
  <c r="LB57" i="24"/>
  <c r="IW57" i="24"/>
  <c r="ID57" i="24"/>
  <c r="FB59" i="24"/>
  <c r="LQ59" i="24"/>
  <c r="MJ59" i="24"/>
  <c r="NC59" i="24"/>
  <c r="KX59" i="24"/>
  <c r="KE59" i="24"/>
  <c r="IS59" i="24"/>
  <c r="JL59" i="24"/>
  <c r="HZ59" i="24"/>
  <c r="HZ244" i="24" s="1"/>
  <c r="LA11" i="24"/>
  <c r="LA9" i="24" s="1"/>
  <c r="ML14" i="24"/>
  <c r="NE14" i="24"/>
  <c r="KG14" i="24"/>
  <c r="LS14" i="24"/>
  <c r="JN14" i="24"/>
  <c r="KZ14" i="24"/>
  <c r="IB14" i="24"/>
  <c r="IB199" i="24" s="1"/>
  <c r="IU14" i="24"/>
  <c r="NE13" i="24"/>
  <c r="ML13" i="24"/>
  <c r="KZ13" i="24"/>
  <c r="LS13" i="24"/>
  <c r="IB13" i="24"/>
  <c r="IB198" i="24" s="1"/>
  <c r="IU13" i="24"/>
  <c r="KG13" i="24"/>
  <c r="JN13" i="24"/>
  <c r="HZ311" i="24"/>
  <c r="MM11" i="24"/>
  <c r="MM9" i="24" s="1"/>
  <c r="MK14" i="24"/>
  <c r="LR14" i="24"/>
  <c r="ND14" i="24"/>
  <c r="KY14" i="24"/>
  <c r="KF14" i="24"/>
  <c r="JM14" i="24"/>
  <c r="IA14" i="24"/>
  <c r="IA199" i="24" s="1"/>
  <c r="IT14" i="24"/>
  <c r="HZ301" i="24"/>
  <c r="IB304" i="24"/>
  <c r="NF11" i="24"/>
  <c r="NF9" i="24" s="1"/>
  <c r="HZ261" i="24"/>
  <c r="IC311" i="24"/>
  <c r="HZ265" i="24"/>
  <c r="NE60" i="24"/>
  <c r="LS60" i="24"/>
  <c r="KG60" i="24"/>
  <c r="ML60" i="24"/>
  <c r="JN60" i="24"/>
  <c r="IB60" i="24"/>
  <c r="IB245" i="24" s="1"/>
  <c r="KZ60" i="24"/>
  <c r="IU60" i="24"/>
  <c r="IC301" i="24"/>
  <c r="HZ11" i="24"/>
  <c r="HZ9" i="24" s="1"/>
  <c r="IB315" i="24"/>
  <c r="MM57" i="24"/>
  <c r="NF57" i="24"/>
  <c r="KH57" i="24"/>
  <c r="JO57" i="24"/>
  <c r="LA57" i="24"/>
  <c r="LT57" i="24"/>
  <c r="IV57" i="24"/>
  <c r="IC57" i="24"/>
  <c r="IC242" i="24" s="1"/>
  <c r="IV11" i="24"/>
  <c r="IV9" i="24" s="1"/>
  <c r="HZ312" i="24"/>
  <c r="IC11" i="24"/>
  <c r="IC9" i="24" s="1"/>
  <c r="IC263" i="24"/>
  <c r="LS50" i="24"/>
  <c r="ML50" i="24"/>
  <c r="NE50" i="24"/>
  <c r="KZ50" i="24"/>
  <c r="KG50" i="24"/>
  <c r="IB50" i="24"/>
  <c r="IB235" i="24" s="1"/>
  <c r="IU50" i="24"/>
  <c r="JN50" i="24"/>
  <c r="JO11" i="24"/>
  <c r="JO9" i="24" s="1"/>
  <c r="IA301" i="24"/>
  <c r="HZ264" i="24"/>
  <c r="IC264" i="24"/>
  <c r="HZ309" i="24"/>
  <c r="LR10" i="24"/>
  <c r="MK10" i="24"/>
  <c r="ND10" i="24"/>
  <c r="KY10" i="24"/>
  <c r="KF10" i="24"/>
  <c r="IT10" i="24"/>
  <c r="JM10" i="24"/>
  <c r="IA10" i="24"/>
  <c r="IA195" i="24" s="1"/>
  <c r="ND13" i="24"/>
  <c r="MK13" i="24"/>
  <c r="LR13" i="24"/>
  <c r="KF13" i="24"/>
  <c r="IA13" i="24"/>
  <c r="IA198" i="24" s="1"/>
  <c r="IT13" i="24"/>
  <c r="JM13" i="24"/>
  <c r="KY13" i="24"/>
  <c r="ND12" i="24"/>
  <c r="LR12" i="24"/>
  <c r="MK12" i="24"/>
  <c r="KY12" i="24"/>
  <c r="JM12" i="24"/>
  <c r="IA12" i="24"/>
  <c r="IA197" i="24" s="1"/>
  <c r="IT12" i="24"/>
  <c r="KF12" i="24"/>
  <c r="ND53" i="24"/>
  <c r="KY53" i="24"/>
  <c r="LR53" i="24"/>
  <c r="MK53" i="24"/>
  <c r="KF53" i="24"/>
  <c r="JM53" i="24"/>
  <c r="IA53" i="24"/>
  <c r="IT53" i="24"/>
  <c r="GN57" i="24"/>
  <c r="LQ57" i="24"/>
  <c r="MJ57" i="24"/>
  <c r="KX57" i="24"/>
  <c r="KX52" i="24" s="1"/>
  <c r="NC57" i="24"/>
  <c r="KE57" i="24"/>
  <c r="KE52" i="24" s="1"/>
  <c r="IS57" i="24"/>
  <c r="JL57" i="24"/>
  <c r="JL52" i="24" s="1"/>
  <c r="HZ57" i="24"/>
  <c r="KH11" i="24"/>
  <c r="KH9" i="24" s="1"/>
  <c r="IC265" i="24"/>
  <c r="IC304" i="24"/>
  <c r="IB263" i="24"/>
  <c r="FB57" i="24"/>
  <c r="DP57" i="24"/>
  <c r="HG57" i="24"/>
  <c r="S25" i="34"/>
  <c r="AT249" i="24"/>
  <c r="AT315" i="24"/>
  <c r="DP59" i="24"/>
  <c r="FU59" i="24"/>
  <c r="CW59" i="24"/>
  <c r="GN59" i="24"/>
  <c r="H20" i="37"/>
  <c r="BK57" i="24"/>
  <c r="EI57" i="24"/>
  <c r="HG59" i="24"/>
  <c r="CD59" i="24"/>
  <c r="H22" i="37"/>
  <c r="BK59" i="24"/>
  <c r="EI59" i="24"/>
  <c r="CD57" i="24"/>
  <c r="FU57" i="24"/>
  <c r="CW57" i="24"/>
  <c r="H16" i="37"/>
  <c r="AV335" i="24"/>
  <c r="AV337" i="24" s="1"/>
  <c r="BN121" i="24"/>
  <c r="BN122" i="24"/>
  <c r="AT238" i="24"/>
  <c r="AT304" i="24"/>
  <c r="GN11" i="24"/>
  <c r="GN9" i="24" s="1"/>
  <c r="BN123" i="24"/>
  <c r="AR245" i="24"/>
  <c r="AR311" i="24"/>
  <c r="BM121" i="24"/>
  <c r="BK122" i="24"/>
  <c r="AU245" i="24"/>
  <c r="AU311" i="24"/>
  <c r="AU235" i="24"/>
  <c r="AU301" i="24"/>
  <c r="BK123" i="24"/>
  <c r="AV336" i="24"/>
  <c r="AV338" i="24" s="1"/>
  <c r="AU238" i="24"/>
  <c r="AU304" i="24"/>
  <c r="AU122" i="24"/>
  <c r="AU264" i="24"/>
  <c r="AU198" i="24"/>
  <c r="AS114" i="24"/>
  <c r="AS211" i="24"/>
  <c r="AS277" i="24"/>
  <c r="AU123" i="24"/>
  <c r="AU265" i="24"/>
  <c r="AU199" i="24"/>
  <c r="AT121" i="24"/>
  <c r="AT263" i="24"/>
  <c r="AT197" i="24"/>
  <c r="AR122" i="24"/>
  <c r="AR264" i="24"/>
  <c r="AR198" i="24"/>
  <c r="AR114" i="24"/>
  <c r="AR211" i="24"/>
  <c r="AR277" i="24"/>
  <c r="AU121" i="24"/>
  <c r="AU263" i="24"/>
  <c r="AU197" i="24"/>
  <c r="AU195" i="24"/>
  <c r="AU261" i="24"/>
  <c r="AR195" i="24"/>
  <c r="AR261" i="24"/>
  <c r="AR123" i="24"/>
  <c r="AR265" i="24"/>
  <c r="AR199" i="24"/>
  <c r="H62" i="37"/>
  <c r="H116" i="37"/>
  <c r="H58" i="37"/>
  <c r="H54" i="37"/>
  <c r="H75" i="37"/>
  <c r="H60" i="37"/>
  <c r="H72" i="37"/>
  <c r="H59" i="37"/>
  <c r="H53" i="37"/>
  <c r="FU11" i="24"/>
  <c r="FB11" i="24"/>
  <c r="CD11" i="24"/>
  <c r="CD9" i="24" s="1"/>
  <c r="FE11" i="24"/>
  <c r="HJ11" i="24"/>
  <c r="CW11" i="24"/>
  <c r="CG11" i="24"/>
  <c r="HH10" i="24"/>
  <c r="FV10" i="24"/>
  <c r="GO10" i="24"/>
  <c r="FC10" i="24"/>
  <c r="HI60" i="24"/>
  <c r="GP60" i="24"/>
  <c r="FW60" i="24"/>
  <c r="FD60" i="24"/>
  <c r="HI13" i="24"/>
  <c r="FW13" i="24"/>
  <c r="GP13" i="24"/>
  <c r="FD13" i="24"/>
  <c r="GQ11" i="24"/>
  <c r="GO53" i="24"/>
  <c r="HH53" i="24"/>
  <c r="FV53" i="24"/>
  <c r="FC53" i="24"/>
  <c r="HK57" i="24"/>
  <c r="GR57" i="24"/>
  <c r="FY57" i="24"/>
  <c r="FF57" i="24"/>
  <c r="FX11" i="24"/>
  <c r="HI14" i="24"/>
  <c r="GP14" i="24"/>
  <c r="FW14" i="24"/>
  <c r="FD14" i="24"/>
  <c r="GO14" i="24"/>
  <c r="HH14" i="24"/>
  <c r="FV14" i="24"/>
  <c r="FC14" i="24"/>
  <c r="GO12" i="24"/>
  <c r="FV12" i="24"/>
  <c r="FC12" i="24"/>
  <c r="HH12" i="24"/>
  <c r="HI10" i="24"/>
  <c r="GP10" i="24"/>
  <c r="FW10" i="24"/>
  <c r="FD10" i="24"/>
  <c r="GQ57" i="24"/>
  <c r="FX57" i="24"/>
  <c r="FE57" i="24"/>
  <c r="HJ57" i="24"/>
  <c r="GO13" i="24"/>
  <c r="FC13" i="24"/>
  <c r="FV13" i="24"/>
  <c r="HH13" i="24"/>
  <c r="FV60" i="24"/>
  <c r="FC60" i="24"/>
  <c r="GO60" i="24"/>
  <c r="HH60" i="24"/>
  <c r="E40" i="10"/>
  <c r="E21" i="10" s="1"/>
  <c r="E29" i="10" s="1"/>
  <c r="HI50" i="24"/>
  <c r="GP50" i="24"/>
  <c r="FW50" i="24"/>
  <c r="FD50" i="24"/>
  <c r="DP11" i="24"/>
  <c r="EL11" i="24"/>
  <c r="BN11" i="24"/>
  <c r="EI11" i="24"/>
  <c r="C18" i="37"/>
  <c r="DQ53" i="24"/>
  <c r="EJ53" i="24"/>
  <c r="CX53" i="24"/>
  <c r="BL53" i="24"/>
  <c r="CE53" i="24"/>
  <c r="EK50" i="24"/>
  <c r="DR50" i="24"/>
  <c r="CF50" i="24"/>
  <c r="CY50" i="24"/>
  <c r="AT50" i="24"/>
  <c r="EM57" i="24"/>
  <c r="DT57" i="24"/>
  <c r="DA57" i="24"/>
  <c r="CH57" i="24"/>
  <c r="BO57" i="24"/>
  <c r="AV57" i="24"/>
  <c r="EK14" i="24"/>
  <c r="CY14" i="24"/>
  <c r="BM14" i="24"/>
  <c r="CF14" i="24"/>
  <c r="DR14" i="24"/>
  <c r="AT14" i="24"/>
  <c r="EK10" i="24"/>
  <c r="DR10" i="24"/>
  <c r="CY10" i="24"/>
  <c r="CF10" i="24"/>
  <c r="BM10" i="24"/>
  <c r="AT10" i="24"/>
  <c r="C10" i="37"/>
  <c r="EJ10" i="24"/>
  <c r="CX10" i="24"/>
  <c r="DQ10" i="24"/>
  <c r="BL10" i="24"/>
  <c r="CE10" i="24"/>
  <c r="AS10" i="24"/>
  <c r="EK60" i="24"/>
  <c r="CY60" i="24"/>
  <c r="DR60" i="24"/>
  <c r="CF60" i="24"/>
  <c r="BM60" i="24"/>
  <c r="AT60" i="24"/>
  <c r="F11" i="24"/>
  <c r="F9" i="24" s="1"/>
  <c r="EK13" i="24"/>
  <c r="DR13" i="24"/>
  <c r="CY13" i="24"/>
  <c r="BM13" i="24"/>
  <c r="CF13" i="24"/>
  <c r="AT13" i="24"/>
  <c r="DS11" i="24"/>
  <c r="C25" i="37"/>
  <c r="DQ12" i="24"/>
  <c r="EJ12" i="24"/>
  <c r="CE12" i="24"/>
  <c r="BL12" i="24"/>
  <c r="CX12" i="24"/>
  <c r="C6" i="37"/>
  <c r="EJ60" i="24"/>
  <c r="CX60" i="24"/>
  <c r="DQ60" i="24"/>
  <c r="CE60" i="24"/>
  <c r="BL60" i="24"/>
  <c r="AS60" i="24"/>
  <c r="EJ14" i="24"/>
  <c r="CE14" i="24"/>
  <c r="BL14" i="24"/>
  <c r="CX14" i="24"/>
  <c r="DQ14" i="24"/>
  <c r="AS14" i="24"/>
  <c r="CZ11" i="24"/>
  <c r="C68" i="37"/>
  <c r="DS57" i="24"/>
  <c r="EL57" i="24"/>
  <c r="CG57" i="24"/>
  <c r="CZ57" i="24"/>
  <c r="BN57" i="24"/>
  <c r="AU57" i="24"/>
  <c r="EJ13" i="24"/>
  <c r="BL13" i="24"/>
  <c r="CX13" i="24"/>
  <c r="DQ13" i="24"/>
  <c r="AS13" i="24"/>
  <c r="CE13" i="24"/>
  <c r="H42" i="27"/>
  <c r="H61" i="24"/>
  <c r="G40" i="27"/>
  <c r="G113" i="10"/>
  <c r="G59" i="24" s="1"/>
  <c r="G58" i="24"/>
  <c r="C27" i="37"/>
  <c r="C12" i="37"/>
  <c r="F41" i="27"/>
  <c r="F57" i="24"/>
  <c r="S36" i="34"/>
  <c r="H40" i="27"/>
  <c r="H113" i="10"/>
  <c r="H59" i="24" s="1"/>
  <c r="H58" i="24"/>
  <c r="C24" i="37"/>
  <c r="C11" i="37"/>
  <c r="C5" i="37"/>
  <c r="E11" i="24"/>
  <c r="E9" i="24" s="1"/>
  <c r="E57" i="10"/>
  <c r="E50" i="10"/>
  <c r="E51" i="10"/>
  <c r="E100" i="10" s="1"/>
  <c r="G106" i="10"/>
  <c r="G30" i="10"/>
  <c r="G5" i="27" s="1"/>
  <c r="H10" i="24"/>
  <c r="H9" i="24" s="1"/>
  <c r="H43" i="27"/>
  <c r="F100" i="10"/>
  <c r="N19" i="33"/>
  <c r="N40" i="34"/>
  <c r="AS53" i="24"/>
  <c r="S32" i="34"/>
  <c r="S28" i="34"/>
  <c r="S33" i="34"/>
  <c r="AS50" i="24"/>
  <c r="AS301" i="24" s="1"/>
  <c r="S31" i="34"/>
  <c r="S13" i="34"/>
  <c r="S35" i="34"/>
  <c r="S29" i="34"/>
  <c r="S26" i="34"/>
  <c r="S27" i="34"/>
  <c r="S34" i="34"/>
  <c r="S11" i="34"/>
  <c r="N19" i="34"/>
  <c r="S12" i="34"/>
  <c r="S5" i="34"/>
  <c r="S6" i="34"/>
  <c r="S38" i="34"/>
  <c r="S10" i="34"/>
  <c r="Q40" i="34"/>
  <c r="F4" i="16" s="1"/>
  <c r="E67" i="24" s="1"/>
  <c r="AR50" i="24"/>
  <c r="AR301" i="24" s="1"/>
  <c r="AR61" i="24"/>
  <c r="Q40" i="33"/>
  <c r="F6" i="16" s="1"/>
  <c r="G67" i="24" s="1"/>
  <c r="S7" i="34"/>
  <c r="S15" i="34"/>
  <c r="S9" i="34"/>
  <c r="Q19" i="33"/>
  <c r="F5" i="16" s="1"/>
  <c r="F67" i="24" s="1"/>
  <c r="P40" i="33"/>
  <c r="E6" i="16" s="1"/>
  <c r="G66" i="24" s="1"/>
  <c r="P19" i="33"/>
  <c r="S37" i="34"/>
  <c r="S14" i="34"/>
  <c r="S17" i="34"/>
  <c r="Q19" i="34"/>
  <c r="F3" i="16" s="1"/>
  <c r="D67" i="24" s="1"/>
  <c r="S4" i="34"/>
  <c r="P19" i="34"/>
  <c r="S16" i="34"/>
  <c r="S8" i="34"/>
  <c r="P40" i="34"/>
  <c r="S30" i="34"/>
  <c r="K83" i="10"/>
  <c r="L83" i="10"/>
  <c r="I83" i="10"/>
  <c r="H83" i="10"/>
  <c r="H30" i="10"/>
  <c r="F47" i="10"/>
  <c r="F21" i="10"/>
  <c r="F29" i="10" s="1"/>
  <c r="F94" i="10"/>
  <c r="F106" i="10" s="1"/>
  <c r="J82" i="10"/>
  <c r="M75" i="10"/>
  <c r="M78" i="10" s="1"/>
  <c r="M79" i="10" s="1"/>
  <c r="M6" i="10" s="1"/>
  <c r="M4" i="27" s="1"/>
  <c r="M83" i="10"/>
  <c r="O75" i="10"/>
  <c r="O83" i="10"/>
  <c r="N75" i="10"/>
  <c r="N83" i="10"/>
  <c r="L77" i="10"/>
  <c r="L75" i="10"/>
  <c r="I76" i="10"/>
  <c r="I75" i="10"/>
  <c r="K76" i="10"/>
  <c r="K75" i="10"/>
  <c r="K77" i="10"/>
  <c r="I77" i="10"/>
  <c r="O77" i="10"/>
  <c r="O76" i="10"/>
  <c r="N76" i="10"/>
  <c r="N77" i="10"/>
  <c r="M77" i="10"/>
  <c r="M76" i="10"/>
  <c r="L76" i="10"/>
  <c r="O73" i="10"/>
  <c r="N73" i="10"/>
  <c r="M73" i="10"/>
  <c r="L73" i="10"/>
  <c r="K73" i="10"/>
  <c r="J73" i="10"/>
  <c r="I73" i="10"/>
  <c r="H73" i="10"/>
  <c r="M54" i="10"/>
  <c r="L54" i="10"/>
  <c r="K34" i="10"/>
  <c r="K54" i="10" s="1"/>
  <c r="J54" i="10"/>
  <c r="MJ52" i="24" l="1"/>
  <c r="NC52" i="24"/>
  <c r="LQ52" i="24"/>
  <c r="IB196" i="24"/>
  <c r="IB194" i="24" s="1"/>
  <c r="IS52" i="24"/>
  <c r="ID242" i="24"/>
  <c r="HZ242" i="24"/>
  <c r="HZ237" i="24" s="1"/>
  <c r="HZ234" i="24" s="1"/>
  <c r="HZ52" i="24"/>
  <c r="HZ49" i="24" s="1"/>
  <c r="HG52" i="24"/>
  <c r="HG49" i="24" s="1"/>
  <c r="IA238" i="24"/>
  <c r="HG196" i="24"/>
  <c r="HG194" i="24" s="1"/>
  <c r="IA196" i="24"/>
  <c r="IA194" i="24" s="1"/>
  <c r="HG262" i="24"/>
  <c r="HG260" i="24" s="1"/>
  <c r="FU262" i="24"/>
  <c r="FU260" i="24" s="1"/>
  <c r="FU196" i="24"/>
  <c r="FU194" i="24" s="1"/>
  <c r="HI261" i="24"/>
  <c r="HI195" i="24"/>
  <c r="HH311" i="24"/>
  <c r="HH245" i="24"/>
  <c r="HJ308" i="24"/>
  <c r="HJ242" i="24"/>
  <c r="HH263" i="24"/>
  <c r="HH197" i="24"/>
  <c r="HK308" i="24"/>
  <c r="HK242" i="24"/>
  <c r="HH261" i="24"/>
  <c r="HH195" i="24"/>
  <c r="HI265" i="24"/>
  <c r="HI199" i="24"/>
  <c r="HH304" i="24"/>
  <c r="HH238" i="24"/>
  <c r="HH264" i="24"/>
  <c r="HH198" i="24"/>
  <c r="HG308" i="24"/>
  <c r="HG242" i="24"/>
  <c r="GN262" i="24"/>
  <c r="GN260" i="24" s="1"/>
  <c r="HI264" i="24"/>
  <c r="HI198" i="24"/>
  <c r="HG310" i="24"/>
  <c r="HG244" i="24"/>
  <c r="HI311" i="24"/>
  <c r="HI245" i="24"/>
  <c r="HI301" i="24"/>
  <c r="HI235" i="24"/>
  <c r="HH265" i="24"/>
  <c r="HH199" i="24"/>
  <c r="HH249" i="24"/>
  <c r="HH315" i="24"/>
  <c r="HJ262" i="24"/>
  <c r="HJ260" i="24" s="1"/>
  <c r="HJ196" i="24"/>
  <c r="HJ194" i="24" s="1"/>
  <c r="GN196" i="24"/>
  <c r="GN194" i="24" s="1"/>
  <c r="GQ262" i="24"/>
  <c r="GQ260" i="24" s="1"/>
  <c r="GO264" i="24"/>
  <c r="GO198" i="24"/>
  <c r="GO265" i="24"/>
  <c r="GO199" i="24"/>
  <c r="GR242" i="24"/>
  <c r="GR308" i="24"/>
  <c r="GP264" i="24"/>
  <c r="GP198" i="24"/>
  <c r="GO261" i="24"/>
  <c r="GO195" i="24"/>
  <c r="GN244" i="24"/>
  <c r="GN310" i="24"/>
  <c r="GN308" i="24"/>
  <c r="GN242" i="24"/>
  <c r="GO245" i="24"/>
  <c r="GO311" i="24"/>
  <c r="GQ242" i="24"/>
  <c r="GQ308" i="24"/>
  <c r="GO263" i="24"/>
  <c r="GO197" i="24"/>
  <c r="FB262" i="24"/>
  <c r="FB260" i="24" s="1"/>
  <c r="GQ196" i="24"/>
  <c r="GQ194" i="24" s="1"/>
  <c r="GP265" i="24"/>
  <c r="GP199" i="24"/>
  <c r="GO238" i="24"/>
  <c r="GO304" i="24"/>
  <c r="GP245" i="24"/>
  <c r="GP311" i="24"/>
  <c r="FB196" i="24"/>
  <c r="FB194" i="24" s="1"/>
  <c r="GP301" i="24"/>
  <c r="GP235" i="24"/>
  <c r="FX196" i="24"/>
  <c r="FX194" i="24" s="1"/>
  <c r="GP261" i="24"/>
  <c r="GP195" i="24"/>
  <c r="GO315" i="24"/>
  <c r="GO249" i="24"/>
  <c r="FY242" i="24"/>
  <c r="FY308" i="24"/>
  <c r="FV198" i="24"/>
  <c r="FV264" i="24"/>
  <c r="FU308" i="24"/>
  <c r="FU242" i="24"/>
  <c r="FW264" i="24"/>
  <c r="FW198" i="24"/>
  <c r="FV195" i="24"/>
  <c r="FV261" i="24"/>
  <c r="FV199" i="24"/>
  <c r="FV265" i="24"/>
  <c r="FW265" i="24"/>
  <c r="FW199" i="24"/>
  <c r="FX262" i="24"/>
  <c r="FX260" i="24" s="1"/>
  <c r="FV315" i="24"/>
  <c r="FV249" i="24"/>
  <c r="FX308" i="24"/>
  <c r="FX242" i="24"/>
  <c r="FV263" i="24"/>
  <c r="FV197" i="24"/>
  <c r="FV238" i="24"/>
  <c r="FV304" i="24"/>
  <c r="FU244" i="24"/>
  <c r="FU310" i="24"/>
  <c r="FW301" i="24"/>
  <c r="FW235" i="24"/>
  <c r="FW261" i="24"/>
  <c r="FW195" i="24"/>
  <c r="FV311" i="24"/>
  <c r="FV245" i="24"/>
  <c r="FW245" i="24"/>
  <c r="FW311" i="24"/>
  <c r="EI262" i="24"/>
  <c r="EI260" i="24" s="1"/>
  <c r="FE262" i="24"/>
  <c r="FE260" i="24" s="1"/>
  <c r="FD195" i="24"/>
  <c r="FD261" i="24"/>
  <c r="FC199" i="24"/>
  <c r="FC265" i="24"/>
  <c r="FE196" i="24"/>
  <c r="FE194" i="24" s="1"/>
  <c r="FD301" i="24"/>
  <c r="FD235" i="24"/>
  <c r="FF242" i="24"/>
  <c r="FF308" i="24"/>
  <c r="EI196" i="24"/>
  <c r="EI194" i="24" s="1"/>
  <c r="FC198" i="24"/>
  <c r="FC264" i="24"/>
  <c r="FD198" i="24"/>
  <c r="FD264" i="24"/>
  <c r="FC195" i="24"/>
  <c r="FC261" i="24"/>
  <c r="FB308" i="24"/>
  <c r="FB242" i="24"/>
  <c r="FD199" i="24"/>
  <c r="FD265" i="24"/>
  <c r="FE308" i="24"/>
  <c r="FE242" i="24"/>
  <c r="FC197" i="24"/>
  <c r="FC263" i="24"/>
  <c r="FC238" i="24"/>
  <c r="FC304" i="24"/>
  <c r="FC311" i="24"/>
  <c r="FC245" i="24"/>
  <c r="FD245" i="24"/>
  <c r="FD311" i="24"/>
  <c r="FB244" i="24"/>
  <c r="FB310" i="24"/>
  <c r="FC315" i="24"/>
  <c r="FC249" i="24"/>
  <c r="EJ304" i="24"/>
  <c r="EJ238" i="24"/>
  <c r="EJ311" i="24"/>
  <c r="EJ245" i="24"/>
  <c r="EK265" i="24"/>
  <c r="EK199" i="24"/>
  <c r="EL308" i="24"/>
  <c r="EL242" i="24"/>
  <c r="EJ265" i="24"/>
  <c r="EJ199" i="24"/>
  <c r="EK261" i="24"/>
  <c r="EK195" i="24"/>
  <c r="EI242" i="24"/>
  <c r="EI308" i="24"/>
  <c r="EJ315" i="24"/>
  <c r="EJ249" i="24"/>
  <c r="EJ261" i="24"/>
  <c r="EJ195" i="24"/>
  <c r="EK301" i="24"/>
  <c r="EK235" i="24"/>
  <c r="EL196" i="24"/>
  <c r="EL194" i="24" s="1"/>
  <c r="EJ264" i="24"/>
  <c r="EJ198" i="24"/>
  <c r="EL262" i="24"/>
  <c r="EL260" i="24" s="1"/>
  <c r="EJ263" i="24"/>
  <c r="EJ197" i="24"/>
  <c r="EK311" i="24"/>
  <c r="EK245" i="24"/>
  <c r="EI310" i="24"/>
  <c r="EI244" i="24"/>
  <c r="EK264" i="24"/>
  <c r="EK198" i="24"/>
  <c r="EM308" i="24"/>
  <c r="EM242" i="24"/>
  <c r="DP196" i="24"/>
  <c r="DP194" i="24" s="1"/>
  <c r="DS262" i="24"/>
  <c r="DS260" i="24" s="1"/>
  <c r="CW262" i="24"/>
  <c r="CW260" i="24" s="1"/>
  <c r="DP262" i="24"/>
  <c r="DP260" i="24" s="1"/>
  <c r="BK262" i="24"/>
  <c r="BK334" i="24" s="1"/>
  <c r="CD260" i="24"/>
  <c r="DQ261" i="24"/>
  <c r="DQ195" i="24"/>
  <c r="DS242" i="24"/>
  <c r="DS308" i="24"/>
  <c r="DR235" i="24"/>
  <c r="DR301" i="24"/>
  <c r="DQ249" i="24"/>
  <c r="DQ315" i="24"/>
  <c r="DS196" i="24"/>
  <c r="DS194" i="24" s="1"/>
  <c r="DR245" i="24"/>
  <c r="DR311" i="24"/>
  <c r="DR265" i="24"/>
  <c r="DR199" i="24"/>
  <c r="H15" i="37"/>
  <c r="DP244" i="24"/>
  <c r="DP310" i="24"/>
  <c r="DR264" i="24"/>
  <c r="DR198" i="24"/>
  <c r="DT242" i="24"/>
  <c r="DT308" i="24"/>
  <c r="DQ265" i="24"/>
  <c r="DQ199" i="24"/>
  <c r="DQ245" i="24"/>
  <c r="DQ311" i="24"/>
  <c r="DQ263" i="24"/>
  <c r="DQ197" i="24"/>
  <c r="CG196" i="24"/>
  <c r="CG194" i="24" s="1"/>
  <c r="CW196" i="24"/>
  <c r="CW194" i="24" s="1"/>
  <c r="DQ238" i="24"/>
  <c r="DQ304" i="24"/>
  <c r="DP242" i="24"/>
  <c r="DP308" i="24"/>
  <c r="DP52" i="24"/>
  <c r="DP49" i="24" s="1"/>
  <c r="DQ264" i="24"/>
  <c r="DQ198" i="24"/>
  <c r="DR261" i="24"/>
  <c r="DR195" i="24"/>
  <c r="CX238" i="24"/>
  <c r="CX304" i="24"/>
  <c r="CX245" i="24"/>
  <c r="CX311" i="24"/>
  <c r="CY265" i="24"/>
  <c r="CY199" i="24"/>
  <c r="CX265" i="24"/>
  <c r="CX199" i="24"/>
  <c r="CY261" i="24"/>
  <c r="CY195" i="24"/>
  <c r="CY301" i="24"/>
  <c r="CY235" i="24"/>
  <c r="CZ242" i="24"/>
  <c r="CZ308" i="24"/>
  <c r="CX264" i="24"/>
  <c r="CX198" i="24"/>
  <c r="CX263" i="24"/>
  <c r="CX197" i="24"/>
  <c r="CX261" i="24"/>
  <c r="CX195" i="24"/>
  <c r="CW244" i="24"/>
  <c r="CW310" i="24"/>
  <c r="CX249" i="24"/>
  <c r="CX315" i="24"/>
  <c r="CY264" i="24"/>
  <c r="CY198" i="24"/>
  <c r="CY245" i="24"/>
  <c r="CY311" i="24"/>
  <c r="DA242" i="24"/>
  <c r="DA308" i="24"/>
  <c r="CW242" i="24"/>
  <c r="CW308" i="24"/>
  <c r="CZ196" i="24"/>
  <c r="CZ194" i="24" s="1"/>
  <c r="CZ262" i="24"/>
  <c r="CZ260" i="24" s="1"/>
  <c r="BK196" i="24"/>
  <c r="BK333" i="24" s="1"/>
  <c r="CG262" i="24"/>
  <c r="CG260" i="24" s="1"/>
  <c r="CE264" i="24"/>
  <c r="CE198" i="24"/>
  <c r="CE261" i="24"/>
  <c r="CE195" i="24"/>
  <c r="CF261" i="24"/>
  <c r="CF195" i="24"/>
  <c r="CE265" i="24"/>
  <c r="CE199" i="24"/>
  <c r="CF301" i="24"/>
  <c r="CF235" i="24"/>
  <c r="CG308" i="24"/>
  <c r="CG242" i="24"/>
  <c r="CF264" i="24"/>
  <c r="CF198" i="24"/>
  <c r="CF311" i="24"/>
  <c r="CF245" i="24"/>
  <c r="CD310" i="24"/>
  <c r="CD244" i="24"/>
  <c r="CH308" i="24"/>
  <c r="CH242" i="24"/>
  <c r="CE249" i="24"/>
  <c r="CE315" i="24"/>
  <c r="CE263" i="24"/>
  <c r="CE197" i="24"/>
  <c r="CE304" i="24"/>
  <c r="CE238" i="24"/>
  <c r="CE311" i="24"/>
  <c r="CE245" i="24"/>
  <c r="CF265" i="24"/>
  <c r="CF199" i="24"/>
  <c r="CD194" i="24"/>
  <c r="CD308" i="24"/>
  <c r="CD242" i="24"/>
  <c r="BL304" i="24"/>
  <c r="BL238" i="24"/>
  <c r="BM265" i="24"/>
  <c r="BM199" i="24"/>
  <c r="BK308" i="24"/>
  <c r="BK242" i="24"/>
  <c r="BN308" i="24"/>
  <c r="BN242" i="24"/>
  <c r="BM261" i="24"/>
  <c r="BM195" i="24"/>
  <c r="BL261" i="24"/>
  <c r="BL195" i="24"/>
  <c r="BM311" i="24"/>
  <c r="BM245" i="24"/>
  <c r="BK310" i="24"/>
  <c r="BK244" i="24"/>
  <c r="BL315" i="24"/>
  <c r="BL249" i="24"/>
  <c r="BO308" i="24"/>
  <c r="BO242" i="24"/>
  <c r="BL265" i="24"/>
  <c r="BL199" i="24"/>
  <c r="BL264" i="24"/>
  <c r="BL198" i="24"/>
  <c r="BL263" i="24"/>
  <c r="BL197" i="24"/>
  <c r="BM264" i="24"/>
  <c r="BM198" i="24"/>
  <c r="BN196" i="24"/>
  <c r="BN333" i="24" s="1"/>
  <c r="BL311" i="24"/>
  <c r="BL245" i="24"/>
  <c r="BN262" i="24"/>
  <c r="LQ49" i="24"/>
  <c r="NC49" i="24"/>
  <c r="KE49" i="24"/>
  <c r="KX49" i="24"/>
  <c r="MJ49" i="24"/>
  <c r="JL49" i="24"/>
  <c r="IS49" i="24"/>
  <c r="H52" i="24"/>
  <c r="H49" i="24" s="1"/>
  <c r="G52" i="24"/>
  <c r="C63" i="37" s="1"/>
  <c r="AS249" i="24"/>
  <c r="IA315" i="24"/>
  <c r="LR11" i="24"/>
  <c r="LR9" i="24" s="1"/>
  <c r="IB11" i="24"/>
  <c r="IB9" i="24" s="1"/>
  <c r="KZ11" i="24"/>
  <c r="KZ9" i="24" s="1"/>
  <c r="JN11" i="24"/>
  <c r="JN9" i="24" s="1"/>
  <c r="IU11" i="24"/>
  <c r="IU9" i="24" s="1"/>
  <c r="NE11" i="24"/>
  <c r="NE9" i="24" s="1"/>
  <c r="ML11" i="24"/>
  <c r="ML9" i="24" s="1"/>
  <c r="LS11" i="24"/>
  <c r="LS9" i="24" s="1"/>
  <c r="FB52" i="24"/>
  <c r="FB49" i="24" s="1"/>
  <c r="KG11" i="24"/>
  <c r="KG9" i="24" s="1"/>
  <c r="HZ262" i="24"/>
  <c r="HZ260" i="24" s="1"/>
  <c r="IT11" i="24"/>
  <c r="IT9" i="24" s="1"/>
  <c r="ML67" i="24"/>
  <c r="NE67" i="24"/>
  <c r="KZ67" i="24"/>
  <c r="KG67" i="24"/>
  <c r="JN67" i="24"/>
  <c r="LS67" i="24"/>
  <c r="IB67" i="24"/>
  <c r="IB252" i="24" s="1"/>
  <c r="IU67" i="24"/>
  <c r="LR67" i="24"/>
  <c r="ND67" i="24"/>
  <c r="KY67" i="24"/>
  <c r="MK67" i="24"/>
  <c r="JM67" i="24"/>
  <c r="KF67" i="24"/>
  <c r="IA67" i="24"/>
  <c r="IA252" i="24" s="1"/>
  <c r="IT67" i="24"/>
  <c r="LS57" i="24"/>
  <c r="NE57" i="24"/>
  <c r="JN57" i="24"/>
  <c r="ML57" i="24"/>
  <c r="KZ57" i="24"/>
  <c r="IU57" i="24"/>
  <c r="KG57" i="24"/>
  <c r="IB57" i="24"/>
  <c r="MK11" i="24"/>
  <c r="MK9" i="24" s="1"/>
  <c r="ID308" i="24"/>
  <c r="IC308" i="24"/>
  <c r="LQ67" i="24"/>
  <c r="MJ67" i="24"/>
  <c r="NC67" i="24"/>
  <c r="KX67" i="24"/>
  <c r="KE67" i="24"/>
  <c r="JL67" i="24"/>
  <c r="HZ67" i="24"/>
  <c r="HZ252" i="24" s="1"/>
  <c r="IS67" i="24"/>
  <c r="HZ308" i="24"/>
  <c r="ND11" i="24"/>
  <c r="ND9" i="24" s="1"/>
  <c r="IB261" i="24"/>
  <c r="KF11" i="24"/>
  <c r="KF9" i="24" s="1"/>
  <c r="IB311" i="24"/>
  <c r="IB265" i="24"/>
  <c r="IA264" i="24"/>
  <c r="NF67" i="24"/>
  <c r="LT67" i="24"/>
  <c r="MM67" i="24"/>
  <c r="LA67" i="24"/>
  <c r="KH67" i="24"/>
  <c r="JO67" i="24"/>
  <c r="IV67" i="24"/>
  <c r="IC67" i="24"/>
  <c r="IC252" i="24" s="1"/>
  <c r="LU58" i="24"/>
  <c r="MN58" i="24"/>
  <c r="LB58" i="24"/>
  <c r="KI58" i="24"/>
  <c r="NG58" i="24"/>
  <c r="JP58" i="24"/>
  <c r="IW58" i="24"/>
  <c r="ID58" i="24"/>
  <c r="ID243" i="24" s="1"/>
  <c r="MM58" i="24"/>
  <c r="NF58" i="24"/>
  <c r="LA58" i="24"/>
  <c r="JO58" i="24"/>
  <c r="KH58" i="24"/>
  <c r="IC58" i="24"/>
  <c r="IC243" i="24" s="1"/>
  <c r="LT58" i="24"/>
  <c r="IV58" i="24"/>
  <c r="IA304" i="24"/>
  <c r="IA265" i="24"/>
  <c r="IB264" i="24"/>
  <c r="IA311" i="24"/>
  <c r="H112" i="37"/>
  <c r="LU59" i="24"/>
  <c r="MN59" i="24"/>
  <c r="NG59" i="24"/>
  <c r="NG52" i="24" s="1"/>
  <c r="KI59" i="24"/>
  <c r="JP59" i="24"/>
  <c r="LB59" i="24"/>
  <c r="LB52" i="24" s="1"/>
  <c r="IW59" i="24"/>
  <c r="ID59" i="24"/>
  <c r="ID244" i="24" s="1"/>
  <c r="IA263" i="24"/>
  <c r="IA11" i="24"/>
  <c r="IA9" i="24" s="1"/>
  <c r="JM11" i="24"/>
  <c r="JM9" i="24" s="1"/>
  <c r="IA261" i="24"/>
  <c r="IC262" i="24"/>
  <c r="IC260" i="24" s="1"/>
  <c r="MN10" i="24"/>
  <c r="MN9" i="24" s="1"/>
  <c r="NG10" i="24"/>
  <c r="NG9" i="24" s="1"/>
  <c r="LU10" i="24"/>
  <c r="LU9" i="24" s="1"/>
  <c r="KI10" i="24"/>
  <c r="KI9" i="24" s="1"/>
  <c r="LB10" i="24"/>
  <c r="LB9" i="24" s="1"/>
  <c r="ID10" i="24"/>
  <c r="ID195" i="24" s="1"/>
  <c r="ID194" i="24" s="1"/>
  <c r="IW10" i="24"/>
  <c r="IW9" i="24" s="1"/>
  <c r="JP10" i="24"/>
  <c r="JP9" i="24" s="1"/>
  <c r="MM59" i="24"/>
  <c r="NF59" i="24"/>
  <c r="KH59" i="24"/>
  <c r="JO59" i="24"/>
  <c r="LT59" i="24"/>
  <c r="LT52" i="24" s="1"/>
  <c r="IV59" i="24"/>
  <c r="LA59" i="24"/>
  <c r="IC59" i="24"/>
  <c r="IC244" i="24" s="1"/>
  <c r="MM66" i="24"/>
  <c r="NF66" i="24"/>
  <c r="LA66" i="24"/>
  <c r="LT66" i="24"/>
  <c r="IC66" i="24"/>
  <c r="IC251" i="24" s="1"/>
  <c r="IV66" i="24"/>
  <c r="KH66" i="24"/>
  <c r="JO66" i="24"/>
  <c r="LU61" i="24"/>
  <c r="MN61" i="24"/>
  <c r="KI61" i="24"/>
  <c r="JP61" i="24"/>
  <c r="LB61" i="24"/>
  <c r="IW61" i="24"/>
  <c r="NG61" i="24"/>
  <c r="ID61" i="24"/>
  <c r="ID246" i="24" s="1"/>
  <c r="KY11" i="24"/>
  <c r="KY9" i="24" s="1"/>
  <c r="IB301" i="24"/>
  <c r="HZ310" i="24"/>
  <c r="E47" i="10"/>
  <c r="FU52" i="24"/>
  <c r="FU49" i="24" s="1"/>
  <c r="AR312" i="24"/>
  <c r="AR246" i="24"/>
  <c r="GN52" i="24"/>
  <c r="GN49" i="24" s="1"/>
  <c r="EI52" i="24"/>
  <c r="EI49" i="24" s="1"/>
  <c r="CW52" i="24"/>
  <c r="CW49" i="24" s="1"/>
  <c r="GR61" i="24"/>
  <c r="DA61" i="24"/>
  <c r="HK61" i="24"/>
  <c r="EM61" i="24"/>
  <c r="CH61" i="24"/>
  <c r="FY61" i="24"/>
  <c r="DT61" i="24"/>
  <c r="FF61" i="24"/>
  <c r="CD52" i="24"/>
  <c r="CD49" i="24" s="1"/>
  <c r="E92" i="10"/>
  <c r="E94" i="10" s="1"/>
  <c r="E106" i="10" s="1"/>
  <c r="BL122" i="24"/>
  <c r="AS245" i="24"/>
  <c r="AS311" i="24"/>
  <c r="BM123" i="24"/>
  <c r="AU196" i="24"/>
  <c r="AU333" i="24" s="1"/>
  <c r="AV242" i="24"/>
  <c r="AV308" i="24"/>
  <c r="BL121" i="24"/>
  <c r="BM122" i="24"/>
  <c r="AU242" i="24"/>
  <c r="AU308" i="24"/>
  <c r="AS238" i="24"/>
  <c r="AS304" i="24"/>
  <c r="BL123" i="24"/>
  <c r="AT235" i="24"/>
  <c r="AT301" i="24"/>
  <c r="AU262" i="24"/>
  <c r="AU260" i="24" s="1"/>
  <c r="AT245" i="24"/>
  <c r="AT311" i="24"/>
  <c r="AS235" i="24"/>
  <c r="AS123" i="24"/>
  <c r="AS265" i="24"/>
  <c r="AS199" i="24"/>
  <c r="AT195" i="24"/>
  <c r="AT261" i="24"/>
  <c r="AS122" i="24"/>
  <c r="AS198" i="24"/>
  <c r="AS264" i="24"/>
  <c r="AT122" i="24"/>
  <c r="AT198" i="24"/>
  <c r="AT264" i="24"/>
  <c r="AS261" i="24"/>
  <c r="AS195" i="24"/>
  <c r="AR235" i="24"/>
  <c r="AT123" i="24"/>
  <c r="AT199" i="24"/>
  <c r="AT265" i="24"/>
  <c r="FX9" i="24"/>
  <c r="GQ9" i="24"/>
  <c r="E19" i="27"/>
  <c r="DS9" i="24"/>
  <c r="DP9" i="24"/>
  <c r="FE9" i="24"/>
  <c r="HJ9" i="24"/>
  <c r="CG9" i="24"/>
  <c r="CW9" i="24"/>
  <c r="EL9" i="24"/>
  <c r="FU9" i="24"/>
  <c r="CZ9" i="24"/>
  <c r="EI9" i="24"/>
  <c r="BN9" i="24"/>
  <c r="FB9" i="24"/>
  <c r="H103" i="37"/>
  <c r="H68" i="37"/>
  <c r="H4" i="37"/>
  <c r="H117" i="37"/>
  <c r="H118" i="37"/>
  <c r="H106" i="37"/>
  <c r="H101" i="37"/>
  <c r="FD11" i="24"/>
  <c r="HI11" i="24"/>
  <c r="FV11" i="24"/>
  <c r="FW11" i="24"/>
  <c r="GP11" i="24"/>
  <c r="GN67" i="24"/>
  <c r="HG67" i="24"/>
  <c r="FU67" i="24"/>
  <c r="FB67" i="24"/>
  <c r="HJ58" i="24"/>
  <c r="FX58" i="24"/>
  <c r="GQ58" i="24"/>
  <c r="FE58" i="24"/>
  <c r="HI67" i="24"/>
  <c r="GP67" i="24"/>
  <c r="FW67" i="24"/>
  <c r="FD67" i="24"/>
  <c r="GO11" i="24"/>
  <c r="GO67" i="24"/>
  <c r="HH67" i="24"/>
  <c r="FC67" i="24"/>
  <c r="FV67" i="24"/>
  <c r="HK10" i="24"/>
  <c r="FF10" i="24"/>
  <c r="GR10" i="24"/>
  <c r="FY10" i="24"/>
  <c r="GR59" i="24"/>
  <c r="HK59" i="24"/>
  <c r="FY59" i="24"/>
  <c r="FF59" i="24"/>
  <c r="HJ59" i="24"/>
  <c r="GQ59" i="24"/>
  <c r="FX59" i="24"/>
  <c r="FE59" i="24"/>
  <c r="GQ66" i="24"/>
  <c r="HJ66" i="24"/>
  <c r="FX66" i="24"/>
  <c r="FE66" i="24"/>
  <c r="GQ67" i="24"/>
  <c r="HJ67" i="24"/>
  <c r="FX67" i="24"/>
  <c r="FE67" i="24"/>
  <c r="HH11" i="24"/>
  <c r="HK58" i="24"/>
  <c r="GR58" i="24"/>
  <c r="FY58" i="24"/>
  <c r="FF58" i="24"/>
  <c r="E101" i="10"/>
  <c r="E41" i="27" s="1"/>
  <c r="GP57" i="24"/>
  <c r="FW57" i="24"/>
  <c r="HI57" i="24"/>
  <c r="FD57" i="24"/>
  <c r="CY11" i="24"/>
  <c r="FC11" i="24"/>
  <c r="DR11" i="24"/>
  <c r="BM11" i="24"/>
  <c r="AT11" i="24"/>
  <c r="CF11" i="24"/>
  <c r="EK11" i="24"/>
  <c r="CX11" i="24"/>
  <c r="EK67" i="24"/>
  <c r="CY67" i="24"/>
  <c r="DR67" i="24"/>
  <c r="BM67" i="24"/>
  <c r="CF67" i="24"/>
  <c r="C69" i="37"/>
  <c r="DS58" i="24"/>
  <c r="EL58" i="24"/>
  <c r="CZ58" i="24"/>
  <c r="CG58" i="24"/>
  <c r="BN58" i="24"/>
  <c r="AU58" i="24"/>
  <c r="CE11" i="24"/>
  <c r="AS67" i="24"/>
  <c r="DQ67" i="24"/>
  <c r="EJ67" i="24"/>
  <c r="CX67" i="24"/>
  <c r="CE67" i="24"/>
  <c r="BL67" i="24"/>
  <c r="DS59" i="24"/>
  <c r="EL59" i="24"/>
  <c r="CG59" i="24"/>
  <c r="CZ59" i="24"/>
  <c r="BN59" i="24"/>
  <c r="AU59" i="24"/>
  <c r="EJ11" i="24"/>
  <c r="EM58" i="24"/>
  <c r="DA58" i="24"/>
  <c r="DT58" i="24"/>
  <c r="CH58" i="24"/>
  <c r="BO58" i="24"/>
  <c r="AV58" i="24"/>
  <c r="AR67" i="24"/>
  <c r="EI67" i="24"/>
  <c r="DP67" i="24"/>
  <c r="CD67" i="24"/>
  <c r="CW67" i="24"/>
  <c r="BK67" i="24"/>
  <c r="EM59" i="24"/>
  <c r="DT59" i="24"/>
  <c r="DA59" i="24"/>
  <c r="CH59" i="24"/>
  <c r="BO59" i="24"/>
  <c r="AV59" i="24"/>
  <c r="CZ67" i="24"/>
  <c r="EL67" i="24"/>
  <c r="DS67" i="24"/>
  <c r="CG67" i="24"/>
  <c r="BN67" i="24"/>
  <c r="AU67" i="24"/>
  <c r="EM10" i="24"/>
  <c r="DT10" i="24"/>
  <c r="CH10" i="24"/>
  <c r="DA10" i="24"/>
  <c r="BO10" i="24"/>
  <c r="AV10" i="24"/>
  <c r="BO61" i="24"/>
  <c r="AV61" i="24"/>
  <c r="EL66" i="24"/>
  <c r="CZ66" i="24"/>
  <c r="DS66" i="24"/>
  <c r="BN66" i="24"/>
  <c r="CG66" i="24"/>
  <c r="AU66" i="24"/>
  <c r="EK57" i="24"/>
  <c r="CY57" i="24"/>
  <c r="CF57" i="24"/>
  <c r="DR57" i="24"/>
  <c r="BM57" i="24"/>
  <c r="AT57" i="24"/>
  <c r="F40" i="27"/>
  <c r="F113" i="10"/>
  <c r="F59" i="24" s="1"/>
  <c r="F58" i="24"/>
  <c r="C70" i="37"/>
  <c r="C64" i="37"/>
  <c r="G42" i="27"/>
  <c r="G61" i="24"/>
  <c r="F42" i="27"/>
  <c r="F61" i="24"/>
  <c r="G31" i="10"/>
  <c r="G6" i="27" s="1"/>
  <c r="E40" i="27"/>
  <c r="E58" i="24"/>
  <c r="AS12" i="24"/>
  <c r="G65" i="24"/>
  <c r="AR53" i="24"/>
  <c r="AR57" i="24"/>
  <c r="AR58" i="24"/>
  <c r="AR59" i="24"/>
  <c r="Q41" i="33"/>
  <c r="G6" i="16"/>
  <c r="H31" i="10"/>
  <c r="H6" i="27" s="1"/>
  <c r="H5" i="27"/>
  <c r="E5" i="16"/>
  <c r="F66" i="24" s="1"/>
  <c r="Q20" i="33"/>
  <c r="F30" i="10"/>
  <c r="E3" i="16"/>
  <c r="D66" i="24" s="1"/>
  <c r="Q20" i="34"/>
  <c r="Q41" i="34"/>
  <c r="E4" i="16"/>
  <c r="E66" i="24" s="1"/>
  <c r="J75" i="10"/>
  <c r="J78" i="10" s="1"/>
  <c r="J79" i="10" s="1"/>
  <c r="J6" i="10" s="1"/>
  <c r="J4" i="27" s="1"/>
  <c r="J83" i="10"/>
  <c r="J77" i="10"/>
  <c r="J76" i="10"/>
  <c r="O78" i="10"/>
  <c r="O79" i="10" s="1"/>
  <c r="O6" i="10" s="1"/>
  <c r="N78" i="10"/>
  <c r="N79" i="10" s="1"/>
  <c r="L78" i="10"/>
  <c r="L79" i="10" s="1"/>
  <c r="L6" i="10" s="1"/>
  <c r="L4" i="27" s="1"/>
  <c r="K78" i="10"/>
  <c r="K79" i="10" s="1"/>
  <c r="I78" i="10"/>
  <c r="I79" i="10" s="1"/>
  <c r="I6" i="10" s="1"/>
  <c r="I4" i="27" s="1"/>
  <c r="K25" i="14"/>
  <c r="K25" i="12"/>
  <c r="K8" i="13"/>
  <c r="K15" i="13"/>
  <c r="K12" i="13"/>
  <c r="K7" i="13"/>
  <c r="K14" i="13"/>
  <c r="K6" i="13"/>
  <c r="K10" i="13"/>
  <c r="K11" i="13"/>
  <c r="K4" i="12"/>
  <c r="M80" i="10"/>
  <c r="M53" i="10"/>
  <c r="M25" i="10" s="1"/>
  <c r="LA52" i="24" l="1"/>
  <c r="NF52" i="24"/>
  <c r="IC250" i="24"/>
  <c r="IW52" i="24"/>
  <c r="KI52" i="24"/>
  <c r="IV52" i="24"/>
  <c r="JP52" i="24"/>
  <c r="JP49" i="24" s="1"/>
  <c r="MM52" i="24"/>
  <c r="MM49" i="24" s="1"/>
  <c r="MN52" i="24"/>
  <c r="MN49" i="24" s="1"/>
  <c r="JO52" i="24"/>
  <c r="LU52" i="24"/>
  <c r="KH52" i="24"/>
  <c r="IC237" i="24"/>
  <c r="IC234" i="24" s="1"/>
  <c r="IB242" i="24"/>
  <c r="ID52" i="24"/>
  <c r="ID237" i="24"/>
  <c r="ID234" i="24" s="1"/>
  <c r="IC52" i="24"/>
  <c r="IC49" i="24" s="1"/>
  <c r="HG237" i="24"/>
  <c r="HG234" i="24" s="1"/>
  <c r="HH262" i="24"/>
  <c r="HH260" i="24" s="1"/>
  <c r="HG303" i="24"/>
  <c r="HG300" i="24" s="1"/>
  <c r="FW196" i="24"/>
  <c r="FW194" i="24" s="1"/>
  <c r="HI196" i="24"/>
  <c r="HI194" i="24" s="1"/>
  <c r="HI262" i="24"/>
  <c r="HI260" i="24" s="1"/>
  <c r="HK261" i="24"/>
  <c r="HK260" i="24" s="1"/>
  <c r="HK195" i="24"/>
  <c r="HK194" i="24" s="1"/>
  <c r="HJ318" i="24"/>
  <c r="HJ252" i="24"/>
  <c r="EK196" i="24"/>
  <c r="EK194" i="24" s="1"/>
  <c r="GO262" i="24"/>
  <c r="GO260" i="24" s="1"/>
  <c r="HH196" i="24"/>
  <c r="HH194" i="24" s="1"/>
  <c r="HJ310" i="24"/>
  <c r="HJ244" i="24"/>
  <c r="HK309" i="24"/>
  <c r="HK243" i="24"/>
  <c r="HJ317" i="24"/>
  <c r="HJ251" i="24"/>
  <c r="HK310" i="24"/>
  <c r="HK244" i="24"/>
  <c r="HH252" i="24"/>
  <c r="HH318" i="24"/>
  <c r="HK312" i="24"/>
  <c r="HK246" i="24"/>
  <c r="HG252" i="24"/>
  <c r="HG318" i="24"/>
  <c r="HJ243" i="24"/>
  <c r="HJ309" i="24"/>
  <c r="HI318" i="24"/>
  <c r="HI252" i="24"/>
  <c r="HI242" i="24"/>
  <c r="HI308" i="24"/>
  <c r="FW262" i="24"/>
  <c r="FW260" i="24" s="1"/>
  <c r="GO196" i="24"/>
  <c r="GO194" i="24" s="1"/>
  <c r="GN303" i="24"/>
  <c r="GN300" i="24" s="1"/>
  <c r="GP196" i="24"/>
  <c r="GP194" i="24" s="1"/>
  <c r="GP262" i="24"/>
  <c r="GP260" i="24" s="1"/>
  <c r="GN237" i="24"/>
  <c r="GN234" i="24" s="1"/>
  <c r="GQ317" i="24"/>
  <c r="GQ251" i="24"/>
  <c r="GR310" i="24"/>
  <c r="GR244" i="24"/>
  <c r="GO318" i="24"/>
  <c r="GO252" i="24"/>
  <c r="GQ244" i="24"/>
  <c r="GQ310" i="24"/>
  <c r="GR246" i="24"/>
  <c r="GR312" i="24"/>
  <c r="GR261" i="24"/>
  <c r="GR260" i="24" s="1"/>
  <c r="GR195" i="24"/>
  <c r="GR194" i="24" s="1"/>
  <c r="GQ318" i="24"/>
  <c r="GQ252" i="24"/>
  <c r="GP318" i="24"/>
  <c r="GP252" i="24"/>
  <c r="GN318" i="24"/>
  <c r="GN252" i="24"/>
  <c r="GP308" i="24"/>
  <c r="GP242" i="24"/>
  <c r="GR309" i="24"/>
  <c r="GR243" i="24"/>
  <c r="FU237" i="24"/>
  <c r="FU234" i="24" s="1"/>
  <c r="GQ309" i="24"/>
  <c r="GQ243" i="24"/>
  <c r="FV262" i="24"/>
  <c r="FV260" i="24" s="1"/>
  <c r="FD262" i="24"/>
  <c r="FD260" i="24" s="1"/>
  <c r="FW252" i="24"/>
  <c r="FW318" i="24"/>
  <c r="FU318" i="24"/>
  <c r="FU252" i="24"/>
  <c r="FY246" i="24"/>
  <c r="FY312" i="24"/>
  <c r="FX317" i="24"/>
  <c r="FX251" i="24"/>
  <c r="FY310" i="24"/>
  <c r="FY244" i="24"/>
  <c r="FU303" i="24"/>
  <c r="FU300" i="24" s="1"/>
  <c r="FY309" i="24"/>
  <c r="FY243" i="24"/>
  <c r="FV318" i="24"/>
  <c r="FV252" i="24"/>
  <c r="FX309" i="24"/>
  <c r="FX243" i="24"/>
  <c r="FW308" i="24"/>
  <c r="FW242" i="24"/>
  <c r="FY261" i="24"/>
  <c r="FY260" i="24" s="1"/>
  <c r="FY195" i="24"/>
  <c r="FY194" i="24" s="1"/>
  <c r="FX318" i="24"/>
  <c r="FX252" i="24"/>
  <c r="FX310" i="24"/>
  <c r="FX244" i="24"/>
  <c r="FV196" i="24"/>
  <c r="FV194" i="24" s="1"/>
  <c r="FD196" i="24"/>
  <c r="FD194" i="24" s="1"/>
  <c r="CY196" i="24"/>
  <c r="CY194" i="24" s="1"/>
  <c r="CX196" i="24"/>
  <c r="CX194" i="24" s="1"/>
  <c r="FC262" i="24"/>
  <c r="FC260" i="24" s="1"/>
  <c r="FF195" i="24"/>
  <c r="FF194" i="24" s="1"/>
  <c r="FF261" i="24"/>
  <c r="FF260" i="24" s="1"/>
  <c r="EK262" i="24"/>
  <c r="EK260" i="24" s="1"/>
  <c r="FD318" i="24"/>
  <c r="FD252" i="24"/>
  <c r="FF309" i="24"/>
  <c r="FF243" i="24"/>
  <c r="EI303" i="24"/>
  <c r="EI300" i="24" s="1"/>
  <c r="FE317" i="24"/>
  <c r="FE251" i="24"/>
  <c r="DS52" i="24"/>
  <c r="FC318" i="24"/>
  <c r="FC252" i="24"/>
  <c r="FE309" i="24"/>
  <c r="FE243" i="24"/>
  <c r="FC196" i="24"/>
  <c r="FC194" i="24" s="1"/>
  <c r="FB237" i="24"/>
  <c r="FB234" i="24" s="1"/>
  <c r="FB303" i="24"/>
  <c r="FB300" i="24" s="1"/>
  <c r="FB318" i="24"/>
  <c r="FB252" i="24"/>
  <c r="FF310" i="24"/>
  <c r="FF244" i="24"/>
  <c r="FD308" i="24"/>
  <c r="FD242" i="24"/>
  <c r="FE318" i="24"/>
  <c r="FE252" i="24"/>
  <c r="FE310" i="24"/>
  <c r="FE244" i="24"/>
  <c r="FF246" i="24"/>
  <c r="FF312" i="24"/>
  <c r="EI237" i="24"/>
  <c r="EI234" i="24" s="1"/>
  <c r="EJ196" i="24"/>
  <c r="EJ194" i="24" s="1"/>
  <c r="DR262" i="24"/>
  <c r="DR260" i="24" s="1"/>
  <c r="EJ262" i="24"/>
  <c r="EJ260" i="24" s="1"/>
  <c r="EK308" i="24"/>
  <c r="EK242" i="24"/>
  <c r="EI318" i="24"/>
  <c r="EI252" i="24"/>
  <c r="EM312" i="24"/>
  <c r="EM246" i="24"/>
  <c r="EJ252" i="24"/>
  <c r="EJ318" i="24"/>
  <c r="EL309" i="24"/>
  <c r="EL243" i="24"/>
  <c r="EK252" i="24"/>
  <c r="EK318" i="24"/>
  <c r="EL252" i="24"/>
  <c r="EL318" i="24"/>
  <c r="EM244" i="24"/>
  <c r="EM310" i="24"/>
  <c r="EL244" i="24"/>
  <c r="EL310" i="24"/>
  <c r="EL251" i="24"/>
  <c r="EL317" i="24"/>
  <c r="EM261" i="24"/>
  <c r="EM260" i="24" s="1"/>
  <c r="EM195" i="24"/>
  <c r="EM194" i="24" s="1"/>
  <c r="EM309" i="24"/>
  <c r="EM243" i="24"/>
  <c r="DQ262" i="24"/>
  <c r="DQ260" i="24" s="1"/>
  <c r="DR196" i="24"/>
  <c r="DR194" i="24" s="1"/>
  <c r="BK336" i="24"/>
  <c r="BK260" i="24"/>
  <c r="BK194" i="24"/>
  <c r="DT52" i="24"/>
  <c r="DQ196" i="24"/>
  <c r="DQ194" i="24" s="1"/>
  <c r="DP303" i="24"/>
  <c r="DP300" i="24" s="1"/>
  <c r="CY262" i="24"/>
  <c r="CY260" i="24" s="1"/>
  <c r="DP318" i="24"/>
  <c r="DP252" i="24"/>
  <c r="DR252" i="24"/>
  <c r="DR318" i="24"/>
  <c r="DP237" i="24"/>
  <c r="DP234" i="24" s="1"/>
  <c r="DT244" i="24"/>
  <c r="DT310" i="24"/>
  <c r="CD237" i="24"/>
  <c r="CD234" i="24" s="1"/>
  <c r="DS252" i="24"/>
  <c r="DS318" i="24"/>
  <c r="DQ252" i="24"/>
  <c r="DQ318" i="24"/>
  <c r="DS243" i="24"/>
  <c r="DS309" i="24"/>
  <c r="DS251" i="24"/>
  <c r="DS317" i="24"/>
  <c r="DT246" i="24"/>
  <c r="DT312" i="24"/>
  <c r="DR242" i="24"/>
  <c r="DR308" i="24"/>
  <c r="DT261" i="24"/>
  <c r="DT260" i="24" s="1"/>
  <c r="DT195" i="24"/>
  <c r="DT194" i="24" s="1"/>
  <c r="DT243" i="24"/>
  <c r="DT309" i="24"/>
  <c r="DS310" i="24"/>
  <c r="DS244" i="24"/>
  <c r="CD303" i="24"/>
  <c r="CD300" i="24" s="1"/>
  <c r="BK303" i="24"/>
  <c r="BK300" i="24" s="1"/>
  <c r="CX262" i="24"/>
  <c r="CX260" i="24" s="1"/>
  <c r="DA246" i="24"/>
  <c r="DA312" i="24"/>
  <c r="DA244" i="24"/>
  <c r="DA310" i="24"/>
  <c r="CX318" i="24"/>
  <c r="CX252" i="24"/>
  <c r="CZ243" i="24"/>
  <c r="CZ309" i="24"/>
  <c r="CY252" i="24"/>
  <c r="CY318" i="24"/>
  <c r="BK335" i="24"/>
  <c r="DA261" i="24"/>
  <c r="DA260" i="24" s="1"/>
  <c r="DA195" i="24"/>
  <c r="DA194" i="24" s="1"/>
  <c r="CZ310" i="24"/>
  <c r="CZ244" i="24"/>
  <c r="CF262" i="24"/>
  <c r="CF260" i="24" s="1"/>
  <c r="CZ251" i="24"/>
  <c r="CZ317" i="24"/>
  <c r="CZ252" i="24"/>
  <c r="CZ318" i="24"/>
  <c r="CW318" i="24"/>
  <c r="CW252" i="24"/>
  <c r="DA243" i="24"/>
  <c r="DA309" i="24"/>
  <c r="BM196" i="24"/>
  <c r="BM333" i="24" s="1"/>
  <c r="CW303" i="24"/>
  <c r="CW300" i="24" s="1"/>
  <c r="CY308" i="24"/>
  <c r="CY242" i="24"/>
  <c r="BM262" i="24"/>
  <c r="BM334" i="24" s="1"/>
  <c r="CW237" i="24"/>
  <c r="CW234" i="24" s="1"/>
  <c r="CF196" i="24"/>
  <c r="CF194" i="24" s="1"/>
  <c r="CH310" i="24"/>
  <c r="CH244" i="24"/>
  <c r="CE318" i="24"/>
  <c r="CE252" i="24"/>
  <c r="CG243" i="24"/>
  <c r="CG309" i="24"/>
  <c r="CG251" i="24"/>
  <c r="CG317" i="24"/>
  <c r="CG252" i="24"/>
  <c r="CG318" i="24"/>
  <c r="CH261" i="24"/>
  <c r="CH260" i="24" s="1"/>
  <c r="CH195" i="24"/>
  <c r="CH194" i="24" s="1"/>
  <c r="CH243" i="24"/>
  <c r="CH309" i="24"/>
  <c r="CG310" i="24"/>
  <c r="CG244" i="24"/>
  <c r="CH312" i="24"/>
  <c r="CH246" i="24"/>
  <c r="CE196" i="24"/>
  <c r="CE194" i="24" s="1"/>
  <c r="CF242" i="24"/>
  <c r="CF308" i="24"/>
  <c r="CD318" i="24"/>
  <c r="CD252" i="24"/>
  <c r="CF318" i="24"/>
  <c r="CF252" i="24"/>
  <c r="CE262" i="24"/>
  <c r="CE260" i="24" s="1"/>
  <c r="BM308" i="24"/>
  <c r="BM242" i="24"/>
  <c r="BO261" i="24"/>
  <c r="BO260" i="24" s="1"/>
  <c r="BO195" i="24"/>
  <c r="BO194" i="24" s="1"/>
  <c r="BN310" i="24"/>
  <c r="BN244" i="24"/>
  <c r="BN318" i="24"/>
  <c r="BN252" i="24"/>
  <c r="BN317" i="24"/>
  <c r="BN251" i="24"/>
  <c r="BO309" i="24"/>
  <c r="BO243" i="24"/>
  <c r="BK318" i="24"/>
  <c r="BK252" i="24"/>
  <c r="BL196" i="24"/>
  <c r="BL333" i="24" s="1"/>
  <c r="BO244" i="24"/>
  <c r="BO310" i="24"/>
  <c r="BL252" i="24"/>
  <c r="BL318" i="24"/>
  <c r="BN309" i="24"/>
  <c r="BN243" i="24"/>
  <c r="BM318" i="24"/>
  <c r="BM252" i="24"/>
  <c r="BN260" i="24"/>
  <c r="BN334" i="24"/>
  <c r="BL262" i="24"/>
  <c r="BN194" i="24"/>
  <c r="BO312" i="24"/>
  <c r="BO246" i="24"/>
  <c r="BK237" i="24"/>
  <c r="BK234" i="24" s="1"/>
  <c r="H111" i="37"/>
  <c r="NG49" i="24"/>
  <c r="G49" i="24"/>
  <c r="G6" i="24" s="1"/>
  <c r="G7" i="24" s="1"/>
  <c r="LT49" i="24"/>
  <c r="KH49" i="24"/>
  <c r="NF49" i="24"/>
  <c r="H100" i="37"/>
  <c r="H6" i="24"/>
  <c r="H7" i="24" s="1"/>
  <c r="LU49" i="24"/>
  <c r="ID49" i="24"/>
  <c r="LB49" i="24"/>
  <c r="IW49" i="24"/>
  <c r="KI49" i="24"/>
  <c r="LA49" i="24"/>
  <c r="IV49" i="24"/>
  <c r="JO49" i="24"/>
  <c r="F52" i="24"/>
  <c r="MM65" i="24"/>
  <c r="O4" i="27"/>
  <c r="O7" i="10"/>
  <c r="I34" i="48" s="1"/>
  <c r="K34" i="48" s="1"/>
  <c r="NF65" i="24"/>
  <c r="LT65" i="24"/>
  <c r="IB262" i="24"/>
  <c r="IB260" i="24" s="1"/>
  <c r="JO65" i="24"/>
  <c r="IV65" i="24"/>
  <c r="HZ303" i="24"/>
  <c r="HZ300" i="24" s="1"/>
  <c r="IC318" i="24"/>
  <c r="ND66" i="24"/>
  <c r="ND65" i="24" s="1"/>
  <c r="KY66" i="24"/>
  <c r="KY65" i="24" s="1"/>
  <c r="LR66" i="24"/>
  <c r="LR65" i="24" s="1"/>
  <c r="MK66" i="24"/>
  <c r="MK65" i="24" s="1"/>
  <c r="KF66" i="24"/>
  <c r="KF65" i="24" s="1"/>
  <c r="JM66" i="24"/>
  <c r="JM65" i="24" s="1"/>
  <c r="IT66" i="24"/>
  <c r="IT65" i="24" s="1"/>
  <c r="IA66" i="24"/>
  <c r="IA251" i="24" s="1"/>
  <c r="IA250" i="24" s="1"/>
  <c r="MJ66" i="24"/>
  <c r="MJ65" i="24" s="1"/>
  <c r="MJ68" i="24" s="1"/>
  <c r="NC66" i="24"/>
  <c r="NC65" i="24" s="1"/>
  <c r="NC68" i="24" s="1"/>
  <c r="KE66" i="24"/>
  <c r="KE65" i="24" s="1"/>
  <c r="KE68" i="24" s="1"/>
  <c r="LQ66" i="24"/>
  <c r="LQ65" i="24" s="1"/>
  <c r="LQ68" i="24" s="1"/>
  <c r="JL66" i="24"/>
  <c r="JL65" i="24" s="1"/>
  <c r="JL68" i="24" s="1"/>
  <c r="KX66" i="24"/>
  <c r="KX65" i="24" s="1"/>
  <c r="KX68" i="24" s="1"/>
  <c r="HZ66" i="24"/>
  <c r="HZ251" i="24" s="1"/>
  <c r="HZ250" i="24" s="1"/>
  <c r="HZ253" i="24" s="1"/>
  <c r="IS66" i="24"/>
  <c r="IS65" i="24" s="1"/>
  <c r="IS68" i="24" s="1"/>
  <c r="LS59" i="24"/>
  <c r="NE59" i="24"/>
  <c r="JN59" i="24"/>
  <c r="ML59" i="24"/>
  <c r="KZ59" i="24"/>
  <c r="IU59" i="24"/>
  <c r="KG59" i="24"/>
  <c r="IB59" i="24"/>
  <c r="IB244" i="24" s="1"/>
  <c r="IC65" i="24"/>
  <c r="IC317" i="24"/>
  <c r="ID309" i="24"/>
  <c r="NE66" i="24"/>
  <c r="NE65" i="24" s="1"/>
  <c r="KZ66" i="24"/>
  <c r="KZ65" i="24" s="1"/>
  <c r="LS66" i="24"/>
  <c r="LS65" i="24" s="1"/>
  <c r="KG66" i="24"/>
  <c r="KG65" i="24" s="1"/>
  <c r="JN66" i="24"/>
  <c r="JN65" i="24" s="1"/>
  <c r="ML66" i="24"/>
  <c r="ML65" i="24" s="1"/>
  <c r="IB66" i="24"/>
  <c r="IB251" i="24" s="1"/>
  <c r="IB250" i="24" s="1"/>
  <c r="IU66" i="24"/>
  <c r="IU65" i="24" s="1"/>
  <c r="MM61" i="24"/>
  <c r="NF61" i="24"/>
  <c r="LT61" i="24"/>
  <c r="KH61" i="24"/>
  <c r="JO61" i="24"/>
  <c r="IV61" i="24"/>
  <c r="LA61" i="24"/>
  <c r="IC61" i="24"/>
  <c r="IC246" i="24" s="1"/>
  <c r="IC253" i="24" s="1"/>
  <c r="LA65" i="24"/>
  <c r="IA262" i="24"/>
  <c r="IA260" i="24" s="1"/>
  <c r="IC309" i="24"/>
  <c r="HZ318" i="24"/>
  <c r="ID261" i="24"/>
  <c r="ID260" i="24" s="1"/>
  <c r="ID9" i="24"/>
  <c r="ID310" i="24"/>
  <c r="IB308" i="24"/>
  <c r="LS61" i="24"/>
  <c r="NE61" i="24"/>
  <c r="JN61" i="24"/>
  <c r="KZ61" i="24"/>
  <c r="ML61" i="24"/>
  <c r="KG61" i="24"/>
  <c r="IU61" i="24"/>
  <c r="IB61" i="24"/>
  <c r="IB246" i="24" s="1"/>
  <c r="IC310" i="24"/>
  <c r="ND58" i="24"/>
  <c r="LR58" i="24"/>
  <c r="MK58" i="24"/>
  <c r="KF58" i="24"/>
  <c r="JM58" i="24"/>
  <c r="KY58" i="24"/>
  <c r="IA58" i="24"/>
  <c r="IA243" i="24" s="1"/>
  <c r="IT58" i="24"/>
  <c r="ID312" i="24"/>
  <c r="IA318" i="24"/>
  <c r="IB318" i="24"/>
  <c r="NE58" i="24"/>
  <c r="LS58" i="24"/>
  <c r="KG58" i="24"/>
  <c r="ML58" i="24"/>
  <c r="IB58" i="24"/>
  <c r="IB243" i="24" s="1"/>
  <c r="KZ58" i="24"/>
  <c r="JN58" i="24"/>
  <c r="IU58" i="24"/>
  <c r="KH65" i="24"/>
  <c r="M26" i="10"/>
  <c r="M28" i="10" s="1"/>
  <c r="M7" i="27"/>
  <c r="GQ61" i="24"/>
  <c r="CZ61" i="24"/>
  <c r="EL61" i="24"/>
  <c r="CG61" i="24"/>
  <c r="FX61" i="24"/>
  <c r="DS61" i="24"/>
  <c r="HJ61" i="24"/>
  <c r="FE61" i="24"/>
  <c r="EK61" i="24"/>
  <c r="CF61" i="24"/>
  <c r="FW61" i="24"/>
  <c r="DR61" i="24"/>
  <c r="HI61" i="24"/>
  <c r="FD61" i="24"/>
  <c r="GP61" i="24"/>
  <c r="CY61" i="24"/>
  <c r="AU194" i="24"/>
  <c r="E30" i="10"/>
  <c r="E5" i="27" s="1"/>
  <c r="AU334" i="24"/>
  <c r="AU335" i="24" s="1"/>
  <c r="AU337" i="24" s="1"/>
  <c r="E113" i="10"/>
  <c r="E59" i="24" s="1"/>
  <c r="AT196" i="24"/>
  <c r="AT333" i="24" s="1"/>
  <c r="AU244" i="24"/>
  <c r="AU310" i="24"/>
  <c r="AR242" i="24"/>
  <c r="AR308" i="24"/>
  <c r="AT252" i="24"/>
  <c r="AT318" i="24"/>
  <c r="AV244" i="24"/>
  <c r="AV310" i="24"/>
  <c r="AU243" i="24"/>
  <c r="AU309" i="24"/>
  <c r="AV243" i="24"/>
  <c r="AV309" i="24"/>
  <c r="AR243" i="24"/>
  <c r="AR309" i="24"/>
  <c r="AV246" i="24"/>
  <c r="AV312" i="24"/>
  <c r="AR238" i="24"/>
  <c r="AR304" i="24"/>
  <c r="AU251" i="24"/>
  <c r="AU317" i="24"/>
  <c r="AT242" i="24"/>
  <c r="AT308" i="24"/>
  <c r="AT262" i="24"/>
  <c r="AT260" i="24" s="1"/>
  <c r="AR252" i="24"/>
  <c r="AR318" i="24"/>
  <c r="AR244" i="24"/>
  <c r="AR310" i="24"/>
  <c r="AS252" i="24"/>
  <c r="AS318" i="24"/>
  <c r="AU252" i="24"/>
  <c r="AU318" i="24"/>
  <c r="AS121" i="24"/>
  <c r="AS263" i="24"/>
  <c r="AS197" i="24"/>
  <c r="AV261" i="24"/>
  <c r="AV260" i="24" s="1"/>
  <c r="AV195" i="24"/>
  <c r="AV194" i="24" s="1"/>
  <c r="GP9" i="24"/>
  <c r="EJ9" i="24"/>
  <c r="BM9" i="24"/>
  <c r="FW9" i="24"/>
  <c r="BL9" i="24"/>
  <c r="AV9" i="24"/>
  <c r="DR9" i="24"/>
  <c r="FV9" i="24"/>
  <c r="BO9" i="24"/>
  <c r="FC9" i="24"/>
  <c r="FY9" i="24"/>
  <c r="GO9" i="24"/>
  <c r="HI9" i="24"/>
  <c r="FD9" i="24"/>
  <c r="DA9" i="24"/>
  <c r="CH9" i="24"/>
  <c r="EK9" i="24"/>
  <c r="FF9" i="24"/>
  <c r="CY9" i="24"/>
  <c r="E57" i="24"/>
  <c r="DT9" i="24"/>
  <c r="CE9" i="24"/>
  <c r="CF9" i="24"/>
  <c r="HH9" i="24"/>
  <c r="HK9" i="24"/>
  <c r="CX9" i="24"/>
  <c r="GR9" i="24"/>
  <c r="EM9" i="24"/>
  <c r="AT9" i="24"/>
  <c r="H69" i="37"/>
  <c r="FE52" i="24"/>
  <c r="H55" i="37"/>
  <c r="H64" i="37"/>
  <c r="H70" i="37"/>
  <c r="FX52" i="24"/>
  <c r="FY52" i="24"/>
  <c r="FF52" i="24"/>
  <c r="HJ52" i="24"/>
  <c r="HK52" i="24"/>
  <c r="HJ65" i="24"/>
  <c r="GQ65" i="24"/>
  <c r="GP59" i="24"/>
  <c r="HI59" i="24"/>
  <c r="FD59" i="24"/>
  <c r="FW59" i="24"/>
  <c r="HH66" i="24"/>
  <c r="GO66" i="24"/>
  <c r="FC66" i="24"/>
  <c r="FV66" i="24"/>
  <c r="GN66" i="24"/>
  <c r="HG66" i="24"/>
  <c r="FU66" i="24"/>
  <c r="FB66" i="24"/>
  <c r="HH58" i="24"/>
  <c r="GO58" i="24"/>
  <c r="FV58" i="24"/>
  <c r="FC58" i="24"/>
  <c r="FE65" i="24"/>
  <c r="GP58" i="24"/>
  <c r="HI58" i="24"/>
  <c r="FD58" i="24"/>
  <c r="FW58" i="24"/>
  <c r="HI66" i="24"/>
  <c r="GP66" i="24"/>
  <c r="FW66" i="24"/>
  <c r="FD66" i="24"/>
  <c r="GR52" i="24"/>
  <c r="FX65" i="24"/>
  <c r="GQ52" i="24"/>
  <c r="EL52" i="24"/>
  <c r="CH52" i="24"/>
  <c r="DA52" i="24"/>
  <c r="CG52" i="24"/>
  <c r="AV52" i="24"/>
  <c r="CZ52" i="24"/>
  <c r="BN52" i="24"/>
  <c r="AU65" i="24"/>
  <c r="BO52" i="24"/>
  <c r="EM52" i="24"/>
  <c r="AU52" i="24"/>
  <c r="EJ66" i="24"/>
  <c r="DQ66" i="24"/>
  <c r="CX66" i="24"/>
  <c r="BL66" i="24"/>
  <c r="CE66" i="24"/>
  <c r="D65" i="24"/>
  <c r="EI66" i="24"/>
  <c r="DP66" i="24"/>
  <c r="CD66" i="24"/>
  <c r="CW66" i="24"/>
  <c r="BK66" i="24"/>
  <c r="DQ58" i="24"/>
  <c r="EJ58" i="24"/>
  <c r="CX58" i="24"/>
  <c r="CE58" i="24"/>
  <c r="BL58" i="24"/>
  <c r="CG65" i="24"/>
  <c r="DR58" i="24"/>
  <c r="CY58" i="24"/>
  <c r="EK58" i="24"/>
  <c r="CF58" i="24"/>
  <c r="BM58" i="24"/>
  <c r="AT58" i="24"/>
  <c r="DS65" i="24"/>
  <c r="CZ65" i="24"/>
  <c r="BN61" i="24"/>
  <c r="AU61" i="24"/>
  <c r="AU312" i="24" s="1"/>
  <c r="BN65" i="24"/>
  <c r="EK66" i="24"/>
  <c r="DR66" i="24"/>
  <c r="CY66" i="24"/>
  <c r="CF66" i="24"/>
  <c r="BM66" i="24"/>
  <c r="AT66" i="24"/>
  <c r="AT317" i="24" s="1"/>
  <c r="EK59" i="24"/>
  <c r="CY59" i="24"/>
  <c r="DR59" i="24"/>
  <c r="BM59" i="24"/>
  <c r="CF59" i="24"/>
  <c r="AT59" i="24"/>
  <c r="BM61" i="24"/>
  <c r="AT61" i="24"/>
  <c r="EL65" i="24"/>
  <c r="AR52" i="24"/>
  <c r="C55" i="37"/>
  <c r="C21" i="37"/>
  <c r="AS58" i="24"/>
  <c r="N6" i="10"/>
  <c r="N4" i="27" s="1"/>
  <c r="N80" i="10"/>
  <c r="K5" i="15" s="1"/>
  <c r="N53" i="10"/>
  <c r="N25" i="10" s="1"/>
  <c r="E42" i="27"/>
  <c r="E61" i="24"/>
  <c r="AS20" i="24"/>
  <c r="G3" i="16"/>
  <c r="F65" i="24"/>
  <c r="G4" i="16"/>
  <c r="BK52" i="24"/>
  <c r="F5" i="27"/>
  <c r="F31" i="10"/>
  <c r="G5" i="16"/>
  <c r="K6" i="10"/>
  <c r="K4" i="27" s="1"/>
  <c r="K53" i="10"/>
  <c r="O80" i="10"/>
  <c r="K27" i="15" s="1"/>
  <c r="O53" i="10"/>
  <c r="O25" i="10" s="1"/>
  <c r="L53" i="10"/>
  <c r="L25" i="10" s="1"/>
  <c r="L80" i="10"/>
  <c r="K6" i="14" s="1"/>
  <c r="J80" i="10"/>
  <c r="K7" i="12" s="1"/>
  <c r="I53" i="10"/>
  <c r="I25" i="10" s="1"/>
  <c r="I80" i="10"/>
  <c r="K27" i="13" s="1"/>
  <c r="M27" i="13" s="1"/>
  <c r="K80" i="10"/>
  <c r="K29" i="12" s="1"/>
  <c r="J53" i="10"/>
  <c r="J25" i="10" s="1"/>
  <c r="N6" i="13"/>
  <c r="M14" i="13"/>
  <c r="O9" i="13"/>
  <c r="M11" i="13"/>
  <c r="M6" i="13"/>
  <c r="O27" i="13"/>
  <c r="O30" i="13"/>
  <c r="O8" i="13"/>
  <c r="N8" i="13"/>
  <c r="N25" i="13"/>
  <c r="O16" i="13"/>
  <c r="O11" i="13"/>
  <c r="O7" i="13"/>
  <c r="O14" i="13"/>
  <c r="M4" i="13"/>
  <c r="P4" i="13" s="1"/>
  <c r="N7" i="13"/>
  <c r="M7" i="13"/>
  <c r="O10" i="13"/>
  <c r="O12" i="13"/>
  <c r="M10" i="13"/>
  <c r="O13" i="13"/>
  <c r="N13" i="13"/>
  <c r="O37" i="13"/>
  <c r="O33" i="13"/>
  <c r="N10" i="13"/>
  <c r="N5" i="13"/>
  <c r="N4" i="13"/>
  <c r="O17" i="13"/>
  <c r="Q17" i="13" s="1"/>
  <c r="N15" i="13"/>
  <c r="M12" i="13"/>
  <c r="O15" i="13"/>
  <c r="O31" i="13"/>
  <c r="O32" i="13"/>
  <c r="O38" i="13"/>
  <c r="N12" i="13"/>
  <c r="O36" i="13"/>
  <c r="O5" i="13"/>
  <c r="O34" i="13"/>
  <c r="O28" i="13"/>
  <c r="M13" i="13"/>
  <c r="O29" i="13"/>
  <c r="N9" i="13"/>
  <c r="N14" i="13"/>
  <c r="M8" i="13"/>
  <c r="O35" i="13"/>
  <c r="O26" i="13"/>
  <c r="N11" i="13"/>
  <c r="M15" i="13"/>
  <c r="M9" i="13"/>
  <c r="K29" i="14"/>
  <c r="K26" i="14"/>
  <c r="K27" i="14"/>
  <c r="K28" i="14"/>
  <c r="K32" i="14"/>
  <c r="K36" i="14"/>
  <c r="K30" i="14"/>
  <c r="K35" i="14"/>
  <c r="K31" i="14"/>
  <c r="K33" i="14"/>
  <c r="J7" i="10"/>
  <c r="M52" i="10"/>
  <c r="M49" i="10" s="1"/>
  <c r="M7" i="10"/>
  <c r="L7" i="10"/>
  <c r="I7" i="10"/>
  <c r="KG52" i="24" l="1"/>
  <c r="NE52" i="24"/>
  <c r="KZ52" i="24"/>
  <c r="ML52" i="24"/>
  <c r="JN52" i="24"/>
  <c r="LA68" i="24"/>
  <c r="LS52" i="24"/>
  <c r="LS49" i="24" s="1"/>
  <c r="LS68" i="24" s="1"/>
  <c r="FY303" i="24"/>
  <c r="FY300" i="24" s="1"/>
  <c r="IU52" i="24"/>
  <c r="IC68" i="24"/>
  <c r="NF68" i="24"/>
  <c r="KH68" i="24"/>
  <c r="IB52" i="24"/>
  <c r="IB237" i="24"/>
  <c r="IB234" i="24" s="1"/>
  <c r="IB253" i="24" s="1"/>
  <c r="IU49" i="24"/>
  <c r="IU68" i="24" s="1"/>
  <c r="MM68" i="24"/>
  <c r="LT68" i="24"/>
  <c r="JO68" i="24"/>
  <c r="IV68" i="24"/>
  <c r="HJ250" i="24"/>
  <c r="HK237" i="24"/>
  <c r="HK234" i="24" s="1"/>
  <c r="GR237" i="24"/>
  <c r="GR234" i="24" s="1"/>
  <c r="HJ303" i="24"/>
  <c r="HJ300" i="24" s="1"/>
  <c r="FF303" i="24"/>
  <c r="FF300" i="24" s="1"/>
  <c r="HJ237" i="24"/>
  <c r="HJ234" i="24" s="1"/>
  <c r="HJ316" i="24"/>
  <c r="HK303" i="24"/>
  <c r="HK300" i="24" s="1"/>
  <c r="GQ303" i="24"/>
  <c r="GQ300" i="24" s="1"/>
  <c r="HH309" i="24"/>
  <c r="HH243" i="24"/>
  <c r="HH251" i="24"/>
  <c r="HH250" i="24" s="1"/>
  <c r="HH317" i="24"/>
  <c r="HH316" i="24" s="1"/>
  <c r="HJ312" i="24"/>
  <c r="HJ246" i="24"/>
  <c r="HI309" i="24"/>
  <c r="HI243" i="24"/>
  <c r="HI317" i="24"/>
  <c r="HI316" i="24" s="1"/>
  <c r="HI251" i="24"/>
  <c r="HI250" i="24" s="1"/>
  <c r="HG251" i="24"/>
  <c r="HG250" i="24" s="1"/>
  <c r="HG253" i="24" s="1"/>
  <c r="HG326" i="24" s="1"/>
  <c r="HG317" i="24"/>
  <c r="HG316" i="24" s="1"/>
  <c r="HG319" i="24" s="1"/>
  <c r="HG327" i="24" s="1"/>
  <c r="HI310" i="24"/>
  <c r="HI244" i="24"/>
  <c r="HI312" i="24"/>
  <c r="HI246" i="24"/>
  <c r="FY237" i="24"/>
  <c r="FY234" i="24" s="1"/>
  <c r="GQ237" i="24"/>
  <c r="GQ234" i="24" s="1"/>
  <c r="GQ250" i="24"/>
  <c r="GR303" i="24"/>
  <c r="GR300" i="24" s="1"/>
  <c r="GO317" i="24"/>
  <c r="GO316" i="24" s="1"/>
  <c r="GO251" i="24"/>
  <c r="GO250" i="24" s="1"/>
  <c r="GP309" i="24"/>
  <c r="GP243" i="24"/>
  <c r="GN317" i="24"/>
  <c r="GN316" i="24" s="1"/>
  <c r="GN319" i="24" s="1"/>
  <c r="GN327" i="24" s="1"/>
  <c r="GN251" i="24"/>
  <c r="GN250" i="24" s="1"/>
  <c r="GN253" i="24" s="1"/>
  <c r="GN326" i="24" s="1"/>
  <c r="GP310" i="24"/>
  <c r="GP244" i="24"/>
  <c r="GQ246" i="24"/>
  <c r="GQ312" i="24"/>
  <c r="GP312" i="24"/>
  <c r="GP246" i="24"/>
  <c r="GQ316" i="24"/>
  <c r="GP317" i="24"/>
  <c r="GP316" i="24" s="1"/>
  <c r="GP251" i="24"/>
  <c r="GP250" i="24" s="1"/>
  <c r="GO243" i="24"/>
  <c r="GO309" i="24"/>
  <c r="FX237" i="24"/>
  <c r="FX234" i="24" s="1"/>
  <c r="FE237" i="24"/>
  <c r="FE234" i="24" s="1"/>
  <c r="FF237" i="24"/>
  <c r="FF234" i="24" s="1"/>
  <c r="FX316" i="24"/>
  <c r="FV309" i="24"/>
  <c r="FV243" i="24"/>
  <c r="FW310" i="24"/>
  <c r="FW244" i="24"/>
  <c r="FX312" i="24"/>
  <c r="FX246" i="24"/>
  <c r="FW251" i="24"/>
  <c r="FW250" i="24" s="1"/>
  <c r="FW317" i="24"/>
  <c r="FW316" i="24" s="1"/>
  <c r="FV251" i="24"/>
  <c r="FV250" i="24" s="1"/>
  <c r="FV317" i="24"/>
  <c r="FV316" i="24" s="1"/>
  <c r="FW312" i="24"/>
  <c r="FW246" i="24"/>
  <c r="FE303" i="24"/>
  <c r="FE300" i="24" s="1"/>
  <c r="FX303" i="24"/>
  <c r="FX300" i="24" s="1"/>
  <c r="FU317" i="24"/>
  <c r="FU316" i="24" s="1"/>
  <c r="FU319" i="24" s="1"/>
  <c r="FU327" i="24" s="1"/>
  <c r="FU251" i="24"/>
  <c r="FU250" i="24" s="1"/>
  <c r="FU253" i="24" s="1"/>
  <c r="FU326" i="24" s="1"/>
  <c r="FW309" i="24"/>
  <c r="FW243" i="24"/>
  <c r="FX250" i="24"/>
  <c r="EM237" i="24"/>
  <c r="EM234" i="24" s="1"/>
  <c r="FD309" i="24"/>
  <c r="FD243" i="24"/>
  <c r="FB317" i="24"/>
  <c r="FB316" i="24" s="1"/>
  <c r="FB319" i="24" s="1"/>
  <c r="FB327" i="24" s="1"/>
  <c r="FB251" i="24"/>
  <c r="FB250" i="24" s="1"/>
  <c r="FB253" i="24" s="1"/>
  <c r="FB326" i="24" s="1"/>
  <c r="EM303" i="24"/>
  <c r="EM300" i="24" s="1"/>
  <c r="FD310" i="24"/>
  <c r="FD244" i="24"/>
  <c r="FD317" i="24"/>
  <c r="FD316" i="24" s="1"/>
  <c r="FD251" i="24"/>
  <c r="FD250" i="24" s="1"/>
  <c r="FE312" i="24"/>
  <c r="FE246" i="24"/>
  <c r="FC309" i="24"/>
  <c r="FC243" i="24"/>
  <c r="FE250" i="24"/>
  <c r="FC317" i="24"/>
  <c r="FC316" i="24" s="1"/>
  <c r="FC251" i="24"/>
  <c r="FC250" i="24" s="1"/>
  <c r="FD312" i="24"/>
  <c r="FD246" i="24"/>
  <c r="FE316" i="24"/>
  <c r="EL316" i="24"/>
  <c r="EK243" i="24"/>
  <c r="EK309" i="24"/>
  <c r="EK310" i="24"/>
  <c r="EK244" i="24"/>
  <c r="EK251" i="24"/>
  <c r="EK250" i="24" s="1"/>
  <c r="EK317" i="24"/>
  <c r="EK316" i="24" s="1"/>
  <c r="DT237" i="24"/>
  <c r="DT234" i="24" s="1"/>
  <c r="EL250" i="24"/>
  <c r="EJ251" i="24"/>
  <c r="EJ250" i="24" s="1"/>
  <c r="EJ317" i="24"/>
  <c r="EJ316" i="24" s="1"/>
  <c r="EL312" i="24"/>
  <c r="EL246" i="24"/>
  <c r="EI317" i="24"/>
  <c r="EI316" i="24" s="1"/>
  <c r="EI319" i="24" s="1"/>
  <c r="EI327" i="24" s="1"/>
  <c r="EI251" i="24"/>
  <c r="EI250" i="24" s="1"/>
  <c r="EI253" i="24" s="1"/>
  <c r="EI326" i="24" s="1"/>
  <c r="EK312" i="24"/>
  <c r="EK246" i="24"/>
  <c r="EL237" i="24"/>
  <c r="EL234" i="24" s="1"/>
  <c r="EL303" i="24"/>
  <c r="EL300" i="24" s="1"/>
  <c r="EJ243" i="24"/>
  <c r="EJ309" i="24"/>
  <c r="BM260" i="24"/>
  <c r="CH303" i="24"/>
  <c r="CH300" i="24" s="1"/>
  <c r="DA237" i="24"/>
  <c r="DA234" i="24" s="1"/>
  <c r="DS250" i="24"/>
  <c r="BM194" i="24"/>
  <c r="DR52" i="24"/>
  <c r="CG303" i="24"/>
  <c r="CG300" i="24" s="1"/>
  <c r="BM336" i="24"/>
  <c r="BM338" i="24" s="1"/>
  <c r="DS237" i="24"/>
  <c r="DS234" i="24" s="1"/>
  <c r="DP317" i="24"/>
  <c r="DP316" i="24" s="1"/>
  <c r="DP319" i="24" s="1"/>
  <c r="DP327" i="24" s="1"/>
  <c r="DP251" i="24"/>
  <c r="DP250" i="24" s="1"/>
  <c r="DP253" i="24" s="1"/>
  <c r="DP326" i="24" s="1"/>
  <c r="DS246" i="24"/>
  <c r="DS312" i="24"/>
  <c r="DR251" i="24"/>
  <c r="DR250" i="24" s="1"/>
  <c r="DR317" i="24"/>
  <c r="DR316" i="24" s="1"/>
  <c r="DR246" i="24"/>
  <c r="DR312" i="24"/>
  <c r="DR310" i="24"/>
  <c r="DR244" i="24"/>
  <c r="DQ309" i="24"/>
  <c r="DQ243" i="24"/>
  <c r="DT303" i="24"/>
  <c r="DT300" i="24" s="1"/>
  <c r="CZ303" i="24"/>
  <c r="CZ300" i="24" s="1"/>
  <c r="DS316" i="24"/>
  <c r="DR243" i="24"/>
  <c r="DR309" i="24"/>
  <c r="DQ251" i="24"/>
  <c r="DQ250" i="24" s="1"/>
  <c r="DQ317" i="24"/>
  <c r="DQ316" i="24" s="1"/>
  <c r="CH237" i="24"/>
  <c r="CH234" i="24" s="1"/>
  <c r="DS303" i="24"/>
  <c r="DS300" i="24" s="1"/>
  <c r="DA303" i="24"/>
  <c r="DA300" i="24" s="1"/>
  <c r="CZ237" i="24"/>
  <c r="CZ234" i="24" s="1"/>
  <c r="CG237" i="24"/>
  <c r="CG234" i="24" s="1"/>
  <c r="CY251" i="24"/>
  <c r="CY250" i="24" s="1"/>
  <c r="CY317" i="24"/>
  <c r="CY316" i="24" s="1"/>
  <c r="BM335" i="24"/>
  <c r="BM337" i="24" s="1"/>
  <c r="CX309" i="24"/>
  <c r="CX243" i="24"/>
  <c r="CZ246" i="24"/>
  <c r="CZ312" i="24"/>
  <c r="CZ316" i="24"/>
  <c r="CY310" i="24"/>
  <c r="CY244" i="24"/>
  <c r="CY246" i="24"/>
  <c r="CY312" i="24"/>
  <c r="CZ250" i="24"/>
  <c r="CY243" i="24"/>
  <c r="CY309" i="24"/>
  <c r="CX317" i="24"/>
  <c r="CX316" i="24" s="1"/>
  <c r="CX251" i="24"/>
  <c r="CX250" i="24" s="1"/>
  <c r="CW317" i="24"/>
  <c r="CW316" i="24" s="1"/>
  <c r="CW319" i="24" s="1"/>
  <c r="CW327" i="24" s="1"/>
  <c r="CW251" i="24"/>
  <c r="CW250" i="24" s="1"/>
  <c r="CW253" i="24" s="1"/>
  <c r="CW326" i="24" s="1"/>
  <c r="CG250" i="24"/>
  <c r="BO237" i="24"/>
  <c r="BO234" i="24" s="1"/>
  <c r="BO303" i="24"/>
  <c r="BO300" i="24" s="1"/>
  <c r="BN250" i="24"/>
  <c r="CF309" i="24"/>
  <c r="CF243" i="24"/>
  <c r="CE317" i="24"/>
  <c r="CE316" i="24" s="1"/>
  <c r="CE251" i="24"/>
  <c r="CE250" i="24" s="1"/>
  <c r="CF246" i="24"/>
  <c r="CF312" i="24"/>
  <c r="BN316" i="24"/>
  <c r="CG312" i="24"/>
  <c r="CG246" i="24"/>
  <c r="CD317" i="24"/>
  <c r="CD316" i="24" s="1"/>
  <c r="CD319" i="24" s="1"/>
  <c r="CD327" i="24" s="1"/>
  <c r="CD251" i="24"/>
  <c r="CD250" i="24" s="1"/>
  <c r="CD253" i="24" s="1"/>
  <c r="CD326" i="24" s="1"/>
  <c r="CF317" i="24"/>
  <c r="CF316" i="24" s="1"/>
  <c r="CF251" i="24"/>
  <c r="CF250" i="24" s="1"/>
  <c r="CF310" i="24"/>
  <c r="CF244" i="24"/>
  <c r="CE309" i="24"/>
  <c r="CE243" i="24"/>
  <c r="CG316" i="24"/>
  <c r="BN237" i="24"/>
  <c r="BN234" i="24" s="1"/>
  <c r="BL251" i="24"/>
  <c r="BL250" i="24" s="1"/>
  <c r="BL317" i="24"/>
  <c r="BL316" i="24" s="1"/>
  <c r="BL194" i="24"/>
  <c r="BN312" i="24"/>
  <c r="BN246" i="24"/>
  <c r="BN303" i="24"/>
  <c r="BN300" i="24" s="1"/>
  <c r="BM243" i="24"/>
  <c r="BM309" i="24"/>
  <c r="BM312" i="24"/>
  <c r="BM246" i="24"/>
  <c r="BM317" i="24"/>
  <c r="BM316" i="24" s="1"/>
  <c r="BM251" i="24"/>
  <c r="BM250" i="24" s="1"/>
  <c r="BK317" i="24"/>
  <c r="BK316" i="24" s="1"/>
  <c r="BK251" i="24"/>
  <c r="BK250" i="24" s="1"/>
  <c r="BK253" i="24" s="1"/>
  <c r="BK326" i="24" s="1"/>
  <c r="BL309" i="24"/>
  <c r="BL243" i="24"/>
  <c r="BL260" i="24"/>
  <c r="BL334" i="24"/>
  <c r="BM310" i="24"/>
  <c r="BM244" i="24"/>
  <c r="BN336" i="24"/>
  <c r="BN338" i="24" s="1"/>
  <c r="BN335" i="24"/>
  <c r="BN337" i="24" s="1"/>
  <c r="KG49" i="24"/>
  <c r="KG68" i="24" s="1"/>
  <c r="C52" i="37"/>
  <c r="F49" i="24"/>
  <c r="JN49" i="24"/>
  <c r="JN68" i="24" s="1"/>
  <c r="H63" i="37"/>
  <c r="ML49" i="24"/>
  <c r="ML68" i="24" s="1"/>
  <c r="KZ49" i="24"/>
  <c r="KZ68" i="24" s="1"/>
  <c r="E52" i="24"/>
  <c r="C15" i="37" s="1"/>
  <c r="IB49" i="24"/>
  <c r="NE49" i="24"/>
  <c r="NE68" i="24" s="1"/>
  <c r="M34" i="48"/>
  <c r="N34" i="48"/>
  <c r="Q34" i="48" s="1"/>
  <c r="Q40" i="48" s="1"/>
  <c r="F16" i="16" s="1"/>
  <c r="Q67" i="24" s="1"/>
  <c r="ID303" i="24"/>
  <c r="ID300" i="24" s="1"/>
  <c r="IC303" i="24"/>
  <c r="IC300" i="24" s="1"/>
  <c r="LR61" i="24"/>
  <c r="MK61" i="24"/>
  <c r="ND61" i="24"/>
  <c r="KY61" i="24"/>
  <c r="KF61" i="24"/>
  <c r="IT61" i="24"/>
  <c r="IA61" i="24"/>
  <c r="IA246" i="24" s="1"/>
  <c r="JM61" i="24"/>
  <c r="IC312" i="24"/>
  <c r="IA309" i="24"/>
  <c r="IB65" i="24"/>
  <c r="IB317" i="24"/>
  <c r="IB316" i="24" s="1"/>
  <c r="IA317" i="24"/>
  <c r="IA316" i="24" s="1"/>
  <c r="IA65" i="24"/>
  <c r="FC59" i="24"/>
  <c r="LR59" i="24"/>
  <c r="MK59" i="24"/>
  <c r="ND59" i="24"/>
  <c r="KY59" i="24"/>
  <c r="KF59" i="24"/>
  <c r="IT59" i="24"/>
  <c r="JM59" i="24"/>
  <c r="IA59" i="24"/>
  <c r="IA244" i="24" s="1"/>
  <c r="IB309" i="24"/>
  <c r="IB312" i="24"/>
  <c r="IB310" i="24"/>
  <c r="HZ326" i="24"/>
  <c r="HZ65" i="24"/>
  <c r="HZ68" i="24" s="1"/>
  <c r="HZ317" i="24"/>
  <c r="HZ316" i="24" s="1"/>
  <c r="HZ319" i="24" s="1"/>
  <c r="HZ327" i="24" s="1"/>
  <c r="FC57" i="24"/>
  <c r="LR57" i="24"/>
  <c r="MK57" i="24"/>
  <c r="ND57" i="24"/>
  <c r="KY57" i="24"/>
  <c r="KF57" i="24"/>
  <c r="IT57" i="24"/>
  <c r="JM57" i="24"/>
  <c r="IA57" i="24"/>
  <c r="IC316" i="24"/>
  <c r="E31" i="10"/>
  <c r="E6" i="27" s="1"/>
  <c r="M64" i="24"/>
  <c r="ER64" i="24" s="1"/>
  <c r="M46" i="27"/>
  <c r="O26" i="10"/>
  <c r="O28" i="10" s="1"/>
  <c r="O7" i="27"/>
  <c r="I26" i="10"/>
  <c r="I27" i="10" s="1"/>
  <c r="I7" i="27"/>
  <c r="M27" i="10"/>
  <c r="L26" i="10"/>
  <c r="L27" i="10" s="1"/>
  <c r="L7" i="27"/>
  <c r="N26" i="10"/>
  <c r="N27" i="10" s="1"/>
  <c r="N7" i="27"/>
  <c r="J26" i="10"/>
  <c r="J28" i="10" s="1"/>
  <c r="J7" i="27"/>
  <c r="CE61" i="24"/>
  <c r="FV61" i="24"/>
  <c r="DQ61" i="24"/>
  <c r="GO61" i="24"/>
  <c r="HH61" i="24"/>
  <c r="CX61" i="24"/>
  <c r="FC61" i="24"/>
  <c r="EJ61" i="24"/>
  <c r="K52" i="10"/>
  <c r="K49" i="10" s="1"/>
  <c r="K25" i="10"/>
  <c r="Q12" i="13"/>
  <c r="AT316" i="24"/>
  <c r="AU336" i="24"/>
  <c r="AU338" i="24" s="1"/>
  <c r="BL59" i="24"/>
  <c r="C22" i="37"/>
  <c r="HH59" i="24"/>
  <c r="AU303" i="24"/>
  <c r="AU300" i="24" s="1"/>
  <c r="AT194" i="24"/>
  <c r="AT334" i="24"/>
  <c r="AT335" i="24" s="1"/>
  <c r="AT337" i="24" s="1"/>
  <c r="AU237" i="24"/>
  <c r="AU234" i="24" s="1"/>
  <c r="AS59" i="24"/>
  <c r="AS244" i="24" s="1"/>
  <c r="GO59" i="24"/>
  <c r="C16" i="37"/>
  <c r="CE59" i="24"/>
  <c r="CX59" i="24"/>
  <c r="AV303" i="24"/>
  <c r="AV300" i="24" s="1"/>
  <c r="EJ59" i="24"/>
  <c r="DQ59" i="24"/>
  <c r="FV59" i="24"/>
  <c r="AU316" i="24"/>
  <c r="GO57" i="24"/>
  <c r="DQ57" i="24"/>
  <c r="AR237" i="24"/>
  <c r="AR234" i="24" s="1"/>
  <c r="CF65" i="24"/>
  <c r="CE65" i="24"/>
  <c r="FV57" i="24"/>
  <c r="AU250" i="24"/>
  <c r="EI65" i="24"/>
  <c r="EI68" i="24" s="1"/>
  <c r="CX65" i="24"/>
  <c r="GP65" i="24"/>
  <c r="BL57" i="24"/>
  <c r="AS57" i="24"/>
  <c r="AS243" i="24"/>
  <c r="AS309" i="24"/>
  <c r="AT243" i="24"/>
  <c r="AT309" i="24"/>
  <c r="CE57" i="24"/>
  <c r="EJ65" i="24"/>
  <c r="FC65" i="24"/>
  <c r="AT244" i="24"/>
  <c r="AT310" i="24"/>
  <c r="CD65" i="24"/>
  <c r="CD68" i="24" s="1"/>
  <c r="HG65" i="24"/>
  <c r="HG68" i="24" s="1"/>
  <c r="N7" i="10"/>
  <c r="CY65" i="24"/>
  <c r="DP65" i="24"/>
  <c r="DP68" i="24" s="1"/>
  <c r="FD65" i="24"/>
  <c r="GN65" i="24"/>
  <c r="GN68" i="24" s="1"/>
  <c r="AT246" i="24"/>
  <c r="AT312" i="24"/>
  <c r="DR65" i="24"/>
  <c r="BL65" i="24"/>
  <c r="HH57" i="24"/>
  <c r="HI65" i="24"/>
  <c r="FV65" i="24"/>
  <c r="C20" i="37"/>
  <c r="CX57" i="24"/>
  <c r="FB65" i="24"/>
  <c r="FB68" i="24" s="1"/>
  <c r="GO65" i="24"/>
  <c r="FW65" i="24"/>
  <c r="AR303" i="24"/>
  <c r="AR300" i="24" s="1"/>
  <c r="EK65" i="24"/>
  <c r="DQ65" i="24"/>
  <c r="BM65" i="24"/>
  <c r="CW65" i="24"/>
  <c r="CW68" i="24" s="1"/>
  <c r="EJ57" i="24"/>
  <c r="FU65" i="24"/>
  <c r="FU68" i="24" s="1"/>
  <c r="HH65" i="24"/>
  <c r="AV237" i="24"/>
  <c r="AV234" i="24" s="1"/>
  <c r="AT65" i="24"/>
  <c r="AT251" i="24"/>
  <c r="AT250" i="24" s="1"/>
  <c r="AS107" i="24"/>
  <c r="AS271" i="24"/>
  <c r="AS205" i="24"/>
  <c r="AU246" i="24"/>
  <c r="CG49" i="24"/>
  <c r="CG68" i="24" s="1"/>
  <c r="FY49" i="24"/>
  <c r="AV49" i="24"/>
  <c r="AU49" i="24"/>
  <c r="DA49" i="24"/>
  <c r="FX49" i="24"/>
  <c r="FX68" i="24" s="1"/>
  <c r="FE49" i="24"/>
  <c r="FE68" i="24" s="1"/>
  <c r="FF49" i="24"/>
  <c r="CH49" i="24"/>
  <c r="AR49" i="24"/>
  <c r="BO49" i="24"/>
  <c r="EL49" i="24"/>
  <c r="EL68" i="24" s="1"/>
  <c r="GR49" i="24"/>
  <c r="DS49" i="24"/>
  <c r="DS68" i="24" s="1"/>
  <c r="BN49" i="24"/>
  <c r="BN68" i="24" s="1"/>
  <c r="GQ49" i="24"/>
  <c r="GQ68" i="24" s="1"/>
  <c r="DT49" i="24"/>
  <c r="HK49" i="24"/>
  <c r="EM49" i="24"/>
  <c r="BK49" i="24"/>
  <c r="CZ49" i="24"/>
  <c r="CZ68" i="24" s="1"/>
  <c r="HJ49" i="24"/>
  <c r="HJ68" i="24" s="1"/>
  <c r="GP52" i="24"/>
  <c r="HI52" i="24"/>
  <c r="FD52" i="24"/>
  <c r="FW52" i="24"/>
  <c r="CY52" i="24"/>
  <c r="EK52" i="24"/>
  <c r="AT52" i="24"/>
  <c r="BM52" i="24"/>
  <c r="CF52" i="24"/>
  <c r="BL61" i="24"/>
  <c r="C7" i="37"/>
  <c r="AS61" i="24"/>
  <c r="AS312" i="24" s="1"/>
  <c r="M111" i="10"/>
  <c r="M109" i="10"/>
  <c r="M108" i="10"/>
  <c r="O111" i="10"/>
  <c r="O108" i="10"/>
  <c r="O109" i="10"/>
  <c r="L111" i="10"/>
  <c r="L109" i="10"/>
  <c r="L108" i="10"/>
  <c r="J98" i="10"/>
  <c r="J109" i="10"/>
  <c r="J111" i="10"/>
  <c r="J108" i="10"/>
  <c r="I109" i="10"/>
  <c r="I111" i="10"/>
  <c r="I108" i="10"/>
  <c r="O99" i="10"/>
  <c r="O98" i="10"/>
  <c r="J99" i="10"/>
  <c r="J12" i="24" s="1"/>
  <c r="I99" i="10"/>
  <c r="I98" i="10"/>
  <c r="L99" i="10"/>
  <c r="L12" i="24" s="1"/>
  <c r="AZ12" i="24" s="1"/>
  <c r="L98" i="10"/>
  <c r="M98" i="10"/>
  <c r="M99" i="10"/>
  <c r="M102" i="10"/>
  <c r="M103" i="10"/>
  <c r="K7" i="10"/>
  <c r="K14" i="15"/>
  <c r="AR66" i="24"/>
  <c r="AR317" i="24" s="1"/>
  <c r="AR316" i="24" s="1"/>
  <c r="BK65" i="24"/>
  <c r="O52" i="10"/>
  <c r="O49" i="10" s="1"/>
  <c r="AS66" i="24"/>
  <c r="AS317" i="24" s="1"/>
  <c r="AS316" i="24" s="1"/>
  <c r="E65" i="24"/>
  <c r="K7" i="15"/>
  <c r="F6" i="27"/>
  <c r="K29" i="15"/>
  <c r="K28" i="15"/>
  <c r="I34" i="14"/>
  <c r="K34" i="14" s="1"/>
  <c r="K31" i="15"/>
  <c r="I34" i="13"/>
  <c r="K34" i="13" s="1"/>
  <c r="N34" i="13" s="1"/>
  <c r="Q34" i="13" s="1"/>
  <c r="K35" i="15"/>
  <c r="I13" i="14"/>
  <c r="K13" i="14" s="1"/>
  <c r="K33" i="15"/>
  <c r="K36" i="15"/>
  <c r="K26" i="15"/>
  <c r="K30" i="15"/>
  <c r="K32" i="15"/>
  <c r="I34" i="15"/>
  <c r="K34" i="15" s="1"/>
  <c r="K15" i="15"/>
  <c r="K12" i="15"/>
  <c r="K10" i="15"/>
  <c r="K9" i="15"/>
  <c r="K11" i="15"/>
  <c r="I52" i="10"/>
  <c r="I49" i="10" s="1"/>
  <c r="I102" i="10" s="1"/>
  <c r="I53" i="24" s="1"/>
  <c r="K8" i="15"/>
  <c r="N52" i="10"/>
  <c r="N49" i="10" s="1"/>
  <c r="K6" i="15"/>
  <c r="K10" i="12"/>
  <c r="K14" i="14"/>
  <c r="K12" i="12"/>
  <c r="K14" i="12"/>
  <c r="K9" i="12"/>
  <c r="O33" i="12" s="1"/>
  <c r="K15" i="12"/>
  <c r="K12" i="14"/>
  <c r="K8" i="12"/>
  <c r="K5" i="12"/>
  <c r="K5" i="14"/>
  <c r="K11" i="12"/>
  <c r="K33" i="13"/>
  <c r="N33" i="13" s="1"/>
  <c r="Q33" i="13" s="1"/>
  <c r="K15" i="14"/>
  <c r="K26" i="13"/>
  <c r="M26" i="13" s="1"/>
  <c r="P26" i="13" s="1"/>
  <c r="K11" i="14"/>
  <c r="K10" i="14"/>
  <c r="K9" i="14"/>
  <c r="O29" i="14" s="1"/>
  <c r="K6" i="12"/>
  <c r="K7" i="14"/>
  <c r="L52" i="10"/>
  <c r="L49" i="10" s="1"/>
  <c r="K8" i="14"/>
  <c r="I13" i="12"/>
  <c r="K13" i="12" s="1"/>
  <c r="J52" i="10"/>
  <c r="J49" i="10" s="1"/>
  <c r="K30" i="13"/>
  <c r="M30" i="13" s="1"/>
  <c r="P30" i="13" s="1"/>
  <c r="K29" i="13"/>
  <c r="N29" i="13" s="1"/>
  <c r="Q29" i="13" s="1"/>
  <c r="K30" i="12"/>
  <c r="K26" i="12"/>
  <c r="K31" i="13"/>
  <c r="N31" i="13" s="1"/>
  <c r="Q31" i="13" s="1"/>
  <c r="K33" i="12"/>
  <c r="K36" i="13"/>
  <c r="M36" i="13" s="1"/>
  <c r="P36" i="13" s="1"/>
  <c r="K35" i="12"/>
  <c r="K35" i="13"/>
  <c r="N35" i="13" s="1"/>
  <c r="Q35" i="13" s="1"/>
  <c r="K32" i="12"/>
  <c r="K28" i="13"/>
  <c r="N28" i="13" s="1"/>
  <c r="Q28" i="13" s="1"/>
  <c r="K27" i="12"/>
  <c r="K36" i="12"/>
  <c r="K28" i="12"/>
  <c r="K32" i="13"/>
  <c r="N32" i="13" s="1"/>
  <c r="Q32" i="13" s="1"/>
  <c r="K31" i="12"/>
  <c r="M55" i="10"/>
  <c r="M56" i="10" s="1"/>
  <c r="P8" i="13"/>
  <c r="Q25" i="13"/>
  <c r="Q11" i="13"/>
  <c r="Q8" i="13"/>
  <c r="P27" i="13"/>
  <c r="P12" i="13"/>
  <c r="P10" i="13"/>
  <c r="Q10" i="13"/>
  <c r="P11" i="13"/>
  <c r="P5" i="13"/>
  <c r="N27" i="13"/>
  <c r="Q27" i="13" s="1"/>
  <c r="P7" i="13"/>
  <c r="P16" i="13"/>
  <c r="Q16" i="13"/>
  <c r="P17" i="13"/>
  <c r="Q9" i="13"/>
  <c r="Q7" i="13"/>
  <c r="Q37" i="13"/>
  <c r="P37" i="13"/>
  <c r="N19" i="13"/>
  <c r="Q15" i="13"/>
  <c r="Q13" i="13"/>
  <c r="P9" i="13"/>
  <c r="Q38" i="13"/>
  <c r="P38" i="13"/>
  <c r="Q4" i="13"/>
  <c r="P14" i="13"/>
  <c r="P13" i="13"/>
  <c r="P15" i="13"/>
  <c r="Q14" i="13"/>
  <c r="Q5" i="13"/>
  <c r="P6" i="13"/>
  <c r="Q6" i="13"/>
  <c r="BK319" i="24" l="1"/>
  <c r="BK327" i="24" s="1"/>
  <c r="JM52" i="24"/>
  <c r="JM49" i="24" s="1"/>
  <c r="JM68" i="24" s="1"/>
  <c r="IA242" i="24"/>
  <c r="IA237" i="24" s="1"/>
  <c r="IA234" i="24" s="1"/>
  <c r="IA253" i="24" s="1"/>
  <c r="IA52" i="24"/>
  <c r="NP67" i="24"/>
  <c r="MD67" i="24"/>
  <c r="LK67" i="24"/>
  <c r="KR67" i="24"/>
  <c r="MW67" i="24"/>
  <c r="IM67" i="24"/>
  <c r="IM252" i="24" s="1"/>
  <c r="JY67" i="24"/>
  <c r="JF67" i="24"/>
  <c r="IT52" i="24"/>
  <c r="KF52" i="24"/>
  <c r="IB68" i="24"/>
  <c r="KY52" i="24"/>
  <c r="KY49" i="24" s="1"/>
  <c r="KY68" i="24" s="1"/>
  <c r="ND52" i="24"/>
  <c r="ND49" i="24" s="1"/>
  <c r="ND68" i="24" s="1"/>
  <c r="MK52" i="24"/>
  <c r="MK49" i="24" s="1"/>
  <c r="MK68" i="24" s="1"/>
  <c r="LR52" i="24"/>
  <c r="LR49" i="24" s="1"/>
  <c r="LR68" i="24" s="1"/>
  <c r="HJ253" i="24"/>
  <c r="HJ326" i="24" s="1"/>
  <c r="GP237" i="24"/>
  <c r="GP234" i="24" s="1"/>
  <c r="HI303" i="24"/>
  <c r="HI300" i="24" s="1"/>
  <c r="HJ319" i="24"/>
  <c r="HJ327" i="24" s="1"/>
  <c r="HI237" i="24"/>
  <c r="HI234" i="24" s="1"/>
  <c r="HI253" i="24" s="1"/>
  <c r="HI326" i="24" s="1"/>
  <c r="GQ253" i="24"/>
  <c r="GQ326" i="24" s="1"/>
  <c r="FW237" i="24"/>
  <c r="FW234" i="24" s="1"/>
  <c r="FW253" i="24" s="1"/>
  <c r="FW326" i="24" s="1"/>
  <c r="HG329" i="24"/>
  <c r="HG331" i="24" s="1"/>
  <c r="HG328" i="24"/>
  <c r="HG330" i="24" s="1"/>
  <c r="GQ319" i="24"/>
  <c r="GQ327" i="24" s="1"/>
  <c r="HI319" i="24"/>
  <c r="HI327" i="24" s="1"/>
  <c r="HH310" i="24"/>
  <c r="HH244" i="24"/>
  <c r="HH242" i="24"/>
  <c r="HH308" i="24"/>
  <c r="HA67" i="24"/>
  <c r="HA252" i="24" s="1"/>
  <c r="HT67" i="24"/>
  <c r="HH246" i="24"/>
  <c r="HH312" i="24"/>
  <c r="FX319" i="24"/>
  <c r="FX327" i="24" s="1"/>
  <c r="GP303" i="24"/>
  <c r="GP300" i="24" s="1"/>
  <c r="GP319" i="24" s="1"/>
  <c r="GP327" i="24" s="1"/>
  <c r="GO312" i="24"/>
  <c r="GO246" i="24"/>
  <c r="GN328" i="24"/>
  <c r="GN330" i="24" s="1"/>
  <c r="GN329" i="24"/>
  <c r="GN331" i="24" s="1"/>
  <c r="GO308" i="24"/>
  <c r="GO242" i="24"/>
  <c r="GO244" i="24"/>
  <c r="GO310" i="24"/>
  <c r="GP253" i="24"/>
  <c r="GP326" i="24" s="1"/>
  <c r="FW303" i="24"/>
  <c r="FW300" i="24" s="1"/>
  <c r="FW319" i="24" s="1"/>
  <c r="FW327" i="24" s="1"/>
  <c r="FV312" i="24"/>
  <c r="FV246" i="24"/>
  <c r="FO67" i="24"/>
  <c r="FO252" i="24" s="1"/>
  <c r="GH67" i="24"/>
  <c r="FX253" i="24"/>
  <c r="FX326" i="24" s="1"/>
  <c r="FV308" i="24"/>
  <c r="FV242" i="24"/>
  <c r="FV244" i="24"/>
  <c r="FV310" i="24"/>
  <c r="FU329" i="24"/>
  <c r="FU331" i="24" s="1"/>
  <c r="FU328" i="24"/>
  <c r="FU330" i="24" s="1"/>
  <c r="FE319" i="24"/>
  <c r="FE327" i="24" s="1"/>
  <c r="FB328" i="24"/>
  <c r="FB330" i="24" s="1"/>
  <c r="FC244" i="24"/>
  <c r="FC310" i="24"/>
  <c r="FC312" i="24"/>
  <c r="FC246" i="24"/>
  <c r="EL319" i="24"/>
  <c r="EL327" i="24" s="1"/>
  <c r="FE253" i="24"/>
  <c r="FE326" i="24" s="1"/>
  <c r="EK237" i="24"/>
  <c r="EK234" i="24" s="1"/>
  <c r="EK253" i="24" s="1"/>
  <c r="EK326" i="24" s="1"/>
  <c r="FB329" i="24"/>
  <c r="FB331" i="24" s="1"/>
  <c r="FC308" i="24"/>
  <c r="FC242" i="24"/>
  <c r="FD237" i="24"/>
  <c r="FD234" i="24" s="1"/>
  <c r="FD253" i="24" s="1"/>
  <c r="FD326" i="24" s="1"/>
  <c r="FD303" i="24"/>
  <c r="FD300" i="24" s="1"/>
  <c r="FD319" i="24" s="1"/>
  <c r="FD327" i="24" s="1"/>
  <c r="EJ312" i="24"/>
  <c r="EJ246" i="24"/>
  <c r="EC67" i="24"/>
  <c r="EC318" i="24" s="1"/>
  <c r="EV67" i="24"/>
  <c r="EI328" i="24"/>
  <c r="EI330" i="24" s="1"/>
  <c r="EI329" i="24"/>
  <c r="EI331" i="24" s="1"/>
  <c r="EJ310" i="24"/>
  <c r="EJ244" i="24"/>
  <c r="ER315" i="24"/>
  <c r="ER249" i="24"/>
  <c r="EJ308" i="24"/>
  <c r="EJ242" i="24"/>
  <c r="EK303" i="24"/>
  <c r="EK300" i="24" s="1"/>
  <c r="EK319" i="24" s="1"/>
  <c r="EK327" i="24" s="1"/>
  <c r="EL253" i="24"/>
  <c r="EL326" i="24" s="1"/>
  <c r="CY303" i="24"/>
  <c r="CY300" i="24" s="1"/>
  <c r="CY319" i="24" s="1"/>
  <c r="CY327" i="24" s="1"/>
  <c r="DR237" i="24"/>
  <c r="DR234" i="24" s="1"/>
  <c r="DR253" i="24" s="1"/>
  <c r="DR326" i="24" s="1"/>
  <c r="DS253" i="24"/>
  <c r="DS326" i="24" s="1"/>
  <c r="BM237" i="24"/>
  <c r="BM234" i="24" s="1"/>
  <c r="BM253" i="24" s="1"/>
  <c r="BM326" i="24" s="1"/>
  <c r="CF237" i="24"/>
  <c r="CF234" i="24" s="1"/>
  <c r="CF253" i="24" s="1"/>
  <c r="CF326" i="24" s="1"/>
  <c r="CG253" i="24"/>
  <c r="CG326" i="24" s="1"/>
  <c r="CZ319" i="24"/>
  <c r="CZ327" i="24" s="1"/>
  <c r="DR303" i="24"/>
  <c r="DR300" i="24" s="1"/>
  <c r="DR319" i="24" s="1"/>
  <c r="DR327" i="24" s="1"/>
  <c r="DQ242" i="24"/>
  <c r="DQ308" i="24"/>
  <c r="DQ52" i="24"/>
  <c r="DQ49" i="24" s="1"/>
  <c r="DQ68" i="24" s="1"/>
  <c r="DQ246" i="24"/>
  <c r="DQ312" i="24"/>
  <c r="DQ244" i="24"/>
  <c r="DQ310" i="24"/>
  <c r="DS319" i="24"/>
  <c r="DS327" i="24" s="1"/>
  <c r="DP328" i="24"/>
  <c r="DP330" i="24" s="1"/>
  <c r="DP329" i="24"/>
  <c r="DP331" i="24" s="1"/>
  <c r="CY237" i="24"/>
  <c r="CY234" i="24" s="1"/>
  <c r="CY253" i="24" s="1"/>
  <c r="CY326" i="24" s="1"/>
  <c r="CZ253" i="24"/>
  <c r="CZ326" i="24" s="1"/>
  <c r="CX242" i="24"/>
  <c r="CX308" i="24"/>
  <c r="CX244" i="24"/>
  <c r="CX310" i="24"/>
  <c r="CW328" i="24"/>
  <c r="CW330" i="24" s="1"/>
  <c r="CW329" i="24"/>
  <c r="CW331" i="24" s="1"/>
  <c r="CQ67" i="24"/>
  <c r="CQ318" i="24" s="1"/>
  <c r="DJ67" i="24"/>
  <c r="CX246" i="24"/>
  <c r="CX312" i="24"/>
  <c r="BN319" i="24"/>
  <c r="BN327" i="24" s="1"/>
  <c r="CG319" i="24"/>
  <c r="CG327" i="24" s="1"/>
  <c r="CD329" i="24"/>
  <c r="CD331" i="24" s="1"/>
  <c r="CD328" i="24"/>
  <c r="CD330" i="24" s="1"/>
  <c r="CE242" i="24"/>
  <c r="CE308" i="24"/>
  <c r="CE246" i="24"/>
  <c r="CE312" i="24"/>
  <c r="CE310" i="24"/>
  <c r="CE244" i="24"/>
  <c r="CF303" i="24"/>
  <c r="CF300" i="24" s="1"/>
  <c r="CF319" i="24" s="1"/>
  <c r="CF327" i="24" s="1"/>
  <c r="BN253" i="24"/>
  <c r="BN326" i="24" s="1"/>
  <c r="BM303" i="24"/>
  <c r="BM300" i="24" s="1"/>
  <c r="BM319" i="24" s="1"/>
  <c r="BM327" i="24" s="1"/>
  <c r="BL335" i="24"/>
  <c r="BL337" i="24" s="1"/>
  <c r="BL336" i="24"/>
  <c r="BL338" i="24" s="1"/>
  <c r="BL312" i="24"/>
  <c r="BL246" i="24"/>
  <c r="BL308" i="24"/>
  <c r="BL242" i="24"/>
  <c r="BL310" i="24"/>
  <c r="BL244" i="24"/>
  <c r="BE67" i="24"/>
  <c r="BX67" i="24"/>
  <c r="IA49" i="24"/>
  <c r="IA68" i="24" s="1"/>
  <c r="E49" i="24"/>
  <c r="C4" i="37" s="1"/>
  <c r="IT49" i="24"/>
  <c r="IT68" i="24" s="1"/>
  <c r="KF49" i="24"/>
  <c r="KF68" i="24" s="1"/>
  <c r="F6" i="24"/>
  <c r="F7" i="24" s="1"/>
  <c r="H52" i="37"/>
  <c r="I13" i="48"/>
  <c r="K13" i="48" s="1"/>
  <c r="P34" i="48"/>
  <c r="P40" i="48" s="1"/>
  <c r="N40" i="48"/>
  <c r="O112" i="10"/>
  <c r="O14" i="24" s="1"/>
  <c r="IB303" i="24"/>
  <c r="IB300" i="24" s="1"/>
  <c r="IB319" i="24" s="1"/>
  <c r="IB327" i="24" s="1"/>
  <c r="FC52" i="24"/>
  <c r="FC49" i="24" s="1"/>
  <c r="FC68" i="24" s="1"/>
  <c r="IC326" i="24"/>
  <c r="IB326" i="24"/>
  <c r="LV53" i="24"/>
  <c r="MO53" i="24"/>
  <c r="NH53" i="24"/>
  <c r="LC53" i="24"/>
  <c r="KJ53" i="24"/>
  <c r="JQ53" i="24"/>
  <c r="IX53" i="24"/>
  <c r="IE53" i="24"/>
  <c r="MR12" i="24"/>
  <c r="LY12" i="24"/>
  <c r="NK12" i="24"/>
  <c r="LF12" i="24"/>
  <c r="KM12" i="24"/>
  <c r="IH12" i="24"/>
  <c r="IH197" i="24" s="1"/>
  <c r="JA12" i="24"/>
  <c r="JT12" i="24"/>
  <c r="HZ328" i="24"/>
  <c r="HZ330" i="24" s="1"/>
  <c r="HZ329" i="24"/>
  <c r="HZ331" i="24" s="1"/>
  <c r="N28" i="10"/>
  <c r="N64" i="24" s="1"/>
  <c r="IC319" i="24"/>
  <c r="IC327" i="24" s="1"/>
  <c r="IA312" i="24"/>
  <c r="MP12" i="24"/>
  <c r="LW12" i="24"/>
  <c r="NI12" i="24"/>
  <c r="LD12" i="24"/>
  <c r="KK12" i="24"/>
  <c r="IF12" i="24"/>
  <c r="IF197" i="24" s="1"/>
  <c r="IY12" i="24"/>
  <c r="JR12" i="24"/>
  <c r="IA308" i="24"/>
  <c r="IA310" i="24"/>
  <c r="C199" i="37"/>
  <c r="NL64" i="24"/>
  <c r="LZ64" i="24"/>
  <c r="MS64" i="24"/>
  <c r="KN64" i="24"/>
  <c r="LG64" i="24"/>
  <c r="II64" i="24"/>
  <c r="II249" i="24" s="1"/>
  <c r="JU64" i="24"/>
  <c r="JB64" i="24"/>
  <c r="I28" i="10"/>
  <c r="I64" i="24" s="1"/>
  <c r="J27" i="10"/>
  <c r="O27" i="10"/>
  <c r="GW64" i="24"/>
  <c r="BT64" i="24"/>
  <c r="AU319" i="24"/>
  <c r="AU327" i="24" s="1"/>
  <c r="AU253" i="24"/>
  <c r="AU326" i="24" s="1"/>
  <c r="HP64" i="24"/>
  <c r="J64" i="24"/>
  <c r="J46" i="27"/>
  <c r="O64" i="24"/>
  <c r="O46" i="27"/>
  <c r="DF64" i="24"/>
  <c r="GD64" i="24"/>
  <c r="DY64" i="24"/>
  <c r="FK64" i="24"/>
  <c r="K26" i="10"/>
  <c r="K28" i="10" s="1"/>
  <c r="K7" i="27"/>
  <c r="BA64" i="24"/>
  <c r="L28" i="10"/>
  <c r="CM64" i="24"/>
  <c r="AU70" i="24"/>
  <c r="AT336" i="24"/>
  <c r="AT338" i="24" s="1"/>
  <c r="N98" i="10"/>
  <c r="N13" i="24" s="1"/>
  <c r="N108" i="10"/>
  <c r="N43" i="27" s="1"/>
  <c r="N111" i="10"/>
  <c r="N60" i="24" s="1"/>
  <c r="N109" i="10"/>
  <c r="N44" i="27" s="1"/>
  <c r="I13" i="15"/>
  <c r="K13" i="15" s="1"/>
  <c r="M13" i="15" s="1"/>
  <c r="CE52" i="24"/>
  <c r="CE49" i="24" s="1"/>
  <c r="CE68" i="24" s="1"/>
  <c r="FV52" i="24"/>
  <c r="FV49" i="24" s="1"/>
  <c r="FV68" i="24" s="1"/>
  <c r="AT303" i="24"/>
  <c r="AT300" i="24" s="1"/>
  <c r="AS52" i="24"/>
  <c r="AS49" i="24" s="1"/>
  <c r="AS310" i="24"/>
  <c r="GO52" i="24"/>
  <c r="GO49" i="24" s="1"/>
  <c r="GO68" i="24" s="1"/>
  <c r="AT237" i="24"/>
  <c r="AT234" i="24" s="1"/>
  <c r="AT253" i="24" s="1"/>
  <c r="AS242" i="24"/>
  <c r="AS237" i="24" s="1"/>
  <c r="AS234" i="24" s="1"/>
  <c r="AS308" i="24"/>
  <c r="CX52" i="24"/>
  <c r="CX49" i="24" s="1"/>
  <c r="CX68" i="24" s="1"/>
  <c r="BL52" i="24"/>
  <c r="BL49" i="24" s="1"/>
  <c r="BL68" i="24" s="1"/>
  <c r="EJ52" i="24"/>
  <c r="EJ49" i="24" s="1"/>
  <c r="EJ68" i="24" s="1"/>
  <c r="HH52" i="24"/>
  <c r="HH49" i="24" s="1"/>
  <c r="HH68" i="24" s="1"/>
  <c r="I34" i="12"/>
  <c r="K34" i="12" s="1"/>
  <c r="N34" i="12" s="1"/>
  <c r="N99" i="10"/>
  <c r="N12" i="24" s="1"/>
  <c r="AS65" i="24"/>
  <c r="AS251" i="24"/>
  <c r="AS250" i="24" s="1"/>
  <c r="AS246" i="24"/>
  <c r="AR65" i="24"/>
  <c r="AR251" i="24"/>
  <c r="AR250" i="24" s="1"/>
  <c r="CF49" i="24"/>
  <c r="CF68" i="24" s="1"/>
  <c r="BM49" i="24"/>
  <c r="BM68" i="24" s="1"/>
  <c r="FD49" i="24"/>
  <c r="FD68" i="24" s="1"/>
  <c r="DR49" i="24"/>
  <c r="DR68" i="24" s="1"/>
  <c r="AT49" i="24"/>
  <c r="AT68" i="24" s="1"/>
  <c r="EK49" i="24"/>
  <c r="EK68" i="24" s="1"/>
  <c r="HI49" i="24"/>
  <c r="HI68" i="24" s="1"/>
  <c r="FW49" i="24"/>
  <c r="FW68" i="24" s="1"/>
  <c r="CY49" i="24"/>
  <c r="CY68" i="24" s="1"/>
  <c r="GP49" i="24"/>
  <c r="GP68" i="24" s="1"/>
  <c r="H216" i="37"/>
  <c r="H169" i="37"/>
  <c r="GT12" i="24"/>
  <c r="GA12" i="24"/>
  <c r="HM12" i="24"/>
  <c r="FH12" i="24"/>
  <c r="HL53" i="24"/>
  <c r="GS53" i="24"/>
  <c r="FG53" i="24"/>
  <c r="FZ53" i="24"/>
  <c r="HO12" i="24"/>
  <c r="GV12" i="24"/>
  <c r="GC12" i="24"/>
  <c r="FJ12" i="24"/>
  <c r="EO12" i="24"/>
  <c r="DV12" i="24"/>
  <c r="DC12" i="24"/>
  <c r="CJ12" i="24"/>
  <c r="BQ12" i="24"/>
  <c r="AX12" i="24"/>
  <c r="EQ12" i="24"/>
  <c r="DX12" i="24"/>
  <c r="DE12" i="24"/>
  <c r="CL12" i="24"/>
  <c r="BS12" i="24"/>
  <c r="C114" i="37"/>
  <c r="EN53" i="24"/>
  <c r="DU53" i="24"/>
  <c r="DB53" i="24"/>
  <c r="CI53" i="24"/>
  <c r="BP53" i="24"/>
  <c r="AW53" i="24"/>
  <c r="L37" i="27"/>
  <c r="M54" i="24"/>
  <c r="I44" i="27"/>
  <c r="I50" i="24"/>
  <c r="BP50" i="24" s="1"/>
  <c r="M45" i="27"/>
  <c r="M60" i="24"/>
  <c r="L36" i="27"/>
  <c r="M53" i="24"/>
  <c r="J45" i="27"/>
  <c r="J60" i="24"/>
  <c r="M112" i="10"/>
  <c r="M14" i="24" s="1"/>
  <c r="J44" i="27"/>
  <c r="J50" i="24"/>
  <c r="BQ50" i="24" s="1"/>
  <c r="N102" i="10"/>
  <c r="N53" i="24" s="1"/>
  <c r="N55" i="10"/>
  <c r="N40" i="10" s="1"/>
  <c r="L13" i="24"/>
  <c r="L112" i="10"/>
  <c r="L14" i="24" s="1"/>
  <c r="J13" i="24"/>
  <c r="J112" i="10"/>
  <c r="J14" i="24" s="1"/>
  <c r="I112" i="10"/>
  <c r="I14" i="24" s="1"/>
  <c r="L44" i="27"/>
  <c r="L50" i="24"/>
  <c r="BS50" i="24" s="1"/>
  <c r="I45" i="27"/>
  <c r="I60" i="24"/>
  <c r="L45" i="27"/>
  <c r="L60" i="24"/>
  <c r="M44" i="27"/>
  <c r="M50" i="24"/>
  <c r="BT50" i="24" s="1"/>
  <c r="O44" i="27"/>
  <c r="O50" i="24"/>
  <c r="BV50" i="24" s="1"/>
  <c r="O45" i="27"/>
  <c r="O60" i="24"/>
  <c r="M13" i="24"/>
  <c r="L34" i="27"/>
  <c r="O13" i="24"/>
  <c r="N34" i="27"/>
  <c r="J10" i="24"/>
  <c r="J43" i="27"/>
  <c r="K111" i="10"/>
  <c r="K109" i="10"/>
  <c r="K108" i="10"/>
  <c r="O12" i="24"/>
  <c r="N35" i="27"/>
  <c r="L10" i="24"/>
  <c r="L43" i="27"/>
  <c r="I13" i="24"/>
  <c r="H34" i="27"/>
  <c r="I10" i="24"/>
  <c r="I43" i="27"/>
  <c r="M10" i="24"/>
  <c r="BA10" i="24" s="1"/>
  <c r="M43" i="27"/>
  <c r="O10" i="24"/>
  <c r="O43" i="27"/>
  <c r="M12" i="24"/>
  <c r="L35" i="27"/>
  <c r="I12" i="24"/>
  <c r="H35" i="27"/>
  <c r="O102" i="10"/>
  <c r="L102" i="10"/>
  <c r="L53" i="24" s="1"/>
  <c r="L103" i="10"/>
  <c r="L54" i="24" s="1"/>
  <c r="I55" i="10"/>
  <c r="I56" i="10" s="1"/>
  <c r="H36" i="27"/>
  <c r="K55" i="10"/>
  <c r="K51" i="10" s="1"/>
  <c r="K103" i="10"/>
  <c r="K102" i="10"/>
  <c r="J102" i="10"/>
  <c r="J53" i="24" s="1"/>
  <c r="J103" i="10"/>
  <c r="J54" i="24" s="1"/>
  <c r="K98" i="10"/>
  <c r="K99" i="10"/>
  <c r="O55" i="10"/>
  <c r="O56" i="10" s="1"/>
  <c r="M31" i="15"/>
  <c r="M29" i="15"/>
  <c r="M32" i="15"/>
  <c r="M27" i="15"/>
  <c r="O7" i="15"/>
  <c r="N26" i="15"/>
  <c r="M33" i="15"/>
  <c r="N32" i="15"/>
  <c r="M8" i="15"/>
  <c r="O28" i="15"/>
  <c r="L55" i="10"/>
  <c r="L56" i="10" s="1"/>
  <c r="N5" i="15"/>
  <c r="M30" i="15"/>
  <c r="O38" i="15"/>
  <c r="P38" i="15" s="1"/>
  <c r="M35" i="15"/>
  <c r="N11" i="15"/>
  <c r="M26" i="15"/>
  <c r="M36" i="15"/>
  <c r="N30" i="15"/>
  <c r="N8" i="15"/>
  <c r="M5" i="15"/>
  <c r="O4" i="15"/>
  <c r="M12" i="15"/>
  <c r="N4" i="15"/>
  <c r="O33" i="15"/>
  <c r="N7" i="15"/>
  <c r="O17" i="15"/>
  <c r="P17" i="15" s="1"/>
  <c r="N9" i="15"/>
  <c r="O34" i="15"/>
  <c r="O36" i="15"/>
  <c r="O29" i="15"/>
  <c r="O25" i="15"/>
  <c r="O13" i="15"/>
  <c r="O37" i="15"/>
  <c r="P37" i="15" s="1"/>
  <c r="N34" i="15"/>
  <c r="O14" i="15"/>
  <c r="O8" i="15"/>
  <c r="N31" i="15"/>
  <c r="O11" i="15"/>
  <c r="N25" i="15"/>
  <c r="M28" i="15"/>
  <c r="M15" i="15"/>
  <c r="M34" i="15"/>
  <c r="O15" i="15"/>
  <c r="O5" i="15"/>
  <c r="N28" i="15"/>
  <c r="O12" i="15"/>
  <c r="M6" i="15"/>
  <c r="O30" i="15"/>
  <c r="N29" i="15"/>
  <c r="N35" i="15"/>
  <c r="N15" i="15"/>
  <c r="O10" i="15"/>
  <c r="M10" i="15"/>
  <c r="O35" i="15"/>
  <c r="O31" i="15"/>
  <c r="M11" i="15"/>
  <c r="O6" i="15"/>
  <c r="N27" i="15"/>
  <c r="N12" i="15"/>
  <c r="M9" i="15"/>
  <c r="N6" i="15"/>
  <c r="O32" i="15"/>
  <c r="O16" i="15"/>
  <c r="Q16" i="15" s="1"/>
  <c r="M4" i="15"/>
  <c r="N14" i="15"/>
  <c r="M25" i="15"/>
  <c r="N36" i="15"/>
  <c r="M14" i="15"/>
  <c r="O9" i="15"/>
  <c r="N10" i="15"/>
  <c r="N33" i="15"/>
  <c r="M7" i="15"/>
  <c r="O26" i="15"/>
  <c r="O27" i="15"/>
  <c r="M57" i="10"/>
  <c r="J55" i="10"/>
  <c r="J50" i="10" s="1"/>
  <c r="O16" i="12"/>
  <c r="P16" i="12" s="1"/>
  <c r="M4" i="12"/>
  <c r="O9" i="12"/>
  <c r="O12" i="12"/>
  <c r="O7" i="12"/>
  <c r="M29" i="12"/>
  <c r="O17" i="12"/>
  <c r="Q17" i="12" s="1"/>
  <c r="O37" i="12"/>
  <c r="Q37" i="12" s="1"/>
  <c r="N15" i="12"/>
  <c r="M27" i="12"/>
  <c r="N12" i="12"/>
  <c r="M32" i="12"/>
  <c r="M30" i="12"/>
  <c r="M6" i="12"/>
  <c r="O8" i="12"/>
  <c r="O38" i="12"/>
  <c r="P38" i="12" s="1"/>
  <c r="O29" i="12"/>
  <c r="O26" i="12"/>
  <c r="M15" i="12"/>
  <c r="O35" i="12"/>
  <c r="O10" i="12"/>
  <c r="N26" i="12"/>
  <c r="O5" i="12"/>
  <c r="N25" i="12"/>
  <c r="M14" i="12"/>
  <c r="N7" i="12"/>
  <c r="N29" i="12"/>
  <c r="M25" i="12"/>
  <c r="N14" i="12"/>
  <c r="O31" i="12"/>
  <c r="O14" i="12"/>
  <c r="N11" i="12"/>
  <c r="O25" i="12"/>
  <c r="N31" i="12"/>
  <c r="O28" i="12"/>
  <c r="O6" i="12"/>
  <c r="M9" i="12"/>
  <c r="N4" i="12"/>
  <c r="O36" i="12"/>
  <c r="M28" i="12"/>
  <c r="O34" i="12"/>
  <c r="N8" i="12"/>
  <c r="N9" i="12"/>
  <c r="M7" i="12"/>
  <c r="M12" i="12"/>
  <c r="M36" i="12"/>
  <c r="N33" i="12"/>
  <c r="Q33" i="12" s="1"/>
  <c r="O11" i="12"/>
  <c r="O27" i="12"/>
  <c r="O15" i="12"/>
  <c r="M5" i="12"/>
  <c r="M10" i="12"/>
  <c r="M8" i="12"/>
  <c r="O30" i="12"/>
  <c r="N13" i="12"/>
  <c r="O4" i="12"/>
  <c r="N6" i="12"/>
  <c r="N10" i="12"/>
  <c r="O32" i="12"/>
  <c r="O13" i="12"/>
  <c r="N26" i="13"/>
  <c r="Q26" i="13" s="1"/>
  <c r="N5" i="12"/>
  <c r="O16" i="14"/>
  <c r="Q16" i="14" s="1"/>
  <c r="O4" i="14"/>
  <c r="M34" i="13"/>
  <c r="P34" i="13" s="1"/>
  <c r="O5" i="14"/>
  <c r="M25" i="14"/>
  <c r="M12" i="14"/>
  <c r="O36" i="14"/>
  <c r="N33" i="14"/>
  <c r="M11" i="12"/>
  <c r="N27" i="14"/>
  <c r="N13" i="14"/>
  <c r="O6" i="14"/>
  <c r="M4" i="14"/>
  <c r="O28" i="14"/>
  <c r="M34" i="14"/>
  <c r="N35" i="14"/>
  <c r="O30" i="14"/>
  <c r="O27" i="14"/>
  <c r="M15" i="14"/>
  <c r="O34" i="14"/>
  <c r="M35" i="14"/>
  <c r="O35" i="14"/>
  <c r="M30" i="14"/>
  <c r="N14" i="14"/>
  <c r="O15" i="14"/>
  <c r="M32" i="14"/>
  <c r="M36" i="14"/>
  <c r="N7" i="14"/>
  <c r="O17" i="14"/>
  <c r="Q17" i="14" s="1"/>
  <c r="O8" i="14"/>
  <c r="O11" i="14"/>
  <c r="O38" i="14"/>
  <c r="P38" i="14" s="1"/>
  <c r="O12" i="14"/>
  <c r="M9" i="14"/>
  <c r="O9" i="14"/>
  <c r="O7" i="14"/>
  <c r="N9" i="14"/>
  <c r="M8" i="14"/>
  <c r="N28" i="14"/>
  <c r="M33" i="14"/>
  <c r="O10" i="14"/>
  <c r="M13" i="14"/>
  <c r="M26" i="14"/>
  <c r="M6" i="14"/>
  <c r="M31" i="14"/>
  <c r="M27" i="14"/>
  <c r="N11" i="14"/>
  <c r="N31" i="14"/>
  <c r="M14" i="14"/>
  <c r="O25" i="14"/>
  <c r="N25" i="14"/>
  <c r="O26" i="14"/>
  <c r="M5" i="14"/>
  <c r="O37" i="14"/>
  <c r="P37" i="14" s="1"/>
  <c r="N5" i="14"/>
  <c r="O13" i="14"/>
  <c r="M7" i="14"/>
  <c r="N29" i="14"/>
  <c r="N36" i="14"/>
  <c r="M29" i="14"/>
  <c r="P29" i="14" s="1"/>
  <c r="O33" i="14"/>
  <c r="N8" i="14"/>
  <c r="Q8" i="14" s="1"/>
  <c r="N4" i="14"/>
  <c r="O14" i="14"/>
  <c r="N26" i="14"/>
  <c r="N32" i="14"/>
  <c r="N34" i="14"/>
  <c r="O32" i="14"/>
  <c r="N6" i="14"/>
  <c r="N30" i="14"/>
  <c r="O31" i="14"/>
  <c r="M28" i="14"/>
  <c r="N12" i="14"/>
  <c r="Q12" i="14" s="1"/>
  <c r="N15" i="14"/>
  <c r="M10" i="14"/>
  <c r="M11" i="14"/>
  <c r="N10" i="14"/>
  <c r="M33" i="13"/>
  <c r="P33" i="13" s="1"/>
  <c r="N32" i="12"/>
  <c r="M31" i="12"/>
  <c r="M13" i="12"/>
  <c r="M32" i="13"/>
  <c r="P32" i="13" s="1"/>
  <c r="M29" i="13"/>
  <c r="P29" i="13" s="1"/>
  <c r="M31" i="13"/>
  <c r="P31" i="13" s="1"/>
  <c r="M35" i="13"/>
  <c r="P35" i="13" s="1"/>
  <c r="M26" i="12"/>
  <c r="N28" i="12"/>
  <c r="N30" i="13"/>
  <c r="Q30" i="13" s="1"/>
  <c r="N30" i="12"/>
  <c r="M28" i="13"/>
  <c r="P28" i="13" s="1"/>
  <c r="N36" i="13"/>
  <c r="Q36" i="13" s="1"/>
  <c r="N27" i="12"/>
  <c r="M33" i="12"/>
  <c r="P33" i="12" s="1"/>
  <c r="N36" i="12"/>
  <c r="N35" i="12"/>
  <c r="M35" i="12"/>
  <c r="M40" i="10"/>
  <c r="M92" i="10" s="1"/>
  <c r="M51" i="10"/>
  <c r="M50" i="10"/>
  <c r="M101" i="10" s="1"/>
  <c r="P19" i="13"/>
  <c r="E7" i="16" s="1"/>
  <c r="H66" i="24" s="1"/>
  <c r="Q19" i="13"/>
  <c r="F7" i="16" s="1"/>
  <c r="H67" i="24" s="1"/>
  <c r="BK328" i="24" l="1"/>
  <c r="BK329" i="24"/>
  <c r="IE238" i="24"/>
  <c r="HJ329" i="24"/>
  <c r="HJ331" i="24" s="1"/>
  <c r="HJ328" i="24"/>
  <c r="HJ330" i="24" s="1"/>
  <c r="HA318" i="24"/>
  <c r="GQ328" i="24"/>
  <c r="GQ330" i="24" s="1"/>
  <c r="GQ329" i="24"/>
  <c r="GQ331" i="24" s="1"/>
  <c r="HT318" i="24"/>
  <c r="HT252" i="24"/>
  <c r="HI329" i="24"/>
  <c r="HI331" i="24" s="1"/>
  <c r="HI328" i="24"/>
  <c r="HI330" i="24" s="1"/>
  <c r="HL304" i="24"/>
  <c r="HL238" i="24"/>
  <c r="HH303" i="24"/>
  <c r="HH300" i="24" s="1"/>
  <c r="HH319" i="24" s="1"/>
  <c r="HH327" i="24" s="1"/>
  <c r="HO263" i="24"/>
  <c r="HO197" i="24"/>
  <c r="HP249" i="24"/>
  <c r="HP315" i="24"/>
  <c r="HH237" i="24"/>
  <c r="HH234" i="24" s="1"/>
  <c r="HH253" i="24" s="1"/>
  <c r="HH326" i="24" s="1"/>
  <c r="HM263" i="24"/>
  <c r="HM197" i="24"/>
  <c r="FE329" i="24"/>
  <c r="FE331" i="24" s="1"/>
  <c r="FX329" i="24"/>
  <c r="FX331" i="24" s="1"/>
  <c r="FE328" i="24"/>
  <c r="FE330" i="24" s="1"/>
  <c r="GO237" i="24"/>
  <c r="GO234" i="24" s="1"/>
  <c r="GO253" i="24" s="1"/>
  <c r="GO326" i="24" s="1"/>
  <c r="GO303" i="24"/>
  <c r="GO300" i="24" s="1"/>
  <c r="GO319" i="24" s="1"/>
  <c r="GO327" i="24" s="1"/>
  <c r="GS304" i="24"/>
  <c r="GS238" i="24"/>
  <c r="GV263" i="24"/>
  <c r="GV197" i="24"/>
  <c r="GT263" i="24"/>
  <c r="GT197" i="24"/>
  <c r="GW315" i="24"/>
  <c r="GW249" i="24"/>
  <c r="GP329" i="24"/>
  <c r="GP331" i="24" s="1"/>
  <c r="GP328" i="24"/>
  <c r="GP330" i="24" s="1"/>
  <c r="FC237" i="24"/>
  <c r="FC234" i="24" s="1"/>
  <c r="FC253" i="24" s="1"/>
  <c r="FC326" i="24" s="1"/>
  <c r="GC197" i="24"/>
  <c r="GC263" i="24"/>
  <c r="GD315" i="24"/>
  <c r="GD249" i="24"/>
  <c r="FV303" i="24"/>
  <c r="FV300" i="24" s="1"/>
  <c r="FV319" i="24" s="1"/>
  <c r="FV327" i="24" s="1"/>
  <c r="FZ304" i="24"/>
  <c r="FZ238" i="24"/>
  <c r="GA263" i="24"/>
  <c r="GA197" i="24"/>
  <c r="GH252" i="24"/>
  <c r="GH318" i="24"/>
  <c r="EC252" i="24"/>
  <c r="FO318" i="24"/>
  <c r="FX328" i="24"/>
  <c r="FX330" i="24" s="1"/>
  <c r="FW329" i="24"/>
  <c r="FW331" i="24" s="1"/>
  <c r="FW328" i="24"/>
  <c r="FW330" i="24" s="1"/>
  <c r="FV237" i="24"/>
  <c r="FV234" i="24" s="1"/>
  <c r="FV253" i="24" s="1"/>
  <c r="FV326" i="24" s="1"/>
  <c r="CG329" i="24"/>
  <c r="CG331" i="24" s="1"/>
  <c r="FC303" i="24"/>
  <c r="FC300" i="24" s="1"/>
  <c r="FC319" i="24" s="1"/>
  <c r="FC327" i="24" s="1"/>
  <c r="FD329" i="24"/>
  <c r="FD331" i="24" s="1"/>
  <c r="FD328" i="24"/>
  <c r="FD330" i="24" s="1"/>
  <c r="FH197" i="24"/>
  <c r="FH263" i="24"/>
  <c r="FK315" i="24"/>
  <c r="FK249" i="24"/>
  <c r="EL329" i="24"/>
  <c r="EL331" i="24" s="1"/>
  <c r="FG304" i="24"/>
  <c r="FG238" i="24"/>
  <c r="EJ237" i="24"/>
  <c r="EJ234" i="24" s="1"/>
  <c r="EJ253" i="24" s="1"/>
  <c r="EJ326" i="24" s="1"/>
  <c r="EJ303" i="24"/>
  <c r="EJ300" i="24" s="1"/>
  <c r="EJ319" i="24" s="1"/>
  <c r="EJ327" i="24" s="1"/>
  <c r="FJ197" i="24"/>
  <c r="FJ263" i="24"/>
  <c r="EK329" i="24"/>
  <c r="EK331" i="24" s="1"/>
  <c r="EK328" i="24"/>
  <c r="EK330" i="24" s="1"/>
  <c r="EV318" i="24"/>
  <c r="EV252" i="24"/>
  <c r="EO263" i="24"/>
  <c r="EO197" i="24"/>
  <c r="EQ263" i="24"/>
  <c r="EQ197" i="24"/>
  <c r="CG328" i="24"/>
  <c r="CG330" i="24" s="1"/>
  <c r="CZ329" i="24"/>
  <c r="CZ331" i="24" s="1"/>
  <c r="EL328" i="24"/>
  <c r="EL330" i="24" s="1"/>
  <c r="EN304" i="24"/>
  <c r="EN238" i="24"/>
  <c r="CZ328" i="24"/>
  <c r="CZ330" i="24" s="1"/>
  <c r="CQ252" i="24"/>
  <c r="BN329" i="24"/>
  <c r="BN331" i="24" s="1"/>
  <c r="DX263" i="24"/>
  <c r="DX197" i="24"/>
  <c r="DS329" i="24"/>
  <c r="DS331" i="24" s="1"/>
  <c r="DS328" i="24"/>
  <c r="DS330" i="24" s="1"/>
  <c r="DU238" i="24"/>
  <c r="DU304" i="24"/>
  <c r="DR329" i="24"/>
  <c r="DR331" i="24" s="1"/>
  <c r="DR328" i="24"/>
  <c r="DR330" i="24" s="1"/>
  <c r="DV263" i="24"/>
  <c r="DV197" i="24"/>
  <c r="DQ303" i="24"/>
  <c r="DQ300" i="24" s="1"/>
  <c r="DQ319" i="24" s="1"/>
  <c r="DQ327" i="24" s="1"/>
  <c r="DY249" i="24"/>
  <c r="DY315" i="24"/>
  <c r="DQ237" i="24"/>
  <c r="DQ234" i="24" s="1"/>
  <c r="DQ253" i="24" s="1"/>
  <c r="DQ326" i="24" s="1"/>
  <c r="BN328" i="24"/>
  <c r="BN330" i="24" s="1"/>
  <c r="CY329" i="24"/>
  <c r="CY331" i="24" s="1"/>
  <c r="CY328" i="24"/>
  <c r="CY330" i="24" s="1"/>
  <c r="DC263" i="24"/>
  <c r="DC197" i="24"/>
  <c r="DE263" i="24"/>
  <c r="DE197" i="24"/>
  <c r="DF249" i="24"/>
  <c r="DF315" i="24"/>
  <c r="CE303" i="24"/>
  <c r="CE300" i="24" s="1"/>
  <c r="CE319" i="24" s="1"/>
  <c r="CE327" i="24" s="1"/>
  <c r="CX303" i="24"/>
  <c r="CX300" i="24" s="1"/>
  <c r="CX319" i="24" s="1"/>
  <c r="CX327" i="24" s="1"/>
  <c r="CX237" i="24"/>
  <c r="CX234" i="24" s="1"/>
  <c r="CX253" i="24" s="1"/>
  <c r="CX326" i="24" s="1"/>
  <c r="DB238" i="24"/>
  <c r="DB304" i="24"/>
  <c r="DJ252" i="24"/>
  <c r="DJ318" i="24"/>
  <c r="CF328" i="24"/>
  <c r="CF330" i="24" s="1"/>
  <c r="CF329" i="24"/>
  <c r="CF331" i="24" s="1"/>
  <c r="CI238" i="24"/>
  <c r="CI304" i="24"/>
  <c r="CM249" i="24"/>
  <c r="CM315" i="24"/>
  <c r="CE237" i="24"/>
  <c r="CE234" i="24" s="1"/>
  <c r="CE253" i="24" s="1"/>
  <c r="CE326" i="24" s="1"/>
  <c r="CL263" i="24"/>
  <c r="CL197" i="24"/>
  <c r="CJ263" i="24"/>
  <c r="CJ197" i="24"/>
  <c r="BS263" i="24"/>
  <c r="BS197" i="24"/>
  <c r="BT315" i="24"/>
  <c r="BT249" i="24"/>
  <c r="BP304" i="24"/>
  <c r="BP238" i="24"/>
  <c r="BV235" i="24"/>
  <c r="BV301" i="24"/>
  <c r="BS301" i="24"/>
  <c r="BS235" i="24"/>
  <c r="BM329" i="24"/>
  <c r="BM331" i="24" s="1"/>
  <c r="BM328" i="24"/>
  <c r="BM330" i="24" s="1"/>
  <c r="BQ301" i="24"/>
  <c r="BQ235" i="24"/>
  <c r="BX318" i="24"/>
  <c r="BX252" i="24"/>
  <c r="BL237" i="24"/>
  <c r="BL234" i="24" s="1"/>
  <c r="BL253" i="24" s="1"/>
  <c r="BL326" i="24" s="1"/>
  <c r="BQ263" i="24"/>
  <c r="BQ197" i="24"/>
  <c r="BT301" i="24"/>
  <c r="BT235" i="24"/>
  <c r="BP235" i="24"/>
  <c r="BP301" i="24"/>
  <c r="BE252" i="24"/>
  <c r="BE318" i="24"/>
  <c r="BL303" i="24"/>
  <c r="BL300" i="24" s="1"/>
  <c r="BL319" i="24" s="1"/>
  <c r="BL327" i="24" s="1"/>
  <c r="E6" i="24"/>
  <c r="E7" i="24" s="1"/>
  <c r="E16" i="16"/>
  <c r="Q41" i="48"/>
  <c r="N13" i="48"/>
  <c r="Q13" i="48" s="1"/>
  <c r="Q19" i="48" s="1"/>
  <c r="F15" i="16" s="1"/>
  <c r="P67" i="24" s="1"/>
  <c r="M13" i="48"/>
  <c r="IA326" i="24"/>
  <c r="IB328" i="24"/>
  <c r="IB330" i="24" s="1"/>
  <c r="C104" i="37"/>
  <c r="LV64" i="24"/>
  <c r="MO64" i="24"/>
  <c r="NH64" i="24"/>
  <c r="LC64" i="24"/>
  <c r="KJ64" i="24"/>
  <c r="IX64" i="24"/>
  <c r="IE64" i="24"/>
  <c r="IE249" i="24" s="1"/>
  <c r="JQ64" i="24"/>
  <c r="H247" i="37"/>
  <c r="NM64" i="24"/>
  <c r="MA64" i="24"/>
  <c r="KO64" i="24"/>
  <c r="IJ64" i="24"/>
  <c r="IJ249" i="24" s="1"/>
  <c r="MT64" i="24"/>
  <c r="LH64" i="24"/>
  <c r="JV64" i="24"/>
  <c r="JC64" i="24"/>
  <c r="NI54" i="24"/>
  <c r="LD54" i="24"/>
  <c r="LW54" i="24"/>
  <c r="KK54" i="24"/>
  <c r="JR54" i="24"/>
  <c r="IF54" i="24"/>
  <c r="IF239" i="24" s="1"/>
  <c r="IY54" i="24"/>
  <c r="MP54" i="24"/>
  <c r="IC329" i="24"/>
  <c r="IC331" i="24" s="1"/>
  <c r="IC328" i="24"/>
  <c r="IC330" i="24" s="1"/>
  <c r="NN12" i="24"/>
  <c r="MU12" i="24"/>
  <c r="LI12" i="24"/>
  <c r="KP12" i="24"/>
  <c r="MB12" i="24"/>
  <c r="JW12" i="24"/>
  <c r="IK12" i="24"/>
  <c r="IK197" i="24" s="1"/>
  <c r="JD12" i="24"/>
  <c r="LY60" i="24"/>
  <c r="MR60" i="24"/>
  <c r="KM60" i="24"/>
  <c r="JT60" i="24"/>
  <c r="NK60" i="24"/>
  <c r="LF60" i="24"/>
  <c r="JA60" i="24"/>
  <c r="IH60" i="24"/>
  <c r="IH245" i="24" s="1"/>
  <c r="LV50" i="24"/>
  <c r="MO50" i="24"/>
  <c r="KJ50" i="24"/>
  <c r="NH50" i="24"/>
  <c r="LC50" i="24"/>
  <c r="IX50" i="24"/>
  <c r="JQ50" i="24"/>
  <c r="IE50" i="24"/>
  <c r="IE235" i="24" s="1"/>
  <c r="C247" i="37"/>
  <c r="MU64" i="24"/>
  <c r="NN64" i="24"/>
  <c r="LI64" i="24"/>
  <c r="MB64" i="24"/>
  <c r="IK64" i="24"/>
  <c r="IK249" i="24" s="1"/>
  <c r="JW64" i="24"/>
  <c r="JD64" i="24"/>
  <c r="KP64" i="24"/>
  <c r="MS14" i="24"/>
  <c r="LZ14" i="24"/>
  <c r="NL14" i="24"/>
  <c r="LG14" i="24"/>
  <c r="JU14" i="24"/>
  <c r="KN14" i="24"/>
  <c r="II14" i="24"/>
  <c r="II199" i="24" s="1"/>
  <c r="JB14" i="24"/>
  <c r="NM60" i="24"/>
  <c r="MA60" i="24"/>
  <c r="KO60" i="24"/>
  <c r="MT60" i="24"/>
  <c r="IJ60" i="24"/>
  <c r="IJ245" i="24" s="1"/>
  <c r="JV60" i="24"/>
  <c r="LH60" i="24"/>
  <c r="JC60" i="24"/>
  <c r="MU14" i="24"/>
  <c r="MB14" i="24"/>
  <c r="KP14" i="24"/>
  <c r="LI14" i="24"/>
  <c r="NN14" i="24"/>
  <c r="JW14" i="24"/>
  <c r="IK14" i="24"/>
  <c r="IK199" i="24" s="1"/>
  <c r="JD14" i="24"/>
  <c r="N46" i="27"/>
  <c r="NI50" i="24"/>
  <c r="LW50" i="24"/>
  <c r="MP50" i="24"/>
  <c r="KK50" i="24"/>
  <c r="LD50" i="24"/>
  <c r="IF50" i="24"/>
  <c r="IF235" i="24" s="1"/>
  <c r="IY50" i="24"/>
  <c r="JR50" i="24"/>
  <c r="LW53" i="24"/>
  <c r="NI53" i="24"/>
  <c r="LD53" i="24"/>
  <c r="JR53" i="24"/>
  <c r="MP53" i="24"/>
  <c r="IY53" i="24"/>
  <c r="IF53" i="24"/>
  <c r="KK53" i="24"/>
  <c r="LZ10" i="24"/>
  <c r="MS10" i="24"/>
  <c r="LG10" i="24"/>
  <c r="KN10" i="24"/>
  <c r="NL10" i="24"/>
  <c r="JB10" i="24"/>
  <c r="JU10" i="24"/>
  <c r="II10" i="24"/>
  <c r="II195" i="24" s="1"/>
  <c r="MP13" i="24"/>
  <c r="NI13" i="24"/>
  <c r="KK13" i="24"/>
  <c r="LW13" i="24"/>
  <c r="LD13" i="24"/>
  <c r="JR13" i="24"/>
  <c r="IF13" i="24"/>
  <c r="IF198" i="24" s="1"/>
  <c r="IY13" i="24"/>
  <c r="MO10" i="24"/>
  <c r="LV10" i="24"/>
  <c r="NH10" i="24"/>
  <c r="LC10" i="24"/>
  <c r="IE10" i="24"/>
  <c r="IE195" i="24" s="1"/>
  <c r="IX10" i="24"/>
  <c r="KJ10" i="24"/>
  <c r="JQ10" i="24"/>
  <c r="MU60" i="24"/>
  <c r="NN60" i="24"/>
  <c r="LI60" i="24"/>
  <c r="JW60" i="24"/>
  <c r="KP60" i="24"/>
  <c r="IK60" i="24"/>
  <c r="IK245" i="24" s="1"/>
  <c r="MB60" i="24"/>
  <c r="JD60" i="24"/>
  <c r="LW60" i="24"/>
  <c r="NI60" i="24"/>
  <c r="JR60" i="24"/>
  <c r="LD60" i="24"/>
  <c r="MP60" i="24"/>
  <c r="IY60" i="24"/>
  <c r="IF60" i="24"/>
  <c r="IF245" i="24" s="1"/>
  <c r="KK60" i="24"/>
  <c r="Q25" i="15"/>
  <c r="LU66" i="24"/>
  <c r="MN66" i="24"/>
  <c r="NG66" i="24"/>
  <c r="KI66" i="24"/>
  <c r="JP66" i="24"/>
  <c r="ID66" i="24"/>
  <c r="ID251" i="24" s="1"/>
  <c r="LB66" i="24"/>
  <c r="IW66" i="24"/>
  <c r="NL12" i="24"/>
  <c r="LZ12" i="24"/>
  <c r="LG12" i="24"/>
  <c r="JU12" i="24"/>
  <c r="KN12" i="24"/>
  <c r="II12" i="24"/>
  <c r="II197" i="24" s="1"/>
  <c r="MS12" i="24"/>
  <c r="JB12" i="24"/>
  <c r="MO13" i="24"/>
  <c r="LV13" i="24"/>
  <c r="NH13" i="24"/>
  <c r="LC13" i="24"/>
  <c r="JQ13" i="24"/>
  <c r="IE13" i="24"/>
  <c r="IE198" i="24" s="1"/>
  <c r="KJ13" i="24"/>
  <c r="IX13" i="24"/>
  <c r="MB50" i="24"/>
  <c r="NN50" i="24"/>
  <c r="LI50" i="24"/>
  <c r="KP50" i="24"/>
  <c r="MU50" i="24"/>
  <c r="IK50" i="24"/>
  <c r="IK235" i="24" s="1"/>
  <c r="JW50" i="24"/>
  <c r="JD50" i="24"/>
  <c r="MR50" i="24"/>
  <c r="NK50" i="24"/>
  <c r="LF50" i="24"/>
  <c r="KM50" i="24"/>
  <c r="IH50" i="24"/>
  <c r="IH235" i="24" s="1"/>
  <c r="JA50" i="24"/>
  <c r="JT50" i="24"/>
  <c r="LY50" i="24"/>
  <c r="NK13" i="24"/>
  <c r="LY13" i="24"/>
  <c r="MR13" i="24"/>
  <c r="KM13" i="24"/>
  <c r="LF13" i="24"/>
  <c r="JA13" i="24"/>
  <c r="JT13" i="24"/>
  <c r="IH13" i="24"/>
  <c r="IH198" i="24" s="1"/>
  <c r="NL53" i="24"/>
  <c r="LG53" i="24"/>
  <c r="LZ53" i="24"/>
  <c r="MS53" i="24"/>
  <c r="KN53" i="24"/>
  <c r="JU53" i="24"/>
  <c r="II53" i="24"/>
  <c r="JB53" i="24"/>
  <c r="NM13" i="24"/>
  <c r="MT13" i="24"/>
  <c r="LH13" i="24"/>
  <c r="IJ13" i="24"/>
  <c r="IJ198" i="24" s="1"/>
  <c r="MA13" i="24"/>
  <c r="JC13" i="24"/>
  <c r="JV13" i="24"/>
  <c r="KO13" i="24"/>
  <c r="I46" i="27"/>
  <c r="LZ54" i="24"/>
  <c r="MS54" i="24"/>
  <c r="NL54" i="24"/>
  <c r="LG54" i="24"/>
  <c r="KN54" i="24"/>
  <c r="JB54" i="24"/>
  <c r="JU54" i="24"/>
  <c r="II54" i="24"/>
  <c r="II239" i="24" s="1"/>
  <c r="H152" i="37"/>
  <c r="LW64" i="24"/>
  <c r="NI64" i="24"/>
  <c r="MP64" i="24"/>
  <c r="LD64" i="24"/>
  <c r="IY64" i="24"/>
  <c r="KK64" i="24"/>
  <c r="IF64" i="24"/>
  <c r="IF249" i="24" s="1"/>
  <c r="JR64" i="24"/>
  <c r="IA303" i="24"/>
  <c r="IA300" i="24" s="1"/>
  <c r="IA319" i="24" s="1"/>
  <c r="IA327" i="24" s="1"/>
  <c r="NI10" i="24"/>
  <c r="LW10" i="24"/>
  <c r="MP10" i="24"/>
  <c r="LD10" i="24"/>
  <c r="JR10" i="24"/>
  <c r="IF10" i="24"/>
  <c r="IF195" i="24" s="1"/>
  <c r="IY10" i="24"/>
  <c r="KK10" i="24"/>
  <c r="IE304" i="24"/>
  <c r="LY53" i="24"/>
  <c r="MR53" i="24"/>
  <c r="KM53" i="24"/>
  <c r="JT53" i="24"/>
  <c r="LF53" i="24"/>
  <c r="JA53" i="24"/>
  <c r="NK53" i="24"/>
  <c r="IH53" i="24"/>
  <c r="MB13" i="24"/>
  <c r="MU13" i="24"/>
  <c r="LI13" i="24"/>
  <c r="NN13" i="24"/>
  <c r="KP13" i="24"/>
  <c r="IK13" i="24"/>
  <c r="IK198" i="24" s="1"/>
  <c r="JD13" i="24"/>
  <c r="JW13" i="24"/>
  <c r="IH263" i="24"/>
  <c r="NI14" i="24"/>
  <c r="MP14" i="24"/>
  <c r="LD14" i="24"/>
  <c r="LW14" i="24"/>
  <c r="KK14" i="24"/>
  <c r="IF14" i="24"/>
  <c r="IF199" i="24" s="1"/>
  <c r="IY14" i="24"/>
  <c r="JR14" i="24"/>
  <c r="II315" i="24"/>
  <c r="NL13" i="24"/>
  <c r="MS13" i="24"/>
  <c r="LZ13" i="24"/>
  <c r="KN13" i="24"/>
  <c r="II13" i="24"/>
  <c r="II198" i="24" s="1"/>
  <c r="LG13" i="24"/>
  <c r="JB13" i="24"/>
  <c r="JU13" i="24"/>
  <c r="LV12" i="24"/>
  <c r="NH12" i="24"/>
  <c r="LC12" i="24"/>
  <c r="KJ12" i="24"/>
  <c r="MO12" i="24"/>
  <c r="IE12" i="24"/>
  <c r="IE197" i="24" s="1"/>
  <c r="IX12" i="24"/>
  <c r="JQ12" i="24"/>
  <c r="LV60" i="24"/>
  <c r="MO60" i="24"/>
  <c r="NH60" i="24"/>
  <c r="LC60" i="24"/>
  <c r="KJ60" i="24"/>
  <c r="IX60" i="24"/>
  <c r="JQ60" i="24"/>
  <c r="IE60" i="24"/>
  <c r="IE245" i="24" s="1"/>
  <c r="IB329" i="24"/>
  <c r="IB331" i="24" s="1"/>
  <c r="NG67" i="24"/>
  <c r="LB67" i="24"/>
  <c r="LU67" i="24"/>
  <c r="MN67" i="24"/>
  <c r="KI67" i="24"/>
  <c r="JP67" i="24"/>
  <c r="IW67" i="24"/>
  <c r="ID67" i="24"/>
  <c r="ID252" i="24" s="1"/>
  <c r="LY14" i="24"/>
  <c r="NK14" i="24"/>
  <c r="LF14" i="24"/>
  <c r="KM14" i="24"/>
  <c r="IH14" i="24"/>
  <c r="IH199" i="24" s="1"/>
  <c r="MR14" i="24"/>
  <c r="JA14" i="24"/>
  <c r="JT14" i="24"/>
  <c r="LY54" i="24"/>
  <c r="MR54" i="24"/>
  <c r="LF54" i="24"/>
  <c r="NK54" i="24"/>
  <c r="KM54" i="24"/>
  <c r="JA54" i="24"/>
  <c r="JT54" i="24"/>
  <c r="IH54" i="24"/>
  <c r="IH239" i="24" s="1"/>
  <c r="MU10" i="24"/>
  <c r="MB10" i="24"/>
  <c r="NN10" i="24"/>
  <c r="KP10" i="24"/>
  <c r="LI10" i="24"/>
  <c r="IK10" i="24"/>
  <c r="IK195" i="24" s="1"/>
  <c r="JD10" i="24"/>
  <c r="JW10" i="24"/>
  <c r="NK10" i="24"/>
  <c r="MR10" i="24"/>
  <c r="LF10" i="24"/>
  <c r="KM10" i="24"/>
  <c r="JT10" i="24"/>
  <c r="LY10" i="24"/>
  <c r="IH10" i="24"/>
  <c r="IH195" i="24" s="1"/>
  <c r="JA10" i="24"/>
  <c r="LZ50" i="24"/>
  <c r="MS50" i="24"/>
  <c r="LG50" i="24"/>
  <c r="KN50" i="24"/>
  <c r="NL50" i="24"/>
  <c r="II50" i="24"/>
  <c r="II235" i="24" s="1"/>
  <c r="JB50" i="24"/>
  <c r="JU50" i="24"/>
  <c r="NH14" i="24"/>
  <c r="MO14" i="24"/>
  <c r="LV14" i="24"/>
  <c r="KJ14" i="24"/>
  <c r="IE14" i="24"/>
  <c r="IE199" i="24" s="1"/>
  <c r="IX14" i="24"/>
  <c r="LC14" i="24"/>
  <c r="JQ14" i="24"/>
  <c r="NM53" i="24"/>
  <c r="LH53" i="24"/>
  <c r="MA53" i="24"/>
  <c r="KO53" i="24"/>
  <c r="MT53" i="24"/>
  <c r="IJ53" i="24"/>
  <c r="JV53" i="24"/>
  <c r="JC53" i="24"/>
  <c r="NL60" i="24"/>
  <c r="LZ60" i="24"/>
  <c r="MS60" i="24"/>
  <c r="KN60" i="24"/>
  <c r="JU60" i="24"/>
  <c r="LG60" i="24"/>
  <c r="II60" i="24"/>
  <c r="II245" i="24" s="1"/>
  <c r="JB60" i="24"/>
  <c r="BB12" i="24"/>
  <c r="BB121" i="24" s="1"/>
  <c r="NM12" i="24"/>
  <c r="MT12" i="24"/>
  <c r="MA12" i="24"/>
  <c r="KO12" i="24"/>
  <c r="JV12" i="24"/>
  <c r="IJ12" i="24"/>
  <c r="IJ197" i="24" s="1"/>
  <c r="LH12" i="24"/>
  <c r="JC12" i="24"/>
  <c r="IF263" i="24"/>
  <c r="GF64" i="24"/>
  <c r="HR64" i="24"/>
  <c r="BC64" i="24"/>
  <c r="BC315" i="24" s="1"/>
  <c r="ET64" i="24"/>
  <c r="GX64" i="24"/>
  <c r="FG64" i="24"/>
  <c r="CI64" i="24"/>
  <c r="DB64" i="24"/>
  <c r="ES64" i="24"/>
  <c r="GE64" i="24"/>
  <c r="CN64" i="24"/>
  <c r="DZ64" i="24"/>
  <c r="HQ64" i="24"/>
  <c r="FL64" i="24"/>
  <c r="BU64" i="24"/>
  <c r="HL64" i="24"/>
  <c r="BA249" i="24"/>
  <c r="BA315" i="24"/>
  <c r="FM64" i="24"/>
  <c r="GA64" i="24"/>
  <c r="DH64" i="24"/>
  <c r="AT319" i="24"/>
  <c r="AT327" i="24" s="1"/>
  <c r="GT64" i="24"/>
  <c r="GY64" i="24"/>
  <c r="AT326" i="24"/>
  <c r="AX64" i="24"/>
  <c r="CO64" i="24"/>
  <c r="BB64" i="24"/>
  <c r="EA64" i="24"/>
  <c r="BV64" i="24"/>
  <c r="DG64" i="24"/>
  <c r="DU64" i="24"/>
  <c r="BP64" i="24"/>
  <c r="FZ64" i="24"/>
  <c r="EN64" i="24"/>
  <c r="EO64" i="24"/>
  <c r="K64" i="24"/>
  <c r="K46" i="27"/>
  <c r="FH64" i="24"/>
  <c r="DV64" i="24"/>
  <c r="HM64" i="24"/>
  <c r="CJ64" i="24"/>
  <c r="GS64" i="24"/>
  <c r="K27" i="10"/>
  <c r="DC64" i="24"/>
  <c r="L64" i="24"/>
  <c r="L46" i="27"/>
  <c r="AW64" i="24"/>
  <c r="BQ64" i="24"/>
  <c r="BN69" i="24"/>
  <c r="Q33" i="15"/>
  <c r="N13" i="15"/>
  <c r="Q13" i="15" s="1"/>
  <c r="N10" i="24"/>
  <c r="N45" i="27"/>
  <c r="N50" i="24"/>
  <c r="BU50" i="24" s="1"/>
  <c r="P27" i="12"/>
  <c r="AS303" i="24"/>
  <c r="AS300" i="24" s="1"/>
  <c r="N56" i="10"/>
  <c r="P8" i="14"/>
  <c r="BU12" i="24"/>
  <c r="DG12" i="24"/>
  <c r="GE12" i="24"/>
  <c r="CN12" i="24"/>
  <c r="FL12" i="24"/>
  <c r="DZ12" i="24"/>
  <c r="N112" i="10"/>
  <c r="N14" i="24" s="1"/>
  <c r="ES12" i="24"/>
  <c r="M34" i="12"/>
  <c r="N40" i="12" s="1"/>
  <c r="K57" i="10"/>
  <c r="BQ121" i="24"/>
  <c r="H264" i="37"/>
  <c r="K50" i="10"/>
  <c r="K101" i="10" s="1"/>
  <c r="K57" i="24" s="1"/>
  <c r="HQ12" i="24"/>
  <c r="AW238" i="24"/>
  <c r="AW304" i="24"/>
  <c r="BS121" i="24"/>
  <c r="O50" i="10"/>
  <c r="O101" i="10" s="1"/>
  <c r="GX12" i="24"/>
  <c r="AU328" i="24"/>
  <c r="AU330" i="24" s="1"/>
  <c r="AU329" i="24"/>
  <c r="AU331" i="24" s="1"/>
  <c r="AX121" i="24"/>
  <c r="AX197" i="24"/>
  <c r="AX263" i="24"/>
  <c r="AZ121" i="24"/>
  <c r="AZ197" i="24"/>
  <c r="AZ263" i="24"/>
  <c r="K112" i="10"/>
  <c r="K14" i="24" s="1"/>
  <c r="H158" i="37"/>
  <c r="H257" i="37"/>
  <c r="H245" i="37"/>
  <c r="H197" i="37"/>
  <c r="H210" i="37"/>
  <c r="H150" i="37"/>
  <c r="H163" i="37"/>
  <c r="H154" i="37"/>
  <c r="H209" i="37"/>
  <c r="H201" i="37"/>
  <c r="H162" i="37"/>
  <c r="H205" i="37"/>
  <c r="H156" i="37"/>
  <c r="H171" i="37"/>
  <c r="H168" i="37"/>
  <c r="H149" i="37"/>
  <c r="H155" i="37"/>
  <c r="H203" i="37"/>
  <c r="H218" i="37"/>
  <c r="H263" i="37"/>
  <c r="H250" i="37"/>
  <c r="H215" i="37"/>
  <c r="H196" i="37"/>
  <c r="H202" i="37"/>
  <c r="AU69" i="24"/>
  <c r="AT70" i="24"/>
  <c r="GS14" i="24"/>
  <c r="HL14" i="24"/>
  <c r="FZ14" i="24"/>
  <c r="FG14" i="24"/>
  <c r="HL12" i="24"/>
  <c r="GS12" i="24"/>
  <c r="FG12" i="24"/>
  <c r="FZ12" i="24"/>
  <c r="HP60" i="24"/>
  <c r="GW60" i="24"/>
  <c r="GD60" i="24"/>
  <c r="FK60" i="24"/>
  <c r="GD12" i="24"/>
  <c r="HP12" i="24"/>
  <c r="GW12" i="24"/>
  <c r="FK12" i="24"/>
  <c r="HL13" i="24"/>
  <c r="GS13" i="24"/>
  <c r="FZ13" i="24"/>
  <c r="FG13" i="24"/>
  <c r="HM13" i="24"/>
  <c r="FH13" i="24"/>
  <c r="GA13" i="24"/>
  <c r="GT13" i="24"/>
  <c r="HP14" i="24"/>
  <c r="GD14" i="24"/>
  <c r="GW14" i="24"/>
  <c r="FK14" i="24"/>
  <c r="HL50" i="24"/>
  <c r="FZ50" i="24"/>
  <c r="GS50" i="24"/>
  <c r="FG50" i="24"/>
  <c r="GT54" i="24"/>
  <c r="HM54" i="24"/>
  <c r="GA54" i="24"/>
  <c r="FH54" i="24"/>
  <c r="GT10" i="24"/>
  <c r="HM10" i="24"/>
  <c r="GA10" i="24"/>
  <c r="FH10" i="24"/>
  <c r="HR60" i="24"/>
  <c r="GY60" i="24"/>
  <c r="GF60" i="24"/>
  <c r="FM60" i="24"/>
  <c r="HL60" i="24"/>
  <c r="FZ60" i="24"/>
  <c r="GS60" i="24"/>
  <c r="FG60" i="24"/>
  <c r="GV53" i="24"/>
  <c r="HO53" i="24"/>
  <c r="GC53" i="24"/>
  <c r="FJ53" i="24"/>
  <c r="GT53" i="24"/>
  <c r="HM53" i="24"/>
  <c r="FH53" i="24"/>
  <c r="GA53" i="24"/>
  <c r="HR13" i="24"/>
  <c r="GY13" i="24"/>
  <c r="GF13" i="24"/>
  <c r="FM13" i="24"/>
  <c r="HR50" i="24"/>
  <c r="GY50" i="24"/>
  <c r="FM50" i="24"/>
  <c r="GF50" i="24"/>
  <c r="HO50" i="24"/>
  <c r="GV50" i="24"/>
  <c r="GC50" i="24"/>
  <c r="FJ50" i="24"/>
  <c r="HO13" i="24"/>
  <c r="GV13" i="24"/>
  <c r="GC13" i="24"/>
  <c r="FJ13" i="24"/>
  <c r="HO54" i="24"/>
  <c r="GV54" i="24"/>
  <c r="GC54" i="24"/>
  <c r="FJ54" i="24"/>
  <c r="HR14" i="24"/>
  <c r="GF14" i="24"/>
  <c r="GY14" i="24"/>
  <c r="FM14" i="24"/>
  <c r="HM60" i="24"/>
  <c r="GA60" i="24"/>
  <c r="GT60" i="24"/>
  <c r="FH60" i="24"/>
  <c r="HR10" i="24"/>
  <c r="GY10" i="24"/>
  <c r="GF10" i="24"/>
  <c r="FM10" i="24"/>
  <c r="HO10" i="24"/>
  <c r="GV10" i="24"/>
  <c r="GC10" i="24"/>
  <c r="FJ10" i="24"/>
  <c r="HO14" i="24"/>
  <c r="GV14" i="24"/>
  <c r="GC14" i="24"/>
  <c r="FJ14" i="24"/>
  <c r="HP54" i="24"/>
  <c r="GD54" i="24"/>
  <c r="GW54" i="24"/>
  <c r="FK54" i="24"/>
  <c r="HK67" i="24"/>
  <c r="GR67" i="24"/>
  <c r="FY67" i="24"/>
  <c r="FF67" i="24"/>
  <c r="HP10" i="24"/>
  <c r="GD10" i="24"/>
  <c r="GW10" i="24"/>
  <c r="FK10" i="24"/>
  <c r="HR12" i="24"/>
  <c r="GY12" i="24"/>
  <c r="FM12" i="24"/>
  <c r="GF12" i="24"/>
  <c r="GW53" i="24"/>
  <c r="GD53" i="24"/>
  <c r="HP53" i="24"/>
  <c r="FK53" i="24"/>
  <c r="HQ53" i="24"/>
  <c r="GX53" i="24"/>
  <c r="GE53" i="24"/>
  <c r="FL53" i="24"/>
  <c r="GR66" i="24"/>
  <c r="HK66" i="24"/>
  <c r="FY66" i="24"/>
  <c r="FF66" i="24"/>
  <c r="HP50" i="24"/>
  <c r="GW50" i="24"/>
  <c r="GD50" i="24"/>
  <c r="FK50" i="24"/>
  <c r="HL10" i="24"/>
  <c r="GS10" i="24"/>
  <c r="FZ10" i="24"/>
  <c r="FG10" i="24"/>
  <c r="HQ13" i="24"/>
  <c r="GX13" i="24"/>
  <c r="GE13" i="24"/>
  <c r="FL13" i="24"/>
  <c r="GT50" i="24"/>
  <c r="GA50" i="24"/>
  <c r="HM50" i="24"/>
  <c r="FH50" i="24"/>
  <c r="HP13" i="24"/>
  <c r="GD13" i="24"/>
  <c r="GW13" i="24"/>
  <c r="FK13" i="24"/>
  <c r="HQ60" i="24"/>
  <c r="GE60" i="24"/>
  <c r="GX60" i="24"/>
  <c r="FL60" i="24"/>
  <c r="HO60" i="24"/>
  <c r="GV60" i="24"/>
  <c r="FJ60" i="24"/>
  <c r="GC60" i="24"/>
  <c r="GT14" i="24"/>
  <c r="GA14" i="24"/>
  <c r="HM14" i="24"/>
  <c r="FH14" i="24"/>
  <c r="EM66" i="24"/>
  <c r="DT66" i="24"/>
  <c r="CH66" i="24"/>
  <c r="DA66" i="24"/>
  <c r="BO66" i="24"/>
  <c r="AV66" i="24"/>
  <c r="C205" i="37"/>
  <c r="ER50" i="24"/>
  <c r="DY50" i="24"/>
  <c r="DF50" i="24"/>
  <c r="CM50" i="24"/>
  <c r="BA50" i="24"/>
  <c r="BA301" i="24" s="1"/>
  <c r="EN14" i="24"/>
  <c r="DB14" i="24"/>
  <c r="DU14" i="24"/>
  <c r="CI14" i="24"/>
  <c r="BP14" i="24"/>
  <c r="AW14" i="24"/>
  <c r="ES53" i="24"/>
  <c r="DZ53" i="24"/>
  <c r="DG53" i="24"/>
  <c r="CN53" i="24"/>
  <c r="BU53" i="24"/>
  <c r="BB53" i="24"/>
  <c r="C121" i="37"/>
  <c r="EN12" i="24"/>
  <c r="DU12" i="24"/>
  <c r="DB12" i="24"/>
  <c r="CI12" i="24"/>
  <c r="BP12" i="24"/>
  <c r="AW12" i="24"/>
  <c r="C106" i="37"/>
  <c r="DU10" i="24"/>
  <c r="DB10" i="24"/>
  <c r="CI10" i="24"/>
  <c r="EN10" i="24"/>
  <c r="BP10" i="24"/>
  <c r="AW10" i="24"/>
  <c r="DZ13" i="24"/>
  <c r="ES13" i="24"/>
  <c r="DG13" i="24"/>
  <c r="CN13" i="24"/>
  <c r="BU13" i="24"/>
  <c r="BB13" i="24"/>
  <c r="EO50" i="24"/>
  <c r="DC50" i="24"/>
  <c r="DV50" i="24"/>
  <c r="CJ50" i="24"/>
  <c r="AX50" i="24"/>
  <c r="C197" i="37"/>
  <c r="DY60" i="24"/>
  <c r="ER60" i="24"/>
  <c r="DF60" i="24"/>
  <c r="CM60" i="24"/>
  <c r="BT60" i="24"/>
  <c r="BA60" i="24"/>
  <c r="DZ60" i="24"/>
  <c r="ES60" i="24"/>
  <c r="DG60" i="24"/>
  <c r="CN60" i="24"/>
  <c r="BU60" i="24"/>
  <c r="BB60" i="24"/>
  <c r="EQ60" i="24"/>
  <c r="DX60" i="24"/>
  <c r="DE60" i="24"/>
  <c r="CL60" i="24"/>
  <c r="BS60" i="24"/>
  <c r="AZ60" i="24"/>
  <c r="EN13" i="24"/>
  <c r="DB13" i="24"/>
  <c r="DU13" i="24"/>
  <c r="CI13" i="24"/>
  <c r="BP13" i="24"/>
  <c r="AW13" i="24"/>
  <c r="EO13" i="24"/>
  <c r="DV13" i="24"/>
  <c r="CJ13" i="24"/>
  <c r="DC13" i="24"/>
  <c r="BQ13" i="24"/>
  <c r="AX13" i="24"/>
  <c r="C110" i="37"/>
  <c r="DU50" i="24"/>
  <c r="EN50" i="24"/>
  <c r="CI50" i="24"/>
  <c r="DB50" i="24"/>
  <c r="AW50" i="24"/>
  <c r="EQ54" i="24"/>
  <c r="DE54" i="24"/>
  <c r="DX54" i="24"/>
  <c r="BS54" i="24"/>
  <c r="CL54" i="24"/>
  <c r="AZ54" i="24"/>
  <c r="C245" i="37"/>
  <c r="ET60" i="24"/>
  <c r="EA60" i="24"/>
  <c r="DH60" i="24"/>
  <c r="CO60" i="24"/>
  <c r="BV60" i="24"/>
  <c r="BC60" i="24"/>
  <c r="C102" i="37"/>
  <c r="DU60" i="24"/>
  <c r="EN60" i="24"/>
  <c r="CI60" i="24"/>
  <c r="DB60" i="24"/>
  <c r="BP60" i="24"/>
  <c r="AW60" i="24"/>
  <c r="EO60" i="24"/>
  <c r="DV60" i="24"/>
  <c r="DC60" i="24"/>
  <c r="CJ60" i="24"/>
  <c r="BQ60" i="24"/>
  <c r="AX60" i="24"/>
  <c r="DX53" i="24"/>
  <c r="EQ53" i="24"/>
  <c r="DE53" i="24"/>
  <c r="BS53" i="24"/>
  <c r="CL53" i="24"/>
  <c r="AZ53" i="24"/>
  <c r="C249" i="37"/>
  <c r="ET10" i="24"/>
  <c r="EA10" i="24"/>
  <c r="DH10" i="24"/>
  <c r="CO10" i="24"/>
  <c r="BV10" i="24"/>
  <c r="BC10" i="24"/>
  <c r="EQ10" i="24"/>
  <c r="DX10" i="24"/>
  <c r="DE10" i="24"/>
  <c r="CL10" i="24"/>
  <c r="BS10" i="24"/>
  <c r="AZ10" i="24"/>
  <c r="EQ14" i="24"/>
  <c r="DE14" i="24"/>
  <c r="DX14" i="24"/>
  <c r="CL14" i="24"/>
  <c r="BS14" i="24"/>
  <c r="AZ14" i="24"/>
  <c r="C210" i="37"/>
  <c r="DY54" i="24"/>
  <c r="ER54" i="24"/>
  <c r="DF54" i="24"/>
  <c r="CM54" i="24"/>
  <c r="BT54" i="24"/>
  <c r="BA54" i="24"/>
  <c r="DY13" i="24"/>
  <c r="DF13" i="24"/>
  <c r="ER13" i="24"/>
  <c r="CM13" i="24"/>
  <c r="BT13" i="24"/>
  <c r="BA13" i="24"/>
  <c r="EO14" i="24"/>
  <c r="DV14" i="24"/>
  <c r="CJ14" i="24"/>
  <c r="DC14" i="24"/>
  <c r="BQ14" i="24"/>
  <c r="AX14" i="24"/>
  <c r="C216" i="37"/>
  <c r="DY12" i="24"/>
  <c r="ER12" i="24"/>
  <c r="CM12" i="24"/>
  <c r="BT12" i="24"/>
  <c r="DF12" i="24"/>
  <c r="BA12" i="24"/>
  <c r="DC10" i="24"/>
  <c r="DV10" i="24"/>
  <c r="EO10" i="24"/>
  <c r="CJ10" i="24"/>
  <c r="BQ10" i="24"/>
  <c r="AX10" i="24"/>
  <c r="EA14" i="24"/>
  <c r="DH14" i="24"/>
  <c r="ET14" i="24"/>
  <c r="BV14" i="24"/>
  <c r="CO14" i="24"/>
  <c r="BC14" i="24"/>
  <c r="EO53" i="24"/>
  <c r="DV53" i="24"/>
  <c r="CJ53" i="24"/>
  <c r="BQ53" i="24"/>
  <c r="DC53" i="24"/>
  <c r="AX53" i="24"/>
  <c r="ET13" i="24"/>
  <c r="EA13" i="24"/>
  <c r="DH13" i="24"/>
  <c r="CO13" i="24"/>
  <c r="BV13" i="24"/>
  <c r="BC13" i="24"/>
  <c r="ET50" i="24"/>
  <c r="EA50" i="24"/>
  <c r="DH50" i="24"/>
  <c r="CO50" i="24"/>
  <c r="BC50" i="24"/>
  <c r="EQ50" i="24"/>
  <c r="DE50" i="24"/>
  <c r="CL50" i="24"/>
  <c r="DX50" i="24"/>
  <c r="AZ50" i="24"/>
  <c r="EQ13" i="24"/>
  <c r="DX13" i="24"/>
  <c r="DE13" i="24"/>
  <c r="CL13" i="24"/>
  <c r="BS13" i="24"/>
  <c r="AZ13" i="24"/>
  <c r="ER14" i="24"/>
  <c r="DY14" i="24"/>
  <c r="DF14" i="24"/>
  <c r="CM14" i="24"/>
  <c r="BT14" i="24"/>
  <c r="BA14" i="24"/>
  <c r="DV54" i="24"/>
  <c r="EO54" i="24"/>
  <c r="CJ54" i="24"/>
  <c r="DC54" i="24"/>
  <c r="BQ54" i="24"/>
  <c r="AX54" i="24"/>
  <c r="DT67" i="24"/>
  <c r="EM67" i="24"/>
  <c r="CH67" i="24"/>
  <c r="DA67" i="24"/>
  <c r="BO67" i="24"/>
  <c r="AV67" i="24"/>
  <c r="C201" i="37"/>
  <c r="ER10" i="24"/>
  <c r="DY10" i="24"/>
  <c r="CM10" i="24"/>
  <c r="BT10" i="24"/>
  <c r="DF10" i="24"/>
  <c r="C264" i="37"/>
  <c r="EA12" i="24"/>
  <c r="ET12" i="24"/>
  <c r="CO12" i="24"/>
  <c r="DH12" i="24"/>
  <c r="BV12" i="24"/>
  <c r="BC12" i="24"/>
  <c r="C209" i="37"/>
  <c r="DY53" i="24"/>
  <c r="DF53" i="24"/>
  <c r="ER53" i="24"/>
  <c r="CM53" i="24"/>
  <c r="BT53" i="24"/>
  <c r="BA53" i="24"/>
  <c r="J11" i="24"/>
  <c r="J9" i="24" s="1"/>
  <c r="L11" i="24"/>
  <c r="L9" i="24" s="1"/>
  <c r="C266" i="37"/>
  <c r="C251" i="37"/>
  <c r="M41" i="27"/>
  <c r="M57" i="24"/>
  <c r="C123" i="37"/>
  <c r="C108" i="37"/>
  <c r="J36" i="27"/>
  <c r="K53" i="24"/>
  <c r="J37" i="27"/>
  <c r="K54" i="24"/>
  <c r="K44" i="27"/>
  <c r="K50" i="24"/>
  <c r="BR50" i="24" s="1"/>
  <c r="C203" i="37"/>
  <c r="C218" i="37"/>
  <c r="K56" i="10"/>
  <c r="K45" i="27"/>
  <c r="K60" i="24"/>
  <c r="C244" i="37"/>
  <c r="C250" i="37"/>
  <c r="C215" i="37"/>
  <c r="C196" i="37"/>
  <c r="C202" i="37"/>
  <c r="C120" i="37"/>
  <c r="C107" i="37"/>
  <c r="C101" i="37"/>
  <c r="C263" i="37"/>
  <c r="C253" i="37"/>
  <c r="M11" i="24"/>
  <c r="M9" i="24" s="1"/>
  <c r="N36" i="27"/>
  <c r="O53" i="24"/>
  <c r="O11" i="24"/>
  <c r="O9" i="24" s="1"/>
  <c r="I11" i="24"/>
  <c r="I9" i="24" s="1"/>
  <c r="I51" i="10"/>
  <c r="K40" i="10"/>
  <c r="K92" i="10" s="1"/>
  <c r="K94" i="10" s="1"/>
  <c r="O40" i="10"/>
  <c r="O21" i="10" s="1"/>
  <c r="O29" i="10" s="1"/>
  <c r="K12" i="24"/>
  <c r="J35" i="27"/>
  <c r="K10" i="24"/>
  <c r="K43" i="27"/>
  <c r="K13" i="24"/>
  <c r="J34" i="27"/>
  <c r="I40" i="10"/>
  <c r="I92" i="10" s="1"/>
  <c r="I94" i="10" s="1"/>
  <c r="I106" i="10" s="1"/>
  <c r="M100" i="10"/>
  <c r="K100" i="10"/>
  <c r="J101" i="10"/>
  <c r="I57" i="10"/>
  <c r="I50" i="10"/>
  <c r="I101" i="10" s="1"/>
  <c r="O51" i="10"/>
  <c r="O57" i="10"/>
  <c r="H65" i="24"/>
  <c r="P31" i="15"/>
  <c r="Q10" i="15"/>
  <c r="Q4" i="15"/>
  <c r="P7" i="15"/>
  <c r="P32" i="15"/>
  <c r="Q38" i="15"/>
  <c r="N57" i="10"/>
  <c r="P33" i="15"/>
  <c r="N50" i="10"/>
  <c r="N51" i="10"/>
  <c r="Q32" i="15"/>
  <c r="Q28" i="15"/>
  <c r="M47" i="10"/>
  <c r="M19" i="27"/>
  <c r="P28" i="15"/>
  <c r="Q5" i="15"/>
  <c r="Q26" i="15"/>
  <c r="Q8" i="15"/>
  <c r="P36" i="15"/>
  <c r="Q14" i="15"/>
  <c r="P8" i="15"/>
  <c r="P30" i="15"/>
  <c r="P26" i="15"/>
  <c r="Q36" i="15"/>
  <c r="Q7" i="15"/>
  <c r="P35" i="15"/>
  <c r="P27" i="15"/>
  <c r="P34" i="15"/>
  <c r="Q34" i="15"/>
  <c r="P10" i="15"/>
  <c r="Q12" i="15"/>
  <c r="Q37" i="15"/>
  <c r="Q17" i="15"/>
  <c r="Q6" i="15"/>
  <c r="P11" i="15"/>
  <c r="Q29" i="15"/>
  <c r="Q27" i="15"/>
  <c r="Q15" i="15"/>
  <c r="P14" i="15"/>
  <c r="Q9" i="15"/>
  <c r="P13" i="15"/>
  <c r="P15" i="15"/>
  <c r="P6" i="15"/>
  <c r="N40" i="15"/>
  <c r="P25" i="15"/>
  <c r="P12" i="15"/>
  <c r="P9" i="15"/>
  <c r="Q31" i="15"/>
  <c r="P4" i="15"/>
  <c r="N92" i="10"/>
  <c r="P6" i="14"/>
  <c r="Q11" i="15"/>
  <c r="P29" i="15"/>
  <c r="Q30" i="15"/>
  <c r="P16" i="15"/>
  <c r="Q35" i="15"/>
  <c r="P40" i="13"/>
  <c r="E8" i="16" s="1"/>
  <c r="I66" i="24" s="1"/>
  <c r="P5" i="15"/>
  <c r="Q40" i="13"/>
  <c r="F8" i="16" s="1"/>
  <c r="I67" i="24" s="1"/>
  <c r="Q11" i="14"/>
  <c r="J57" i="10"/>
  <c r="J56" i="10"/>
  <c r="Q16" i="12"/>
  <c r="P10" i="12"/>
  <c r="Q37" i="14"/>
  <c r="J40" i="10"/>
  <c r="J92" i="10" s="1"/>
  <c r="J51" i="10"/>
  <c r="L57" i="10"/>
  <c r="L50" i="10"/>
  <c r="L101" i="10" s="1"/>
  <c r="L51" i="10"/>
  <c r="L40" i="10"/>
  <c r="L92" i="10" s="1"/>
  <c r="P32" i="12"/>
  <c r="P7" i="12"/>
  <c r="Q25" i="12"/>
  <c r="P30" i="12"/>
  <c r="P12" i="12"/>
  <c r="Q5" i="12"/>
  <c r="P6" i="12"/>
  <c r="Q12" i="12"/>
  <c r="Q26" i="12"/>
  <c r="Q28" i="14"/>
  <c r="P35" i="12"/>
  <c r="Q35" i="12"/>
  <c r="Q38" i="12"/>
  <c r="P36" i="12"/>
  <c r="Q14" i="14"/>
  <c r="P16" i="14"/>
  <c r="P4" i="12"/>
  <c r="P9" i="12"/>
  <c r="P8" i="12"/>
  <c r="P37" i="12"/>
  <c r="Q9" i="12"/>
  <c r="P17" i="12"/>
  <c r="P28" i="12"/>
  <c r="Q36" i="12"/>
  <c r="P31" i="12"/>
  <c r="Q31" i="12"/>
  <c r="Q7" i="12"/>
  <c r="Q11" i="12"/>
  <c r="P14" i="12"/>
  <c r="P29" i="12"/>
  <c r="Q15" i="12"/>
  <c r="Q8" i="12"/>
  <c r="Q29" i="12"/>
  <c r="Q27" i="14"/>
  <c r="P11" i="12"/>
  <c r="Q4" i="14"/>
  <c r="Q27" i="12"/>
  <c r="Q14" i="12"/>
  <c r="P26" i="12"/>
  <c r="P5" i="12"/>
  <c r="P25" i="12"/>
  <c r="Q10" i="12"/>
  <c r="Q6" i="12"/>
  <c r="Q13" i="12"/>
  <c r="P34" i="14"/>
  <c r="Q28" i="12"/>
  <c r="Q34" i="12"/>
  <c r="P15" i="12"/>
  <c r="P11" i="14"/>
  <c r="Q4" i="12"/>
  <c r="Q9" i="14"/>
  <c r="P36" i="14"/>
  <c r="Q30" i="12"/>
  <c r="P14" i="14"/>
  <c r="P5" i="14"/>
  <c r="P28" i="14"/>
  <c r="Q35" i="14"/>
  <c r="P13" i="12"/>
  <c r="Q5" i="14"/>
  <c r="Q38" i="14"/>
  <c r="Q32" i="12"/>
  <c r="P4" i="14"/>
  <c r="Q15" i="14"/>
  <c r="P26" i="14"/>
  <c r="P15" i="14"/>
  <c r="Q13" i="14"/>
  <c r="Q36" i="14"/>
  <c r="Q34" i="14"/>
  <c r="P12" i="14"/>
  <c r="Q7" i="14"/>
  <c r="Q33" i="14"/>
  <c r="Q6" i="14"/>
  <c r="P33" i="14"/>
  <c r="Q32" i="14"/>
  <c r="Q25" i="14"/>
  <c r="P17" i="14"/>
  <c r="Q31" i="14"/>
  <c r="P31" i="14"/>
  <c r="P30" i="14"/>
  <c r="Q30" i="14"/>
  <c r="P35" i="14"/>
  <c r="N40" i="14"/>
  <c r="P13" i="14"/>
  <c r="P9" i="14"/>
  <c r="P32" i="14"/>
  <c r="Q26" i="14"/>
  <c r="P7" i="14"/>
  <c r="P25" i="14"/>
  <c r="N19" i="12"/>
  <c r="Q29" i="14"/>
  <c r="P27" i="14"/>
  <c r="Q10" i="14"/>
  <c r="N19" i="14"/>
  <c r="P10" i="14"/>
  <c r="N40" i="13"/>
  <c r="M21" i="10"/>
  <c r="M29" i="10" s="1"/>
  <c r="M94" i="10"/>
  <c r="M106" i="10" s="1"/>
  <c r="Q20" i="13"/>
  <c r="IH196" i="24" l="1"/>
  <c r="IH194" i="24" s="1"/>
  <c r="IF196" i="24"/>
  <c r="IF194" i="24" s="1"/>
  <c r="II238" i="24"/>
  <c r="II196" i="24"/>
  <c r="II194" i="24" s="1"/>
  <c r="ID250" i="24"/>
  <c r="ID253" i="24" s="1"/>
  <c r="IF238" i="24"/>
  <c r="NO67" i="24"/>
  <c r="MC67" i="24"/>
  <c r="LJ67" i="24"/>
  <c r="KQ67" i="24"/>
  <c r="MV67" i="24"/>
  <c r="IL67" i="24"/>
  <c r="IL252" i="24" s="1"/>
  <c r="JX67" i="24"/>
  <c r="JE67" i="24"/>
  <c r="IJ238" i="24"/>
  <c r="IE196" i="24"/>
  <c r="IE194" i="24" s="1"/>
  <c r="IH238" i="24"/>
  <c r="IK196" i="24"/>
  <c r="IK194" i="24" s="1"/>
  <c r="GO329" i="24"/>
  <c r="GO331" i="24" s="1"/>
  <c r="HQ311" i="24"/>
  <c r="HQ245" i="24"/>
  <c r="HL261" i="24"/>
  <c r="HL195" i="24"/>
  <c r="HP261" i="24"/>
  <c r="HP195" i="24"/>
  <c r="HP305" i="24"/>
  <c r="HP239" i="24"/>
  <c r="HO261" i="24"/>
  <c r="HO195" i="24"/>
  <c r="HM311" i="24"/>
  <c r="HM245" i="24"/>
  <c r="HO305" i="24"/>
  <c r="HO239" i="24"/>
  <c r="HO235" i="24"/>
  <c r="HO301" i="24"/>
  <c r="HR198" i="24"/>
  <c r="HR264" i="24"/>
  <c r="HR311" i="24"/>
  <c r="HR245" i="24"/>
  <c r="HP265" i="24"/>
  <c r="HP199" i="24"/>
  <c r="HL198" i="24"/>
  <c r="HL264" i="24"/>
  <c r="HP311" i="24"/>
  <c r="HP245" i="24"/>
  <c r="HR315" i="24"/>
  <c r="HR249" i="24"/>
  <c r="HM304" i="24"/>
  <c r="HM238" i="24"/>
  <c r="HM261" i="24"/>
  <c r="HM195" i="24"/>
  <c r="HP263" i="24"/>
  <c r="HP197" i="24"/>
  <c r="HQ263" i="24"/>
  <c r="HQ197" i="24"/>
  <c r="HH329" i="24"/>
  <c r="HH331" i="24" s="1"/>
  <c r="HH328" i="24"/>
  <c r="HH330" i="24" s="1"/>
  <c r="HO311" i="24"/>
  <c r="HO245" i="24"/>
  <c r="HP264" i="24"/>
  <c r="HP198" i="24"/>
  <c r="HQ198" i="24"/>
  <c r="HQ264" i="24"/>
  <c r="HP301" i="24"/>
  <c r="HP235" i="24"/>
  <c r="HQ304" i="24"/>
  <c r="HQ238" i="24"/>
  <c r="HR263" i="24"/>
  <c r="HR197" i="24"/>
  <c r="HK252" i="24"/>
  <c r="HK318" i="24"/>
  <c r="HO265" i="24"/>
  <c r="HO199" i="24"/>
  <c r="HR261" i="24"/>
  <c r="HR195" i="24"/>
  <c r="HR199" i="24"/>
  <c r="HR265" i="24"/>
  <c r="HO264" i="24"/>
  <c r="HO198" i="24"/>
  <c r="HR301" i="24"/>
  <c r="HR235" i="24"/>
  <c r="HL311" i="24"/>
  <c r="HL245" i="24"/>
  <c r="HL301" i="24"/>
  <c r="HL235" i="24"/>
  <c r="HM264" i="24"/>
  <c r="HM198" i="24"/>
  <c r="HL197" i="24"/>
  <c r="HL263" i="24"/>
  <c r="GO328" i="24"/>
  <c r="GO330" i="24" s="1"/>
  <c r="HM315" i="24"/>
  <c r="HM249" i="24"/>
  <c r="GZ67" i="24"/>
  <c r="GZ318" i="24" s="1"/>
  <c r="HS67" i="24"/>
  <c r="HL315" i="24"/>
  <c r="HL249" i="24"/>
  <c r="HQ315" i="24"/>
  <c r="HQ249" i="24"/>
  <c r="HM265" i="24"/>
  <c r="HM199" i="24"/>
  <c r="HM301" i="24"/>
  <c r="HM235" i="24"/>
  <c r="HP304" i="24"/>
  <c r="HP238" i="24"/>
  <c r="HK251" i="24"/>
  <c r="HK317" i="24"/>
  <c r="HO304" i="24"/>
  <c r="HO238" i="24"/>
  <c r="HM239" i="24"/>
  <c r="HM305" i="24"/>
  <c r="HL265" i="24"/>
  <c r="HL199" i="24"/>
  <c r="GS261" i="24"/>
  <c r="GS195" i="24"/>
  <c r="GV261" i="24"/>
  <c r="GV195" i="24"/>
  <c r="GV305" i="24"/>
  <c r="GV239" i="24"/>
  <c r="GV301" i="24"/>
  <c r="GV235" i="24"/>
  <c r="GY264" i="24"/>
  <c r="GY198" i="24"/>
  <c r="GY245" i="24"/>
  <c r="GY311" i="24"/>
  <c r="GS264" i="24"/>
  <c r="GS198" i="24"/>
  <c r="GW245" i="24"/>
  <c r="GW311" i="24"/>
  <c r="GY249" i="24"/>
  <c r="GY315" i="24"/>
  <c r="GT265" i="24"/>
  <c r="GT199" i="24"/>
  <c r="GT301" i="24"/>
  <c r="GT235" i="24"/>
  <c r="GR317" i="24"/>
  <c r="GR251" i="24"/>
  <c r="GW238" i="24"/>
  <c r="GW304" i="24"/>
  <c r="GV238" i="24"/>
  <c r="GV304" i="24"/>
  <c r="GT305" i="24"/>
  <c r="GT239" i="24"/>
  <c r="GS265" i="24"/>
  <c r="GS199" i="24"/>
  <c r="GT249" i="24"/>
  <c r="GT315" i="24"/>
  <c r="GT311" i="24"/>
  <c r="GT245" i="24"/>
  <c r="GX263" i="24"/>
  <c r="GX197" i="24"/>
  <c r="GT264" i="24"/>
  <c r="GT198" i="24"/>
  <c r="GX245" i="24"/>
  <c r="GX311" i="24"/>
  <c r="GW239" i="24"/>
  <c r="GW305" i="24"/>
  <c r="GW264" i="24"/>
  <c r="GW198" i="24"/>
  <c r="GY265" i="24"/>
  <c r="GY199" i="24"/>
  <c r="GS245" i="24"/>
  <c r="GS311" i="24"/>
  <c r="GS301" i="24"/>
  <c r="GS235" i="24"/>
  <c r="GW263" i="24"/>
  <c r="GW197" i="24"/>
  <c r="GS249" i="24"/>
  <c r="GS315" i="24"/>
  <c r="GX315" i="24"/>
  <c r="GX249" i="24"/>
  <c r="GW261" i="24"/>
  <c r="GW195" i="24"/>
  <c r="GV311" i="24"/>
  <c r="GV245" i="24"/>
  <c r="GX264" i="24"/>
  <c r="GX198" i="24"/>
  <c r="GW301" i="24"/>
  <c r="GW235" i="24"/>
  <c r="GX304" i="24"/>
  <c r="GX238" i="24"/>
  <c r="GY263" i="24"/>
  <c r="GY197" i="24"/>
  <c r="GR318" i="24"/>
  <c r="GR252" i="24"/>
  <c r="GV265" i="24"/>
  <c r="GV199" i="24"/>
  <c r="GY261" i="24"/>
  <c r="GY195" i="24"/>
  <c r="GV264" i="24"/>
  <c r="GV198" i="24"/>
  <c r="GY235" i="24"/>
  <c r="GY301" i="24"/>
  <c r="GS263" i="24"/>
  <c r="GS197" i="24"/>
  <c r="GW265" i="24"/>
  <c r="GW199" i="24"/>
  <c r="GT304" i="24"/>
  <c r="GT238" i="24"/>
  <c r="GT261" i="24"/>
  <c r="GT195" i="24"/>
  <c r="GA304" i="24"/>
  <c r="GA238" i="24"/>
  <c r="GE315" i="24"/>
  <c r="GE249" i="24"/>
  <c r="GD301" i="24"/>
  <c r="GD235" i="24"/>
  <c r="GC265" i="24"/>
  <c r="GC199" i="24"/>
  <c r="GE304" i="24"/>
  <c r="GE238" i="24"/>
  <c r="GC264" i="24"/>
  <c r="GC198" i="24"/>
  <c r="GD264" i="24"/>
  <c r="GD198" i="24"/>
  <c r="GF199" i="24"/>
  <c r="GF265" i="24"/>
  <c r="FZ311" i="24"/>
  <c r="FZ245" i="24"/>
  <c r="FZ301" i="24"/>
  <c r="FZ235" i="24"/>
  <c r="FV329" i="24"/>
  <c r="FV331" i="24" s="1"/>
  <c r="FV328" i="24"/>
  <c r="FV330" i="24" s="1"/>
  <c r="FY252" i="24"/>
  <c r="FY318" i="24"/>
  <c r="GA264" i="24"/>
  <c r="GA198" i="24"/>
  <c r="GD197" i="24"/>
  <c r="GD263" i="24"/>
  <c r="FZ249" i="24"/>
  <c r="FZ315" i="24"/>
  <c r="FC328" i="24"/>
  <c r="FC330" i="24" s="1"/>
  <c r="GF301" i="24"/>
  <c r="GF235" i="24"/>
  <c r="GA315" i="24"/>
  <c r="GA249" i="24"/>
  <c r="GF315" i="24"/>
  <c r="GF249" i="24"/>
  <c r="GF197" i="24"/>
  <c r="GF263" i="24"/>
  <c r="FZ263" i="24"/>
  <c r="FZ197" i="24"/>
  <c r="FZ261" i="24"/>
  <c r="FZ195" i="24"/>
  <c r="FY251" i="24"/>
  <c r="FY317" i="24"/>
  <c r="GC195" i="24"/>
  <c r="GC261" i="24"/>
  <c r="GC305" i="24"/>
  <c r="GC239" i="24"/>
  <c r="GC301" i="24"/>
  <c r="GC235" i="24"/>
  <c r="GF198" i="24"/>
  <c r="GF264" i="24"/>
  <c r="GC238" i="24"/>
  <c r="GC304" i="24"/>
  <c r="GF245" i="24"/>
  <c r="GF311" i="24"/>
  <c r="GA305" i="24"/>
  <c r="GA239" i="24"/>
  <c r="FZ264" i="24"/>
  <c r="FZ198" i="24"/>
  <c r="GD311" i="24"/>
  <c r="GD245" i="24"/>
  <c r="FZ265" i="24"/>
  <c r="FZ199" i="24"/>
  <c r="GE263" i="24"/>
  <c r="GE197" i="24"/>
  <c r="GC311" i="24"/>
  <c r="GC245" i="24"/>
  <c r="GE264" i="24"/>
  <c r="GE198" i="24"/>
  <c r="GF195" i="24"/>
  <c r="GF261" i="24"/>
  <c r="GA261" i="24"/>
  <c r="GA195" i="24"/>
  <c r="GA265" i="24"/>
  <c r="GA199" i="24"/>
  <c r="GE245" i="24"/>
  <c r="GE311" i="24"/>
  <c r="GA301" i="24"/>
  <c r="GA235" i="24"/>
  <c r="GD238" i="24"/>
  <c r="GD304" i="24"/>
  <c r="GD195" i="24"/>
  <c r="GD261" i="24"/>
  <c r="GD305" i="24"/>
  <c r="GD239" i="24"/>
  <c r="GA311" i="24"/>
  <c r="GA245" i="24"/>
  <c r="GD265" i="24"/>
  <c r="GD199" i="24"/>
  <c r="FN67" i="24"/>
  <c r="FN252" i="24" s="1"/>
  <c r="GG67" i="24"/>
  <c r="FC329" i="24"/>
  <c r="FC331" i="24" s="1"/>
  <c r="EJ329" i="24"/>
  <c r="EJ331" i="24" s="1"/>
  <c r="EJ328" i="24"/>
  <c r="EJ330" i="24" s="1"/>
  <c r="FK198" i="24"/>
  <c r="FK264" i="24"/>
  <c r="FL198" i="24"/>
  <c r="FL264" i="24"/>
  <c r="FK301" i="24"/>
  <c r="FK235" i="24"/>
  <c r="FL304" i="24"/>
  <c r="FL238" i="24"/>
  <c r="FF252" i="24"/>
  <c r="FF318" i="24"/>
  <c r="FJ199" i="24"/>
  <c r="FJ265" i="24"/>
  <c r="FM195" i="24"/>
  <c r="FM261" i="24"/>
  <c r="FM199" i="24"/>
  <c r="FM265" i="24"/>
  <c r="FJ198" i="24"/>
  <c r="FJ264" i="24"/>
  <c r="FG311" i="24"/>
  <c r="FG245" i="24"/>
  <c r="FH195" i="24"/>
  <c r="FH261" i="24"/>
  <c r="FG235" i="24"/>
  <c r="FG301" i="24"/>
  <c r="FK197" i="24"/>
  <c r="FK263" i="24"/>
  <c r="FH315" i="24"/>
  <c r="FH249" i="24"/>
  <c r="CE328" i="24"/>
  <c r="CE330" i="24" s="1"/>
  <c r="FJ311" i="24"/>
  <c r="FJ245" i="24"/>
  <c r="FM197" i="24"/>
  <c r="FM263" i="24"/>
  <c r="FM235" i="24"/>
  <c r="FM301" i="24"/>
  <c r="FH304" i="24"/>
  <c r="FH238" i="24"/>
  <c r="FG197" i="24"/>
  <c r="FG263" i="24"/>
  <c r="FH198" i="24"/>
  <c r="FH264" i="24"/>
  <c r="FL315" i="24"/>
  <c r="FL249" i="24"/>
  <c r="FG249" i="24"/>
  <c r="FG315" i="24"/>
  <c r="FH199" i="24"/>
  <c r="FH265" i="24"/>
  <c r="FL245" i="24"/>
  <c r="FL311" i="24"/>
  <c r="FH301" i="24"/>
  <c r="FH235" i="24"/>
  <c r="FG195" i="24"/>
  <c r="FG261" i="24"/>
  <c r="FF251" i="24"/>
  <c r="FF317" i="24"/>
  <c r="FK238" i="24"/>
  <c r="FK304" i="24"/>
  <c r="FK195" i="24"/>
  <c r="FK261" i="24"/>
  <c r="FK305" i="24"/>
  <c r="FK239" i="24"/>
  <c r="FJ195" i="24"/>
  <c r="FJ261" i="24"/>
  <c r="FH311" i="24"/>
  <c r="FH245" i="24"/>
  <c r="FJ305" i="24"/>
  <c r="FJ239" i="24"/>
  <c r="FJ301" i="24"/>
  <c r="FJ235" i="24"/>
  <c r="FM198" i="24"/>
  <c r="FM264" i="24"/>
  <c r="FJ238" i="24"/>
  <c r="FJ304" i="24"/>
  <c r="FM245" i="24"/>
  <c r="FM311" i="24"/>
  <c r="FH305" i="24"/>
  <c r="FH239" i="24"/>
  <c r="FK199" i="24"/>
  <c r="FK265" i="24"/>
  <c r="FG198" i="24"/>
  <c r="FG264" i="24"/>
  <c r="FK311" i="24"/>
  <c r="FK245" i="24"/>
  <c r="FG199" i="24"/>
  <c r="FG265" i="24"/>
  <c r="FL197" i="24"/>
  <c r="FL263" i="24"/>
  <c r="FM315" i="24"/>
  <c r="FM249" i="24"/>
  <c r="EO195" i="24"/>
  <c r="EO261" i="24"/>
  <c r="EN264" i="24"/>
  <c r="EN198" i="24"/>
  <c r="EO235" i="24"/>
  <c r="EO301" i="24"/>
  <c r="EN265" i="24"/>
  <c r="EN199" i="24"/>
  <c r="ER304" i="24"/>
  <c r="ER238" i="24"/>
  <c r="ER265" i="24"/>
  <c r="ER199" i="24"/>
  <c r="ET301" i="24"/>
  <c r="ET235" i="24"/>
  <c r="ET265" i="24"/>
  <c r="ET199" i="24"/>
  <c r="ER305" i="24"/>
  <c r="ER239" i="24"/>
  <c r="EQ265" i="24"/>
  <c r="EQ199" i="24"/>
  <c r="ER311" i="24"/>
  <c r="ER245" i="24"/>
  <c r="EN261" i="24"/>
  <c r="EN195" i="24"/>
  <c r="ET263" i="24"/>
  <c r="ET197" i="24"/>
  <c r="EQ264" i="24"/>
  <c r="EQ262" i="24" s="1"/>
  <c r="EQ198" i="24"/>
  <c r="EQ196" i="24" s="1"/>
  <c r="EQ261" i="24"/>
  <c r="EQ195" i="24"/>
  <c r="ET311" i="24"/>
  <c r="ET245" i="24"/>
  <c r="EO239" i="24"/>
  <c r="EO305" i="24"/>
  <c r="ER264" i="24"/>
  <c r="ER198" i="24"/>
  <c r="EO245" i="24"/>
  <c r="EO311" i="24"/>
  <c r="EN301" i="24"/>
  <c r="EN235" i="24"/>
  <c r="EO264" i="24"/>
  <c r="EO198" i="24"/>
  <c r="ES304" i="24"/>
  <c r="ES238" i="24"/>
  <c r="ES263" i="24"/>
  <c r="ES197" i="24"/>
  <c r="EM318" i="24"/>
  <c r="EM252" i="24"/>
  <c r="EQ301" i="24"/>
  <c r="EQ235" i="24"/>
  <c r="EM317" i="24"/>
  <c r="EM251" i="24"/>
  <c r="ET315" i="24"/>
  <c r="ET249" i="24"/>
  <c r="EQ304" i="24"/>
  <c r="EQ238" i="24"/>
  <c r="EN263" i="24"/>
  <c r="EN197" i="24"/>
  <c r="EO304" i="24"/>
  <c r="EO238" i="24"/>
  <c r="ET261" i="24"/>
  <c r="ET195" i="24"/>
  <c r="ES264" i="24"/>
  <c r="ES198" i="24"/>
  <c r="ER301" i="24"/>
  <c r="ER235" i="24"/>
  <c r="ES311" i="24"/>
  <c r="ES245" i="24"/>
  <c r="ER261" i="24"/>
  <c r="ER195" i="24"/>
  <c r="ER263" i="24"/>
  <c r="ER197" i="24"/>
  <c r="EO265" i="24"/>
  <c r="EO199" i="24"/>
  <c r="EQ305" i="24"/>
  <c r="EQ239" i="24"/>
  <c r="EQ311" i="24"/>
  <c r="EQ245" i="24"/>
  <c r="EO315" i="24"/>
  <c r="EO249" i="24"/>
  <c r="ET264" i="24"/>
  <c r="ET198" i="24"/>
  <c r="EN245" i="24"/>
  <c r="EN311" i="24"/>
  <c r="EN315" i="24"/>
  <c r="EN249" i="24"/>
  <c r="ES315" i="24"/>
  <c r="ES249" i="24"/>
  <c r="EB67" i="24"/>
  <c r="EB318" i="24" s="1"/>
  <c r="EU67" i="24"/>
  <c r="DX264" i="24"/>
  <c r="DX198" i="24"/>
  <c r="EA264" i="24"/>
  <c r="EA198" i="24"/>
  <c r="DX261" i="24"/>
  <c r="DX195" i="24"/>
  <c r="EA245" i="24"/>
  <c r="EA311" i="24"/>
  <c r="DU264" i="24"/>
  <c r="DU198" i="24"/>
  <c r="DV235" i="24"/>
  <c r="DV301" i="24"/>
  <c r="DZ264" i="24"/>
  <c r="DZ198" i="24"/>
  <c r="DU265" i="24"/>
  <c r="DU199" i="24"/>
  <c r="DZ263" i="24"/>
  <c r="DZ197" i="24"/>
  <c r="DY263" i="24"/>
  <c r="DY197" i="24"/>
  <c r="DX265" i="24"/>
  <c r="DX199" i="24"/>
  <c r="EA263" i="24"/>
  <c r="EA197" i="24"/>
  <c r="DY265" i="24"/>
  <c r="DY199" i="24"/>
  <c r="EA235" i="24"/>
  <c r="EA301" i="24"/>
  <c r="DV261" i="24"/>
  <c r="DV195" i="24"/>
  <c r="DU311" i="24"/>
  <c r="DU245" i="24"/>
  <c r="DY238" i="24"/>
  <c r="DY304" i="24"/>
  <c r="DX301" i="24"/>
  <c r="DX235" i="24"/>
  <c r="DV245" i="24"/>
  <c r="DV311" i="24"/>
  <c r="DV264" i="24"/>
  <c r="DV198" i="24"/>
  <c r="DZ304" i="24"/>
  <c r="DZ238" i="24"/>
  <c r="EA249" i="24"/>
  <c r="EA315" i="24"/>
  <c r="DZ249" i="24"/>
  <c r="DZ315" i="24"/>
  <c r="DY239" i="24"/>
  <c r="DY305" i="24"/>
  <c r="DY245" i="24"/>
  <c r="DY311" i="24"/>
  <c r="DU263" i="24"/>
  <c r="DU197" i="24"/>
  <c r="DQ329" i="24"/>
  <c r="DQ331" i="24" s="1"/>
  <c r="DQ328" i="24"/>
  <c r="DQ330" i="24" s="1"/>
  <c r="DV239" i="24"/>
  <c r="DV305" i="24"/>
  <c r="EA265" i="24"/>
  <c r="EA199" i="24"/>
  <c r="DU235" i="24"/>
  <c r="DU301" i="24"/>
  <c r="DT317" i="24"/>
  <c r="DT251" i="24"/>
  <c r="DV238" i="24"/>
  <c r="DV304" i="24"/>
  <c r="DY264" i="24"/>
  <c r="DY198" i="24"/>
  <c r="EA261" i="24"/>
  <c r="EA195" i="24"/>
  <c r="DX238" i="24"/>
  <c r="DX304" i="24"/>
  <c r="DX239" i="24"/>
  <c r="DX305" i="24"/>
  <c r="DZ245" i="24"/>
  <c r="DZ311" i="24"/>
  <c r="DU261" i="24"/>
  <c r="DU195" i="24"/>
  <c r="DY301" i="24"/>
  <c r="DY235" i="24"/>
  <c r="DV315" i="24"/>
  <c r="DV249" i="24"/>
  <c r="DU249" i="24"/>
  <c r="DU315" i="24"/>
  <c r="DY261" i="24"/>
  <c r="DY195" i="24"/>
  <c r="DT318" i="24"/>
  <c r="DT252" i="24"/>
  <c r="DV265" i="24"/>
  <c r="DV199" i="24"/>
  <c r="DX245" i="24"/>
  <c r="DX311" i="24"/>
  <c r="DF265" i="24"/>
  <c r="DF199" i="24"/>
  <c r="DC301" i="24"/>
  <c r="DC235" i="24"/>
  <c r="DF238" i="24"/>
  <c r="DF304" i="24"/>
  <c r="DC239" i="24"/>
  <c r="DC305" i="24"/>
  <c r="DF239" i="24"/>
  <c r="DF305" i="24"/>
  <c r="DE265" i="24"/>
  <c r="DE199" i="24"/>
  <c r="DC245" i="24"/>
  <c r="DC311" i="24"/>
  <c r="DB235" i="24"/>
  <c r="DB301" i="24"/>
  <c r="DF245" i="24"/>
  <c r="DF311" i="24"/>
  <c r="DG304" i="24"/>
  <c r="DG238" i="24"/>
  <c r="DC315" i="24"/>
  <c r="DC249" i="24"/>
  <c r="DG249" i="24"/>
  <c r="DG315" i="24"/>
  <c r="DH249" i="24"/>
  <c r="DH315" i="24"/>
  <c r="DB264" i="24"/>
  <c r="DB198" i="24"/>
  <c r="DC261" i="24"/>
  <c r="DC195" i="24"/>
  <c r="DB263" i="24"/>
  <c r="DB197" i="24"/>
  <c r="DA251" i="24"/>
  <c r="DA317" i="24"/>
  <c r="DF261" i="24"/>
  <c r="DF195" i="24"/>
  <c r="DA252" i="24"/>
  <c r="DA318" i="24"/>
  <c r="DH265" i="24"/>
  <c r="DH199" i="24"/>
  <c r="DE238" i="24"/>
  <c r="DE304" i="24"/>
  <c r="DG245" i="24"/>
  <c r="DG311" i="24"/>
  <c r="DH235" i="24"/>
  <c r="DH301" i="24"/>
  <c r="DE235" i="24"/>
  <c r="DE301" i="24"/>
  <c r="DF263" i="24"/>
  <c r="DF197" i="24"/>
  <c r="DC265" i="24"/>
  <c r="DC199" i="24"/>
  <c r="DF264" i="24"/>
  <c r="DF198" i="24"/>
  <c r="DH261" i="24"/>
  <c r="DH195" i="24"/>
  <c r="DB261" i="24"/>
  <c r="DB195" i="24"/>
  <c r="DF235" i="24"/>
  <c r="DF301" i="24"/>
  <c r="DG263" i="24"/>
  <c r="DG197" i="24"/>
  <c r="DB249" i="24"/>
  <c r="DB315" i="24"/>
  <c r="DC264" i="24"/>
  <c r="DC198" i="24"/>
  <c r="DE245" i="24"/>
  <c r="DE311" i="24"/>
  <c r="DG264" i="24"/>
  <c r="DG198" i="24"/>
  <c r="DB265" i="24"/>
  <c r="DB199" i="24"/>
  <c r="DH263" i="24"/>
  <c r="DH197" i="24"/>
  <c r="DE264" i="24"/>
  <c r="DE262" i="24" s="1"/>
  <c r="DE198" i="24"/>
  <c r="DE196" i="24" s="1"/>
  <c r="DH264" i="24"/>
  <c r="DH198" i="24"/>
  <c r="DE195" i="24"/>
  <c r="DE261" i="24"/>
  <c r="DB311" i="24"/>
  <c r="DB245" i="24"/>
  <c r="DH245" i="24"/>
  <c r="DH311" i="24"/>
  <c r="DE305" i="24"/>
  <c r="DE239" i="24"/>
  <c r="CP67" i="24"/>
  <c r="CP252" i="24" s="1"/>
  <c r="DI67" i="24"/>
  <c r="CX329" i="24"/>
  <c r="CX331" i="24" s="1"/>
  <c r="CX328" i="24"/>
  <c r="CX330" i="24" s="1"/>
  <c r="DC304" i="24"/>
  <c r="DC238" i="24"/>
  <c r="CH252" i="24"/>
  <c r="CH318" i="24"/>
  <c r="CM261" i="24"/>
  <c r="CM195" i="24"/>
  <c r="CL264" i="24"/>
  <c r="CL198" i="24"/>
  <c r="CO198" i="24"/>
  <c r="CO264" i="24"/>
  <c r="CJ265" i="24"/>
  <c r="CJ199" i="24"/>
  <c r="CL261" i="24"/>
  <c r="CL195" i="24"/>
  <c r="CO311" i="24"/>
  <c r="CO245" i="24"/>
  <c r="CI264" i="24"/>
  <c r="CI198" i="24"/>
  <c r="CM304" i="24"/>
  <c r="CM238" i="24"/>
  <c r="CO263" i="24"/>
  <c r="CO197" i="24"/>
  <c r="CM265" i="24"/>
  <c r="CM199" i="24"/>
  <c r="CO235" i="24"/>
  <c r="CO301" i="24"/>
  <c r="CJ261" i="24"/>
  <c r="CJ195" i="24"/>
  <c r="CL265" i="24"/>
  <c r="CL199" i="24"/>
  <c r="CI311" i="24"/>
  <c r="CI245" i="24"/>
  <c r="CM305" i="24"/>
  <c r="CM239" i="24"/>
  <c r="CJ311" i="24"/>
  <c r="CJ245" i="24"/>
  <c r="CM311" i="24"/>
  <c r="CM245" i="24"/>
  <c r="CN304" i="24"/>
  <c r="CN238" i="24"/>
  <c r="CN249" i="24"/>
  <c r="CN315" i="24"/>
  <c r="CL304" i="24"/>
  <c r="CL238" i="24"/>
  <c r="CI263" i="24"/>
  <c r="CI197" i="24"/>
  <c r="CO199" i="24"/>
  <c r="CO265" i="24"/>
  <c r="CJ264" i="24"/>
  <c r="CJ198" i="24"/>
  <c r="CJ305" i="24"/>
  <c r="CJ239" i="24"/>
  <c r="CM264" i="24"/>
  <c r="CM198" i="24"/>
  <c r="CI235" i="24"/>
  <c r="CI301" i="24"/>
  <c r="CN311" i="24"/>
  <c r="CN245" i="24"/>
  <c r="CN263" i="24"/>
  <c r="CN197" i="24"/>
  <c r="CJ235" i="24"/>
  <c r="CJ301" i="24"/>
  <c r="CL301" i="24"/>
  <c r="CL235" i="24"/>
  <c r="CO261" i="24"/>
  <c r="CO195" i="24"/>
  <c r="CL239" i="24"/>
  <c r="CL305" i="24"/>
  <c r="CI261" i="24"/>
  <c r="CI195" i="24"/>
  <c r="CM301" i="24"/>
  <c r="CM235" i="24"/>
  <c r="CH251" i="24"/>
  <c r="CH317" i="24"/>
  <c r="CO315" i="24"/>
  <c r="CO249" i="24"/>
  <c r="CE329" i="24"/>
  <c r="CE331" i="24" s="1"/>
  <c r="CM263" i="24"/>
  <c r="CM197" i="24"/>
  <c r="CI265" i="24"/>
  <c r="CI199" i="24"/>
  <c r="CJ315" i="24"/>
  <c r="CJ249" i="24"/>
  <c r="CJ238" i="24"/>
  <c r="CJ304" i="24"/>
  <c r="CL245" i="24"/>
  <c r="CL311" i="24"/>
  <c r="CN264" i="24"/>
  <c r="CN198" i="24"/>
  <c r="CI315" i="24"/>
  <c r="CI249" i="24"/>
  <c r="BS265" i="24"/>
  <c r="BS199" i="24"/>
  <c r="BR301" i="24"/>
  <c r="BR235" i="24"/>
  <c r="BQ311" i="24"/>
  <c r="BQ245" i="24"/>
  <c r="BQ305" i="24"/>
  <c r="BQ239" i="24"/>
  <c r="BP263" i="24"/>
  <c r="BP197" i="24"/>
  <c r="BU235" i="24"/>
  <c r="BU301" i="24"/>
  <c r="BV315" i="24"/>
  <c r="BV249" i="24"/>
  <c r="BV265" i="24"/>
  <c r="BV199" i="24"/>
  <c r="BT264" i="24"/>
  <c r="BT198" i="24"/>
  <c r="BU311" i="24"/>
  <c r="BU245" i="24"/>
  <c r="BP261" i="24"/>
  <c r="BP195" i="24"/>
  <c r="BO317" i="24"/>
  <c r="BO251" i="24"/>
  <c r="BQ315" i="24"/>
  <c r="BQ249" i="24"/>
  <c r="BP315" i="24"/>
  <c r="BP249" i="24"/>
  <c r="BO318" i="24"/>
  <c r="BO252" i="24"/>
  <c r="BV261" i="24"/>
  <c r="BV195" i="24"/>
  <c r="BS304" i="24"/>
  <c r="BS238" i="24"/>
  <c r="BL329" i="24"/>
  <c r="BL331" i="24" s="1"/>
  <c r="BL328" i="24"/>
  <c r="BL330" i="24" s="1"/>
  <c r="BQ261" i="24"/>
  <c r="BQ195" i="24"/>
  <c r="BU304" i="24"/>
  <c r="BU238" i="24"/>
  <c r="BQ304" i="24"/>
  <c r="BQ238" i="24"/>
  <c r="BQ265" i="24"/>
  <c r="BQ199" i="24"/>
  <c r="BS311" i="24"/>
  <c r="BS245" i="24"/>
  <c r="BU264" i="24"/>
  <c r="BU198" i="24"/>
  <c r="BU315" i="24"/>
  <c r="BU249" i="24"/>
  <c r="BT265" i="24"/>
  <c r="BT199" i="24"/>
  <c r="BQ264" i="24"/>
  <c r="BQ198" i="24"/>
  <c r="BT261" i="24"/>
  <c r="BT195" i="24"/>
  <c r="BS264" i="24"/>
  <c r="BS262" i="24" s="1"/>
  <c r="BS334" i="24" s="1"/>
  <c r="BS198" i="24"/>
  <c r="BS196" i="24" s="1"/>
  <c r="BS333" i="24" s="1"/>
  <c r="BV264" i="24"/>
  <c r="BV198" i="24"/>
  <c r="BS261" i="24"/>
  <c r="BS195" i="24"/>
  <c r="BV311" i="24"/>
  <c r="BV245" i="24"/>
  <c r="BS305" i="24"/>
  <c r="BS239" i="24"/>
  <c r="BU121" i="24"/>
  <c r="BU263" i="24"/>
  <c r="BU197" i="24"/>
  <c r="BT304" i="24"/>
  <c r="BT238" i="24"/>
  <c r="BT305" i="24"/>
  <c r="BT239" i="24"/>
  <c r="BT311" i="24"/>
  <c r="BT245" i="24"/>
  <c r="BV263" i="24"/>
  <c r="BV197" i="24"/>
  <c r="BT263" i="24"/>
  <c r="BT197" i="24"/>
  <c r="BP311" i="24"/>
  <c r="BP245" i="24"/>
  <c r="BP264" i="24"/>
  <c r="BP198" i="24"/>
  <c r="BP265" i="24"/>
  <c r="BP199" i="24"/>
  <c r="BA11" i="24"/>
  <c r="BA9" i="24" s="1"/>
  <c r="BD67" i="24"/>
  <c r="BW67" i="24"/>
  <c r="DG10" i="24"/>
  <c r="P13" i="48"/>
  <c r="P19" i="48" s="1"/>
  <c r="N19" i="48"/>
  <c r="G16" i="16"/>
  <c r="BZ66" i="24" s="1"/>
  <c r="Q66" i="24"/>
  <c r="NK11" i="24"/>
  <c r="NK9" i="24" s="1"/>
  <c r="IW65" i="24"/>
  <c r="IW68" i="24" s="1"/>
  <c r="NG65" i="24"/>
  <c r="NG68" i="24" s="1"/>
  <c r="LW11" i="24"/>
  <c r="LW9" i="24" s="1"/>
  <c r="LF11" i="24"/>
  <c r="LF9" i="24" s="1"/>
  <c r="NI11" i="24"/>
  <c r="NI9" i="24" s="1"/>
  <c r="BB197" i="24"/>
  <c r="BB263" i="24"/>
  <c r="LI11" i="24"/>
  <c r="LI9" i="24" s="1"/>
  <c r="IF11" i="24"/>
  <c r="IF9" i="24" s="1"/>
  <c r="KM11" i="24"/>
  <c r="KM9" i="24" s="1"/>
  <c r="JA11" i="24"/>
  <c r="JA9" i="24" s="1"/>
  <c r="MR11" i="24"/>
  <c r="MR9" i="24" s="1"/>
  <c r="IY11" i="24"/>
  <c r="IY9" i="24" s="1"/>
  <c r="LD11" i="24"/>
  <c r="LD9" i="24" s="1"/>
  <c r="JR11" i="24"/>
  <c r="JR9" i="24" s="1"/>
  <c r="LB65" i="24"/>
  <c r="LB68" i="24" s="1"/>
  <c r="MU11" i="24"/>
  <c r="MU9" i="24" s="1"/>
  <c r="JQ11" i="24"/>
  <c r="JQ9" i="24" s="1"/>
  <c r="LY11" i="24"/>
  <c r="LY9" i="24" s="1"/>
  <c r="KK11" i="24"/>
  <c r="KK9" i="24" s="1"/>
  <c r="IH11" i="24"/>
  <c r="IH9" i="24" s="1"/>
  <c r="JB11" i="24"/>
  <c r="JB9" i="24" s="1"/>
  <c r="JT11" i="24"/>
  <c r="JT9" i="24" s="1"/>
  <c r="MP11" i="24"/>
  <c r="MP9" i="24" s="1"/>
  <c r="IJ263" i="24"/>
  <c r="MU53" i="24"/>
  <c r="NN53" i="24"/>
  <c r="LI53" i="24"/>
  <c r="JW53" i="24"/>
  <c r="MB53" i="24"/>
  <c r="IK53" i="24"/>
  <c r="KP53" i="24"/>
  <c r="JD53" i="24"/>
  <c r="II304" i="24"/>
  <c r="N19" i="15"/>
  <c r="MQ13" i="24"/>
  <c r="LX13" i="24"/>
  <c r="KL13" i="24"/>
  <c r="NJ13" i="24"/>
  <c r="LE13" i="24"/>
  <c r="JS13" i="24"/>
  <c r="IZ13" i="24"/>
  <c r="IG13" i="24"/>
  <c r="IG198" i="24" s="1"/>
  <c r="MQ53" i="24"/>
  <c r="NJ53" i="24"/>
  <c r="LE53" i="24"/>
  <c r="KL53" i="24"/>
  <c r="JS53" i="24"/>
  <c r="LX53" i="24"/>
  <c r="IZ53" i="24"/>
  <c r="IG53" i="24"/>
  <c r="IH305" i="24"/>
  <c r="ID318" i="24"/>
  <c r="LV11" i="24"/>
  <c r="LV9" i="24" s="1"/>
  <c r="IK264" i="24"/>
  <c r="NL11" i="24"/>
  <c r="NL9" i="24" s="1"/>
  <c r="LU65" i="24"/>
  <c r="LU68" i="24" s="1"/>
  <c r="IF301" i="24"/>
  <c r="KP11" i="24"/>
  <c r="KP9" i="24" s="1"/>
  <c r="IF305" i="24"/>
  <c r="IE315" i="24"/>
  <c r="FL10" i="24"/>
  <c r="IJ304" i="24"/>
  <c r="LY64" i="24"/>
  <c r="MR64" i="24"/>
  <c r="KM64" i="24"/>
  <c r="NK64" i="24"/>
  <c r="LF64" i="24"/>
  <c r="JT64" i="24"/>
  <c r="JA64" i="24"/>
  <c r="IH64" i="24"/>
  <c r="IH249" i="24" s="1"/>
  <c r="IE265" i="24"/>
  <c r="IH265" i="24"/>
  <c r="IE11" i="24"/>
  <c r="IE9" i="24" s="1"/>
  <c r="IE263" i="24"/>
  <c r="IA328" i="24"/>
  <c r="IA330" i="24" s="1"/>
  <c r="IA329" i="24"/>
  <c r="IA331" i="24" s="1"/>
  <c r="IK301" i="24"/>
  <c r="IE264" i="24"/>
  <c r="II263" i="24"/>
  <c r="II11" i="24"/>
  <c r="II9" i="24" s="1"/>
  <c r="ID65" i="24"/>
  <c r="ID68" i="24" s="1"/>
  <c r="ID317" i="24"/>
  <c r="II265" i="24"/>
  <c r="NN11" i="24"/>
  <c r="NN9" i="24" s="1"/>
  <c r="II311" i="24"/>
  <c r="IH261" i="24"/>
  <c r="IE311" i="24"/>
  <c r="II301" i="24"/>
  <c r="MS11" i="24"/>
  <c r="MS9" i="24" s="1"/>
  <c r="IK265" i="24"/>
  <c r="IJ315" i="24"/>
  <c r="MQ12" i="24"/>
  <c r="NJ12" i="24"/>
  <c r="LX12" i="24"/>
  <c r="KL12" i="24"/>
  <c r="IG12" i="24"/>
  <c r="IG197" i="24" s="1"/>
  <c r="IZ12" i="24"/>
  <c r="LE12" i="24"/>
  <c r="JS12" i="24"/>
  <c r="NJ50" i="24"/>
  <c r="LX50" i="24"/>
  <c r="KL50" i="24"/>
  <c r="MQ50" i="24"/>
  <c r="IG50" i="24"/>
  <c r="IG235" i="24" s="1"/>
  <c r="IZ50" i="24"/>
  <c r="JS50" i="24"/>
  <c r="LE50" i="24"/>
  <c r="LZ57" i="24"/>
  <c r="MS57" i="24"/>
  <c r="NL57" i="24"/>
  <c r="LG57" i="24"/>
  <c r="KN57" i="24"/>
  <c r="JB57" i="24"/>
  <c r="II57" i="24"/>
  <c r="II242" i="24" s="1"/>
  <c r="JU57" i="24"/>
  <c r="MQ57" i="24"/>
  <c r="NJ57" i="24"/>
  <c r="LE57" i="24"/>
  <c r="LX57" i="24"/>
  <c r="JS57" i="24"/>
  <c r="IG57" i="24"/>
  <c r="IG242" i="24" s="1"/>
  <c r="KL57" i="24"/>
  <c r="IZ57" i="24"/>
  <c r="H253" i="37"/>
  <c r="MA50" i="24"/>
  <c r="MT50" i="24"/>
  <c r="NM50" i="24"/>
  <c r="LH50" i="24"/>
  <c r="KO50" i="24"/>
  <c r="IJ50" i="24"/>
  <c r="IJ235" i="24" s="1"/>
  <c r="JC50" i="24"/>
  <c r="JV50" i="24"/>
  <c r="MO11" i="24"/>
  <c r="MO9" i="24" s="1"/>
  <c r="II264" i="24"/>
  <c r="IH301" i="24"/>
  <c r="KN11" i="24"/>
  <c r="KN9" i="24" s="1"/>
  <c r="JP65" i="24"/>
  <c r="JP68" i="24" s="1"/>
  <c r="IE301" i="24"/>
  <c r="IH311" i="24"/>
  <c r="JD11" i="24"/>
  <c r="JD9" i="24" s="1"/>
  <c r="H249" i="37"/>
  <c r="MA10" i="24"/>
  <c r="NM10" i="24"/>
  <c r="MT10" i="24"/>
  <c r="LH10" i="24"/>
  <c r="KO10" i="24"/>
  <c r="IJ10" i="24"/>
  <c r="IJ195" i="24" s="1"/>
  <c r="JC10" i="24"/>
  <c r="JV10" i="24"/>
  <c r="NH67" i="24"/>
  <c r="LC67" i="24"/>
  <c r="LV67" i="24"/>
  <c r="MO67" i="24"/>
  <c r="KJ67" i="24"/>
  <c r="JQ67" i="24"/>
  <c r="IE67" i="24"/>
  <c r="IE252" i="24" s="1"/>
  <c r="IX67" i="24"/>
  <c r="C152" i="37"/>
  <c r="MQ64" i="24"/>
  <c r="NJ64" i="24"/>
  <c r="KL64" i="24"/>
  <c r="JS64" i="24"/>
  <c r="LE64" i="24"/>
  <c r="IZ64" i="24"/>
  <c r="IG64" i="24"/>
  <c r="IG249" i="24" s="1"/>
  <c r="LX64" i="24"/>
  <c r="KJ11" i="24"/>
  <c r="KJ9" i="24" s="1"/>
  <c r="IF265" i="24"/>
  <c r="IF261" i="24"/>
  <c r="IF315" i="24"/>
  <c r="II305" i="24"/>
  <c r="IJ264" i="24"/>
  <c r="JU11" i="24"/>
  <c r="JU9" i="24" s="1"/>
  <c r="KI65" i="24"/>
  <c r="KI68" i="24" s="1"/>
  <c r="IF311" i="24"/>
  <c r="IF264" i="24"/>
  <c r="II261" i="24"/>
  <c r="IJ311" i="24"/>
  <c r="IK11" i="24"/>
  <c r="IK9" i="24" s="1"/>
  <c r="IK263" i="24"/>
  <c r="NJ10" i="24"/>
  <c r="MQ10" i="24"/>
  <c r="LX10" i="24"/>
  <c r="KL10" i="24"/>
  <c r="LE10" i="24"/>
  <c r="JS10" i="24"/>
  <c r="IG10" i="24"/>
  <c r="IG195" i="24" s="1"/>
  <c r="IZ10" i="24"/>
  <c r="MQ54" i="24"/>
  <c r="NJ54" i="24"/>
  <c r="LE54" i="24"/>
  <c r="LX54" i="24"/>
  <c r="JS54" i="24"/>
  <c r="IG54" i="24"/>
  <c r="IG239" i="24" s="1"/>
  <c r="KL54" i="24"/>
  <c r="IZ54" i="24"/>
  <c r="LC11" i="24"/>
  <c r="LC9" i="24" s="1"/>
  <c r="IH304" i="24"/>
  <c r="LG11" i="24"/>
  <c r="LG9" i="24" s="1"/>
  <c r="IK311" i="24"/>
  <c r="IF304" i="24"/>
  <c r="IK315" i="24"/>
  <c r="JW11" i="24"/>
  <c r="JW9" i="24" s="1"/>
  <c r="IH264" i="24"/>
  <c r="HQ14" i="24"/>
  <c r="MT14" i="24"/>
  <c r="MT11" i="24" s="1"/>
  <c r="NM14" i="24"/>
  <c r="NM11" i="24" s="1"/>
  <c r="KO14" i="24"/>
  <c r="KO11" i="24" s="1"/>
  <c r="JV14" i="24"/>
  <c r="JV11" i="24" s="1"/>
  <c r="MA14" i="24"/>
  <c r="MA11" i="24" s="1"/>
  <c r="LH14" i="24"/>
  <c r="LH11" i="24" s="1"/>
  <c r="IJ14" i="24"/>
  <c r="IJ199" i="24" s="1"/>
  <c r="IJ196" i="24" s="1"/>
  <c r="JC14" i="24"/>
  <c r="JC11" i="24" s="1"/>
  <c r="IK261" i="24"/>
  <c r="IX11" i="24"/>
  <c r="IX9" i="24" s="1"/>
  <c r="LV66" i="24"/>
  <c r="MO66" i="24"/>
  <c r="NH66" i="24"/>
  <c r="LC66" i="24"/>
  <c r="KJ66" i="24"/>
  <c r="IE66" i="24"/>
  <c r="IE251" i="24" s="1"/>
  <c r="IX66" i="24"/>
  <c r="JQ66" i="24"/>
  <c r="MQ60" i="24"/>
  <c r="NJ60" i="24"/>
  <c r="KL60" i="24"/>
  <c r="JS60" i="24"/>
  <c r="LX60" i="24"/>
  <c r="LE60" i="24"/>
  <c r="IZ60" i="24"/>
  <c r="IG60" i="24"/>
  <c r="IG245" i="24" s="1"/>
  <c r="HN14" i="24"/>
  <c r="LX14" i="24"/>
  <c r="MQ14" i="24"/>
  <c r="LE14" i="24"/>
  <c r="NJ14" i="24"/>
  <c r="KL14" i="24"/>
  <c r="IG14" i="24"/>
  <c r="IG199" i="24" s="1"/>
  <c r="IZ14" i="24"/>
  <c r="JS14" i="24"/>
  <c r="NH11" i="24"/>
  <c r="NH9" i="24" s="1"/>
  <c r="LZ11" i="24"/>
  <c r="LZ9" i="24" s="1"/>
  <c r="MN65" i="24"/>
  <c r="MN68" i="24" s="1"/>
  <c r="IE261" i="24"/>
  <c r="MB11" i="24"/>
  <c r="MB9" i="24" s="1"/>
  <c r="BC249" i="24"/>
  <c r="ES14" i="24"/>
  <c r="BR64" i="24"/>
  <c r="FI64" i="24"/>
  <c r="DW64" i="24"/>
  <c r="AT328" i="24"/>
  <c r="AT330" i="24" s="1"/>
  <c r="AT329" i="24"/>
  <c r="AT331" i="24" s="1"/>
  <c r="CN10" i="24"/>
  <c r="ES10" i="24"/>
  <c r="GX10" i="24"/>
  <c r="GE10" i="24"/>
  <c r="BB249" i="24"/>
  <c r="BB315" i="24"/>
  <c r="HQ10" i="24"/>
  <c r="AX315" i="24"/>
  <c r="AX249" i="24"/>
  <c r="GU64" i="24"/>
  <c r="AW315" i="24"/>
  <c r="AW249" i="24"/>
  <c r="BB10" i="24"/>
  <c r="BB195" i="24" s="1"/>
  <c r="GB64" i="24"/>
  <c r="HN64" i="24"/>
  <c r="EP64" i="24"/>
  <c r="AY64" i="24"/>
  <c r="H199" i="37"/>
  <c r="HO64" i="24"/>
  <c r="CL64" i="24"/>
  <c r="AZ64" i="24"/>
  <c r="DX64" i="24"/>
  <c r="DE64" i="24"/>
  <c r="GC64" i="24"/>
  <c r="EQ64" i="24"/>
  <c r="BS64" i="24"/>
  <c r="GV64" i="24"/>
  <c r="FJ64" i="24"/>
  <c r="CK64" i="24"/>
  <c r="DD64" i="24"/>
  <c r="BU10" i="24"/>
  <c r="H244" i="37"/>
  <c r="DZ10" i="24"/>
  <c r="CN50" i="24"/>
  <c r="N11" i="24"/>
  <c r="N9" i="24" s="1"/>
  <c r="DG14" i="24"/>
  <c r="CN14" i="24"/>
  <c r="DZ50" i="24"/>
  <c r="ES50" i="24"/>
  <c r="FL50" i="24"/>
  <c r="BB50" i="24"/>
  <c r="BB235" i="24" s="1"/>
  <c r="GX50" i="24"/>
  <c r="GE50" i="24"/>
  <c r="DG50" i="24"/>
  <c r="HQ50" i="24"/>
  <c r="H251" i="37"/>
  <c r="GE14" i="24"/>
  <c r="K41" i="27"/>
  <c r="GX14" i="24"/>
  <c r="DZ14" i="24"/>
  <c r="H266" i="37"/>
  <c r="BB14" i="24"/>
  <c r="BB11" i="24" s="1"/>
  <c r="FL14" i="24"/>
  <c r="BU14" i="24"/>
  <c r="DD14" i="24"/>
  <c r="DW14" i="24"/>
  <c r="BV121" i="24"/>
  <c r="AW245" i="24"/>
  <c r="AW311" i="24"/>
  <c r="BT121" i="24"/>
  <c r="BP121" i="24"/>
  <c r="BA238" i="24"/>
  <c r="BA304" i="24"/>
  <c r="BT123" i="24"/>
  <c r="BA239" i="24"/>
  <c r="BA305" i="24"/>
  <c r="BS123" i="24"/>
  <c r="AX245" i="24"/>
  <c r="AX311" i="24"/>
  <c r="BP122" i="24"/>
  <c r="AZ245" i="24"/>
  <c r="AZ311" i="24"/>
  <c r="AX239" i="24"/>
  <c r="AX305" i="24"/>
  <c r="AZ235" i="24"/>
  <c r="AZ301" i="24"/>
  <c r="C171" i="37"/>
  <c r="AZ238" i="24"/>
  <c r="AZ304" i="24"/>
  <c r="AW235" i="24"/>
  <c r="AW301" i="24"/>
  <c r="BQ122" i="24"/>
  <c r="BU122" i="24"/>
  <c r="BC235" i="24"/>
  <c r="BC301" i="24"/>
  <c r="BV122" i="24"/>
  <c r="BB245" i="24"/>
  <c r="BB311" i="24"/>
  <c r="AV251" i="24"/>
  <c r="AV317" i="24"/>
  <c r="P34" i="12"/>
  <c r="P40" i="12" s="1"/>
  <c r="E10" i="16" s="1"/>
  <c r="K66" i="24" s="1"/>
  <c r="AV252" i="24"/>
  <c r="AV318" i="24"/>
  <c r="AX238" i="24"/>
  <c r="AX304" i="24"/>
  <c r="BV123" i="24"/>
  <c r="BT122" i="24"/>
  <c r="AX235" i="24"/>
  <c r="AX301" i="24"/>
  <c r="HR11" i="24"/>
  <c r="HR9" i="24" s="1"/>
  <c r="BS122" i="24"/>
  <c r="AZ239" i="24"/>
  <c r="AZ305" i="24"/>
  <c r="BA245" i="24"/>
  <c r="BA311" i="24"/>
  <c r="BP123" i="24"/>
  <c r="BQ123" i="24"/>
  <c r="BC245" i="24"/>
  <c r="BC311" i="24"/>
  <c r="CK14" i="24"/>
  <c r="BB238" i="24"/>
  <c r="BB304" i="24"/>
  <c r="BA122" i="24"/>
  <c r="BA198" i="24"/>
  <c r="BA264" i="24"/>
  <c r="AZ122" i="24"/>
  <c r="AZ264" i="24"/>
  <c r="AZ198" i="24"/>
  <c r="BC195" i="24"/>
  <c r="BC261" i="24"/>
  <c r="AW123" i="24"/>
  <c r="AW265" i="24"/>
  <c r="AW199" i="24"/>
  <c r="BA195" i="24"/>
  <c r="BA261" i="24"/>
  <c r="AX123" i="24"/>
  <c r="AX199" i="24"/>
  <c r="AX265" i="24"/>
  <c r="BC122" i="24"/>
  <c r="BC264" i="24"/>
  <c r="BC198" i="24"/>
  <c r="BA121" i="24"/>
  <c r="BA263" i="24"/>
  <c r="BA197" i="24"/>
  <c r="AZ261" i="24"/>
  <c r="AZ195" i="24"/>
  <c r="AW121" i="24"/>
  <c r="AW197" i="24"/>
  <c r="AW263" i="24"/>
  <c r="BA123" i="24"/>
  <c r="BA199" i="24"/>
  <c r="BA265" i="24"/>
  <c r="AX261" i="24"/>
  <c r="AX195" i="24"/>
  <c r="AZ123" i="24"/>
  <c r="AZ199" i="24"/>
  <c r="AZ265" i="24"/>
  <c r="AW122" i="24"/>
  <c r="AW198" i="24"/>
  <c r="AW264" i="24"/>
  <c r="AW261" i="24"/>
  <c r="AW195" i="24"/>
  <c r="BC121" i="24"/>
  <c r="BC263" i="24"/>
  <c r="BC197" i="24"/>
  <c r="BC123" i="24"/>
  <c r="BC265" i="24"/>
  <c r="BC199" i="24"/>
  <c r="AX122" i="24"/>
  <c r="AX264" i="24"/>
  <c r="AX198" i="24"/>
  <c r="BB122" i="24"/>
  <c r="BB198" i="24"/>
  <c r="BB264" i="24"/>
  <c r="BA235" i="24"/>
  <c r="C156" i="37"/>
  <c r="EP14" i="24"/>
  <c r="FI14" i="24"/>
  <c r="GB14" i="24"/>
  <c r="AY14" i="24"/>
  <c r="GU14" i="24"/>
  <c r="BR14" i="24"/>
  <c r="FH11" i="24"/>
  <c r="CJ11" i="24"/>
  <c r="GY11" i="24"/>
  <c r="FM11" i="24"/>
  <c r="FG11" i="24"/>
  <c r="FG9" i="24" s="1"/>
  <c r="FF65" i="24"/>
  <c r="FF68" i="24" s="1"/>
  <c r="GT11" i="24"/>
  <c r="FK11" i="24"/>
  <c r="GC11" i="24"/>
  <c r="EO11" i="24"/>
  <c r="HK65" i="24"/>
  <c r="HK68" i="24" s="1"/>
  <c r="GV11" i="24"/>
  <c r="HO11" i="24"/>
  <c r="HM11" i="24"/>
  <c r="FJ11" i="24"/>
  <c r="HP57" i="24"/>
  <c r="GW57" i="24"/>
  <c r="FK57" i="24"/>
  <c r="GD57" i="24"/>
  <c r="HN12" i="24"/>
  <c r="GU12" i="24"/>
  <c r="GB12" i="24"/>
  <c r="FI12" i="24"/>
  <c r="HL11" i="24"/>
  <c r="GR65" i="24"/>
  <c r="GR68" i="24" s="1"/>
  <c r="GA11" i="24"/>
  <c r="GW11" i="24"/>
  <c r="HN57" i="24"/>
  <c r="GB57" i="24"/>
  <c r="FI57" i="24"/>
  <c r="GU57" i="24"/>
  <c r="HN54" i="24"/>
  <c r="GU54" i="24"/>
  <c r="FI54" i="24"/>
  <c r="GB54" i="24"/>
  <c r="HN53" i="24"/>
  <c r="GB53" i="24"/>
  <c r="GU53" i="24"/>
  <c r="FI53" i="24"/>
  <c r="HP11" i="24"/>
  <c r="HN60" i="24"/>
  <c r="GU60" i="24"/>
  <c r="GB60" i="24"/>
  <c r="FI60" i="24"/>
  <c r="FY65" i="24"/>
  <c r="FY68" i="24" s="1"/>
  <c r="GD11" i="24"/>
  <c r="HN13" i="24"/>
  <c r="FI13" i="24"/>
  <c r="GU13" i="24"/>
  <c r="GB13" i="24"/>
  <c r="GB50" i="24"/>
  <c r="HN50" i="24"/>
  <c r="GU50" i="24"/>
  <c r="FI50" i="24"/>
  <c r="GU10" i="24"/>
  <c r="GB10" i="24"/>
  <c r="HN10" i="24"/>
  <c r="FI10" i="24"/>
  <c r="HL66" i="24"/>
  <c r="GS66" i="24"/>
  <c r="FZ66" i="24"/>
  <c r="FG66" i="24"/>
  <c r="HR53" i="24"/>
  <c r="GY53" i="24"/>
  <c r="GF53" i="24"/>
  <c r="FM53" i="24"/>
  <c r="GS11" i="24"/>
  <c r="HL67" i="24"/>
  <c r="FZ67" i="24"/>
  <c r="FG67" i="24"/>
  <c r="GS67" i="24"/>
  <c r="EQ11" i="24"/>
  <c r="GF11" i="24"/>
  <c r="FZ11" i="24"/>
  <c r="BQ11" i="24"/>
  <c r="DC11" i="24"/>
  <c r="AX11" i="24"/>
  <c r="DX11" i="24"/>
  <c r="AZ11" i="24"/>
  <c r="BC11" i="24"/>
  <c r="CL11" i="24"/>
  <c r="DV11" i="24"/>
  <c r="DF11" i="24"/>
  <c r="AV65" i="24"/>
  <c r="AV68" i="24" s="1"/>
  <c r="BV11" i="24"/>
  <c r="DE11" i="24"/>
  <c r="BO65" i="24"/>
  <c r="BO68" i="24" s="1"/>
  <c r="ER11" i="24"/>
  <c r="DB11" i="24"/>
  <c r="DU11" i="24"/>
  <c r="BS11" i="24"/>
  <c r="EN11" i="24"/>
  <c r="C162" i="37"/>
  <c r="EP53" i="24"/>
  <c r="DW53" i="24"/>
  <c r="DD53" i="24"/>
  <c r="CK53" i="24"/>
  <c r="BR53" i="24"/>
  <c r="AY53" i="24"/>
  <c r="BP11" i="24"/>
  <c r="EM65" i="24"/>
  <c r="EM68" i="24" s="1"/>
  <c r="EN67" i="24"/>
  <c r="DB67" i="24"/>
  <c r="DU67" i="24"/>
  <c r="CI67" i="24"/>
  <c r="BP67" i="24"/>
  <c r="AW67" i="24"/>
  <c r="CI11" i="24"/>
  <c r="DW50" i="24"/>
  <c r="EP50" i="24"/>
  <c r="DD50" i="24"/>
  <c r="CK50" i="24"/>
  <c r="AY50" i="24"/>
  <c r="C257" i="37"/>
  <c r="EA53" i="24"/>
  <c r="ET53" i="24"/>
  <c r="DH53" i="24"/>
  <c r="CO53" i="24"/>
  <c r="BC53" i="24"/>
  <c r="C150" i="37"/>
  <c r="DW60" i="24"/>
  <c r="DD60" i="24"/>
  <c r="EP60" i="24"/>
  <c r="CK60" i="24"/>
  <c r="BR60" i="24"/>
  <c r="AY60" i="24"/>
  <c r="AY311" i="24" s="1"/>
  <c r="CO11" i="24"/>
  <c r="DA65" i="24"/>
  <c r="DA68" i="24" s="1"/>
  <c r="EN66" i="24"/>
  <c r="DB66" i="24"/>
  <c r="DU66" i="24"/>
  <c r="CI66" i="24"/>
  <c r="BP66" i="24"/>
  <c r="AW66" i="24"/>
  <c r="C154" i="37"/>
  <c r="DW10" i="24"/>
  <c r="EP10" i="24"/>
  <c r="DD10" i="24"/>
  <c r="CK10" i="24"/>
  <c r="BR10" i="24"/>
  <c r="AY10" i="24"/>
  <c r="C211" i="37"/>
  <c r="ER57" i="24"/>
  <c r="CM57" i="24"/>
  <c r="DF57" i="24"/>
  <c r="DY57" i="24"/>
  <c r="BT57" i="24"/>
  <c r="BA57" i="24"/>
  <c r="DH11" i="24"/>
  <c r="CM11" i="24"/>
  <c r="C169" i="37"/>
  <c r="DW12" i="24"/>
  <c r="EP12" i="24"/>
  <c r="DD12" i="24"/>
  <c r="CK12" i="24"/>
  <c r="BR12" i="24"/>
  <c r="AY12" i="24"/>
  <c r="C163" i="37"/>
  <c r="EP54" i="24"/>
  <c r="DW54" i="24"/>
  <c r="CK54" i="24"/>
  <c r="DD54" i="24"/>
  <c r="BR54" i="24"/>
  <c r="AY54" i="24"/>
  <c r="ET11" i="24"/>
  <c r="DY11" i="24"/>
  <c r="CH65" i="24"/>
  <c r="CH68" i="24" s="1"/>
  <c r="C164" i="37"/>
  <c r="EP57" i="24"/>
  <c r="DW57" i="24"/>
  <c r="DD57" i="24"/>
  <c r="CK57" i="24"/>
  <c r="BR57" i="24"/>
  <c r="AY57" i="24"/>
  <c r="EA11" i="24"/>
  <c r="AW11" i="24"/>
  <c r="DT65" i="24"/>
  <c r="DT68" i="24" s="1"/>
  <c r="EP13" i="24"/>
  <c r="DW13" i="24"/>
  <c r="DD13" i="24"/>
  <c r="CK13" i="24"/>
  <c r="BR13" i="24"/>
  <c r="AY13" i="24"/>
  <c r="I41" i="27"/>
  <c r="I57" i="24"/>
  <c r="M40" i="27"/>
  <c r="M113" i="10"/>
  <c r="M59" i="24" s="1"/>
  <c r="M58" i="24"/>
  <c r="L41" i="27"/>
  <c r="L57" i="24"/>
  <c r="C158" i="37"/>
  <c r="I42" i="27"/>
  <c r="I61" i="24"/>
  <c r="M42" i="27"/>
  <c r="M61" i="24"/>
  <c r="J41" i="27"/>
  <c r="J57" i="24"/>
  <c r="K40" i="27"/>
  <c r="K113" i="10"/>
  <c r="K59" i="24" s="1"/>
  <c r="K58" i="24"/>
  <c r="C168" i="37"/>
  <c r="C155" i="37"/>
  <c r="C149" i="37"/>
  <c r="O41" i="27"/>
  <c r="O57" i="24"/>
  <c r="K11" i="24"/>
  <c r="K9" i="24" s="1"/>
  <c r="I100" i="10"/>
  <c r="K47" i="10"/>
  <c r="K21" i="10"/>
  <c r="K29" i="10" s="1"/>
  <c r="K19" i="27"/>
  <c r="O19" i="27"/>
  <c r="O92" i="10"/>
  <c r="O94" i="10" s="1"/>
  <c r="O106" i="10" s="1"/>
  <c r="O47" i="10"/>
  <c r="I19" i="27"/>
  <c r="I47" i="10"/>
  <c r="I21" i="10"/>
  <c r="I29" i="10" s="1"/>
  <c r="K30" i="10"/>
  <c r="K5" i="27" s="1"/>
  <c r="K106" i="10"/>
  <c r="L100" i="10"/>
  <c r="I30" i="10"/>
  <c r="I31" i="10" s="1"/>
  <c r="I6" i="27" s="1"/>
  <c r="N101" i="10"/>
  <c r="N100" i="10"/>
  <c r="N40" i="27" s="1"/>
  <c r="J100" i="10"/>
  <c r="O100" i="10"/>
  <c r="O113" i="10" s="1"/>
  <c r="N94" i="10"/>
  <c r="N19" i="27"/>
  <c r="J47" i="10"/>
  <c r="J19" i="27"/>
  <c r="J94" i="10"/>
  <c r="J106" i="10" s="1"/>
  <c r="L21" i="10"/>
  <c r="L29" i="10" s="1"/>
  <c r="L19" i="27"/>
  <c r="N21" i="10"/>
  <c r="N29" i="10" s="1"/>
  <c r="N47" i="10"/>
  <c r="Q41" i="13"/>
  <c r="G7" i="16"/>
  <c r="P40" i="15"/>
  <c r="E14" i="16" s="1"/>
  <c r="O66" i="24" s="1"/>
  <c r="Q40" i="15"/>
  <c r="F14" i="16" s="1"/>
  <c r="O67" i="24" s="1"/>
  <c r="Q19" i="15"/>
  <c r="F13" i="16" s="1"/>
  <c r="N67" i="24" s="1"/>
  <c r="P19" i="15"/>
  <c r="E13" i="16" s="1"/>
  <c r="N66" i="24" s="1"/>
  <c r="J21" i="10"/>
  <c r="J29" i="10" s="1"/>
  <c r="L47" i="10"/>
  <c r="L94" i="10"/>
  <c r="L106" i="10" s="1"/>
  <c r="Q19" i="12"/>
  <c r="F9" i="16" s="1"/>
  <c r="J67" i="24" s="1"/>
  <c r="Q40" i="12"/>
  <c r="F10" i="16" s="1"/>
  <c r="K67" i="24" s="1"/>
  <c r="P19" i="12"/>
  <c r="E9" i="16" s="1"/>
  <c r="J66" i="24" s="1"/>
  <c r="Q19" i="14"/>
  <c r="F11" i="16" s="1"/>
  <c r="L67" i="24" s="1"/>
  <c r="P40" i="14"/>
  <c r="E12" i="16" s="1"/>
  <c r="M66" i="24" s="1"/>
  <c r="P19" i="14"/>
  <c r="E11" i="16" s="1"/>
  <c r="L66" i="24" s="1"/>
  <c r="Q40" i="14"/>
  <c r="F12" i="16" s="1"/>
  <c r="M67" i="24" s="1"/>
  <c r="M30" i="10"/>
  <c r="IE250" i="24" l="1"/>
  <c r="IJ194" i="24"/>
  <c r="IG238" i="24"/>
  <c r="HT66" i="24"/>
  <c r="HT65" i="24" s="1"/>
  <c r="HT68" i="24" s="1"/>
  <c r="NP66" i="24"/>
  <c r="NP65" i="24" s="1"/>
  <c r="NP68" i="24" s="1"/>
  <c r="MW66" i="24"/>
  <c r="MW65" i="24" s="1"/>
  <c r="MW68" i="24" s="1"/>
  <c r="MD66" i="24"/>
  <c r="MD65" i="24" s="1"/>
  <c r="MD68" i="24" s="1"/>
  <c r="LK66" i="24"/>
  <c r="LK65" i="24" s="1"/>
  <c r="LK68" i="24" s="1"/>
  <c r="KR66" i="24"/>
  <c r="KR65" i="24" s="1"/>
  <c r="KR68" i="24" s="1"/>
  <c r="IM66" i="24"/>
  <c r="JY66" i="24"/>
  <c r="JY65" i="24" s="1"/>
  <c r="JY68" i="24" s="1"/>
  <c r="JF66" i="24"/>
  <c r="JF65" i="24" s="1"/>
  <c r="JF68" i="24" s="1"/>
  <c r="IG196" i="24"/>
  <c r="IG194" i="24" s="1"/>
  <c r="HM196" i="24"/>
  <c r="HM194" i="24" s="1"/>
  <c r="IK238" i="24"/>
  <c r="GZ252" i="24"/>
  <c r="FN318" i="24"/>
  <c r="HO196" i="24"/>
  <c r="HO194" i="24" s="1"/>
  <c r="HM262" i="24"/>
  <c r="HM260" i="24" s="1"/>
  <c r="HO262" i="24"/>
  <c r="HO260" i="24" s="1"/>
  <c r="HN305" i="24"/>
  <c r="HN239" i="24"/>
  <c r="HL318" i="24"/>
  <c r="HL252" i="24"/>
  <c r="HN235" i="24"/>
  <c r="HN301" i="24"/>
  <c r="HN304" i="24"/>
  <c r="HN238" i="24"/>
  <c r="HN308" i="24"/>
  <c r="HN242" i="24"/>
  <c r="HN263" i="24"/>
  <c r="HN197" i="24"/>
  <c r="HL196" i="24"/>
  <c r="HL194" i="24" s="1"/>
  <c r="HN315" i="24"/>
  <c r="HN249" i="24"/>
  <c r="HQ261" i="24"/>
  <c r="HQ195" i="24"/>
  <c r="HQ199" i="24"/>
  <c r="HQ196" i="24" s="1"/>
  <c r="HQ265" i="24"/>
  <c r="HQ262" i="24" s="1"/>
  <c r="HS252" i="24"/>
  <c r="HS318" i="24"/>
  <c r="HL251" i="24"/>
  <c r="HL317" i="24"/>
  <c r="HN261" i="24"/>
  <c r="HN195" i="24"/>
  <c r="HN245" i="24"/>
  <c r="HN311" i="24"/>
  <c r="HT317" i="24"/>
  <c r="HT316" i="24" s="1"/>
  <c r="HT319" i="24" s="1"/>
  <c r="HT327" i="24" s="1"/>
  <c r="HT251" i="24"/>
  <c r="HT250" i="24" s="1"/>
  <c r="HT253" i="24" s="1"/>
  <c r="HT326" i="24" s="1"/>
  <c r="HR196" i="24"/>
  <c r="HR194" i="24" s="1"/>
  <c r="HQ301" i="24"/>
  <c r="HQ235" i="24"/>
  <c r="HK316" i="24"/>
  <c r="HK319" i="24" s="1"/>
  <c r="HK327" i="24" s="1"/>
  <c r="HR262" i="24"/>
  <c r="HR260" i="24" s="1"/>
  <c r="HP242" i="24"/>
  <c r="HP308" i="24"/>
  <c r="HR238" i="24"/>
  <c r="HR304" i="24"/>
  <c r="HN264" i="24"/>
  <c r="HN198" i="24"/>
  <c r="GV196" i="24"/>
  <c r="GV194" i="24" s="1"/>
  <c r="HK250" i="24"/>
  <c r="HK253" i="24" s="1"/>
  <c r="HK326" i="24" s="1"/>
  <c r="HP196" i="24"/>
  <c r="HP194" i="24" s="1"/>
  <c r="HO315" i="24"/>
  <c r="HO249" i="24"/>
  <c r="HN265" i="24"/>
  <c r="HN199" i="24"/>
  <c r="GA196" i="24"/>
  <c r="GA194" i="24" s="1"/>
  <c r="GW262" i="24"/>
  <c r="GW260" i="24" s="1"/>
  <c r="HP262" i="24"/>
  <c r="HP260" i="24" s="1"/>
  <c r="GC196" i="24"/>
  <c r="GC194" i="24" s="1"/>
  <c r="HL262" i="24"/>
  <c r="HL260" i="24" s="1"/>
  <c r="GW196" i="24"/>
  <c r="GW194" i="24" s="1"/>
  <c r="GV262" i="24"/>
  <c r="GV260" i="24" s="1"/>
  <c r="DX262" i="24"/>
  <c r="DX260" i="24" s="1"/>
  <c r="GT196" i="24"/>
  <c r="GT194" i="24" s="1"/>
  <c r="GC262" i="24"/>
  <c r="GC260" i="24" s="1"/>
  <c r="GT262" i="24"/>
  <c r="GT260" i="24" s="1"/>
  <c r="GU311" i="24"/>
  <c r="GU245" i="24"/>
  <c r="GX301" i="24"/>
  <c r="GX235" i="24"/>
  <c r="GV315" i="24"/>
  <c r="GV249" i="24"/>
  <c r="GX261" i="24"/>
  <c r="GX195" i="24"/>
  <c r="GS262" i="24"/>
  <c r="GS260" i="24" s="1"/>
  <c r="GU305" i="24"/>
  <c r="GU239" i="24"/>
  <c r="GY196" i="24"/>
  <c r="GY194" i="24" s="1"/>
  <c r="GS318" i="24"/>
  <c r="GS252" i="24"/>
  <c r="GU261" i="24"/>
  <c r="GU195" i="24"/>
  <c r="GU242" i="24"/>
  <c r="GU308" i="24"/>
  <c r="GU265" i="24"/>
  <c r="GU199" i="24"/>
  <c r="GY262" i="24"/>
  <c r="GY260" i="24" s="1"/>
  <c r="GX11" i="24"/>
  <c r="GX9" i="24" s="1"/>
  <c r="GX265" i="24"/>
  <c r="GX262" i="24" s="1"/>
  <c r="GX199" i="24"/>
  <c r="GX196" i="24" s="1"/>
  <c r="GY238" i="24"/>
  <c r="GY304" i="24"/>
  <c r="GU238" i="24"/>
  <c r="GU304" i="24"/>
  <c r="EB252" i="24"/>
  <c r="GR250" i="24"/>
  <c r="GR253" i="24" s="1"/>
  <c r="GR326" i="24" s="1"/>
  <c r="GU249" i="24"/>
  <c r="GU315" i="24"/>
  <c r="GU301" i="24"/>
  <c r="GU235" i="24"/>
  <c r="GU263" i="24"/>
  <c r="GU197" i="24"/>
  <c r="FF316" i="24"/>
  <c r="FF319" i="24" s="1"/>
  <c r="FF327" i="24" s="1"/>
  <c r="GR316" i="24"/>
  <c r="GR319" i="24" s="1"/>
  <c r="GR327" i="24" s="1"/>
  <c r="GU264" i="24"/>
  <c r="GU198" i="24"/>
  <c r="GW308" i="24"/>
  <c r="GW242" i="24"/>
  <c r="GH66" i="24"/>
  <c r="GH65" i="24" s="1"/>
  <c r="GH68" i="24" s="1"/>
  <c r="HA66" i="24"/>
  <c r="GS317" i="24"/>
  <c r="GS251" i="24"/>
  <c r="GS250" i="24" s="1"/>
  <c r="GS196" i="24"/>
  <c r="GS194" i="24" s="1"/>
  <c r="FY316" i="24"/>
  <c r="FY319" i="24" s="1"/>
  <c r="FY327" i="24" s="1"/>
  <c r="FY250" i="24"/>
  <c r="FY253" i="24" s="1"/>
  <c r="FY326" i="24" s="1"/>
  <c r="GA262" i="24"/>
  <c r="GA260" i="24" s="1"/>
  <c r="GB301" i="24"/>
  <c r="GB235" i="24"/>
  <c r="GB311" i="24"/>
  <c r="GB245" i="24"/>
  <c r="GB305" i="24"/>
  <c r="GB239" i="24"/>
  <c r="GD308" i="24"/>
  <c r="GD242" i="24"/>
  <c r="FH196" i="24"/>
  <c r="FH194" i="24" s="1"/>
  <c r="GF196" i="24"/>
  <c r="GF194" i="24" s="1"/>
  <c r="GE301" i="24"/>
  <c r="GE235" i="24"/>
  <c r="GB261" i="24"/>
  <c r="GB195" i="24"/>
  <c r="GE261" i="24"/>
  <c r="GE195" i="24"/>
  <c r="GD196" i="24"/>
  <c r="GD194" i="24" s="1"/>
  <c r="GB264" i="24"/>
  <c r="GB198" i="24"/>
  <c r="EQ260" i="24"/>
  <c r="GB263" i="24"/>
  <c r="GB197" i="24"/>
  <c r="GE11" i="24"/>
  <c r="GE9" i="24" s="1"/>
  <c r="GE265" i="24"/>
  <c r="GE262" i="24" s="1"/>
  <c r="GE199" i="24"/>
  <c r="GE196" i="24" s="1"/>
  <c r="GC315" i="24"/>
  <c r="GC249" i="24"/>
  <c r="FZ196" i="24"/>
  <c r="FZ194" i="24" s="1"/>
  <c r="GF304" i="24"/>
  <c r="GF238" i="24"/>
  <c r="FZ252" i="24"/>
  <c r="FZ318" i="24"/>
  <c r="FZ251" i="24"/>
  <c r="FZ317" i="24"/>
  <c r="GB304" i="24"/>
  <c r="GB238" i="24"/>
  <c r="GB308" i="24"/>
  <c r="GB242" i="24"/>
  <c r="GB265" i="24"/>
  <c r="GB199" i="24"/>
  <c r="FZ262" i="24"/>
  <c r="FZ260" i="24" s="1"/>
  <c r="GD262" i="24"/>
  <c r="GD260" i="24" s="1"/>
  <c r="GB315" i="24"/>
  <c r="GB249" i="24"/>
  <c r="GG252" i="24"/>
  <c r="GG318" i="24"/>
  <c r="GF262" i="24"/>
  <c r="GF260" i="24" s="1"/>
  <c r="ER262" i="24"/>
  <c r="ER260" i="24" s="1"/>
  <c r="FF250" i="24"/>
  <c r="FF253" i="24" s="1"/>
  <c r="FF326" i="24" s="1"/>
  <c r="FJ262" i="24"/>
  <c r="FJ260" i="24" s="1"/>
  <c r="FJ196" i="24"/>
  <c r="FJ194" i="24" s="1"/>
  <c r="FH262" i="24"/>
  <c r="FH260" i="24" s="1"/>
  <c r="FI195" i="24"/>
  <c r="FI261" i="24"/>
  <c r="FI305" i="24"/>
  <c r="FI239" i="24"/>
  <c r="FL301" i="24"/>
  <c r="FL235" i="24"/>
  <c r="FI198" i="24"/>
  <c r="FI264" i="24"/>
  <c r="CH316" i="24"/>
  <c r="CH319" i="24" s="1"/>
  <c r="CH327" i="24" s="1"/>
  <c r="FK308" i="24"/>
  <c r="FK242" i="24"/>
  <c r="FI304" i="24"/>
  <c r="FI238" i="24"/>
  <c r="FI197" i="24"/>
  <c r="FI263" i="24"/>
  <c r="FM262" i="24"/>
  <c r="FM260" i="24" s="1"/>
  <c r="FK262" i="24"/>
  <c r="FK260" i="24" s="1"/>
  <c r="FG252" i="24"/>
  <c r="FG318" i="24"/>
  <c r="FG251" i="24"/>
  <c r="FG317" i="24"/>
  <c r="FI301" i="24"/>
  <c r="FI235" i="24"/>
  <c r="FI308" i="24"/>
  <c r="FI242" i="24"/>
  <c r="FL199" i="24"/>
  <c r="FL196" i="24" s="1"/>
  <c r="FL265" i="24"/>
  <c r="FL262" i="24" s="1"/>
  <c r="EV66" i="24"/>
  <c r="EV65" i="24" s="1"/>
  <c r="EV68" i="24" s="1"/>
  <c r="FO66" i="24"/>
  <c r="FM196" i="24"/>
  <c r="FM194" i="24" s="1"/>
  <c r="FK196" i="24"/>
  <c r="FK194" i="24" s="1"/>
  <c r="FI315" i="24"/>
  <c r="FI249" i="24"/>
  <c r="FL195" i="24"/>
  <c r="FL261" i="24"/>
  <c r="FG262" i="24"/>
  <c r="FG260" i="24" s="1"/>
  <c r="FI311" i="24"/>
  <c r="FI245" i="24"/>
  <c r="FJ315" i="24"/>
  <c r="FJ249" i="24"/>
  <c r="FG196" i="24"/>
  <c r="FG194" i="24" s="1"/>
  <c r="FM304" i="24"/>
  <c r="FM238" i="24"/>
  <c r="FI199" i="24"/>
  <c r="FI265" i="24"/>
  <c r="EA196" i="24"/>
  <c r="EA194" i="24" s="1"/>
  <c r="EM250" i="24"/>
  <c r="EM253" i="24" s="1"/>
  <c r="EM326" i="24" s="1"/>
  <c r="EM316" i="24"/>
  <c r="EM319" i="24" s="1"/>
  <c r="EM327" i="24" s="1"/>
  <c r="CL262" i="24"/>
  <c r="CL260" i="24" s="1"/>
  <c r="DX196" i="24"/>
  <c r="DX194" i="24" s="1"/>
  <c r="EN196" i="24"/>
  <c r="EN194" i="24" s="1"/>
  <c r="EO196" i="24"/>
  <c r="EO194" i="24" s="1"/>
  <c r="ET196" i="24"/>
  <c r="ET194" i="24" s="1"/>
  <c r="EQ194" i="24"/>
  <c r="EN262" i="24"/>
  <c r="EN260" i="24" s="1"/>
  <c r="EO262" i="24"/>
  <c r="EO260" i="24" s="1"/>
  <c r="ES261" i="24"/>
  <c r="ES195" i="24"/>
  <c r="EP311" i="24"/>
  <c r="EP245" i="24"/>
  <c r="ET304" i="24"/>
  <c r="ET238" i="24"/>
  <c r="EU318" i="24"/>
  <c r="EU252" i="24"/>
  <c r="EP235" i="24"/>
  <c r="EP301" i="24"/>
  <c r="EP304" i="24"/>
  <c r="EP238" i="24"/>
  <c r="EP264" i="24"/>
  <c r="EP198" i="24"/>
  <c r="EN317" i="24"/>
  <c r="EN251" i="24"/>
  <c r="EP242" i="24"/>
  <c r="EP308" i="24"/>
  <c r="EP263" i="24"/>
  <c r="EP197" i="24"/>
  <c r="EP261" i="24"/>
  <c r="EP195" i="24"/>
  <c r="EP199" i="24"/>
  <c r="EP265" i="24"/>
  <c r="ER196" i="24"/>
  <c r="ER194" i="24" s="1"/>
  <c r="ET262" i="24"/>
  <c r="ET260" i="24" s="1"/>
  <c r="EP305" i="24"/>
  <c r="EP239" i="24"/>
  <c r="EQ249" i="24"/>
  <c r="EQ315" i="24"/>
  <c r="ER308" i="24"/>
  <c r="ER242" i="24"/>
  <c r="EN318" i="24"/>
  <c r="EN252" i="24"/>
  <c r="ES301" i="24"/>
  <c r="ES235" i="24"/>
  <c r="EP249" i="24"/>
  <c r="EP315" i="24"/>
  <c r="ES265" i="24"/>
  <c r="ES262" i="24" s="1"/>
  <c r="ES199" i="24"/>
  <c r="ES196" i="24" s="1"/>
  <c r="DV262" i="24"/>
  <c r="DV260" i="24" s="1"/>
  <c r="CL196" i="24"/>
  <c r="CL194" i="24" s="1"/>
  <c r="DT316" i="24"/>
  <c r="DT319" i="24" s="1"/>
  <c r="DT327" i="24" s="1"/>
  <c r="DU262" i="24"/>
  <c r="DU260" i="24" s="1"/>
  <c r="CJ196" i="24"/>
  <c r="CJ194" i="24" s="1"/>
  <c r="DE260" i="24"/>
  <c r="DV196" i="24"/>
  <c r="DV194" i="24" s="1"/>
  <c r="DW308" i="24"/>
  <c r="DW242" i="24"/>
  <c r="DY242" i="24"/>
  <c r="DY308" i="24"/>
  <c r="EA304" i="24"/>
  <c r="EA238" i="24"/>
  <c r="DW265" i="24"/>
  <c r="DW199" i="24"/>
  <c r="DU196" i="24"/>
  <c r="DU194" i="24" s="1"/>
  <c r="EA262" i="24"/>
  <c r="EA260" i="24" s="1"/>
  <c r="DW245" i="24"/>
  <c r="DW311" i="24"/>
  <c r="DZ11" i="24"/>
  <c r="DZ9" i="24" s="1"/>
  <c r="DZ265" i="24"/>
  <c r="DZ262" i="24" s="1"/>
  <c r="DZ199" i="24"/>
  <c r="DZ196" i="24" s="1"/>
  <c r="DC262" i="24"/>
  <c r="DC260" i="24" s="1"/>
  <c r="DU317" i="24"/>
  <c r="DU251" i="24"/>
  <c r="DW239" i="24"/>
  <c r="DW305" i="24"/>
  <c r="DW263" i="24"/>
  <c r="DW197" i="24"/>
  <c r="DW261" i="24"/>
  <c r="DW195" i="24"/>
  <c r="DZ261" i="24"/>
  <c r="DZ195" i="24"/>
  <c r="DU318" i="24"/>
  <c r="DU252" i="24"/>
  <c r="DB262" i="24"/>
  <c r="DB260" i="24" s="1"/>
  <c r="DY196" i="24"/>
  <c r="DY194" i="24" s="1"/>
  <c r="DW238" i="24"/>
  <c r="DW304" i="24"/>
  <c r="DW315" i="24"/>
  <c r="DW249" i="24"/>
  <c r="DY262" i="24"/>
  <c r="DY260" i="24" s="1"/>
  <c r="DJ66" i="24"/>
  <c r="DJ65" i="24" s="1"/>
  <c r="DJ68" i="24" s="1"/>
  <c r="EC66" i="24"/>
  <c r="DZ235" i="24"/>
  <c r="DZ301" i="24"/>
  <c r="BO316" i="24"/>
  <c r="BO319" i="24" s="1"/>
  <c r="BO327" i="24" s="1"/>
  <c r="DW264" i="24"/>
  <c r="DW198" i="24"/>
  <c r="DW301" i="24"/>
  <c r="DW235" i="24"/>
  <c r="DX249" i="24"/>
  <c r="DX315" i="24"/>
  <c r="DT250" i="24"/>
  <c r="DT253" i="24" s="1"/>
  <c r="DT326" i="24" s="1"/>
  <c r="CP318" i="24"/>
  <c r="DE194" i="24"/>
  <c r="CM262" i="24"/>
  <c r="CM260" i="24" s="1"/>
  <c r="CI196" i="24"/>
  <c r="CI194" i="24" s="1"/>
  <c r="DH196" i="24"/>
  <c r="DH194" i="24" s="1"/>
  <c r="DC196" i="24"/>
  <c r="DC194" i="24" s="1"/>
  <c r="DF196" i="24"/>
  <c r="DF194" i="24" s="1"/>
  <c r="DH262" i="24"/>
  <c r="DH260" i="24" s="1"/>
  <c r="DG261" i="24"/>
  <c r="DG195" i="24"/>
  <c r="DD301" i="24"/>
  <c r="DD235" i="24"/>
  <c r="DB252" i="24"/>
  <c r="DB318" i="24"/>
  <c r="DB196" i="24"/>
  <c r="DB194" i="24" s="1"/>
  <c r="DD264" i="24"/>
  <c r="DD198" i="24"/>
  <c r="DE249" i="24"/>
  <c r="DE315" i="24"/>
  <c r="DD315" i="24"/>
  <c r="DD249" i="24"/>
  <c r="DI252" i="24"/>
  <c r="DI318" i="24"/>
  <c r="DD263" i="24"/>
  <c r="DD197" i="24"/>
  <c r="DB251" i="24"/>
  <c r="DB317" i="24"/>
  <c r="DD245" i="24"/>
  <c r="DD311" i="24"/>
  <c r="DD265" i="24"/>
  <c r="DD199" i="24"/>
  <c r="DG301" i="24"/>
  <c r="DG235" i="24"/>
  <c r="DG265" i="24"/>
  <c r="DG262" i="24" s="1"/>
  <c r="DG199" i="24"/>
  <c r="DG196" i="24" s="1"/>
  <c r="DF262" i="24"/>
  <c r="DF260" i="24" s="1"/>
  <c r="DD308" i="24"/>
  <c r="DD242" i="24"/>
  <c r="DD239" i="24"/>
  <c r="DD305" i="24"/>
  <c r="DD261" i="24"/>
  <c r="DD195" i="24"/>
  <c r="DF242" i="24"/>
  <c r="DF308" i="24"/>
  <c r="DJ251" i="24"/>
  <c r="DJ250" i="24" s="1"/>
  <c r="DJ253" i="24" s="1"/>
  <c r="DJ326" i="24" s="1"/>
  <c r="DH304" i="24"/>
  <c r="DH238" i="24"/>
  <c r="DA316" i="24"/>
  <c r="DA319" i="24" s="1"/>
  <c r="DA327" i="24" s="1"/>
  <c r="DD238" i="24"/>
  <c r="DD304" i="24"/>
  <c r="DA250" i="24"/>
  <c r="DA253" i="24" s="1"/>
  <c r="DA326" i="24" s="1"/>
  <c r="CO196" i="24"/>
  <c r="CO194" i="24" s="1"/>
  <c r="CM196" i="24"/>
  <c r="CM194" i="24" s="1"/>
  <c r="CJ262" i="24"/>
  <c r="CJ260" i="24" s="1"/>
  <c r="CK265" i="24"/>
  <c r="CK199" i="24"/>
  <c r="CL315" i="24"/>
  <c r="CL249" i="24"/>
  <c r="CI262" i="24"/>
  <c r="CI260" i="24" s="1"/>
  <c r="CK239" i="24"/>
  <c r="CK305" i="24"/>
  <c r="CN301" i="24"/>
  <c r="CN235" i="24"/>
  <c r="CK261" i="24"/>
  <c r="CK195" i="24"/>
  <c r="CM242" i="24"/>
  <c r="CM308" i="24"/>
  <c r="CI318" i="24"/>
  <c r="CI252" i="24"/>
  <c r="CK304" i="24"/>
  <c r="CK238" i="24"/>
  <c r="BX66" i="24"/>
  <c r="BX65" i="24" s="1"/>
  <c r="CQ66" i="24"/>
  <c r="CH250" i="24"/>
  <c r="CH253" i="24" s="1"/>
  <c r="CH326" i="24" s="1"/>
  <c r="CK301" i="24"/>
  <c r="CK235" i="24"/>
  <c r="CN261" i="24"/>
  <c r="CN195" i="24"/>
  <c r="CO304" i="24"/>
  <c r="CO238" i="24"/>
  <c r="CK264" i="24"/>
  <c r="CK198" i="24"/>
  <c r="CO262" i="24"/>
  <c r="CO260" i="24" s="1"/>
  <c r="CK308" i="24"/>
  <c r="CK242" i="24"/>
  <c r="CI317" i="24"/>
  <c r="CI251" i="24"/>
  <c r="CK245" i="24"/>
  <c r="CK311" i="24"/>
  <c r="CN265" i="24"/>
  <c r="CN262" i="24" s="1"/>
  <c r="CN199" i="24"/>
  <c r="CN196" i="24" s="1"/>
  <c r="CK263" i="24"/>
  <c r="CK197" i="24"/>
  <c r="CK315" i="24"/>
  <c r="CK249" i="24"/>
  <c r="BT262" i="24"/>
  <c r="BT334" i="24" s="1"/>
  <c r="BV196" i="24"/>
  <c r="BV333" i="24" s="1"/>
  <c r="BQ196" i="24"/>
  <c r="BQ333" i="24" s="1"/>
  <c r="BP262" i="24"/>
  <c r="BP334" i="24" s="1"/>
  <c r="BS260" i="24"/>
  <c r="BQ262" i="24"/>
  <c r="BQ334" i="24" s="1"/>
  <c r="BR264" i="24"/>
  <c r="BR198" i="24"/>
  <c r="BR265" i="24"/>
  <c r="BR199" i="24"/>
  <c r="BU265" i="24"/>
  <c r="BU262" i="24" s="1"/>
  <c r="BU334" i="24" s="1"/>
  <c r="BU336" i="24" s="1"/>
  <c r="BU338" i="24" s="1"/>
  <c r="BU199" i="24"/>
  <c r="BU196" i="24" s="1"/>
  <c r="BU333" i="24" s="1"/>
  <c r="BU261" i="24"/>
  <c r="BU195" i="24"/>
  <c r="BZ65" i="24"/>
  <c r="BZ68" i="24" s="1"/>
  <c r="BZ317" i="24"/>
  <c r="BZ316" i="24" s="1"/>
  <c r="BZ319" i="24" s="1"/>
  <c r="BZ327" i="24" s="1"/>
  <c r="BZ251" i="24"/>
  <c r="BZ250" i="24" s="1"/>
  <c r="BZ253" i="24" s="1"/>
  <c r="BZ326" i="24" s="1"/>
  <c r="BR308" i="24"/>
  <c r="BR242" i="24"/>
  <c r="BP317" i="24"/>
  <c r="BP251" i="24"/>
  <c r="BR311" i="24"/>
  <c r="BR245" i="24"/>
  <c r="BR315" i="24"/>
  <c r="BR249" i="24"/>
  <c r="BV262" i="24"/>
  <c r="BS336" i="24"/>
  <c r="BS338" i="24" s="1"/>
  <c r="BS335" i="24"/>
  <c r="BS337" i="24" s="1"/>
  <c r="BS194" i="24"/>
  <c r="BR305" i="24"/>
  <c r="BR239" i="24"/>
  <c r="BT308" i="24"/>
  <c r="BT242" i="24"/>
  <c r="BR261" i="24"/>
  <c r="BR195" i="24"/>
  <c r="BW318" i="24"/>
  <c r="BW252" i="24"/>
  <c r="BP318" i="24"/>
  <c r="BP252" i="24"/>
  <c r="BR304" i="24"/>
  <c r="BR238" i="24"/>
  <c r="BD252" i="24"/>
  <c r="BD318" i="24"/>
  <c r="BP196" i="24"/>
  <c r="BP333" i="24" s="1"/>
  <c r="BR263" i="24"/>
  <c r="BR197" i="24"/>
  <c r="BV304" i="24"/>
  <c r="BV238" i="24"/>
  <c r="BS249" i="24"/>
  <c r="BS315" i="24"/>
  <c r="BT196" i="24"/>
  <c r="BT333" i="24" s="1"/>
  <c r="BO250" i="24"/>
  <c r="BO253" i="24" s="1"/>
  <c r="BO326" i="24" s="1"/>
  <c r="Q65" i="24"/>
  <c r="BE66" i="24"/>
  <c r="BE317" i="24" s="1"/>
  <c r="BE316" i="24" s="1"/>
  <c r="BE319" i="24" s="1"/>
  <c r="BE327" i="24" s="1"/>
  <c r="BG66" i="24"/>
  <c r="BG317" i="24" s="1"/>
  <c r="BG316" i="24" s="1"/>
  <c r="BG319" i="24" s="1"/>
  <c r="BG327" i="24" s="1"/>
  <c r="K52" i="24"/>
  <c r="C159" i="37" s="1"/>
  <c r="M52" i="24"/>
  <c r="C206" i="37" s="1"/>
  <c r="ES11" i="24"/>
  <c r="ES9" i="24" s="1"/>
  <c r="Q20" i="48"/>
  <c r="E15" i="16"/>
  <c r="NH65" i="24"/>
  <c r="HQ11" i="24"/>
  <c r="HQ9" i="24" s="1"/>
  <c r="MO65" i="24"/>
  <c r="LV65" i="24"/>
  <c r="JQ65" i="24"/>
  <c r="ID316" i="24"/>
  <c r="ID319" i="24" s="1"/>
  <c r="ID327" i="24" s="1"/>
  <c r="LC65" i="24"/>
  <c r="IH262" i="24"/>
  <c r="IH260" i="24" s="1"/>
  <c r="IK262" i="24"/>
  <c r="IK260" i="24" s="1"/>
  <c r="NM9" i="24"/>
  <c r="BB261" i="24"/>
  <c r="MA9" i="24"/>
  <c r="MT9" i="24"/>
  <c r="LE11" i="24"/>
  <c r="LE9" i="24" s="1"/>
  <c r="ID326" i="24"/>
  <c r="IF262" i="24"/>
  <c r="IF260" i="24" s="1"/>
  <c r="LX11" i="24"/>
  <c r="LX9" i="24" s="1"/>
  <c r="JC9" i="24"/>
  <c r="LX67" i="24"/>
  <c r="MQ67" i="24"/>
  <c r="LE67" i="24"/>
  <c r="NJ67" i="24"/>
  <c r="KL67" i="24"/>
  <c r="JS67" i="24"/>
  <c r="IG67" i="24"/>
  <c r="IG252" i="24" s="1"/>
  <c r="IZ67" i="24"/>
  <c r="LZ67" i="24"/>
  <c r="NL67" i="24"/>
  <c r="LG67" i="24"/>
  <c r="II67" i="24"/>
  <c r="II252" i="24" s="1"/>
  <c r="JU67" i="24"/>
  <c r="JB67" i="24"/>
  <c r="KN67" i="24"/>
  <c r="MS67" i="24"/>
  <c r="LY67" i="24"/>
  <c r="MR67" i="24"/>
  <c r="NK67" i="24"/>
  <c r="LF67" i="24"/>
  <c r="KM67" i="24"/>
  <c r="IH67" i="24"/>
  <c r="IH252" i="24" s="1"/>
  <c r="JT67" i="24"/>
  <c r="JA67" i="24"/>
  <c r="MT67" i="24"/>
  <c r="NM67" i="24"/>
  <c r="LH67" i="24"/>
  <c r="KO67" i="24"/>
  <c r="JV67" i="24"/>
  <c r="MA67" i="24"/>
  <c r="IJ67" i="24"/>
  <c r="IJ252" i="24" s="1"/>
  <c r="JC67" i="24"/>
  <c r="NL58" i="24"/>
  <c r="LZ58" i="24"/>
  <c r="MS58" i="24"/>
  <c r="KN58" i="24"/>
  <c r="JU58" i="24"/>
  <c r="LG58" i="24"/>
  <c r="II58" i="24"/>
  <c r="II243" i="24" s="1"/>
  <c r="JB58" i="24"/>
  <c r="IJ265" i="24"/>
  <c r="IJ262" i="24" s="1"/>
  <c r="IG261" i="24"/>
  <c r="IG315" i="24"/>
  <c r="JV9" i="24"/>
  <c r="JS11" i="24"/>
  <c r="JS9" i="24" s="1"/>
  <c r="LW66" i="24"/>
  <c r="NI66" i="24"/>
  <c r="LD66" i="24"/>
  <c r="MP66" i="24"/>
  <c r="KK66" i="24"/>
  <c r="JR66" i="24"/>
  <c r="IF66" i="24"/>
  <c r="IF251" i="24" s="1"/>
  <c r="IY66" i="24"/>
  <c r="IE318" i="24"/>
  <c r="IJ301" i="24"/>
  <c r="IJ261" i="24"/>
  <c r="MP67" i="24"/>
  <c r="NI67" i="24"/>
  <c r="LD67" i="24"/>
  <c r="IF67" i="24"/>
  <c r="IF252" i="24" s="1"/>
  <c r="IY67" i="24"/>
  <c r="LW67" i="24"/>
  <c r="JR67" i="24"/>
  <c r="KK67" i="24"/>
  <c r="IG265" i="24"/>
  <c r="IX65" i="24"/>
  <c r="KJ65" i="24"/>
  <c r="KO9" i="24"/>
  <c r="IG301" i="24"/>
  <c r="IG11" i="24"/>
  <c r="IG9" i="24" s="1"/>
  <c r="IG263" i="24"/>
  <c r="II262" i="24"/>
  <c r="II260" i="24" s="1"/>
  <c r="LZ61" i="24"/>
  <c r="MS61" i="24"/>
  <c r="NL61" i="24"/>
  <c r="LG61" i="24"/>
  <c r="KN61" i="24"/>
  <c r="JU61" i="24"/>
  <c r="JB61" i="24"/>
  <c r="II61" i="24"/>
  <c r="II246" i="24" s="1"/>
  <c r="IG311" i="24"/>
  <c r="IG308" i="24"/>
  <c r="IZ11" i="24"/>
  <c r="IZ9" i="24" s="1"/>
  <c r="NH61" i="24"/>
  <c r="LV61" i="24"/>
  <c r="MO61" i="24"/>
  <c r="KJ61" i="24"/>
  <c r="LC61" i="24"/>
  <c r="IE61" i="24"/>
  <c r="IE246" i="24" s="1"/>
  <c r="IX61" i="24"/>
  <c r="JQ61" i="24"/>
  <c r="NH57" i="24"/>
  <c r="LV57" i="24"/>
  <c r="MO57" i="24"/>
  <c r="KJ57" i="24"/>
  <c r="JQ57" i="24"/>
  <c r="LC57" i="24"/>
  <c r="IE57" i="24"/>
  <c r="IX57" i="24"/>
  <c r="MQ58" i="24"/>
  <c r="NJ58" i="24"/>
  <c r="LX58" i="24"/>
  <c r="KL58" i="24"/>
  <c r="JS58" i="24"/>
  <c r="IZ58" i="24"/>
  <c r="LE58" i="24"/>
  <c r="IG58" i="24"/>
  <c r="IG243" i="24" s="1"/>
  <c r="IE65" i="24"/>
  <c r="IE317" i="24"/>
  <c r="LH9" i="24"/>
  <c r="KL11" i="24"/>
  <c r="KL9" i="24" s="1"/>
  <c r="IG304" i="24"/>
  <c r="IG264" i="24"/>
  <c r="IJ11" i="24"/>
  <c r="IJ9" i="24" s="1"/>
  <c r="MB67" i="24"/>
  <c r="MU67" i="24"/>
  <c r="KP67" i="24"/>
  <c r="JW67" i="24"/>
  <c r="LI67" i="24"/>
  <c r="NN67" i="24"/>
  <c r="JD67" i="24"/>
  <c r="IK67" i="24"/>
  <c r="IK252" i="24" s="1"/>
  <c r="IK304" i="24"/>
  <c r="LY57" i="24"/>
  <c r="MR57" i="24"/>
  <c r="LF57" i="24"/>
  <c r="KM57" i="24"/>
  <c r="JA57" i="24"/>
  <c r="NK57" i="24"/>
  <c r="IH57" i="24"/>
  <c r="JT57" i="24"/>
  <c r="NJ11" i="24"/>
  <c r="NJ9" i="24" s="1"/>
  <c r="LZ59" i="24"/>
  <c r="LZ52" i="24" s="1"/>
  <c r="MS59" i="24"/>
  <c r="NL59" i="24"/>
  <c r="LG59" i="24"/>
  <c r="KN59" i="24"/>
  <c r="KN52" i="24" s="1"/>
  <c r="JB59" i="24"/>
  <c r="II59" i="24"/>
  <c r="II244" i="24" s="1"/>
  <c r="JU59" i="24"/>
  <c r="IG305" i="24"/>
  <c r="II308" i="24"/>
  <c r="MU66" i="24"/>
  <c r="NN66" i="24"/>
  <c r="LI66" i="24"/>
  <c r="MB66" i="24"/>
  <c r="KP66" i="24"/>
  <c r="JW66" i="24"/>
  <c r="IK66" i="24"/>
  <c r="IK251" i="24" s="1"/>
  <c r="JD66" i="24"/>
  <c r="MQ59" i="24"/>
  <c r="NJ59" i="24"/>
  <c r="LE59" i="24"/>
  <c r="LX59" i="24"/>
  <c r="JS59" i="24"/>
  <c r="IG59" i="24"/>
  <c r="IG244" i="24" s="1"/>
  <c r="KL59" i="24"/>
  <c r="IZ59" i="24"/>
  <c r="LY66" i="24"/>
  <c r="MR66" i="24"/>
  <c r="KM66" i="24"/>
  <c r="JT66" i="24"/>
  <c r="LF66" i="24"/>
  <c r="NK66" i="24"/>
  <c r="JA66" i="24"/>
  <c r="IH66" i="24"/>
  <c r="IH251" i="24" s="1"/>
  <c r="IH250" i="24" s="1"/>
  <c r="NL66" i="24"/>
  <c r="LG66" i="24"/>
  <c r="LZ66" i="24"/>
  <c r="MS66" i="24"/>
  <c r="KN66" i="24"/>
  <c r="JU66" i="24"/>
  <c r="JB66" i="24"/>
  <c r="II66" i="24"/>
  <c r="II251" i="24" s="1"/>
  <c r="NM66" i="24"/>
  <c r="LH66" i="24"/>
  <c r="MA66" i="24"/>
  <c r="KO66" i="24"/>
  <c r="JV66" i="24"/>
  <c r="IJ66" i="24"/>
  <c r="IJ251" i="24" s="1"/>
  <c r="JC66" i="24"/>
  <c r="MT66" i="24"/>
  <c r="MU57" i="24"/>
  <c r="NN57" i="24"/>
  <c r="KP57" i="24"/>
  <c r="JW57" i="24"/>
  <c r="MB57" i="24"/>
  <c r="LI57" i="24"/>
  <c r="JD57" i="24"/>
  <c r="IK57" i="24"/>
  <c r="IK242" i="24" s="1"/>
  <c r="NI57" i="24"/>
  <c r="LW57" i="24"/>
  <c r="KK57" i="24"/>
  <c r="IF57" i="24"/>
  <c r="LD57" i="24"/>
  <c r="JR57" i="24"/>
  <c r="MP57" i="24"/>
  <c r="IY57" i="24"/>
  <c r="MQ66" i="24"/>
  <c r="NJ66" i="24"/>
  <c r="LE66" i="24"/>
  <c r="KL66" i="24"/>
  <c r="JS66" i="24"/>
  <c r="LX66" i="24"/>
  <c r="IG66" i="24"/>
  <c r="IG251" i="24" s="1"/>
  <c r="IZ66" i="24"/>
  <c r="MQ11" i="24"/>
  <c r="MQ9" i="24" s="1"/>
  <c r="IE262" i="24"/>
  <c r="IE260" i="24" s="1"/>
  <c r="IH315" i="24"/>
  <c r="CN11" i="24"/>
  <c r="CN9" i="24" s="1"/>
  <c r="AY249" i="24"/>
  <c r="AY315" i="24"/>
  <c r="AZ249" i="24"/>
  <c r="AZ315" i="24"/>
  <c r="DG11" i="24"/>
  <c r="DG9" i="24" s="1"/>
  <c r="CM61" i="24"/>
  <c r="GW61" i="24"/>
  <c r="GD61" i="24"/>
  <c r="DY61" i="24"/>
  <c r="HP61" i="24"/>
  <c r="FK61" i="24"/>
  <c r="DF61" i="24"/>
  <c r="ER61" i="24"/>
  <c r="FG61" i="24"/>
  <c r="DU61" i="24"/>
  <c r="GS61" i="24"/>
  <c r="DB61" i="24"/>
  <c r="EN61" i="24"/>
  <c r="CI61" i="24"/>
  <c r="FZ61" i="24"/>
  <c r="HL61" i="24"/>
  <c r="BB301" i="24"/>
  <c r="FL11" i="24"/>
  <c r="FL9" i="24" s="1"/>
  <c r="BU123" i="24"/>
  <c r="BB199" i="24"/>
  <c r="BB196" i="24" s="1"/>
  <c r="BB333" i="24" s="1"/>
  <c r="BB123" i="24"/>
  <c r="BB265" i="24"/>
  <c r="BB262" i="24" s="1"/>
  <c r="BB334" i="24" s="1"/>
  <c r="AV250" i="24"/>
  <c r="AX196" i="24"/>
  <c r="AX333" i="24" s="1"/>
  <c r="AZ262" i="24"/>
  <c r="AZ260" i="24" s="1"/>
  <c r="AZ196" i="24"/>
  <c r="AZ333" i="24" s="1"/>
  <c r="AX262" i="24"/>
  <c r="AX334" i="24" s="1"/>
  <c r="N113" i="10"/>
  <c r="N59" i="24" s="1"/>
  <c r="BR122" i="24"/>
  <c r="AY242" i="24"/>
  <c r="AY308" i="24"/>
  <c r="AW251" i="24"/>
  <c r="AW317" i="24"/>
  <c r="AW262" i="24"/>
  <c r="AW334" i="24" s="1"/>
  <c r="AV316" i="24"/>
  <c r="AY235" i="24"/>
  <c r="AY301" i="24"/>
  <c r="AY238" i="24"/>
  <c r="AY304" i="24"/>
  <c r="BC238" i="24"/>
  <c r="BC304" i="24"/>
  <c r="BR121" i="24"/>
  <c r="AW252" i="24"/>
  <c r="AW318" i="24"/>
  <c r="BA262" i="24"/>
  <c r="BA260" i="24" s="1"/>
  <c r="BR123" i="24"/>
  <c r="AY239" i="24"/>
  <c r="AY305" i="24"/>
  <c r="BA242" i="24"/>
  <c r="BA308" i="24"/>
  <c r="AY245" i="24"/>
  <c r="AY122" i="24"/>
  <c r="AY264" i="24"/>
  <c r="AY198" i="24"/>
  <c r="AY121" i="24"/>
  <c r="AY197" i="24"/>
  <c r="AY263" i="24"/>
  <c r="AY195" i="24"/>
  <c r="AY261" i="24"/>
  <c r="BA196" i="24"/>
  <c r="AY123" i="24"/>
  <c r="AY199" i="24"/>
  <c r="AY265" i="24"/>
  <c r="AW196" i="24"/>
  <c r="BC196" i="24"/>
  <c r="BC262" i="24"/>
  <c r="BC334" i="24" s="1"/>
  <c r="ET9" i="24"/>
  <c r="CJ9" i="24"/>
  <c r="DH9" i="24"/>
  <c r="BQ9" i="24"/>
  <c r="DV9" i="24"/>
  <c r="CL9" i="24"/>
  <c r="GS9" i="24"/>
  <c r="HO9" i="24"/>
  <c r="BB9" i="24"/>
  <c r="GT9" i="24"/>
  <c r="CI9" i="24"/>
  <c r="ER9" i="24"/>
  <c r="BC9" i="24"/>
  <c r="FZ9" i="24"/>
  <c r="GW9" i="24"/>
  <c r="GV9" i="24"/>
  <c r="FH9" i="24"/>
  <c r="BP9" i="24"/>
  <c r="EN9" i="24"/>
  <c r="AZ9" i="24"/>
  <c r="GF9" i="24"/>
  <c r="GA9" i="24"/>
  <c r="FK9" i="24"/>
  <c r="HM9" i="24"/>
  <c r="AW9" i="24"/>
  <c r="DE9" i="24"/>
  <c r="DX9" i="24"/>
  <c r="EQ9" i="24"/>
  <c r="EO9" i="24"/>
  <c r="FM9" i="24"/>
  <c r="DF9" i="24"/>
  <c r="CO9" i="24"/>
  <c r="BS9" i="24"/>
  <c r="BV9" i="24"/>
  <c r="AX9" i="24"/>
  <c r="HP9" i="24"/>
  <c r="HL9" i="24"/>
  <c r="GC9" i="24"/>
  <c r="GY9" i="24"/>
  <c r="DB9" i="24"/>
  <c r="EA9" i="24"/>
  <c r="DY9" i="24"/>
  <c r="CM9" i="24"/>
  <c r="DU9" i="24"/>
  <c r="DC9" i="24"/>
  <c r="GD9" i="24"/>
  <c r="FJ9" i="24"/>
  <c r="H164" i="37"/>
  <c r="H211" i="37"/>
  <c r="GS65" i="24"/>
  <c r="HN11" i="24"/>
  <c r="DB65" i="24"/>
  <c r="FG65" i="24"/>
  <c r="FI11" i="24"/>
  <c r="FZ65" i="24"/>
  <c r="GW59" i="24"/>
  <c r="GD59" i="24"/>
  <c r="FK59" i="24"/>
  <c r="HP59" i="24"/>
  <c r="GT67" i="24"/>
  <c r="GA67" i="24"/>
  <c r="HM67" i="24"/>
  <c r="FH67" i="24"/>
  <c r="GU58" i="24"/>
  <c r="GB58" i="24"/>
  <c r="HN58" i="24"/>
  <c r="FI58" i="24"/>
  <c r="HP67" i="24"/>
  <c r="GD67" i="24"/>
  <c r="FK67" i="24"/>
  <c r="GW67" i="24"/>
  <c r="HR66" i="24"/>
  <c r="GY66" i="24"/>
  <c r="GF66" i="24"/>
  <c r="FM66" i="24"/>
  <c r="CI65" i="24"/>
  <c r="HL65" i="24"/>
  <c r="HQ66" i="24"/>
  <c r="GX66" i="24"/>
  <c r="FL66" i="24"/>
  <c r="GE66" i="24"/>
  <c r="HN66" i="24"/>
  <c r="GU66" i="24"/>
  <c r="GB66" i="24"/>
  <c r="FI66" i="24"/>
  <c r="HN59" i="24"/>
  <c r="GU59" i="24"/>
  <c r="GB59" i="24"/>
  <c r="FI59" i="24"/>
  <c r="GV66" i="24"/>
  <c r="GC66" i="24"/>
  <c r="FJ66" i="24"/>
  <c r="HO66" i="24"/>
  <c r="HR57" i="24"/>
  <c r="GY57" i="24"/>
  <c r="GF57" i="24"/>
  <c r="FM57" i="24"/>
  <c r="HM57" i="24"/>
  <c r="GA57" i="24"/>
  <c r="GT57" i="24"/>
  <c r="FH57" i="24"/>
  <c r="DU65" i="24"/>
  <c r="HQ67" i="24"/>
  <c r="GX67" i="24"/>
  <c r="GE67" i="24"/>
  <c r="FL67" i="24"/>
  <c r="BP65" i="24"/>
  <c r="HO67" i="24"/>
  <c r="GV67" i="24"/>
  <c r="GC67" i="24"/>
  <c r="FJ67" i="24"/>
  <c r="K31" i="10"/>
  <c r="K6" i="27" s="1"/>
  <c r="GB11" i="24"/>
  <c r="HN67" i="24"/>
  <c r="GB67" i="24"/>
  <c r="FI67" i="24"/>
  <c r="GU67" i="24"/>
  <c r="HR67" i="24"/>
  <c r="GY67" i="24"/>
  <c r="GF67" i="24"/>
  <c r="FM67" i="24"/>
  <c r="GS57" i="24"/>
  <c r="HL57" i="24"/>
  <c r="FG57" i="24"/>
  <c r="FZ57" i="24"/>
  <c r="GD66" i="24"/>
  <c r="HP66" i="24"/>
  <c r="GW66" i="24"/>
  <c r="FK66" i="24"/>
  <c r="HO57" i="24"/>
  <c r="GC57" i="24"/>
  <c r="FJ57" i="24"/>
  <c r="GV57" i="24"/>
  <c r="HM66" i="24"/>
  <c r="GT66" i="24"/>
  <c r="GA66" i="24"/>
  <c r="FH66" i="24"/>
  <c r="HP58" i="24"/>
  <c r="GW58" i="24"/>
  <c r="GD58" i="24"/>
  <c r="FK58" i="24"/>
  <c r="GU11" i="24"/>
  <c r="CK11" i="24"/>
  <c r="AW65" i="24"/>
  <c r="DD11" i="24"/>
  <c r="EP11" i="24"/>
  <c r="EN65" i="24"/>
  <c r="DX66" i="24"/>
  <c r="DE66" i="24"/>
  <c r="EQ66" i="24"/>
  <c r="BS66" i="24"/>
  <c r="CL66" i="24"/>
  <c r="AZ66" i="24"/>
  <c r="C259" i="37"/>
  <c r="EA57" i="24"/>
  <c r="ET57" i="24"/>
  <c r="DH57" i="24"/>
  <c r="CO57" i="24"/>
  <c r="BV57" i="24"/>
  <c r="BC57" i="24"/>
  <c r="DV57" i="24"/>
  <c r="DC57" i="24"/>
  <c r="EO57" i="24"/>
  <c r="CJ57" i="24"/>
  <c r="BQ57" i="24"/>
  <c r="AX57" i="24"/>
  <c r="BR11" i="24"/>
  <c r="EP67" i="24"/>
  <c r="DW67" i="24"/>
  <c r="DD67" i="24"/>
  <c r="CK67" i="24"/>
  <c r="BR67" i="24"/>
  <c r="AY67" i="24"/>
  <c r="ES66" i="24"/>
  <c r="DZ66" i="24"/>
  <c r="CN66" i="24"/>
  <c r="BU66" i="24"/>
  <c r="DG66" i="24"/>
  <c r="BB66" i="24"/>
  <c r="ER59" i="24"/>
  <c r="DY59" i="24"/>
  <c r="DF59" i="24"/>
  <c r="CM59" i="24"/>
  <c r="BT59" i="24"/>
  <c r="BA59" i="24"/>
  <c r="DW11" i="24"/>
  <c r="EQ67" i="24"/>
  <c r="DX67" i="24"/>
  <c r="DE67" i="24"/>
  <c r="BS67" i="24"/>
  <c r="CL67" i="24"/>
  <c r="AZ67" i="24"/>
  <c r="EO66" i="24"/>
  <c r="DV66" i="24"/>
  <c r="CJ66" i="24"/>
  <c r="DC66" i="24"/>
  <c r="BQ66" i="24"/>
  <c r="AX66" i="24"/>
  <c r="CN67" i="24"/>
  <c r="DZ67" i="24"/>
  <c r="ES67" i="24"/>
  <c r="BU67" i="24"/>
  <c r="DG67" i="24"/>
  <c r="BB67" i="24"/>
  <c r="C103" i="37"/>
  <c r="BP61" i="24"/>
  <c r="AW61" i="24"/>
  <c r="DX57" i="24"/>
  <c r="EQ57" i="24"/>
  <c r="DE57" i="24"/>
  <c r="CL57" i="24"/>
  <c r="BS57" i="24"/>
  <c r="AZ57" i="24"/>
  <c r="C116" i="37"/>
  <c r="EN57" i="24"/>
  <c r="DU57" i="24"/>
  <c r="DB57" i="24"/>
  <c r="CI57" i="24"/>
  <c r="BP57" i="24"/>
  <c r="AW57" i="24"/>
  <c r="DY66" i="24"/>
  <c r="ER66" i="24"/>
  <c r="DF66" i="24"/>
  <c r="CM66" i="24"/>
  <c r="BT66" i="24"/>
  <c r="BA66" i="24"/>
  <c r="C198" i="37"/>
  <c r="BT61" i="24"/>
  <c r="BA61" i="24"/>
  <c r="C212" i="37"/>
  <c r="ER58" i="24"/>
  <c r="DY58" i="24"/>
  <c r="DF58" i="24"/>
  <c r="CM58" i="24"/>
  <c r="BT58" i="24"/>
  <c r="BA58" i="24"/>
  <c r="DV67" i="24"/>
  <c r="EO67" i="24"/>
  <c r="DC67" i="24"/>
  <c r="BQ67" i="24"/>
  <c r="CJ67" i="24"/>
  <c r="AX67" i="24"/>
  <c r="C165" i="37"/>
  <c r="DW58" i="24"/>
  <c r="DD58" i="24"/>
  <c r="EP58" i="24"/>
  <c r="CK58" i="24"/>
  <c r="BR58" i="24"/>
  <c r="AY58" i="24"/>
  <c r="EP66" i="24"/>
  <c r="DW66" i="24"/>
  <c r="CK66" i="24"/>
  <c r="DD66" i="24"/>
  <c r="BR66" i="24"/>
  <c r="AY66" i="24"/>
  <c r="ET67" i="24"/>
  <c r="CO67" i="24"/>
  <c r="EA67" i="24"/>
  <c r="DH67" i="24"/>
  <c r="BV67" i="24"/>
  <c r="BC67" i="24"/>
  <c r="EP59" i="24"/>
  <c r="DW59" i="24"/>
  <c r="DD59" i="24"/>
  <c r="CK59" i="24"/>
  <c r="BR59" i="24"/>
  <c r="AY59" i="24"/>
  <c r="DY67" i="24"/>
  <c r="ER67" i="24"/>
  <c r="DF67" i="24"/>
  <c r="CM67" i="24"/>
  <c r="BT67" i="24"/>
  <c r="BA67" i="24"/>
  <c r="CO66" i="24"/>
  <c r="ET66" i="24"/>
  <c r="EA66" i="24"/>
  <c r="DH66" i="24"/>
  <c r="BV66" i="24"/>
  <c r="BC66" i="24"/>
  <c r="AY11" i="24"/>
  <c r="I40" i="27"/>
  <c r="I113" i="10"/>
  <c r="I59" i="24" s="1"/>
  <c r="I58" i="24"/>
  <c r="K42" i="27"/>
  <c r="K61" i="24"/>
  <c r="C166" i="37"/>
  <c r="C160" i="37"/>
  <c r="J42" i="27"/>
  <c r="J61" i="24"/>
  <c r="C213" i="37"/>
  <c r="C207" i="37"/>
  <c r="L42" i="27"/>
  <c r="L61" i="24"/>
  <c r="J40" i="27"/>
  <c r="J113" i="10"/>
  <c r="J59" i="24" s="1"/>
  <c r="J58" i="24"/>
  <c r="L40" i="27"/>
  <c r="L113" i="10"/>
  <c r="L59" i="24" s="1"/>
  <c r="L58" i="24"/>
  <c r="O42" i="27"/>
  <c r="O61" i="24"/>
  <c r="O40" i="27"/>
  <c r="O58" i="24"/>
  <c r="O59" i="24"/>
  <c r="N41" i="27"/>
  <c r="N57" i="24"/>
  <c r="N58" i="24"/>
  <c r="I5" i="27"/>
  <c r="O30" i="10"/>
  <c r="O31" i="10" s="1"/>
  <c r="O6" i="27" s="1"/>
  <c r="N106" i="10"/>
  <c r="L65" i="24"/>
  <c r="N30" i="10"/>
  <c r="N5" i="27" s="1"/>
  <c r="K65" i="24"/>
  <c r="M65" i="24"/>
  <c r="J65" i="24"/>
  <c r="I65" i="24"/>
  <c r="J30" i="10"/>
  <c r="J31" i="10" s="1"/>
  <c r="J6" i="27" s="1"/>
  <c r="M31" i="10"/>
  <c r="M6" i="27" s="1"/>
  <c r="M5" i="27"/>
  <c r="G13" i="16"/>
  <c r="G14" i="16"/>
  <c r="Q41" i="15"/>
  <c r="Q20" i="15"/>
  <c r="L30" i="10"/>
  <c r="G8" i="16"/>
  <c r="G9" i="16"/>
  <c r="Q41" i="12"/>
  <c r="G10" i="16"/>
  <c r="Q20" i="12"/>
  <c r="G12" i="16"/>
  <c r="G11" i="16"/>
  <c r="Q20" i="14"/>
  <c r="Q41" i="14"/>
  <c r="IK250" i="24" l="1"/>
  <c r="NL52" i="24"/>
  <c r="II250" i="24"/>
  <c r="MS52" i="24"/>
  <c r="NJ52" i="24"/>
  <c r="IG250" i="24"/>
  <c r="IJ250" i="24"/>
  <c r="IZ52" i="24"/>
  <c r="IZ49" i="24" s="1"/>
  <c r="LG52" i="24"/>
  <c r="JB52" i="24"/>
  <c r="JB49" i="24" s="1"/>
  <c r="JU52" i="24"/>
  <c r="JU49" i="24" s="1"/>
  <c r="MQ52" i="24"/>
  <c r="MQ49" i="24" s="1"/>
  <c r="LE52" i="24"/>
  <c r="IG52" i="24"/>
  <c r="JS52" i="24"/>
  <c r="IG237" i="24"/>
  <c r="IG234" i="24" s="1"/>
  <c r="KL52" i="24"/>
  <c r="KL49" i="24" s="1"/>
  <c r="II237" i="24"/>
  <c r="II234" i="24" s="1"/>
  <c r="LX52" i="24"/>
  <c r="LX49" i="24" s="1"/>
  <c r="IF242" i="24"/>
  <c r="IH242" i="24"/>
  <c r="IE242" i="24"/>
  <c r="IM65" i="24"/>
  <c r="IM68" i="24" s="1"/>
  <c r="IM251" i="24"/>
  <c r="IM250" i="24" s="1"/>
  <c r="IM253" i="24" s="1"/>
  <c r="IF250" i="24"/>
  <c r="II52" i="24"/>
  <c r="II49" i="24" s="1"/>
  <c r="FY329" i="24"/>
  <c r="FY331" i="24" s="1"/>
  <c r="GX260" i="24"/>
  <c r="HQ260" i="24"/>
  <c r="FZ250" i="24"/>
  <c r="FY328" i="24"/>
  <c r="FY330" i="24" s="1"/>
  <c r="CH329" i="24"/>
  <c r="CH331" i="24" s="1"/>
  <c r="HL316" i="24"/>
  <c r="HL250" i="24"/>
  <c r="GU196" i="24"/>
  <c r="GU194" i="24" s="1"/>
  <c r="HO252" i="24"/>
  <c r="HO318" i="24"/>
  <c r="HP252" i="24"/>
  <c r="HP318" i="24"/>
  <c r="HP309" i="24"/>
  <c r="HP243" i="24"/>
  <c r="HO308" i="24"/>
  <c r="HO242" i="24"/>
  <c r="HN252" i="24"/>
  <c r="HN318" i="24"/>
  <c r="HM308" i="24"/>
  <c r="HM242" i="24"/>
  <c r="HN251" i="24"/>
  <c r="HN317" i="24"/>
  <c r="HN309" i="24"/>
  <c r="HN243" i="24"/>
  <c r="HQ194" i="24"/>
  <c r="HT328" i="24"/>
  <c r="HT330" i="24" s="1"/>
  <c r="HT329" i="24"/>
  <c r="HT331" i="24" s="1"/>
  <c r="HN196" i="24"/>
  <c r="HN194" i="24" s="1"/>
  <c r="HL308" i="24"/>
  <c r="HL242" i="24"/>
  <c r="HP310" i="24"/>
  <c r="HP244" i="24"/>
  <c r="HL312" i="24"/>
  <c r="HL246" i="24"/>
  <c r="HR317" i="24"/>
  <c r="HR251" i="24"/>
  <c r="HP246" i="24"/>
  <c r="HP312" i="24"/>
  <c r="HK329" i="24"/>
  <c r="HK331" i="24" s="1"/>
  <c r="HK328" i="24"/>
  <c r="HK330" i="24" s="1"/>
  <c r="HN262" i="24"/>
  <c r="HN260" i="24" s="1"/>
  <c r="HP251" i="24"/>
  <c r="HP317" i="24"/>
  <c r="HQ318" i="24"/>
  <c r="HQ252" i="24"/>
  <c r="HM251" i="24"/>
  <c r="HM317" i="24"/>
  <c r="HR318" i="24"/>
  <c r="HR252" i="24"/>
  <c r="HR308" i="24"/>
  <c r="HR242" i="24"/>
  <c r="HN310" i="24"/>
  <c r="HN244" i="24"/>
  <c r="HQ317" i="24"/>
  <c r="HQ251" i="24"/>
  <c r="HM252" i="24"/>
  <c r="HM318" i="24"/>
  <c r="DH65" i="24"/>
  <c r="HO251" i="24"/>
  <c r="HO317" i="24"/>
  <c r="GH317" i="24"/>
  <c r="GH316" i="24" s="1"/>
  <c r="GH319" i="24" s="1"/>
  <c r="GH327" i="24" s="1"/>
  <c r="FF329" i="24"/>
  <c r="FF331" i="24" s="1"/>
  <c r="GH251" i="24"/>
  <c r="GH250" i="24" s="1"/>
  <c r="GH253" i="24" s="1"/>
  <c r="GH326" i="24" s="1"/>
  <c r="GU262" i="24"/>
  <c r="GU260" i="24" s="1"/>
  <c r="GE260" i="24"/>
  <c r="GS316" i="24"/>
  <c r="GV308" i="24"/>
  <c r="GV242" i="24"/>
  <c r="GU318" i="24"/>
  <c r="GU252" i="24"/>
  <c r="GV318" i="24"/>
  <c r="GV252" i="24"/>
  <c r="GX194" i="24"/>
  <c r="GT318" i="24"/>
  <c r="GT252" i="24"/>
  <c r="GW243" i="24"/>
  <c r="GW309" i="24"/>
  <c r="GU317" i="24"/>
  <c r="GU251" i="24"/>
  <c r="GS242" i="24"/>
  <c r="GS308" i="24"/>
  <c r="GV317" i="24"/>
  <c r="GV251" i="24"/>
  <c r="GY317" i="24"/>
  <c r="GY251" i="24"/>
  <c r="GR329" i="24"/>
  <c r="GR331" i="24" s="1"/>
  <c r="GR328" i="24"/>
  <c r="GR330" i="24" s="1"/>
  <c r="GW317" i="24"/>
  <c r="GW251" i="24"/>
  <c r="GX318" i="24"/>
  <c r="GX252" i="24"/>
  <c r="GU243" i="24"/>
  <c r="GU309" i="24"/>
  <c r="GW244" i="24"/>
  <c r="GW310" i="24"/>
  <c r="GS246" i="24"/>
  <c r="GS312" i="24"/>
  <c r="GB262" i="24"/>
  <c r="GB260" i="24" s="1"/>
  <c r="GT308" i="24"/>
  <c r="GT242" i="24"/>
  <c r="GT317" i="24"/>
  <c r="GT251" i="24"/>
  <c r="GY318" i="24"/>
  <c r="GY252" i="24"/>
  <c r="GY242" i="24"/>
  <c r="GY308" i="24"/>
  <c r="GU244" i="24"/>
  <c r="GU310" i="24"/>
  <c r="GX317" i="24"/>
  <c r="GX251" i="24"/>
  <c r="GW318" i="24"/>
  <c r="GW252" i="24"/>
  <c r="GW312" i="24"/>
  <c r="GW246" i="24"/>
  <c r="HA65" i="24"/>
  <c r="HA68" i="24" s="1"/>
  <c r="HA317" i="24"/>
  <c r="HA316" i="24" s="1"/>
  <c r="HA319" i="24" s="1"/>
  <c r="HA327" i="24" s="1"/>
  <c r="HA251" i="24"/>
  <c r="HA250" i="24" s="1"/>
  <c r="HA253" i="24" s="1"/>
  <c r="HA326" i="24" s="1"/>
  <c r="FG316" i="24"/>
  <c r="GD318" i="24"/>
  <c r="GD252" i="24"/>
  <c r="GA252" i="24"/>
  <c r="GA318" i="24"/>
  <c r="GD309" i="24"/>
  <c r="GD243" i="24"/>
  <c r="GB317" i="24"/>
  <c r="GB251" i="24"/>
  <c r="EV251" i="24"/>
  <c r="EV250" i="24" s="1"/>
  <c r="EV253" i="24" s="1"/>
  <c r="EV326" i="24" s="1"/>
  <c r="FZ316" i="24"/>
  <c r="GD251" i="24"/>
  <c r="GD317" i="24"/>
  <c r="FZ246" i="24"/>
  <c r="FZ312" i="24"/>
  <c r="FZ242" i="24"/>
  <c r="FZ308" i="24"/>
  <c r="GC308" i="24"/>
  <c r="GC242" i="24"/>
  <c r="GB318" i="24"/>
  <c r="GB252" i="24"/>
  <c r="GA242" i="24"/>
  <c r="GA308" i="24"/>
  <c r="GC317" i="24"/>
  <c r="GC251" i="24"/>
  <c r="EV317" i="24"/>
  <c r="EV316" i="24" s="1"/>
  <c r="EV319" i="24" s="1"/>
  <c r="EV327" i="24" s="1"/>
  <c r="FF328" i="24"/>
  <c r="FF330" i="24" s="1"/>
  <c r="GB196" i="24"/>
  <c r="GD312" i="24"/>
  <c r="GD246" i="24"/>
  <c r="GE194" i="24"/>
  <c r="GF317" i="24"/>
  <c r="GF251" i="24"/>
  <c r="GE252" i="24"/>
  <c r="GE318" i="24"/>
  <c r="GE251" i="24"/>
  <c r="GE317" i="24"/>
  <c r="GB243" i="24"/>
  <c r="GB309" i="24"/>
  <c r="GD244" i="24"/>
  <c r="GD310" i="24"/>
  <c r="GC318" i="24"/>
  <c r="GC252" i="24"/>
  <c r="GA251" i="24"/>
  <c r="GA317" i="24"/>
  <c r="GF318" i="24"/>
  <c r="GF252" i="24"/>
  <c r="GF308" i="24"/>
  <c r="GF242" i="24"/>
  <c r="GB310" i="24"/>
  <c r="GB244" i="24"/>
  <c r="GB194" i="24"/>
  <c r="DJ317" i="24"/>
  <c r="DJ316" i="24" s="1"/>
  <c r="DJ319" i="24" s="1"/>
  <c r="DJ327" i="24" s="1"/>
  <c r="DJ329" i="24" s="1"/>
  <c r="DJ331" i="24" s="1"/>
  <c r="FL194" i="24"/>
  <c r="ES260" i="24"/>
  <c r="FG250" i="24"/>
  <c r="FL260" i="24"/>
  <c r="FL318" i="24"/>
  <c r="FL252" i="24"/>
  <c r="FH251" i="24"/>
  <c r="FH317" i="24"/>
  <c r="FM318" i="24"/>
  <c r="FM252" i="24"/>
  <c r="FI310" i="24"/>
  <c r="FI244" i="24"/>
  <c r="FL317" i="24"/>
  <c r="FL251" i="24"/>
  <c r="FG246" i="24"/>
  <c r="FG312" i="24"/>
  <c r="FM308" i="24"/>
  <c r="FM242" i="24"/>
  <c r="FJ318" i="24"/>
  <c r="FJ252" i="24"/>
  <c r="FH252" i="24"/>
  <c r="FH318" i="24"/>
  <c r="FI262" i="24"/>
  <c r="FI260" i="24" s="1"/>
  <c r="FK317" i="24"/>
  <c r="FK251" i="24"/>
  <c r="FK318" i="24"/>
  <c r="FK252" i="24"/>
  <c r="FO65" i="24"/>
  <c r="FO68" i="24" s="1"/>
  <c r="FO251" i="24"/>
  <c r="FO250" i="24" s="1"/>
  <c r="FO253" i="24" s="1"/>
  <c r="FO326" i="24" s="1"/>
  <c r="FO317" i="24"/>
  <c r="FO316" i="24" s="1"/>
  <c r="FO319" i="24" s="1"/>
  <c r="FO327" i="24" s="1"/>
  <c r="FI196" i="24"/>
  <c r="FI194" i="24" s="1"/>
  <c r="FK309" i="24"/>
  <c r="FK243" i="24"/>
  <c r="FI251" i="24"/>
  <c r="FI317" i="24"/>
  <c r="FK312" i="24"/>
  <c r="FK246" i="24"/>
  <c r="FH308" i="24"/>
  <c r="FH242" i="24"/>
  <c r="FJ308" i="24"/>
  <c r="FJ242" i="24"/>
  <c r="FG242" i="24"/>
  <c r="FG308" i="24"/>
  <c r="FI252" i="24"/>
  <c r="FI318" i="24"/>
  <c r="FJ317" i="24"/>
  <c r="FJ251" i="24"/>
  <c r="FK244" i="24"/>
  <c r="FK310" i="24"/>
  <c r="FM317" i="24"/>
  <c r="FM251" i="24"/>
  <c r="FI243" i="24"/>
  <c r="FI237" i="24" s="1"/>
  <c r="FI234" i="24" s="1"/>
  <c r="FI309" i="24"/>
  <c r="EM329" i="24"/>
  <c r="EM331" i="24" s="1"/>
  <c r="DT329" i="24"/>
  <c r="DT331" i="24" s="1"/>
  <c r="BX251" i="24"/>
  <c r="BX250" i="24" s="1"/>
  <c r="BX253" i="24" s="1"/>
  <c r="BX326" i="24" s="1"/>
  <c r="EM328" i="24"/>
  <c r="EM330" i="24" s="1"/>
  <c r="ER310" i="24"/>
  <c r="ER244" i="24"/>
  <c r="ET308" i="24"/>
  <c r="ET242" i="24"/>
  <c r="ET251" i="24"/>
  <c r="ET317" i="24"/>
  <c r="EQ318" i="24"/>
  <c r="EQ252" i="24"/>
  <c r="EO308" i="24"/>
  <c r="EO242" i="24"/>
  <c r="EN312" i="24"/>
  <c r="EN246" i="24"/>
  <c r="ER252" i="24"/>
  <c r="ER318" i="24"/>
  <c r="EP317" i="24"/>
  <c r="EP251" i="24"/>
  <c r="EQ242" i="24"/>
  <c r="EQ308" i="24"/>
  <c r="ES252" i="24"/>
  <c r="ES318" i="24"/>
  <c r="EO317" i="24"/>
  <c r="EO251" i="24"/>
  <c r="EP318" i="24"/>
  <c r="EP252" i="24"/>
  <c r="EN250" i="24"/>
  <c r="ES194" i="24"/>
  <c r="ET252" i="24"/>
  <c r="ET318" i="24"/>
  <c r="ER243" i="24"/>
  <c r="ER309" i="24"/>
  <c r="EN308" i="24"/>
  <c r="EN242" i="24"/>
  <c r="EP196" i="24"/>
  <c r="EP194" i="24" s="1"/>
  <c r="EN316" i="24"/>
  <c r="EP310" i="24"/>
  <c r="EP244" i="24"/>
  <c r="EP309" i="24"/>
  <c r="EP243" i="24"/>
  <c r="EO318" i="24"/>
  <c r="EO252" i="24"/>
  <c r="ER251" i="24"/>
  <c r="ER317" i="24"/>
  <c r="ES251" i="24"/>
  <c r="ES317" i="24"/>
  <c r="EQ317" i="24"/>
  <c r="EQ251" i="24"/>
  <c r="ER312" i="24"/>
  <c r="ER246" i="24"/>
  <c r="EP262" i="24"/>
  <c r="EP260" i="24" s="1"/>
  <c r="BP335" i="24"/>
  <c r="BP337" i="24" s="1"/>
  <c r="BP260" i="24"/>
  <c r="BQ194" i="24"/>
  <c r="DZ260" i="24"/>
  <c r="DD196" i="24"/>
  <c r="DD194" i="24" s="1"/>
  <c r="DB250" i="24"/>
  <c r="BX317" i="24"/>
  <c r="BX316" i="24" s="1"/>
  <c r="BX319" i="24" s="1"/>
  <c r="BX327" i="24" s="1"/>
  <c r="BO329" i="24"/>
  <c r="BO331" i="24" s="1"/>
  <c r="EA251" i="24"/>
  <c r="EA317" i="24"/>
  <c r="DY252" i="24"/>
  <c r="DY318" i="24"/>
  <c r="DW243" i="24"/>
  <c r="DW309" i="24"/>
  <c r="DX318" i="24"/>
  <c r="DX252" i="24"/>
  <c r="DX317" i="24"/>
  <c r="DX251" i="24"/>
  <c r="EA242" i="24"/>
  <c r="EA308" i="24"/>
  <c r="EA252" i="24"/>
  <c r="EA318" i="24"/>
  <c r="DV317" i="24"/>
  <c r="DV251" i="24"/>
  <c r="DY246" i="24"/>
  <c r="DY312" i="24"/>
  <c r="EC317" i="24"/>
  <c r="EC316" i="24" s="1"/>
  <c r="EC319" i="24" s="1"/>
  <c r="EC327" i="24" s="1"/>
  <c r="EC251" i="24"/>
  <c r="EC250" i="24" s="1"/>
  <c r="EC253" i="24" s="1"/>
  <c r="EC326" i="24" s="1"/>
  <c r="EC65" i="24"/>
  <c r="EC68" i="24" s="1"/>
  <c r="DW196" i="24"/>
  <c r="DW194" i="24" s="1"/>
  <c r="DW318" i="24"/>
  <c r="DW252" i="24"/>
  <c r="DV308" i="24"/>
  <c r="DV242" i="24"/>
  <c r="DU246" i="24"/>
  <c r="DU312" i="24"/>
  <c r="DW52" i="24"/>
  <c r="DW262" i="24"/>
  <c r="DW260" i="24" s="1"/>
  <c r="DY309" i="24"/>
  <c r="DY243" i="24"/>
  <c r="DU242" i="24"/>
  <c r="DU308" i="24"/>
  <c r="DX242" i="24"/>
  <c r="DX308" i="24"/>
  <c r="DZ252" i="24"/>
  <c r="DZ318" i="24"/>
  <c r="DT328" i="24"/>
  <c r="DT330" i="24" s="1"/>
  <c r="DW317" i="24"/>
  <c r="DW251" i="24"/>
  <c r="DW244" i="24"/>
  <c r="DW310" i="24"/>
  <c r="DZ251" i="24"/>
  <c r="DZ317" i="24"/>
  <c r="DY52" i="24"/>
  <c r="DZ194" i="24"/>
  <c r="DU250" i="24"/>
  <c r="DV318" i="24"/>
  <c r="DV252" i="24"/>
  <c r="DY251" i="24"/>
  <c r="DY317" i="24"/>
  <c r="DY244" i="24"/>
  <c r="DY310" i="24"/>
  <c r="DG260" i="24"/>
  <c r="DU316" i="24"/>
  <c r="DD262" i="24"/>
  <c r="DD260" i="24" s="1"/>
  <c r="DF309" i="24"/>
  <c r="DF243" i="24"/>
  <c r="DB242" i="24"/>
  <c r="DB308" i="24"/>
  <c r="DD244" i="24"/>
  <c r="DD310" i="24"/>
  <c r="DC252" i="24"/>
  <c r="DC318" i="24"/>
  <c r="DF317" i="24"/>
  <c r="DF251" i="24"/>
  <c r="DF246" i="24"/>
  <c r="DF312" i="24"/>
  <c r="DA329" i="24"/>
  <c r="DA331" i="24" s="1"/>
  <c r="DA328" i="24"/>
  <c r="DA330" i="24" s="1"/>
  <c r="DF318" i="24"/>
  <c r="DF252" i="24"/>
  <c r="DF244" i="24"/>
  <c r="DF310" i="24"/>
  <c r="DE318" i="24"/>
  <c r="DE252" i="24"/>
  <c r="DH242" i="24"/>
  <c r="DH308" i="24"/>
  <c r="DB246" i="24"/>
  <c r="DB312" i="24"/>
  <c r="BT260" i="24"/>
  <c r="DD243" i="24"/>
  <c r="DD309" i="24"/>
  <c r="DE317" i="24"/>
  <c r="DE251" i="24"/>
  <c r="DC251" i="24"/>
  <c r="DC317" i="24"/>
  <c r="CI250" i="24"/>
  <c r="DH251" i="24"/>
  <c r="DH317" i="24"/>
  <c r="DD251" i="24"/>
  <c r="DD317" i="24"/>
  <c r="DH252" i="24"/>
  <c r="DH318" i="24"/>
  <c r="DG252" i="24"/>
  <c r="DG318" i="24"/>
  <c r="CK196" i="24"/>
  <c r="CK194" i="24" s="1"/>
  <c r="CI316" i="24"/>
  <c r="DG194" i="24"/>
  <c r="DE242" i="24"/>
  <c r="DE308" i="24"/>
  <c r="DG251" i="24"/>
  <c r="DG317" i="24"/>
  <c r="DD252" i="24"/>
  <c r="DD318" i="24"/>
  <c r="DC308" i="24"/>
  <c r="DC242" i="24"/>
  <c r="DB316" i="24"/>
  <c r="BV194" i="24"/>
  <c r="BP336" i="24"/>
  <c r="BP338" i="24" s="1"/>
  <c r="CK262" i="24"/>
  <c r="CK260" i="24" s="1"/>
  <c r="BR262" i="24"/>
  <c r="BR260" i="24" s="1"/>
  <c r="BQ260" i="24"/>
  <c r="CK317" i="24"/>
  <c r="CK251" i="24"/>
  <c r="CN260" i="24"/>
  <c r="CL308" i="24"/>
  <c r="CL242" i="24"/>
  <c r="CJ317" i="24"/>
  <c r="CJ251" i="24"/>
  <c r="CK318" i="24"/>
  <c r="CK252" i="24"/>
  <c r="BR196" i="24"/>
  <c r="BR194" i="24" s="1"/>
  <c r="CH328" i="24"/>
  <c r="CH330" i="24" s="1"/>
  <c r="CO251" i="24"/>
  <c r="CO317" i="24"/>
  <c r="CM309" i="24"/>
  <c r="CM243" i="24"/>
  <c r="CI308" i="24"/>
  <c r="CI242" i="24"/>
  <c r="CK310" i="24"/>
  <c r="CK244" i="24"/>
  <c r="CO252" i="24"/>
  <c r="CO318" i="24"/>
  <c r="CJ318" i="24"/>
  <c r="CJ252" i="24"/>
  <c r="CM246" i="24"/>
  <c r="CM312" i="24"/>
  <c r="CJ308" i="24"/>
  <c r="CJ242" i="24"/>
  <c r="CQ65" i="24"/>
  <c r="CQ68" i="24" s="1"/>
  <c r="CQ317" i="24"/>
  <c r="CQ316" i="24" s="1"/>
  <c r="CQ319" i="24" s="1"/>
  <c r="CQ327" i="24" s="1"/>
  <c r="CQ251" i="24"/>
  <c r="CQ250" i="24" s="1"/>
  <c r="CQ253" i="24" s="1"/>
  <c r="CQ326" i="24" s="1"/>
  <c r="CM317" i="24"/>
  <c r="CM251" i="24"/>
  <c r="CN317" i="24"/>
  <c r="CN251" i="24"/>
  <c r="CL317" i="24"/>
  <c r="CL251" i="24"/>
  <c r="CM318" i="24"/>
  <c r="CM252" i="24"/>
  <c r="CK309" i="24"/>
  <c r="CK243" i="24"/>
  <c r="CN318" i="24"/>
  <c r="CN252" i="24"/>
  <c r="CL318" i="24"/>
  <c r="CL252" i="24"/>
  <c r="CM310" i="24"/>
  <c r="CM244" i="24"/>
  <c r="CI312" i="24"/>
  <c r="CI246" i="24"/>
  <c r="CO308" i="24"/>
  <c r="CO242" i="24"/>
  <c r="CN194" i="24"/>
  <c r="BP194" i="24"/>
  <c r="BR310" i="24"/>
  <c r="BR244" i="24"/>
  <c r="BV317" i="24"/>
  <c r="BV251" i="24"/>
  <c r="BT309" i="24"/>
  <c r="BT243" i="24"/>
  <c r="BT251" i="24"/>
  <c r="BT317" i="24"/>
  <c r="BU317" i="24"/>
  <c r="BU251" i="24"/>
  <c r="BU194" i="24"/>
  <c r="BO328" i="24"/>
  <c r="BO330" i="24" s="1"/>
  <c r="BT252" i="24"/>
  <c r="BT318" i="24"/>
  <c r="BR309" i="24"/>
  <c r="BR243" i="24"/>
  <c r="BQ318" i="24"/>
  <c r="BQ252" i="24"/>
  <c r="BT310" i="24"/>
  <c r="BT244" i="24"/>
  <c r="BU260" i="24"/>
  <c r="BS318" i="24"/>
  <c r="BS252" i="24"/>
  <c r="BP308" i="24"/>
  <c r="BP242" i="24"/>
  <c r="BU318" i="24"/>
  <c r="BU252" i="24"/>
  <c r="BV308" i="24"/>
  <c r="BV242" i="24"/>
  <c r="BS317" i="24"/>
  <c r="BS251" i="24"/>
  <c r="BT194" i="24"/>
  <c r="BR317" i="24"/>
  <c r="BR251" i="24"/>
  <c r="BP312" i="24"/>
  <c r="BP246" i="24"/>
  <c r="BU335" i="24"/>
  <c r="BU337" i="24" s="1"/>
  <c r="BT335" i="24"/>
  <c r="BT337" i="24" s="1"/>
  <c r="BT336" i="24"/>
  <c r="BT338" i="24" s="1"/>
  <c r="BQ317" i="24"/>
  <c r="BQ251" i="24"/>
  <c r="BQ308" i="24"/>
  <c r="BQ242" i="24"/>
  <c r="BC194" i="24"/>
  <c r="BC333" i="24"/>
  <c r="BC335" i="24" s="1"/>
  <c r="BC337" i="24" s="1"/>
  <c r="BB335" i="24"/>
  <c r="BB337" i="24" s="1"/>
  <c r="BB336" i="24"/>
  <c r="BB338" i="24" s="1"/>
  <c r="BP250" i="24"/>
  <c r="BV318" i="24"/>
  <c r="BV252" i="24"/>
  <c r="BT312" i="24"/>
  <c r="BT246" i="24"/>
  <c r="BS308" i="24"/>
  <c r="BS242" i="24"/>
  <c r="BR318" i="24"/>
  <c r="BR252" i="24"/>
  <c r="BV260" i="24"/>
  <c r="BV334" i="24"/>
  <c r="BP316" i="24"/>
  <c r="BQ336" i="24"/>
  <c r="BQ338" i="24" s="1"/>
  <c r="BQ335" i="24"/>
  <c r="BQ337" i="24" s="1"/>
  <c r="BZ329" i="24"/>
  <c r="BZ331" i="24" s="1"/>
  <c r="BZ328" i="24"/>
  <c r="BZ330" i="24" s="1"/>
  <c r="BE65" i="24"/>
  <c r="BE68" i="24" s="1"/>
  <c r="BE251" i="24"/>
  <c r="BE250" i="24" s="1"/>
  <c r="BE253" i="24" s="1"/>
  <c r="BE326" i="24" s="1"/>
  <c r="BE329" i="24" s="1"/>
  <c r="BG65" i="24"/>
  <c r="BG68" i="24" s="1"/>
  <c r="BG251" i="24"/>
  <c r="BG250" i="24" s="1"/>
  <c r="BG253" i="24" s="1"/>
  <c r="BG326" i="24" s="1"/>
  <c r="BG329" i="24" s="1"/>
  <c r="NJ49" i="24"/>
  <c r="K49" i="24"/>
  <c r="K6" i="24" s="1"/>
  <c r="K7" i="24" s="1"/>
  <c r="IG49" i="24"/>
  <c r="JS49" i="24"/>
  <c r="LE49" i="24"/>
  <c r="KN49" i="24"/>
  <c r="LG49" i="24"/>
  <c r="LZ49" i="24"/>
  <c r="M49" i="24"/>
  <c r="M6" i="24" s="1"/>
  <c r="M7" i="24" s="1"/>
  <c r="NL49" i="24"/>
  <c r="MS49" i="24"/>
  <c r="I52" i="24"/>
  <c r="C111" i="37" s="1"/>
  <c r="J52" i="24"/>
  <c r="L52" i="24"/>
  <c r="O52" i="24"/>
  <c r="MS65" i="24"/>
  <c r="N52" i="24"/>
  <c r="G15" i="16"/>
  <c r="BY66" i="24" s="1"/>
  <c r="P66" i="24"/>
  <c r="ID328" i="24"/>
  <c r="ID330" i="24" s="1"/>
  <c r="KL65" i="24"/>
  <c r="KN65" i="24"/>
  <c r="IY65" i="24"/>
  <c r="BB260" i="24"/>
  <c r="JT65" i="24"/>
  <c r="LG65" i="24"/>
  <c r="ID329" i="24"/>
  <c r="ID331" i="24" s="1"/>
  <c r="LZ65" i="24"/>
  <c r="LY65" i="24"/>
  <c r="MT65" i="24"/>
  <c r="MB65" i="24"/>
  <c r="NL65" i="24"/>
  <c r="JA65" i="24"/>
  <c r="JS65" i="24"/>
  <c r="KP65" i="24"/>
  <c r="JV65" i="24"/>
  <c r="MA65" i="24"/>
  <c r="MU65" i="24"/>
  <c r="LH65" i="24"/>
  <c r="NN65" i="24"/>
  <c r="IJ260" i="24"/>
  <c r="JC65" i="24"/>
  <c r="JW65" i="24"/>
  <c r="JD65" i="24"/>
  <c r="KM65" i="24"/>
  <c r="JU65" i="24"/>
  <c r="IG262" i="24"/>
  <c r="IG260" i="24" s="1"/>
  <c r="MQ65" i="24"/>
  <c r="JR65" i="24"/>
  <c r="IZ65" i="24"/>
  <c r="LE65" i="24"/>
  <c r="MP65" i="24"/>
  <c r="NI65" i="24"/>
  <c r="LW58" i="24"/>
  <c r="NI58" i="24"/>
  <c r="JR58" i="24"/>
  <c r="LD58" i="24"/>
  <c r="KK58" i="24"/>
  <c r="IY58" i="24"/>
  <c r="IF58" i="24"/>
  <c r="IF243" i="24" s="1"/>
  <c r="MP58" i="24"/>
  <c r="MU58" i="24"/>
  <c r="NN58" i="24"/>
  <c r="LI58" i="24"/>
  <c r="MB58" i="24"/>
  <c r="JW58" i="24"/>
  <c r="KP58" i="24"/>
  <c r="IK58" i="24"/>
  <c r="IK243" i="24" s="1"/>
  <c r="JD58" i="24"/>
  <c r="NI59" i="24"/>
  <c r="LW59" i="24"/>
  <c r="MP59" i="24"/>
  <c r="KK59" i="24"/>
  <c r="LD59" i="24"/>
  <c r="LD52" i="24" s="1"/>
  <c r="IF59" i="24"/>
  <c r="IF244" i="24" s="1"/>
  <c r="JR59" i="24"/>
  <c r="IY59" i="24"/>
  <c r="NJ65" i="24"/>
  <c r="MR65" i="24"/>
  <c r="LI65" i="24"/>
  <c r="IH308" i="24"/>
  <c r="IE316" i="24"/>
  <c r="LW65" i="24"/>
  <c r="NK65" i="24"/>
  <c r="LY61" i="24"/>
  <c r="MR61" i="24"/>
  <c r="NK61" i="24"/>
  <c r="LF61" i="24"/>
  <c r="KM61" i="24"/>
  <c r="JT61" i="24"/>
  <c r="JA61" i="24"/>
  <c r="IH61" i="24"/>
  <c r="IH246" i="24" s="1"/>
  <c r="IK308" i="24"/>
  <c r="II65" i="24"/>
  <c r="II317" i="24"/>
  <c r="IF318" i="24"/>
  <c r="NM58" i="24"/>
  <c r="MA58" i="24"/>
  <c r="MT58" i="24"/>
  <c r="KO58" i="24"/>
  <c r="IJ58" i="24"/>
  <c r="IJ243" i="24" s="1"/>
  <c r="JV58" i="24"/>
  <c r="LH58" i="24"/>
  <c r="JC58" i="24"/>
  <c r="MQ61" i="24"/>
  <c r="NJ61" i="24"/>
  <c r="LE61" i="24"/>
  <c r="LX61" i="24"/>
  <c r="JS61" i="24"/>
  <c r="KL61" i="24"/>
  <c r="IG61" i="24"/>
  <c r="IG246" i="24" s="1"/>
  <c r="IZ61" i="24"/>
  <c r="IG65" i="24"/>
  <c r="IG317" i="24"/>
  <c r="JB65" i="24"/>
  <c r="IG309" i="24"/>
  <c r="LD65" i="24"/>
  <c r="IH317" i="24"/>
  <c r="IH65" i="24"/>
  <c r="II310" i="24"/>
  <c r="LY58" i="24"/>
  <c r="MR58" i="24"/>
  <c r="KM58" i="24"/>
  <c r="JT58" i="24"/>
  <c r="LF58" i="24"/>
  <c r="NK58" i="24"/>
  <c r="JA58" i="24"/>
  <c r="IH58" i="24"/>
  <c r="IH243" i="24" s="1"/>
  <c r="LX65" i="24"/>
  <c r="IJ65" i="24"/>
  <c r="IJ317" i="24"/>
  <c r="IK65" i="24"/>
  <c r="IK317" i="24"/>
  <c r="IK318" i="24"/>
  <c r="IE308" i="24"/>
  <c r="IF317" i="24"/>
  <c r="IF65" i="24"/>
  <c r="II309" i="24"/>
  <c r="IJ318" i="24"/>
  <c r="IG318" i="24"/>
  <c r="MU61" i="24"/>
  <c r="NN61" i="24"/>
  <c r="KP61" i="24"/>
  <c r="JW61" i="24"/>
  <c r="MB61" i="24"/>
  <c r="JD61" i="24"/>
  <c r="IK61" i="24"/>
  <c r="IK246" i="24" s="1"/>
  <c r="LI61" i="24"/>
  <c r="MA57" i="24"/>
  <c r="NM57" i="24"/>
  <c r="JV57" i="24"/>
  <c r="LH57" i="24"/>
  <c r="MT57" i="24"/>
  <c r="JC57" i="24"/>
  <c r="IJ57" i="24"/>
  <c r="KO57" i="24"/>
  <c r="LY59" i="24"/>
  <c r="LY52" i="24" s="1"/>
  <c r="MR59" i="24"/>
  <c r="LF59" i="24"/>
  <c r="NK59" i="24"/>
  <c r="KM59" i="24"/>
  <c r="JA59" i="24"/>
  <c r="IH59" i="24"/>
  <c r="IH244" i="24" s="1"/>
  <c r="JT59" i="24"/>
  <c r="JT52" i="24" s="1"/>
  <c r="LV58" i="24"/>
  <c r="MO58" i="24"/>
  <c r="NH58" i="24"/>
  <c r="LC58" i="24"/>
  <c r="KJ58" i="24"/>
  <c r="JQ58" i="24"/>
  <c r="IX58" i="24"/>
  <c r="IE58" i="24"/>
  <c r="IE243" i="24" s="1"/>
  <c r="LF65" i="24"/>
  <c r="IG310" i="24"/>
  <c r="IE312" i="24"/>
  <c r="IH318" i="24"/>
  <c r="MA59" i="24"/>
  <c r="NM59" i="24"/>
  <c r="JV59" i="24"/>
  <c r="MT59" i="24"/>
  <c r="LH59" i="24"/>
  <c r="JC59" i="24"/>
  <c r="KO59" i="24"/>
  <c r="IJ59" i="24"/>
  <c r="IJ244" i="24" s="1"/>
  <c r="NM65" i="24"/>
  <c r="NI61" i="24"/>
  <c r="LW61" i="24"/>
  <c r="MP61" i="24"/>
  <c r="KK61" i="24"/>
  <c r="IF61" i="24"/>
  <c r="IF246" i="24" s="1"/>
  <c r="JR61" i="24"/>
  <c r="IY61" i="24"/>
  <c r="LD61" i="24"/>
  <c r="NH59" i="24"/>
  <c r="LV59" i="24"/>
  <c r="MO59" i="24"/>
  <c r="KJ59" i="24"/>
  <c r="KJ52" i="24" s="1"/>
  <c r="JQ59" i="24"/>
  <c r="JQ52" i="24" s="1"/>
  <c r="LC59" i="24"/>
  <c r="IE59" i="24"/>
  <c r="IE244" i="24" s="1"/>
  <c r="IX59" i="24"/>
  <c r="IF308" i="24"/>
  <c r="KO65" i="24"/>
  <c r="KK65" i="24"/>
  <c r="MU59" i="24"/>
  <c r="NN59" i="24"/>
  <c r="KP59" i="24"/>
  <c r="JW59" i="24"/>
  <c r="LI59" i="24"/>
  <c r="JD59" i="24"/>
  <c r="MB59" i="24"/>
  <c r="IK59" i="24"/>
  <c r="IK244" i="24" s="1"/>
  <c r="II312" i="24"/>
  <c r="II318" i="24"/>
  <c r="AV253" i="24"/>
  <c r="AV326" i="24" s="1"/>
  <c r="AV319" i="24"/>
  <c r="AV327" i="24" s="1"/>
  <c r="GY61" i="24"/>
  <c r="ET61" i="24"/>
  <c r="FM61" i="24"/>
  <c r="CO61" i="24"/>
  <c r="GF61" i="24"/>
  <c r="EA61" i="24"/>
  <c r="HR61" i="24"/>
  <c r="DH61" i="24"/>
  <c r="DW61" i="24"/>
  <c r="HN61" i="24"/>
  <c r="FI61" i="24"/>
  <c r="GU61" i="24"/>
  <c r="DD61" i="24"/>
  <c r="EP61" i="24"/>
  <c r="GB61" i="24"/>
  <c r="CK61" i="24"/>
  <c r="HM61" i="24"/>
  <c r="FH61" i="24"/>
  <c r="GT61" i="24"/>
  <c r="DC61" i="24"/>
  <c r="EO61" i="24"/>
  <c r="CJ61" i="24"/>
  <c r="DV61" i="24"/>
  <c r="GA61" i="24"/>
  <c r="GC61" i="24"/>
  <c r="DX61" i="24"/>
  <c r="HO61" i="24"/>
  <c r="FJ61" i="24"/>
  <c r="GV61" i="24"/>
  <c r="DE61" i="24"/>
  <c r="CL61" i="24"/>
  <c r="EQ61" i="24"/>
  <c r="BA334" i="24"/>
  <c r="AX336" i="24"/>
  <c r="AX338" i="24" s="1"/>
  <c r="AX194" i="24"/>
  <c r="AZ334" i="24"/>
  <c r="AZ336" i="24" s="1"/>
  <c r="AZ338" i="24" s="1"/>
  <c r="AZ194" i="24"/>
  <c r="AX335" i="24"/>
  <c r="AX337" i="24" s="1"/>
  <c r="BB194" i="24"/>
  <c r="AX260" i="24"/>
  <c r="AW316" i="24"/>
  <c r="BA194" i="24"/>
  <c r="BA333" i="24"/>
  <c r="BA252" i="24"/>
  <c r="BA318" i="24"/>
  <c r="AZ242" i="24"/>
  <c r="AZ308" i="24"/>
  <c r="BC251" i="24"/>
  <c r="BC317" i="24"/>
  <c r="AY251" i="24"/>
  <c r="AY317" i="24"/>
  <c r="BA251" i="24"/>
  <c r="BA317" i="24"/>
  <c r="AX251" i="24"/>
  <c r="AX317" i="24"/>
  <c r="AX242" i="24"/>
  <c r="AX308" i="24"/>
  <c r="AW260" i="24"/>
  <c r="AY243" i="24"/>
  <c r="AY309" i="24"/>
  <c r="AW194" i="24"/>
  <c r="AW333" i="24"/>
  <c r="AW335" i="24" s="1"/>
  <c r="AW337" i="24" s="1"/>
  <c r="BA243" i="24"/>
  <c r="BA309" i="24"/>
  <c r="BB252" i="24"/>
  <c r="BB318" i="24"/>
  <c r="AW250" i="24"/>
  <c r="AX252" i="24"/>
  <c r="AX318" i="24"/>
  <c r="BC260" i="24"/>
  <c r="BA244" i="24"/>
  <c r="BA310" i="24"/>
  <c r="AZ251" i="24"/>
  <c r="AZ317" i="24"/>
  <c r="AW242" i="24"/>
  <c r="AW308" i="24"/>
  <c r="AZ252" i="24"/>
  <c r="AZ318" i="24"/>
  <c r="BC242" i="24"/>
  <c r="BC308" i="24"/>
  <c r="BC252" i="24"/>
  <c r="BC318" i="24"/>
  <c r="BA246" i="24"/>
  <c r="BA312" i="24"/>
  <c r="AY252" i="24"/>
  <c r="AY318" i="24"/>
  <c r="AY244" i="24"/>
  <c r="AY310" i="24"/>
  <c r="AW246" i="24"/>
  <c r="AW312" i="24"/>
  <c r="BB251" i="24"/>
  <c r="BB317" i="24"/>
  <c r="AY262" i="24"/>
  <c r="AY196" i="24"/>
  <c r="AY333" i="24" s="1"/>
  <c r="EP9" i="24"/>
  <c r="AY9" i="24"/>
  <c r="BR9" i="24"/>
  <c r="CK9" i="24"/>
  <c r="GU9" i="24"/>
  <c r="FI9" i="24"/>
  <c r="DW9" i="24"/>
  <c r="DD9" i="24"/>
  <c r="O5" i="27"/>
  <c r="DD65" i="24"/>
  <c r="GB9" i="24"/>
  <c r="HN9" i="24"/>
  <c r="H260" i="37"/>
  <c r="H198" i="37"/>
  <c r="H212" i="37"/>
  <c r="H259" i="37"/>
  <c r="H165" i="37"/>
  <c r="H151" i="37"/>
  <c r="H213" i="37"/>
  <c r="H207" i="37"/>
  <c r="H160" i="37"/>
  <c r="H166" i="37"/>
  <c r="H255" i="37"/>
  <c r="H261" i="37"/>
  <c r="HP52" i="24"/>
  <c r="DD52" i="24"/>
  <c r="FK52" i="24"/>
  <c r="BT52" i="24"/>
  <c r="EP65" i="24"/>
  <c r="HN52" i="24"/>
  <c r="ET65" i="24"/>
  <c r="GT65" i="24"/>
  <c r="GA65" i="24"/>
  <c r="FI52" i="24"/>
  <c r="BV65" i="24"/>
  <c r="BR65" i="24"/>
  <c r="DW65" i="24"/>
  <c r="GB52" i="24"/>
  <c r="FL65" i="24"/>
  <c r="HR65" i="24"/>
  <c r="GU52" i="24"/>
  <c r="FK65" i="24"/>
  <c r="BA52" i="24"/>
  <c r="HP65" i="24"/>
  <c r="GD52" i="24"/>
  <c r="GW52" i="24"/>
  <c r="CO65" i="24"/>
  <c r="GE65" i="24"/>
  <c r="GY65" i="24"/>
  <c r="BS65" i="24"/>
  <c r="GW65" i="24"/>
  <c r="GD65" i="24"/>
  <c r="HQ65" i="24"/>
  <c r="HO65" i="24"/>
  <c r="FI65" i="24"/>
  <c r="FM65" i="24"/>
  <c r="HO58" i="24"/>
  <c r="GC58" i="24"/>
  <c r="GV58" i="24"/>
  <c r="FJ58" i="24"/>
  <c r="GS58" i="24"/>
  <c r="HL58" i="24"/>
  <c r="FZ58" i="24"/>
  <c r="FG58" i="24"/>
  <c r="HR59" i="24"/>
  <c r="GY59" i="24"/>
  <c r="GF59" i="24"/>
  <c r="FM59" i="24"/>
  <c r="HM58" i="24"/>
  <c r="GT58" i="24"/>
  <c r="GA58" i="24"/>
  <c r="FH58" i="24"/>
  <c r="GS59" i="24"/>
  <c r="HL59" i="24"/>
  <c r="FZ59" i="24"/>
  <c r="FG59" i="24"/>
  <c r="GF65" i="24"/>
  <c r="FH65" i="24"/>
  <c r="HO59" i="24"/>
  <c r="GC59" i="24"/>
  <c r="GV59" i="24"/>
  <c r="FJ59" i="24"/>
  <c r="HM65" i="24"/>
  <c r="HR58" i="24"/>
  <c r="GY58" i="24"/>
  <c r="GF58" i="24"/>
  <c r="FM58" i="24"/>
  <c r="HM59" i="24"/>
  <c r="GA59" i="24"/>
  <c r="GT59" i="24"/>
  <c r="FH59" i="24"/>
  <c r="GX65" i="24"/>
  <c r="FJ65" i="24"/>
  <c r="GB65" i="24"/>
  <c r="HQ59" i="24"/>
  <c r="GE59" i="24"/>
  <c r="FL59" i="24"/>
  <c r="GX59" i="24"/>
  <c r="HQ57" i="24"/>
  <c r="GX57" i="24"/>
  <c r="GE57" i="24"/>
  <c r="FL57" i="24"/>
  <c r="GC65" i="24"/>
  <c r="GU65" i="24"/>
  <c r="HQ58" i="24"/>
  <c r="GX58" i="24"/>
  <c r="GE58" i="24"/>
  <c r="FL58" i="24"/>
  <c r="GV65" i="24"/>
  <c r="HN65" i="24"/>
  <c r="BC65" i="24"/>
  <c r="AY65" i="24"/>
  <c r="CK52" i="24"/>
  <c r="ER52" i="24"/>
  <c r="DZ65" i="24"/>
  <c r="DE65" i="24"/>
  <c r="CM65" i="24"/>
  <c r="DX65" i="24"/>
  <c r="DF65" i="24"/>
  <c r="CM52" i="24"/>
  <c r="ER65" i="24"/>
  <c r="DV65" i="24"/>
  <c r="BA65" i="24"/>
  <c r="AY52" i="24"/>
  <c r="DF52" i="24"/>
  <c r="DY65" i="24"/>
  <c r="EO65" i="24"/>
  <c r="BT65" i="24"/>
  <c r="BR52" i="24"/>
  <c r="CN65" i="24"/>
  <c r="EO59" i="24"/>
  <c r="DC59" i="24"/>
  <c r="DV59" i="24"/>
  <c r="CJ59" i="24"/>
  <c r="BQ59" i="24"/>
  <c r="AX59" i="24"/>
  <c r="ET59" i="24"/>
  <c r="DH59" i="24"/>
  <c r="CO59" i="24"/>
  <c r="EA59" i="24"/>
  <c r="BV59" i="24"/>
  <c r="BC59" i="24"/>
  <c r="EO58" i="24"/>
  <c r="DC58" i="24"/>
  <c r="DV58" i="24"/>
  <c r="CJ58" i="24"/>
  <c r="BQ58" i="24"/>
  <c r="AX58" i="24"/>
  <c r="BQ61" i="24"/>
  <c r="AX61" i="24"/>
  <c r="EN59" i="24"/>
  <c r="DU59" i="24"/>
  <c r="DB59" i="24"/>
  <c r="CI59" i="24"/>
  <c r="BP59" i="24"/>
  <c r="AW59" i="24"/>
  <c r="CJ65" i="24"/>
  <c r="BU65" i="24"/>
  <c r="EQ65" i="24"/>
  <c r="ES65" i="24"/>
  <c r="ES58" i="24"/>
  <c r="DG58" i="24"/>
  <c r="DZ58" i="24"/>
  <c r="CN58" i="24"/>
  <c r="BU58" i="24"/>
  <c r="BB58" i="24"/>
  <c r="DZ59" i="24"/>
  <c r="DG59" i="24"/>
  <c r="BU59" i="24"/>
  <c r="ES59" i="24"/>
  <c r="CN59" i="24"/>
  <c r="BB59" i="24"/>
  <c r="DX58" i="24"/>
  <c r="DE58" i="24"/>
  <c r="EQ58" i="24"/>
  <c r="CL58" i="24"/>
  <c r="BS58" i="24"/>
  <c r="AZ58" i="24"/>
  <c r="C151" i="37"/>
  <c r="BR61" i="24"/>
  <c r="AY61" i="24"/>
  <c r="EP52" i="24"/>
  <c r="AX65" i="24"/>
  <c r="AZ65" i="24"/>
  <c r="BS61" i="24"/>
  <c r="AZ61" i="24"/>
  <c r="EQ59" i="24"/>
  <c r="DX59" i="24"/>
  <c r="DE59" i="24"/>
  <c r="CL59" i="24"/>
  <c r="BS59" i="24"/>
  <c r="AZ59" i="24"/>
  <c r="BQ65" i="24"/>
  <c r="CL65" i="24"/>
  <c r="ET58" i="24"/>
  <c r="DH58" i="24"/>
  <c r="BV58" i="24"/>
  <c r="CO58" i="24"/>
  <c r="EA58" i="24"/>
  <c r="BC58" i="24"/>
  <c r="C246" i="37"/>
  <c r="BV61" i="24"/>
  <c r="BC61" i="24"/>
  <c r="ES57" i="24"/>
  <c r="DG57" i="24"/>
  <c r="CN57" i="24"/>
  <c r="DZ57" i="24"/>
  <c r="BU57" i="24"/>
  <c r="BB57" i="24"/>
  <c r="DU58" i="24"/>
  <c r="EN58" i="24"/>
  <c r="DB58" i="24"/>
  <c r="CI58" i="24"/>
  <c r="BP58" i="24"/>
  <c r="AW58" i="24"/>
  <c r="EA65" i="24"/>
  <c r="CK65" i="24"/>
  <c r="BB65" i="24"/>
  <c r="DC65" i="24"/>
  <c r="DG65" i="24"/>
  <c r="C117" i="37"/>
  <c r="C118" i="37"/>
  <c r="C112" i="37"/>
  <c r="C255" i="37"/>
  <c r="C261" i="37"/>
  <c r="C260" i="37"/>
  <c r="N42" i="27"/>
  <c r="N61" i="24"/>
  <c r="N31" i="10"/>
  <c r="N6" i="27" s="1"/>
  <c r="O65" i="24"/>
  <c r="J5" i="27"/>
  <c r="N65" i="24"/>
  <c r="L31" i="10"/>
  <c r="L6" i="27" s="1"/>
  <c r="L5" i="27"/>
  <c r="BS250" i="24" l="1"/>
  <c r="FL250" i="24"/>
  <c r="BS316" i="24"/>
  <c r="IG253" i="24"/>
  <c r="LF52" i="24"/>
  <c r="JA52" i="24"/>
  <c r="II253" i="24"/>
  <c r="II326" i="24" s="1"/>
  <c r="JR52" i="24"/>
  <c r="LC52" i="24"/>
  <c r="MS68" i="24"/>
  <c r="LI52" i="24"/>
  <c r="LI49" i="24" s="1"/>
  <c r="LI68" i="24" s="1"/>
  <c r="KP52" i="24"/>
  <c r="NN52" i="24"/>
  <c r="NI52" i="24"/>
  <c r="NI49" i="24" s="1"/>
  <c r="NI68" i="24" s="1"/>
  <c r="LV52" i="24"/>
  <c r="LV49" i="24" s="1"/>
  <c r="LV68" i="24" s="1"/>
  <c r="IY52" i="24"/>
  <c r="IY49" i="24" s="1"/>
  <c r="IY68" i="24" s="1"/>
  <c r="MR52" i="24"/>
  <c r="MP52" i="24"/>
  <c r="MP49" i="24" s="1"/>
  <c r="MP68" i="24" s="1"/>
  <c r="JV52" i="24"/>
  <c r="JV49" i="24" s="1"/>
  <c r="LW52" i="24"/>
  <c r="LZ68" i="24"/>
  <c r="MU52" i="24"/>
  <c r="MU49" i="24" s="1"/>
  <c r="MU68" i="24" s="1"/>
  <c r="MO52" i="24"/>
  <c r="MO49" i="24" s="1"/>
  <c r="MO68" i="24" s="1"/>
  <c r="JU68" i="24"/>
  <c r="II68" i="24"/>
  <c r="NH52" i="24"/>
  <c r="NH49" i="24" s="1"/>
  <c r="NH68" i="24" s="1"/>
  <c r="JW52" i="24"/>
  <c r="JW49" i="24" s="1"/>
  <c r="JW68" i="24" s="1"/>
  <c r="IF52" i="24"/>
  <c r="IX52" i="24"/>
  <c r="KM52" i="24"/>
  <c r="KK52" i="24"/>
  <c r="KK49" i="24" s="1"/>
  <c r="KK68" i="24" s="1"/>
  <c r="GT316" i="24"/>
  <c r="NK52" i="24"/>
  <c r="LH52" i="24"/>
  <c r="LH49" i="24" s="1"/>
  <c r="IH237" i="24"/>
  <c r="IH234" i="24" s="1"/>
  <c r="IH253" i="24" s="1"/>
  <c r="IG68" i="24"/>
  <c r="NM52" i="24"/>
  <c r="NM49" i="24" s="1"/>
  <c r="KM49" i="24"/>
  <c r="KM68" i="24" s="1"/>
  <c r="LG68" i="24"/>
  <c r="KL68" i="24"/>
  <c r="IF237" i="24"/>
  <c r="IF234" i="24" s="1"/>
  <c r="IF253" i="24" s="1"/>
  <c r="MA52" i="24"/>
  <c r="JD52" i="24"/>
  <c r="KN68" i="24"/>
  <c r="IZ68" i="24"/>
  <c r="KO52" i="24"/>
  <c r="KO49" i="24" s="1"/>
  <c r="IK237" i="24"/>
  <c r="IK234" i="24" s="1"/>
  <c r="IK253" i="24" s="1"/>
  <c r="LE68" i="24"/>
  <c r="MQ68" i="24"/>
  <c r="IK52" i="24"/>
  <c r="IJ242" i="24"/>
  <c r="IJ237" i="24" s="1"/>
  <c r="IJ234" i="24" s="1"/>
  <c r="IJ52" i="24"/>
  <c r="HS66" i="24"/>
  <c r="HS65" i="24" s="1"/>
  <c r="HS68" i="24" s="1"/>
  <c r="NO66" i="24"/>
  <c r="NO65" i="24" s="1"/>
  <c r="NO68" i="24" s="1"/>
  <c r="MV66" i="24"/>
  <c r="MV65" i="24" s="1"/>
  <c r="MV68" i="24" s="1"/>
  <c r="MC66" i="24"/>
  <c r="MC65" i="24" s="1"/>
  <c r="MC68" i="24" s="1"/>
  <c r="LJ66" i="24"/>
  <c r="LJ65" i="24" s="1"/>
  <c r="LJ68" i="24" s="1"/>
  <c r="KQ66" i="24"/>
  <c r="KQ65" i="24" s="1"/>
  <c r="KQ68" i="24" s="1"/>
  <c r="IL66" i="24"/>
  <c r="JX66" i="24"/>
  <c r="JX65" i="24" s="1"/>
  <c r="JX68" i="24" s="1"/>
  <c r="JE66" i="24"/>
  <c r="JE65" i="24" s="1"/>
  <c r="JE68" i="24" s="1"/>
  <c r="IE52" i="24"/>
  <c r="IE49" i="24" s="1"/>
  <c r="IE68" i="24" s="1"/>
  <c r="JC52" i="24"/>
  <c r="JC49" i="24" s="1"/>
  <c r="JB68" i="24"/>
  <c r="LX68" i="24"/>
  <c r="NJ68" i="24"/>
  <c r="IE237" i="24"/>
  <c r="IE234" i="24" s="1"/>
  <c r="IE253" i="24" s="1"/>
  <c r="MT52" i="24"/>
  <c r="MB52" i="24"/>
  <c r="MB49" i="24" s="1"/>
  <c r="MB68" i="24" s="1"/>
  <c r="NL68" i="24"/>
  <c r="JS68" i="24"/>
  <c r="IH52" i="24"/>
  <c r="FL316" i="24"/>
  <c r="EV328" i="24"/>
  <c r="EV330" i="24" s="1"/>
  <c r="HP250" i="24"/>
  <c r="HQ316" i="24"/>
  <c r="GH328" i="24"/>
  <c r="GH330" i="24" s="1"/>
  <c r="HQ250" i="24"/>
  <c r="EQ316" i="24"/>
  <c r="HN237" i="24"/>
  <c r="HN234" i="24" s="1"/>
  <c r="GH329" i="24"/>
  <c r="GH331" i="24" s="1"/>
  <c r="GD250" i="24"/>
  <c r="HM316" i="24"/>
  <c r="EV329" i="24"/>
  <c r="EV331" i="24" s="1"/>
  <c r="HN303" i="24"/>
  <c r="HN300" i="24" s="1"/>
  <c r="EQ250" i="24"/>
  <c r="GU237" i="24"/>
  <c r="GU234" i="24" s="1"/>
  <c r="HO250" i="24"/>
  <c r="GU250" i="24"/>
  <c r="GW303" i="24"/>
  <c r="GW300" i="24" s="1"/>
  <c r="GW237" i="24"/>
  <c r="GW234" i="24" s="1"/>
  <c r="HP237" i="24"/>
  <c r="HP234" i="24" s="1"/>
  <c r="HN250" i="24"/>
  <c r="HP303" i="24"/>
  <c r="HP300" i="24" s="1"/>
  <c r="HQ242" i="24"/>
  <c r="HQ308" i="24"/>
  <c r="HM312" i="24"/>
  <c r="HM246" i="24"/>
  <c r="HQ309" i="24"/>
  <c r="HQ243" i="24"/>
  <c r="HR310" i="24"/>
  <c r="HR244" i="24"/>
  <c r="HM244" i="24"/>
  <c r="HM310" i="24"/>
  <c r="HM250" i="24"/>
  <c r="HL244" i="24"/>
  <c r="HL310" i="24"/>
  <c r="HQ310" i="24"/>
  <c r="HQ244" i="24"/>
  <c r="HO310" i="24"/>
  <c r="HO244" i="24"/>
  <c r="HO316" i="24"/>
  <c r="HO309" i="24"/>
  <c r="HO243" i="24"/>
  <c r="HR312" i="24"/>
  <c r="HR246" i="24"/>
  <c r="HL309" i="24"/>
  <c r="HL243" i="24"/>
  <c r="GT250" i="24"/>
  <c r="HM309" i="24"/>
  <c r="HM243" i="24"/>
  <c r="HO312" i="24"/>
  <c r="HO246" i="24"/>
  <c r="HR250" i="24"/>
  <c r="HR243" i="24"/>
  <c r="HR309" i="24"/>
  <c r="HR303" i="24" s="1"/>
  <c r="HR300" i="24" s="1"/>
  <c r="HN312" i="24"/>
  <c r="HN246" i="24"/>
  <c r="HP316" i="24"/>
  <c r="HR316" i="24"/>
  <c r="HN316" i="24"/>
  <c r="GB237" i="24"/>
  <c r="GB234" i="24" s="1"/>
  <c r="GE316" i="24"/>
  <c r="GU303" i="24"/>
  <c r="GU300" i="24" s="1"/>
  <c r="GU316" i="24"/>
  <c r="GV309" i="24"/>
  <c r="GV243" i="24"/>
  <c r="GT243" i="24"/>
  <c r="GT309" i="24"/>
  <c r="GV312" i="24"/>
  <c r="GV246" i="24"/>
  <c r="GY316" i="24"/>
  <c r="GY309" i="24"/>
  <c r="GY243" i="24"/>
  <c r="GS243" i="24"/>
  <c r="GS309" i="24"/>
  <c r="GU246" i="24"/>
  <c r="GU312" i="24"/>
  <c r="GF250" i="24"/>
  <c r="GX308" i="24"/>
  <c r="GX242" i="24"/>
  <c r="GT246" i="24"/>
  <c r="GT312" i="24"/>
  <c r="FM250" i="24"/>
  <c r="GW250" i="24"/>
  <c r="GV250" i="24"/>
  <c r="GW316" i="24"/>
  <c r="GV316" i="24"/>
  <c r="GX309" i="24"/>
  <c r="GX243" i="24"/>
  <c r="GX310" i="24"/>
  <c r="GX244" i="24"/>
  <c r="GT310" i="24"/>
  <c r="GT244" i="24"/>
  <c r="GY244" i="24"/>
  <c r="GY310" i="24"/>
  <c r="GY246" i="24"/>
  <c r="GY312" i="24"/>
  <c r="GX250" i="24"/>
  <c r="GS310" i="24"/>
  <c r="GS244" i="24"/>
  <c r="GG66" i="24"/>
  <c r="GG65" i="24" s="1"/>
  <c r="GG68" i="24" s="1"/>
  <c r="GZ66" i="24"/>
  <c r="GX316" i="24"/>
  <c r="FJ250" i="24"/>
  <c r="GA250" i="24"/>
  <c r="GE250" i="24"/>
  <c r="GD303" i="24"/>
  <c r="GD300" i="24" s="1"/>
  <c r="HA329" i="24"/>
  <c r="HA331" i="24" s="1"/>
  <c r="HA328" i="24"/>
  <c r="HA330" i="24" s="1"/>
  <c r="GV244" i="24"/>
  <c r="GV310" i="24"/>
  <c r="GD316" i="24"/>
  <c r="GY250" i="24"/>
  <c r="DG316" i="24"/>
  <c r="DF303" i="24"/>
  <c r="DF300" i="24" s="1"/>
  <c r="DJ328" i="24"/>
  <c r="DJ330" i="24" s="1"/>
  <c r="BX329" i="24"/>
  <c r="BX331" i="24" s="1"/>
  <c r="GF316" i="24"/>
  <c r="GB303" i="24"/>
  <c r="GB300" i="24" s="1"/>
  <c r="GC250" i="24"/>
  <c r="GA243" i="24"/>
  <c r="GA309" i="24"/>
  <c r="ER303" i="24"/>
  <c r="ER300" i="24" s="1"/>
  <c r="FZ309" i="24"/>
  <c r="FZ243" i="24"/>
  <c r="DD303" i="24"/>
  <c r="DD300" i="24" s="1"/>
  <c r="GF309" i="24"/>
  <c r="GF243" i="24"/>
  <c r="GF312" i="24"/>
  <c r="GF246" i="24"/>
  <c r="GE309" i="24"/>
  <c r="GE243" i="24"/>
  <c r="FZ310" i="24"/>
  <c r="FZ244" i="24"/>
  <c r="GF310" i="24"/>
  <c r="GF244" i="24"/>
  <c r="GA316" i="24"/>
  <c r="GC309" i="24"/>
  <c r="GC243" i="24"/>
  <c r="GC312" i="24"/>
  <c r="GC246" i="24"/>
  <c r="FJ316" i="24"/>
  <c r="GB250" i="24"/>
  <c r="FI303" i="24"/>
  <c r="FI300" i="24" s="1"/>
  <c r="GC316" i="24"/>
  <c r="GB316" i="24"/>
  <c r="GE308" i="24"/>
  <c r="GE242" i="24"/>
  <c r="GA310" i="24"/>
  <c r="GA244" i="24"/>
  <c r="GA312" i="24"/>
  <c r="GA246" i="24"/>
  <c r="GE310" i="24"/>
  <c r="GE244" i="24"/>
  <c r="GC244" i="24"/>
  <c r="GC310" i="24"/>
  <c r="GB312" i="24"/>
  <c r="GB246" i="24"/>
  <c r="GD237" i="24"/>
  <c r="GD234" i="24" s="1"/>
  <c r="DD237" i="24"/>
  <c r="DD234" i="24" s="1"/>
  <c r="DZ316" i="24"/>
  <c r="EP303" i="24"/>
  <c r="EP300" i="24" s="1"/>
  <c r="FK250" i="24"/>
  <c r="FK303" i="24"/>
  <c r="FK300" i="24" s="1"/>
  <c r="FK237" i="24"/>
  <c r="FK234" i="24" s="1"/>
  <c r="FK316" i="24"/>
  <c r="FH316" i="24"/>
  <c r="FM316" i="24"/>
  <c r="FI250" i="24"/>
  <c r="FH243" i="24"/>
  <c r="FH309" i="24"/>
  <c r="FG309" i="24"/>
  <c r="FG243" i="24"/>
  <c r="FM309" i="24"/>
  <c r="FM243" i="24"/>
  <c r="EP237" i="24"/>
  <c r="EP234" i="24" s="1"/>
  <c r="FL308" i="24"/>
  <c r="FL242" i="24"/>
  <c r="FO328" i="24"/>
  <c r="FO330" i="24" s="1"/>
  <c r="FO329" i="24"/>
  <c r="FO331" i="24" s="1"/>
  <c r="FI316" i="24"/>
  <c r="FH250" i="24"/>
  <c r="FL310" i="24"/>
  <c r="FL244" i="24"/>
  <c r="FL309" i="24"/>
  <c r="FL243" i="24"/>
  <c r="FG310" i="24"/>
  <c r="FG244" i="24"/>
  <c r="FM310" i="24"/>
  <c r="FM244" i="24"/>
  <c r="FJ309" i="24"/>
  <c r="FJ243" i="24"/>
  <c r="FJ312" i="24"/>
  <c r="FJ246" i="24"/>
  <c r="ET250" i="24"/>
  <c r="FH310" i="24"/>
  <c r="FH244" i="24"/>
  <c r="FI312" i="24"/>
  <c r="FI246" i="24"/>
  <c r="FM312" i="24"/>
  <c r="FM246" i="24"/>
  <c r="EU66" i="24"/>
  <c r="EU317" i="24" s="1"/>
  <c r="EU316" i="24" s="1"/>
  <c r="EU319" i="24" s="1"/>
  <c r="EU327" i="24" s="1"/>
  <c r="FN66" i="24"/>
  <c r="BR333" i="24"/>
  <c r="FJ244" i="24"/>
  <c r="FJ310" i="24"/>
  <c r="FH312" i="24"/>
  <c r="FH246" i="24"/>
  <c r="ER237" i="24"/>
  <c r="ER234" i="24" s="1"/>
  <c r="DG250" i="24"/>
  <c r="ES250" i="24"/>
  <c r="ET316" i="24"/>
  <c r="ES310" i="24"/>
  <c r="ES244" i="24"/>
  <c r="EN309" i="24"/>
  <c r="EN243" i="24"/>
  <c r="ET309" i="24"/>
  <c r="ET243" i="24"/>
  <c r="EQ310" i="24"/>
  <c r="EQ244" i="24"/>
  <c r="EO310" i="24"/>
  <c r="EO244" i="24"/>
  <c r="EO316" i="24"/>
  <c r="ES243" i="24"/>
  <c r="ES309" i="24"/>
  <c r="ET244" i="24"/>
  <c r="ET310" i="24"/>
  <c r="ET312" i="24"/>
  <c r="ET246" i="24"/>
  <c r="DZ250" i="24"/>
  <c r="DW303" i="24"/>
  <c r="DW300" i="24" s="1"/>
  <c r="EQ309" i="24"/>
  <c r="EQ243" i="24"/>
  <c r="EO309" i="24"/>
  <c r="EO243" i="24"/>
  <c r="EQ246" i="24"/>
  <c r="EQ312" i="24"/>
  <c r="DW237" i="24"/>
  <c r="DW234" i="24" s="1"/>
  <c r="ES316" i="24"/>
  <c r="EN310" i="24"/>
  <c r="EN244" i="24"/>
  <c r="EP246" i="24"/>
  <c r="EP312" i="24"/>
  <c r="ER316" i="24"/>
  <c r="ER319" i="24" s="1"/>
  <c r="ER327" i="24" s="1"/>
  <c r="EP250" i="24"/>
  <c r="ES308" i="24"/>
  <c r="ES242" i="24"/>
  <c r="EO312" i="24"/>
  <c r="EO246" i="24"/>
  <c r="ER250" i="24"/>
  <c r="EO250" i="24"/>
  <c r="EP316" i="24"/>
  <c r="DY237" i="24"/>
  <c r="DY234" i="24" s="1"/>
  <c r="DW250" i="24"/>
  <c r="DH250" i="24"/>
  <c r="DY303" i="24"/>
  <c r="DY300" i="24" s="1"/>
  <c r="DC316" i="24"/>
  <c r="DY250" i="24"/>
  <c r="DU52" i="24"/>
  <c r="DV52" i="24"/>
  <c r="BX328" i="24"/>
  <c r="BX330" i="24" s="1"/>
  <c r="DW316" i="24"/>
  <c r="DY316" i="24"/>
  <c r="DX309" i="24"/>
  <c r="DX243" i="24"/>
  <c r="DV244" i="24"/>
  <c r="DV310" i="24"/>
  <c r="DV312" i="24"/>
  <c r="DV246" i="24"/>
  <c r="DX244" i="24"/>
  <c r="DX310" i="24"/>
  <c r="EA246" i="24"/>
  <c r="EA312" i="24"/>
  <c r="DI66" i="24"/>
  <c r="DI317" i="24" s="1"/>
  <c r="DI316" i="24" s="1"/>
  <c r="DI319" i="24" s="1"/>
  <c r="DI327" i="24" s="1"/>
  <c r="EB66" i="24"/>
  <c r="EC329" i="24"/>
  <c r="EC331" i="24" s="1"/>
  <c r="EC328" i="24"/>
  <c r="EC330" i="24" s="1"/>
  <c r="DZ243" i="24"/>
  <c r="DZ309" i="24"/>
  <c r="DU243" i="24"/>
  <c r="DU309" i="24"/>
  <c r="BR237" i="24"/>
  <c r="BR234" i="24" s="1"/>
  <c r="EA310" i="24"/>
  <c r="EA244" i="24"/>
  <c r="DV243" i="24"/>
  <c r="DV309" i="24"/>
  <c r="DV250" i="24"/>
  <c r="EA316" i="24"/>
  <c r="DU244" i="24"/>
  <c r="DU310" i="24"/>
  <c r="DX246" i="24"/>
  <c r="DX312" i="24"/>
  <c r="DX52" i="24"/>
  <c r="DV316" i="24"/>
  <c r="DX316" i="24"/>
  <c r="EA250" i="24"/>
  <c r="DZ242" i="24"/>
  <c r="DZ308" i="24"/>
  <c r="DZ52" i="24"/>
  <c r="EA243" i="24"/>
  <c r="EA309" i="24"/>
  <c r="DZ310" i="24"/>
  <c r="DZ244" i="24"/>
  <c r="DW312" i="24"/>
  <c r="DW246" i="24"/>
  <c r="EA52" i="24"/>
  <c r="DX250" i="24"/>
  <c r="DD316" i="24"/>
  <c r="DC250" i="24"/>
  <c r="DE250" i="24"/>
  <c r="DG242" i="24"/>
  <c r="DG308" i="24"/>
  <c r="DE244" i="24"/>
  <c r="DE310" i="24"/>
  <c r="DB243" i="24"/>
  <c r="DB309" i="24"/>
  <c r="DH243" i="24"/>
  <c r="DH309" i="24"/>
  <c r="DC244" i="24"/>
  <c r="DC310" i="24"/>
  <c r="DH246" i="24"/>
  <c r="DH312" i="24"/>
  <c r="DG243" i="24"/>
  <c r="DG309" i="24"/>
  <c r="DH310" i="24"/>
  <c r="DH244" i="24"/>
  <c r="DE246" i="24"/>
  <c r="DE312" i="24"/>
  <c r="BR303" i="24"/>
  <c r="BR300" i="24" s="1"/>
  <c r="DF250" i="24"/>
  <c r="DD312" i="24"/>
  <c r="DD246" i="24"/>
  <c r="DF316" i="24"/>
  <c r="DG310" i="24"/>
  <c r="DG244" i="24"/>
  <c r="DC243" i="24"/>
  <c r="DC309" i="24"/>
  <c r="DC312" i="24"/>
  <c r="DC246" i="24"/>
  <c r="DE316" i="24"/>
  <c r="BC336" i="24"/>
  <c r="BC338" i="24" s="1"/>
  <c r="BQ250" i="24"/>
  <c r="BT237" i="24"/>
  <c r="BT234" i="24" s="1"/>
  <c r="CK237" i="24"/>
  <c r="CK234" i="24" s="1"/>
  <c r="CM250" i="24"/>
  <c r="DD250" i="24"/>
  <c r="DF237" i="24"/>
  <c r="DF234" i="24" s="1"/>
  <c r="DB244" i="24"/>
  <c r="DB310" i="24"/>
  <c r="DE309" i="24"/>
  <c r="DE243" i="24"/>
  <c r="CK303" i="24"/>
  <c r="CK300" i="24" s="1"/>
  <c r="DH316" i="24"/>
  <c r="BR334" i="24"/>
  <c r="CM237" i="24"/>
  <c r="CM234" i="24" s="1"/>
  <c r="BQ316" i="24"/>
  <c r="CN309" i="24"/>
  <c r="CN243" i="24"/>
  <c r="CI244" i="24"/>
  <c r="CI310" i="24"/>
  <c r="CJ312" i="24"/>
  <c r="CJ246" i="24"/>
  <c r="CN316" i="24"/>
  <c r="CM303" i="24"/>
  <c r="CM300" i="24" s="1"/>
  <c r="CJ250" i="24"/>
  <c r="CL309" i="24"/>
  <c r="CL243" i="24"/>
  <c r="CO316" i="24"/>
  <c r="CJ316" i="24"/>
  <c r="CJ309" i="24"/>
  <c r="CJ243" i="24"/>
  <c r="CO312" i="24"/>
  <c r="CO246" i="24"/>
  <c r="CM316" i="24"/>
  <c r="CO250" i="24"/>
  <c r="CN242" i="24"/>
  <c r="CN308" i="24"/>
  <c r="CO243" i="24"/>
  <c r="CO309" i="24"/>
  <c r="CL310" i="24"/>
  <c r="CL244" i="24"/>
  <c r="CJ244" i="24"/>
  <c r="CJ310" i="24"/>
  <c r="CI309" i="24"/>
  <c r="CI243" i="24"/>
  <c r="BW66" i="24"/>
  <c r="BW65" i="24" s="1"/>
  <c r="BW68" i="24" s="1"/>
  <c r="CP66" i="24"/>
  <c r="CQ329" i="24"/>
  <c r="CQ331" i="24" s="1"/>
  <c r="CQ328" i="24"/>
  <c r="CQ330" i="24" s="1"/>
  <c r="BT303" i="24"/>
  <c r="BT300" i="24" s="1"/>
  <c r="CL250" i="24"/>
  <c r="CN310" i="24"/>
  <c r="CN244" i="24"/>
  <c r="CO310" i="24"/>
  <c r="CO244" i="24"/>
  <c r="CK312" i="24"/>
  <c r="CK246" i="24"/>
  <c r="CL316" i="24"/>
  <c r="CK250" i="24"/>
  <c r="CL312" i="24"/>
  <c r="CL246" i="24"/>
  <c r="CN250" i="24"/>
  <c r="CK316" i="24"/>
  <c r="BR250" i="24"/>
  <c r="BV250" i="24"/>
  <c r="BV309" i="24"/>
  <c r="BV243" i="24"/>
  <c r="BU243" i="24"/>
  <c r="BU309" i="24"/>
  <c r="BQ312" i="24"/>
  <c r="BQ246" i="24"/>
  <c r="BV310" i="24"/>
  <c r="BV244" i="24"/>
  <c r="BP310" i="24"/>
  <c r="BP244" i="24"/>
  <c r="BQ309" i="24"/>
  <c r="BQ243" i="24"/>
  <c r="BR316" i="24"/>
  <c r="BV316" i="24"/>
  <c r="BV312" i="24"/>
  <c r="BV246" i="24"/>
  <c r="BV336" i="24"/>
  <c r="BV338" i="24" s="1"/>
  <c r="BV335" i="24"/>
  <c r="BV337" i="24" s="1"/>
  <c r="BU250" i="24"/>
  <c r="BS312" i="24"/>
  <c r="BS246" i="24"/>
  <c r="BS309" i="24"/>
  <c r="BS243" i="24"/>
  <c r="BU310" i="24"/>
  <c r="BU244" i="24"/>
  <c r="BY65" i="24"/>
  <c r="BY68" i="24" s="1"/>
  <c r="BY317" i="24"/>
  <c r="BY316" i="24" s="1"/>
  <c r="BY319" i="24" s="1"/>
  <c r="BY327" i="24" s="1"/>
  <c r="BY251" i="24"/>
  <c r="BY250" i="24" s="1"/>
  <c r="BY253" i="24" s="1"/>
  <c r="BY326" i="24" s="1"/>
  <c r="BU316" i="24"/>
  <c r="BR312" i="24"/>
  <c r="BR246" i="24"/>
  <c r="BT316" i="24"/>
  <c r="BU308" i="24"/>
  <c r="BU242" i="24"/>
  <c r="BS310" i="24"/>
  <c r="BS244" i="24"/>
  <c r="BQ310" i="24"/>
  <c r="BQ244" i="24"/>
  <c r="BG331" i="24"/>
  <c r="BG328" i="24"/>
  <c r="BG330" i="24" s="1"/>
  <c r="BT250" i="24"/>
  <c r="BP309" i="24"/>
  <c r="BP243" i="24"/>
  <c r="BE328" i="24"/>
  <c r="BE330" i="24" s="1"/>
  <c r="BE331" i="24"/>
  <c r="C148" i="37"/>
  <c r="O49" i="24"/>
  <c r="C243" i="37" s="1"/>
  <c r="I49" i="24"/>
  <c r="C100" i="37" s="1"/>
  <c r="JR49" i="24"/>
  <c r="JR68" i="24" s="1"/>
  <c r="C195" i="37"/>
  <c r="P65" i="24"/>
  <c r="BD66" i="24"/>
  <c r="BD317" i="24" s="1"/>
  <c r="BD316" i="24" s="1"/>
  <c r="BD319" i="24" s="1"/>
  <c r="BD327" i="24" s="1"/>
  <c r="BF66" i="24"/>
  <c r="BF317" i="24" s="1"/>
  <c r="BF316" i="24" s="1"/>
  <c r="BF319" i="24" s="1"/>
  <c r="BF327" i="24" s="1"/>
  <c r="NN49" i="24"/>
  <c r="NN68" i="24" s="1"/>
  <c r="LY49" i="24"/>
  <c r="LY68" i="24" s="1"/>
  <c r="JT49" i="24"/>
  <c r="JT68" i="24" s="1"/>
  <c r="LC49" i="24"/>
  <c r="LC68" i="24" s="1"/>
  <c r="NK49" i="24"/>
  <c r="NK68" i="24" s="1"/>
  <c r="H159" i="37"/>
  <c r="LD49" i="24"/>
  <c r="LD68" i="24" s="1"/>
  <c r="MR49" i="24"/>
  <c r="MR68" i="24" s="1"/>
  <c r="IX49" i="24"/>
  <c r="IX68" i="24" s="1"/>
  <c r="IF49" i="24"/>
  <c r="IF68" i="24" s="1"/>
  <c r="L49" i="24"/>
  <c r="H195" i="37" s="1"/>
  <c r="JQ49" i="24"/>
  <c r="JQ68" i="24" s="1"/>
  <c r="KJ49" i="24"/>
  <c r="KJ68" i="24" s="1"/>
  <c r="LW49" i="24"/>
  <c r="LW68" i="24" s="1"/>
  <c r="J49" i="24"/>
  <c r="IH49" i="24"/>
  <c r="IH68" i="24" s="1"/>
  <c r="H206" i="37"/>
  <c r="KP49" i="24"/>
  <c r="KP68" i="24" s="1"/>
  <c r="C254" i="37"/>
  <c r="IK49" i="24"/>
  <c r="IK68" i="24" s="1"/>
  <c r="JA49" i="24"/>
  <c r="JA68" i="24" s="1"/>
  <c r="JD49" i="24"/>
  <c r="JD68" i="24" s="1"/>
  <c r="LF49" i="24"/>
  <c r="LF68" i="24" s="1"/>
  <c r="MA49" i="24"/>
  <c r="H254" i="37"/>
  <c r="N49" i="24"/>
  <c r="IJ49" i="24"/>
  <c r="MT49" i="24"/>
  <c r="IH316" i="24"/>
  <c r="II303" i="24"/>
  <c r="II300" i="24" s="1"/>
  <c r="IK316" i="24"/>
  <c r="IG303" i="24"/>
  <c r="IG300" i="24" s="1"/>
  <c r="IF316" i="24"/>
  <c r="IG316" i="24"/>
  <c r="IH309" i="24"/>
  <c r="IJ308" i="24"/>
  <c r="IK312" i="24"/>
  <c r="IK309" i="24"/>
  <c r="IF312" i="24"/>
  <c r="IJ309" i="24"/>
  <c r="MA61" i="24"/>
  <c r="NM61" i="24"/>
  <c r="JV61" i="24"/>
  <c r="MT61" i="24"/>
  <c r="LH61" i="24"/>
  <c r="JC61" i="24"/>
  <c r="KO61" i="24"/>
  <c r="IJ61" i="24"/>
  <c r="IJ246" i="24" s="1"/>
  <c r="II316" i="24"/>
  <c r="IE309" i="24"/>
  <c r="IK310" i="24"/>
  <c r="IH310" i="24"/>
  <c r="IE310" i="24"/>
  <c r="IJ310" i="24"/>
  <c r="IJ316" i="24"/>
  <c r="IG312" i="24"/>
  <c r="IF310" i="24"/>
  <c r="IH312" i="24"/>
  <c r="IF309" i="24"/>
  <c r="AV329" i="24"/>
  <c r="AV328" i="24"/>
  <c r="ES61" i="24"/>
  <c r="CN61" i="24"/>
  <c r="GE61" i="24"/>
  <c r="DZ61" i="24"/>
  <c r="HQ61" i="24"/>
  <c r="FL61" i="24"/>
  <c r="GX61" i="24"/>
  <c r="DG61" i="24"/>
  <c r="BA336" i="24"/>
  <c r="BA338" i="24" s="1"/>
  <c r="AZ335" i="24"/>
  <c r="AZ337" i="24" s="1"/>
  <c r="BB316" i="24"/>
  <c r="AX250" i="24"/>
  <c r="BB250" i="24"/>
  <c r="BA335" i="24"/>
  <c r="BA337" i="24" s="1"/>
  <c r="AZ250" i="24"/>
  <c r="AY194" i="24"/>
  <c r="BC316" i="24"/>
  <c r="BA250" i="24"/>
  <c r="BC250" i="24"/>
  <c r="AW336" i="24"/>
  <c r="AW338" i="24" s="1"/>
  <c r="AY303" i="24"/>
  <c r="AY300" i="24" s="1"/>
  <c r="AY237" i="24"/>
  <c r="AY234" i="24" s="1"/>
  <c r="BA303" i="24"/>
  <c r="BA300" i="24" s="1"/>
  <c r="BA237" i="24"/>
  <c r="BA234" i="24" s="1"/>
  <c r="AY250" i="24"/>
  <c r="BC243" i="24"/>
  <c r="BC309" i="24"/>
  <c r="BB243" i="24"/>
  <c r="BB309" i="24"/>
  <c r="AZ316" i="24"/>
  <c r="BB244" i="24"/>
  <c r="BB310" i="24"/>
  <c r="AW244" i="24"/>
  <c r="AW310" i="24"/>
  <c r="AX244" i="24"/>
  <c r="AX310" i="24"/>
  <c r="HL52" i="24"/>
  <c r="HL49" i="24" s="1"/>
  <c r="HL68" i="24" s="1"/>
  <c r="AZ246" i="24"/>
  <c r="AZ312" i="24"/>
  <c r="AZ243" i="24"/>
  <c r="AZ309" i="24"/>
  <c r="AX316" i="24"/>
  <c r="BA316" i="24"/>
  <c r="AZ244" i="24"/>
  <c r="AZ310" i="24"/>
  <c r="AX243" i="24"/>
  <c r="AX309" i="24"/>
  <c r="FZ52" i="24"/>
  <c r="FZ49" i="24" s="1"/>
  <c r="FZ68" i="24" s="1"/>
  <c r="BC246" i="24"/>
  <c r="BC312" i="24"/>
  <c r="AX246" i="24"/>
  <c r="AX312" i="24"/>
  <c r="BB242" i="24"/>
  <c r="BB308" i="24"/>
  <c r="AW243" i="24"/>
  <c r="AW309" i="24"/>
  <c r="BC244" i="24"/>
  <c r="BC310" i="24"/>
  <c r="AY246" i="24"/>
  <c r="AY312" i="24"/>
  <c r="FG52" i="24"/>
  <c r="FG49" i="24" s="1"/>
  <c r="FG68" i="24" s="1"/>
  <c r="AY316" i="24"/>
  <c r="AY260" i="24"/>
  <c r="AY334" i="24"/>
  <c r="CM49" i="24"/>
  <c r="CM68" i="24" s="1"/>
  <c r="CK49" i="24"/>
  <c r="CK68" i="24" s="1"/>
  <c r="FI49" i="24"/>
  <c r="FI68" i="24" s="1"/>
  <c r="DD49" i="24"/>
  <c r="DD68" i="24" s="1"/>
  <c r="BR49" i="24"/>
  <c r="BR68" i="24" s="1"/>
  <c r="FK49" i="24"/>
  <c r="FK68" i="24" s="1"/>
  <c r="EP49" i="24"/>
  <c r="EP68" i="24" s="1"/>
  <c r="GU49" i="24"/>
  <c r="GU68" i="24" s="1"/>
  <c r="DW49" i="24"/>
  <c r="DW68" i="24" s="1"/>
  <c r="BT49" i="24"/>
  <c r="HP49" i="24"/>
  <c r="HP68" i="24" s="1"/>
  <c r="DF49" i="24"/>
  <c r="DF68" i="24" s="1"/>
  <c r="ER49" i="24"/>
  <c r="ER68" i="24" s="1"/>
  <c r="BA49" i="24"/>
  <c r="BA68" i="24" s="1"/>
  <c r="AY49" i="24"/>
  <c r="AY68" i="24" s="1"/>
  <c r="GW49" i="24"/>
  <c r="GW68" i="24" s="1"/>
  <c r="GB49" i="24"/>
  <c r="GB68" i="24" s="1"/>
  <c r="HN49" i="24"/>
  <c r="HN68" i="24" s="1"/>
  <c r="DY49" i="24"/>
  <c r="DY68" i="24" s="1"/>
  <c r="GD49" i="24"/>
  <c r="GD68" i="24" s="1"/>
  <c r="H246" i="37"/>
  <c r="DB52" i="24"/>
  <c r="GV52" i="24"/>
  <c r="BV52" i="24"/>
  <c r="FH52" i="24"/>
  <c r="CI52" i="24"/>
  <c r="BC52" i="24"/>
  <c r="GF52" i="24"/>
  <c r="BQ52" i="24"/>
  <c r="HO52" i="24"/>
  <c r="GA52" i="24"/>
  <c r="ES52" i="24"/>
  <c r="FM52" i="24"/>
  <c r="GY52" i="24"/>
  <c r="GC52" i="24"/>
  <c r="FL52" i="24"/>
  <c r="FJ52" i="24"/>
  <c r="GT52" i="24"/>
  <c r="HM52" i="24"/>
  <c r="DC52" i="24"/>
  <c r="GX52" i="24"/>
  <c r="HR52" i="24"/>
  <c r="GS52" i="24"/>
  <c r="GE52" i="24"/>
  <c r="HQ52" i="24"/>
  <c r="EQ52" i="24"/>
  <c r="ET52" i="24"/>
  <c r="CO52" i="24"/>
  <c r="CL52" i="24"/>
  <c r="EN52" i="24"/>
  <c r="AW52" i="24"/>
  <c r="DH52" i="24"/>
  <c r="AZ52" i="24"/>
  <c r="BS52" i="24"/>
  <c r="AX52" i="24"/>
  <c r="BU52" i="24"/>
  <c r="BU49" i="24" s="1"/>
  <c r="EO52" i="24"/>
  <c r="BP52" i="24"/>
  <c r="CN52" i="24"/>
  <c r="DE52" i="24"/>
  <c r="CJ52" i="24"/>
  <c r="DG52" i="24"/>
  <c r="BU61" i="24"/>
  <c r="BB61" i="24"/>
  <c r="BB52" i="24"/>
  <c r="AR24" i="24"/>
  <c r="H21" i="10"/>
  <c r="H29" i="10" s="1"/>
  <c r="H47" i="10"/>
  <c r="HS251" i="24" l="1"/>
  <c r="HS250" i="24" s="1"/>
  <c r="HS253" i="24" s="1"/>
  <c r="HS326" i="24" s="1"/>
  <c r="JV68" i="24"/>
  <c r="MT68" i="24"/>
  <c r="LH68" i="24"/>
  <c r="KO68" i="24"/>
  <c r="MA68" i="24"/>
  <c r="IJ68" i="24"/>
  <c r="HP253" i="24"/>
  <c r="HP326" i="24" s="1"/>
  <c r="HS317" i="24"/>
  <c r="HS316" i="24" s="1"/>
  <c r="HS319" i="24" s="1"/>
  <c r="HS327" i="24" s="1"/>
  <c r="HS329" i="24" s="1"/>
  <c r="HS331" i="24" s="1"/>
  <c r="IL65" i="24"/>
  <c r="IL68" i="24" s="1"/>
  <c r="IL251" i="24"/>
  <c r="IL250" i="24" s="1"/>
  <c r="IL253" i="24" s="1"/>
  <c r="IJ253" i="24"/>
  <c r="NM68" i="24"/>
  <c r="JC68" i="24"/>
  <c r="HM303" i="24"/>
  <c r="HM300" i="24" s="1"/>
  <c r="HM319" i="24" s="1"/>
  <c r="HM327" i="24" s="1"/>
  <c r="HP319" i="24"/>
  <c r="HP327" i="24" s="1"/>
  <c r="HP329" i="24" s="1"/>
  <c r="HP331" i="24" s="1"/>
  <c r="GD253" i="24"/>
  <c r="GD326" i="24" s="1"/>
  <c r="GW319" i="24"/>
  <c r="GW327" i="24" s="1"/>
  <c r="HN319" i="24"/>
  <c r="HN327" i="24" s="1"/>
  <c r="HR237" i="24"/>
  <c r="HR234" i="24" s="1"/>
  <c r="HR253" i="24" s="1"/>
  <c r="HR326" i="24" s="1"/>
  <c r="GY303" i="24"/>
  <c r="GY300" i="24" s="1"/>
  <c r="GY319" i="24" s="1"/>
  <c r="GY327" i="24" s="1"/>
  <c r="BT253" i="24"/>
  <c r="BT326" i="24" s="1"/>
  <c r="GU253" i="24"/>
  <c r="GU326" i="24" s="1"/>
  <c r="FL303" i="24"/>
  <c r="FL300" i="24" s="1"/>
  <c r="GV303" i="24"/>
  <c r="GV300" i="24" s="1"/>
  <c r="GV319" i="24" s="1"/>
  <c r="GV327" i="24" s="1"/>
  <c r="GW253" i="24"/>
  <c r="GW326" i="24" s="1"/>
  <c r="HL237" i="24"/>
  <c r="HL234" i="24" s="1"/>
  <c r="HL253" i="24" s="1"/>
  <c r="HL326" i="24" s="1"/>
  <c r="HO303" i="24"/>
  <c r="HO300" i="24" s="1"/>
  <c r="HO319" i="24" s="1"/>
  <c r="HO327" i="24" s="1"/>
  <c r="GS303" i="24"/>
  <c r="GS300" i="24" s="1"/>
  <c r="GS319" i="24" s="1"/>
  <c r="GS327" i="24" s="1"/>
  <c r="HL303" i="24"/>
  <c r="HL300" i="24" s="1"/>
  <c r="HL319" i="24" s="1"/>
  <c r="HL327" i="24" s="1"/>
  <c r="GA303" i="24"/>
  <c r="GA300" i="24" s="1"/>
  <c r="GA319" i="24" s="1"/>
  <c r="GA327" i="24" s="1"/>
  <c r="HO237" i="24"/>
  <c r="HO234" i="24" s="1"/>
  <c r="HO253" i="24" s="1"/>
  <c r="HO326" i="24" s="1"/>
  <c r="HN253" i="24"/>
  <c r="HN326" i="24" s="1"/>
  <c r="HM237" i="24"/>
  <c r="HM234" i="24" s="1"/>
  <c r="HM253" i="24" s="1"/>
  <c r="HM326" i="24" s="1"/>
  <c r="GD319" i="24"/>
  <c r="GD327" i="24" s="1"/>
  <c r="DF319" i="24"/>
  <c r="DF327" i="24" s="1"/>
  <c r="HQ312" i="24"/>
  <c r="HQ246" i="24"/>
  <c r="HQ303" i="24"/>
  <c r="HQ300" i="24" s="1"/>
  <c r="GS237" i="24"/>
  <c r="GS234" i="24" s="1"/>
  <c r="GS253" i="24" s="1"/>
  <c r="GS326" i="24" s="1"/>
  <c r="GT237" i="24"/>
  <c r="GT234" i="24" s="1"/>
  <c r="GT253" i="24" s="1"/>
  <c r="GT326" i="24" s="1"/>
  <c r="HR319" i="24"/>
  <c r="HR327" i="24" s="1"/>
  <c r="HQ237" i="24"/>
  <c r="HQ234" i="24" s="1"/>
  <c r="GY237" i="24"/>
  <c r="GY234" i="24" s="1"/>
  <c r="GY253" i="24" s="1"/>
  <c r="GY326" i="24" s="1"/>
  <c r="FZ237" i="24"/>
  <c r="FZ234" i="24" s="1"/>
  <c r="FZ253" i="24" s="1"/>
  <c r="FZ326" i="24" s="1"/>
  <c r="GV237" i="24"/>
  <c r="GV234" i="24" s="1"/>
  <c r="GV253" i="24" s="1"/>
  <c r="GV326" i="24" s="1"/>
  <c r="BR335" i="24"/>
  <c r="BR337" i="24" s="1"/>
  <c r="GG251" i="24"/>
  <c r="GG250" i="24" s="1"/>
  <c r="GG253" i="24" s="1"/>
  <c r="GG326" i="24" s="1"/>
  <c r="GC303" i="24"/>
  <c r="GC300" i="24" s="1"/>
  <c r="GC319" i="24" s="1"/>
  <c r="GC327" i="24" s="1"/>
  <c r="FJ237" i="24"/>
  <c r="FJ234" i="24" s="1"/>
  <c r="FJ253" i="24" s="1"/>
  <c r="FJ326" i="24" s="1"/>
  <c r="GU319" i="24"/>
  <c r="GU327" i="24" s="1"/>
  <c r="GT303" i="24"/>
  <c r="GT300" i="24" s="1"/>
  <c r="GT319" i="24" s="1"/>
  <c r="GT327" i="24" s="1"/>
  <c r="GG317" i="24"/>
  <c r="GG316" i="24" s="1"/>
  <c r="GG319" i="24" s="1"/>
  <c r="GG327" i="24" s="1"/>
  <c r="GX312" i="24"/>
  <c r="GX246" i="24"/>
  <c r="GA237" i="24"/>
  <c r="GA234" i="24" s="1"/>
  <c r="GA253" i="24" s="1"/>
  <c r="GA326" i="24" s="1"/>
  <c r="GZ65" i="24"/>
  <c r="GZ68" i="24" s="1"/>
  <c r="GZ317" i="24"/>
  <c r="GZ316" i="24" s="1"/>
  <c r="GZ319" i="24" s="1"/>
  <c r="GZ327" i="24" s="1"/>
  <c r="GZ251" i="24"/>
  <c r="GZ250" i="24" s="1"/>
  <c r="GZ253" i="24" s="1"/>
  <c r="GZ326" i="24" s="1"/>
  <c r="GX237" i="24"/>
  <c r="GX234" i="24" s="1"/>
  <c r="GX303" i="24"/>
  <c r="GX300" i="24" s="1"/>
  <c r="FK253" i="24"/>
  <c r="FK326" i="24" s="1"/>
  <c r="GE303" i="24"/>
  <c r="GE300" i="24" s="1"/>
  <c r="GF237" i="24"/>
  <c r="GF234" i="24" s="1"/>
  <c r="GF253" i="24" s="1"/>
  <c r="GF326" i="24" s="1"/>
  <c r="FI253" i="24"/>
  <c r="FI326" i="24" s="1"/>
  <c r="FZ303" i="24"/>
  <c r="FZ300" i="24" s="1"/>
  <c r="FZ319" i="24" s="1"/>
  <c r="FZ327" i="24" s="1"/>
  <c r="GB319" i="24"/>
  <c r="GB327" i="24" s="1"/>
  <c r="GC237" i="24"/>
  <c r="GC234" i="24" s="1"/>
  <c r="GC253" i="24" s="1"/>
  <c r="GC326" i="24" s="1"/>
  <c r="GF303" i="24"/>
  <c r="GF300" i="24" s="1"/>
  <c r="GF319" i="24" s="1"/>
  <c r="GF327" i="24" s="1"/>
  <c r="EQ303" i="24"/>
  <c r="EQ300" i="24" s="1"/>
  <c r="EQ319" i="24" s="1"/>
  <c r="EQ327" i="24" s="1"/>
  <c r="DY319" i="24"/>
  <c r="DY327" i="24" s="1"/>
  <c r="GB253" i="24"/>
  <c r="GB326" i="24" s="1"/>
  <c r="FG303" i="24"/>
  <c r="FG300" i="24" s="1"/>
  <c r="FG319" i="24" s="1"/>
  <c r="FG327" i="24" s="1"/>
  <c r="GE237" i="24"/>
  <c r="GE234" i="24" s="1"/>
  <c r="FK319" i="24"/>
  <c r="FK327" i="24" s="1"/>
  <c r="GE312" i="24"/>
  <c r="GE246" i="24"/>
  <c r="EU65" i="24"/>
  <c r="EU68" i="24" s="1"/>
  <c r="EU251" i="24"/>
  <c r="EU250" i="24" s="1"/>
  <c r="EU253" i="24" s="1"/>
  <c r="EU326" i="24" s="1"/>
  <c r="EU329" i="24" s="1"/>
  <c r="FJ303" i="24"/>
  <c r="FJ300" i="24" s="1"/>
  <c r="FJ319" i="24" s="1"/>
  <c r="FJ327" i="24" s="1"/>
  <c r="ER253" i="24"/>
  <c r="ER326" i="24" s="1"/>
  <c r="ER329" i="24" s="1"/>
  <c r="ER331" i="24" s="1"/>
  <c r="FH237" i="24"/>
  <c r="FH234" i="24" s="1"/>
  <c r="FH253" i="24" s="1"/>
  <c r="FH326" i="24" s="1"/>
  <c r="FG237" i="24"/>
  <c r="FG234" i="24" s="1"/>
  <c r="FG253" i="24" s="1"/>
  <c r="FG326" i="24" s="1"/>
  <c r="FL237" i="24"/>
  <c r="FL234" i="24" s="1"/>
  <c r="BV49" i="24"/>
  <c r="BV68" i="24" s="1"/>
  <c r="FH303" i="24"/>
  <c r="FH300" i="24" s="1"/>
  <c r="FH319" i="24" s="1"/>
  <c r="FH327" i="24" s="1"/>
  <c r="FM237" i="24"/>
  <c r="FM234" i="24" s="1"/>
  <c r="FM253" i="24" s="1"/>
  <c r="FM326" i="24" s="1"/>
  <c r="FM303" i="24"/>
  <c r="FM300" i="24" s="1"/>
  <c r="FM319" i="24" s="1"/>
  <c r="FM327" i="24" s="1"/>
  <c r="EQ237" i="24"/>
  <c r="EQ234" i="24" s="1"/>
  <c r="EQ253" i="24" s="1"/>
  <c r="EQ326" i="24" s="1"/>
  <c r="EN303" i="24"/>
  <c r="EN300" i="24" s="1"/>
  <c r="EN319" i="24" s="1"/>
  <c r="EN327" i="24" s="1"/>
  <c r="FN65" i="24"/>
  <c r="FN68" i="24" s="1"/>
  <c r="FN251" i="24"/>
  <c r="FN250" i="24" s="1"/>
  <c r="FN253" i="24" s="1"/>
  <c r="FN326" i="24" s="1"/>
  <c r="FN317" i="24"/>
  <c r="FN316" i="24" s="1"/>
  <c r="FN319" i="24" s="1"/>
  <c r="FN327" i="24" s="1"/>
  <c r="DW253" i="24"/>
  <c r="DW326" i="24" s="1"/>
  <c r="DV237" i="24"/>
  <c r="DV234" i="24" s="1"/>
  <c r="DV253" i="24" s="1"/>
  <c r="DV326" i="24" s="1"/>
  <c r="DY253" i="24"/>
  <c r="DY326" i="24" s="1"/>
  <c r="DW319" i="24"/>
  <c r="DW327" i="24" s="1"/>
  <c r="FL312" i="24"/>
  <c r="FL246" i="24"/>
  <c r="FI319" i="24"/>
  <c r="FI327" i="24" s="1"/>
  <c r="EN237" i="24"/>
  <c r="EN234" i="24" s="1"/>
  <c r="EN253" i="24" s="1"/>
  <c r="EN326" i="24" s="1"/>
  <c r="DE303" i="24"/>
  <c r="DE300" i="24" s="1"/>
  <c r="DE319" i="24" s="1"/>
  <c r="DE327" i="24" s="1"/>
  <c r="EO237" i="24"/>
  <c r="EO234" i="24" s="1"/>
  <c r="EO253" i="24" s="1"/>
  <c r="EO326" i="24" s="1"/>
  <c r="EO303" i="24"/>
  <c r="EO300" i="24" s="1"/>
  <c r="EO319" i="24" s="1"/>
  <c r="EO327" i="24" s="1"/>
  <c r="ET237" i="24"/>
  <c r="ET234" i="24" s="1"/>
  <c r="ET253" i="24" s="1"/>
  <c r="ET326" i="24" s="1"/>
  <c r="ET303" i="24"/>
  <c r="ET300" i="24" s="1"/>
  <c r="ET319" i="24" s="1"/>
  <c r="ET327" i="24" s="1"/>
  <c r="ES312" i="24"/>
  <c r="ES246" i="24"/>
  <c r="DD319" i="24"/>
  <c r="DD327" i="24" s="1"/>
  <c r="ES237" i="24"/>
  <c r="ES234" i="24" s="1"/>
  <c r="EP319" i="24"/>
  <c r="EP327" i="24" s="1"/>
  <c r="EP253" i="24"/>
  <c r="EP326" i="24" s="1"/>
  <c r="ES303" i="24"/>
  <c r="ES300" i="24" s="1"/>
  <c r="DE237" i="24"/>
  <c r="DE234" i="24" s="1"/>
  <c r="DE253" i="24" s="1"/>
  <c r="DE326" i="24" s="1"/>
  <c r="BR253" i="24"/>
  <c r="BR326" i="24" s="1"/>
  <c r="DI65" i="24"/>
  <c r="DI68" i="24" s="1"/>
  <c r="DI251" i="24"/>
  <c r="DI250" i="24" s="1"/>
  <c r="DI253" i="24" s="1"/>
  <c r="DI326" i="24" s="1"/>
  <c r="DI329" i="24" s="1"/>
  <c r="DB303" i="24"/>
  <c r="DB300" i="24" s="1"/>
  <c r="DB319" i="24" s="1"/>
  <c r="DB327" i="24" s="1"/>
  <c r="BP303" i="24"/>
  <c r="BP300" i="24" s="1"/>
  <c r="BP319" i="24" s="1"/>
  <c r="BP327" i="24" s="1"/>
  <c r="CL303" i="24"/>
  <c r="CL300" i="24" s="1"/>
  <c r="CL319" i="24" s="1"/>
  <c r="CL327" i="24" s="1"/>
  <c r="DU303" i="24"/>
  <c r="DU300" i="24" s="1"/>
  <c r="DU319" i="24" s="1"/>
  <c r="DU327" i="24" s="1"/>
  <c r="DX237" i="24"/>
  <c r="DX234" i="24" s="1"/>
  <c r="DX253" i="24" s="1"/>
  <c r="DX326" i="24" s="1"/>
  <c r="DD253" i="24"/>
  <c r="DD326" i="24" s="1"/>
  <c r="DV303" i="24"/>
  <c r="DV300" i="24" s="1"/>
  <c r="DV319" i="24" s="1"/>
  <c r="DV327" i="24" s="1"/>
  <c r="BP237" i="24"/>
  <c r="BP234" i="24" s="1"/>
  <c r="BP253" i="24" s="1"/>
  <c r="BP326" i="24" s="1"/>
  <c r="CI303" i="24"/>
  <c r="CI300" i="24" s="1"/>
  <c r="CI319" i="24" s="1"/>
  <c r="CI327" i="24" s="1"/>
  <c r="DH237" i="24"/>
  <c r="DH234" i="24" s="1"/>
  <c r="DH253" i="24" s="1"/>
  <c r="DH326" i="24" s="1"/>
  <c r="EA303" i="24"/>
  <c r="EA300" i="24" s="1"/>
  <c r="EA319" i="24" s="1"/>
  <c r="EA327" i="24" s="1"/>
  <c r="DX303" i="24"/>
  <c r="DX300" i="24" s="1"/>
  <c r="DX319" i="24" s="1"/>
  <c r="DX327" i="24" s="1"/>
  <c r="DZ303" i="24"/>
  <c r="DZ300" i="24" s="1"/>
  <c r="DZ237" i="24"/>
  <c r="DZ234" i="24" s="1"/>
  <c r="DU237" i="24"/>
  <c r="DU234" i="24" s="1"/>
  <c r="DU253" i="24" s="1"/>
  <c r="DU326" i="24" s="1"/>
  <c r="CI237" i="24"/>
  <c r="CI234" i="24" s="1"/>
  <c r="CI253" i="24" s="1"/>
  <c r="CI326" i="24" s="1"/>
  <c r="CJ303" i="24"/>
  <c r="CJ300" i="24" s="1"/>
  <c r="CJ319" i="24" s="1"/>
  <c r="CJ327" i="24" s="1"/>
  <c r="DZ246" i="24"/>
  <c r="DZ312" i="24"/>
  <c r="EA237" i="24"/>
  <c r="EA234" i="24" s="1"/>
  <c r="EA253" i="24" s="1"/>
  <c r="EA326" i="24" s="1"/>
  <c r="DC237" i="24"/>
  <c r="DC234" i="24" s="1"/>
  <c r="DC253" i="24" s="1"/>
  <c r="DC326" i="24" s="1"/>
  <c r="EB317" i="24"/>
  <c r="EB316" i="24" s="1"/>
  <c r="EB319" i="24" s="1"/>
  <c r="EB327" i="24" s="1"/>
  <c r="EB251" i="24"/>
  <c r="EB250" i="24" s="1"/>
  <c r="EB253" i="24" s="1"/>
  <c r="EB326" i="24" s="1"/>
  <c r="EB65" i="24"/>
  <c r="EB68" i="24" s="1"/>
  <c r="DH303" i="24"/>
  <c r="DH300" i="24" s="1"/>
  <c r="DH319" i="24" s="1"/>
  <c r="DH327" i="24" s="1"/>
  <c r="BR336" i="24"/>
  <c r="BR338" i="24" s="1"/>
  <c r="CM253" i="24"/>
  <c r="CM326" i="24" s="1"/>
  <c r="DC303" i="24"/>
  <c r="DC300" i="24" s="1"/>
  <c r="DC319" i="24" s="1"/>
  <c r="DC327" i="24" s="1"/>
  <c r="CK319" i="24"/>
  <c r="CK327" i="24" s="1"/>
  <c r="CJ237" i="24"/>
  <c r="CJ234" i="24" s="1"/>
  <c r="CJ253" i="24" s="1"/>
  <c r="CJ326" i="24" s="1"/>
  <c r="DB237" i="24"/>
  <c r="DB234" i="24" s="1"/>
  <c r="DB253" i="24" s="1"/>
  <c r="DB326" i="24" s="1"/>
  <c r="BW251" i="24"/>
  <c r="BW250" i="24" s="1"/>
  <c r="BW253" i="24" s="1"/>
  <c r="BW326" i="24" s="1"/>
  <c r="CK253" i="24"/>
  <c r="CK326" i="24" s="1"/>
  <c r="CN237" i="24"/>
  <c r="CN234" i="24" s="1"/>
  <c r="DG303" i="24"/>
  <c r="DG300" i="24" s="1"/>
  <c r="DG246" i="24"/>
  <c r="DG312" i="24"/>
  <c r="BW317" i="24"/>
  <c r="BW316" i="24" s="1"/>
  <c r="BW319" i="24" s="1"/>
  <c r="BW327" i="24" s="1"/>
  <c r="CL237" i="24"/>
  <c r="CL234" i="24" s="1"/>
  <c r="CL253" i="24" s="1"/>
  <c r="CL326" i="24" s="1"/>
  <c r="DF253" i="24"/>
  <c r="DF326" i="24" s="1"/>
  <c r="DG237" i="24"/>
  <c r="DG234" i="24" s="1"/>
  <c r="BT319" i="24"/>
  <c r="BT327" i="24" s="1"/>
  <c r="BQ237" i="24"/>
  <c r="BQ234" i="24" s="1"/>
  <c r="BQ253" i="24" s="1"/>
  <c r="BQ326" i="24" s="1"/>
  <c r="CP251" i="24"/>
  <c r="CP250" i="24" s="1"/>
  <c r="CP253" i="24" s="1"/>
  <c r="CP326" i="24" s="1"/>
  <c r="CP317" i="24"/>
  <c r="CP316" i="24" s="1"/>
  <c r="CP319" i="24" s="1"/>
  <c r="CP327" i="24" s="1"/>
  <c r="CP65" i="24"/>
  <c r="CP68" i="24" s="1"/>
  <c r="CM319" i="24"/>
  <c r="CM327" i="24" s="1"/>
  <c r="CN246" i="24"/>
  <c r="CN312" i="24"/>
  <c r="CO303" i="24"/>
  <c r="CO300" i="24" s="1"/>
  <c r="CO319" i="24" s="1"/>
  <c r="CO327" i="24" s="1"/>
  <c r="CO237" i="24"/>
  <c r="CO234" i="24" s="1"/>
  <c r="CO253" i="24" s="1"/>
  <c r="CO326" i="24" s="1"/>
  <c r="BU303" i="24"/>
  <c r="BU300" i="24" s="1"/>
  <c r="CN303" i="24"/>
  <c r="CN300" i="24" s="1"/>
  <c r="BS237" i="24"/>
  <c r="BS234" i="24" s="1"/>
  <c r="BS253" i="24" s="1"/>
  <c r="BS326" i="24" s="1"/>
  <c r="BS303" i="24"/>
  <c r="BS300" i="24" s="1"/>
  <c r="BS319" i="24" s="1"/>
  <c r="BS327" i="24" s="1"/>
  <c r="BQ303" i="24"/>
  <c r="BQ300" i="24" s="1"/>
  <c r="BQ319" i="24" s="1"/>
  <c r="BQ327" i="24" s="1"/>
  <c r="BR319" i="24"/>
  <c r="BR327" i="24" s="1"/>
  <c r="BA319" i="24"/>
  <c r="BA327" i="24" s="1"/>
  <c r="BU237" i="24"/>
  <c r="BU234" i="24" s="1"/>
  <c r="BV237" i="24"/>
  <c r="BV234" i="24" s="1"/>
  <c r="BV253" i="24" s="1"/>
  <c r="BV326" i="24" s="1"/>
  <c r="BU312" i="24"/>
  <c r="BU246" i="24"/>
  <c r="BY329" i="24"/>
  <c r="BY331" i="24" s="1"/>
  <c r="BY328" i="24"/>
  <c r="BY330" i="24" s="1"/>
  <c r="BV303" i="24"/>
  <c r="BV300" i="24" s="1"/>
  <c r="BV319" i="24" s="1"/>
  <c r="BV327" i="24" s="1"/>
  <c r="BD65" i="24"/>
  <c r="BD68" i="24" s="1"/>
  <c r="BD251" i="24"/>
  <c r="BD250" i="24" s="1"/>
  <c r="BD253" i="24" s="1"/>
  <c r="BD326" i="24" s="1"/>
  <c r="BD328" i="24" s="1"/>
  <c r="O6" i="24"/>
  <c r="O7" i="24" s="1"/>
  <c r="BF65" i="24"/>
  <c r="BF68" i="24" s="1"/>
  <c r="BF251" i="24"/>
  <c r="BF250" i="24" s="1"/>
  <c r="BF253" i="24" s="1"/>
  <c r="BF326" i="24" s="1"/>
  <c r="BF328" i="24" s="1"/>
  <c r="I6" i="24"/>
  <c r="I7" i="24" s="1"/>
  <c r="L6" i="24"/>
  <c r="L7" i="24" s="1"/>
  <c r="J6" i="24"/>
  <c r="J7" i="24" s="1"/>
  <c r="H148" i="37"/>
  <c r="N6" i="24"/>
  <c r="N7" i="24" s="1"/>
  <c r="H243" i="37"/>
  <c r="IH303" i="24"/>
  <c r="IH300" i="24" s="1"/>
  <c r="IH319" i="24" s="1"/>
  <c r="IH327" i="24" s="1"/>
  <c r="IF326" i="24"/>
  <c r="II319" i="24"/>
  <c r="II327" i="24" s="1"/>
  <c r="II329" i="24" s="1"/>
  <c r="II331" i="24" s="1"/>
  <c r="IF303" i="24"/>
  <c r="IF300" i="24" s="1"/>
  <c r="IF319" i="24" s="1"/>
  <c r="IF327" i="24" s="1"/>
  <c r="IE326" i="24"/>
  <c r="IH326" i="24"/>
  <c r="IG326" i="24"/>
  <c r="IG319" i="24"/>
  <c r="IG327" i="24" s="1"/>
  <c r="IJ312" i="24"/>
  <c r="IK303" i="24"/>
  <c r="IK300" i="24" s="1"/>
  <c r="IK319" i="24" s="1"/>
  <c r="IK327" i="24" s="1"/>
  <c r="IK326" i="24"/>
  <c r="IE303" i="24"/>
  <c r="IE300" i="24" s="1"/>
  <c r="IE319" i="24" s="1"/>
  <c r="IE327" i="24" s="1"/>
  <c r="IJ303" i="24"/>
  <c r="IJ300" i="24" s="1"/>
  <c r="AY319" i="24"/>
  <c r="AY327" i="24" s="1"/>
  <c r="BA253" i="24"/>
  <c r="BA326" i="24" s="1"/>
  <c r="AY253" i="24"/>
  <c r="AY326" i="24" s="1"/>
  <c r="BA70" i="24"/>
  <c r="AX237" i="24"/>
  <c r="AX234" i="24" s="1"/>
  <c r="BC303" i="24"/>
  <c r="BC300" i="24" s="1"/>
  <c r="AZ303" i="24"/>
  <c r="AZ300" i="24" s="1"/>
  <c r="AZ319" i="24" s="1"/>
  <c r="AW303" i="24"/>
  <c r="AW300" i="24" s="1"/>
  <c r="AX303" i="24"/>
  <c r="AX300" i="24" s="1"/>
  <c r="AX319" i="24" s="1"/>
  <c r="AW237" i="24"/>
  <c r="AW234" i="24" s="1"/>
  <c r="BB303" i="24"/>
  <c r="BB300" i="24" s="1"/>
  <c r="BB246" i="24"/>
  <c r="BB312" i="24"/>
  <c r="BB237" i="24"/>
  <c r="BB234" i="24" s="1"/>
  <c r="AZ237" i="24"/>
  <c r="AZ234" i="24" s="1"/>
  <c r="BC237" i="24"/>
  <c r="BC234" i="24" s="1"/>
  <c r="BC253" i="24" s="1"/>
  <c r="BC326" i="24" s="1"/>
  <c r="AY335" i="24"/>
  <c r="AY337" i="24" s="1"/>
  <c r="AY336" i="24"/>
  <c r="AY338" i="24" s="1"/>
  <c r="AR112" i="24"/>
  <c r="AR209" i="24"/>
  <c r="AR275" i="24"/>
  <c r="GE49" i="24"/>
  <c r="GE68" i="24" s="1"/>
  <c r="GV49" i="24"/>
  <c r="GV68" i="24" s="1"/>
  <c r="EO49" i="24"/>
  <c r="EO68" i="24" s="1"/>
  <c r="EN49" i="24"/>
  <c r="EN68" i="24" s="1"/>
  <c r="HQ49" i="24"/>
  <c r="HQ68" i="24" s="1"/>
  <c r="GX49" i="24"/>
  <c r="GX68" i="24" s="1"/>
  <c r="FL49" i="24"/>
  <c r="FL68" i="24" s="1"/>
  <c r="HO49" i="24"/>
  <c r="HO68" i="24" s="1"/>
  <c r="CL49" i="24"/>
  <c r="CL68" i="24" s="1"/>
  <c r="DG49" i="24"/>
  <c r="DG68" i="24" s="1"/>
  <c r="DC49" i="24"/>
  <c r="DC68" i="24" s="1"/>
  <c r="GC49" i="24"/>
  <c r="GC68" i="24" s="1"/>
  <c r="GF49" i="24"/>
  <c r="GF68" i="24" s="1"/>
  <c r="ET49" i="24"/>
  <c r="ET68" i="24" s="1"/>
  <c r="DB49" i="24"/>
  <c r="DB68" i="24" s="1"/>
  <c r="CO49" i="24"/>
  <c r="CO68" i="24" s="1"/>
  <c r="BS49" i="24"/>
  <c r="GY49" i="24"/>
  <c r="GY68" i="24" s="1"/>
  <c r="CJ49" i="24"/>
  <c r="CJ68" i="24" s="1"/>
  <c r="AZ49" i="24"/>
  <c r="AZ68" i="24" s="1"/>
  <c r="HM49" i="24"/>
  <c r="HM68" i="24" s="1"/>
  <c r="FM49" i="24"/>
  <c r="BB49" i="24"/>
  <c r="BB68" i="24" s="1"/>
  <c r="DE49" i="24"/>
  <c r="DE68" i="24" s="1"/>
  <c r="EQ49" i="24"/>
  <c r="EQ68" i="24" s="1"/>
  <c r="GT49" i="24"/>
  <c r="GT68" i="24" s="1"/>
  <c r="ES49" i="24"/>
  <c r="ES68" i="24" s="1"/>
  <c r="CI49" i="24"/>
  <c r="CI68" i="24" s="1"/>
  <c r="DV49" i="24"/>
  <c r="DV68" i="24" s="1"/>
  <c r="CN49" i="24"/>
  <c r="CN68" i="24" s="1"/>
  <c r="DH49" i="24"/>
  <c r="DH68" i="24" s="1"/>
  <c r="EA49" i="24"/>
  <c r="EA68" i="24" s="1"/>
  <c r="GS49" i="24"/>
  <c r="GS68" i="24" s="1"/>
  <c r="FJ49" i="24"/>
  <c r="FJ68" i="24" s="1"/>
  <c r="FH49" i="24"/>
  <c r="FH68" i="24" s="1"/>
  <c r="BU68" i="24"/>
  <c r="BQ49" i="24"/>
  <c r="BQ68" i="24" s="1"/>
  <c r="AX49" i="24"/>
  <c r="AX68" i="24" s="1"/>
  <c r="DZ49" i="24"/>
  <c r="DZ68" i="24" s="1"/>
  <c r="BC49" i="24"/>
  <c r="BC68" i="24" s="1"/>
  <c r="BP49" i="24"/>
  <c r="BP68" i="24" s="1"/>
  <c r="AW49" i="24"/>
  <c r="AW68" i="24" s="1"/>
  <c r="HR49" i="24"/>
  <c r="HR68" i="24" s="1"/>
  <c r="DX49" i="24"/>
  <c r="DX68" i="24" s="1"/>
  <c r="GA49" i="24"/>
  <c r="GA68" i="24" s="1"/>
  <c r="DU49" i="24"/>
  <c r="DU68" i="24" s="1"/>
  <c r="AS32" i="24"/>
  <c r="AS31" i="24"/>
  <c r="AS282" i="24" s="1"/>
  <c r="AS29" i="24"/>
  <c r="AS30" i="24"/>
  <c r="AS24" i="24"/>
  <c r="AS283" i="24" l="1"/>
  <c r="AS15" i="24"/>
  <c r="GD328" i="24"/>
  <c r="GD330" i="24" s="1"/>
  <c r="HP328" i="24"/>
  <c r="HP330" i="24" s="1"/>
  <c r="FL319" i="24"/>
  <c r="FL327" i="24" s="1"/>
  <c r="HS328" i="24"/>
  <c r="HS330" i="24" s="1"/>
  <c r="GD329" i="24"/>
  <c r="GD331" i="24" s="1"/>
  <c r="GW329" i="24"/>
  <c r="GW331" i="24" s="1"/>
  <c r="GT329" i="24"/>
  <c r="GT331" i="24" s="1"/>
  <c r="BT328" i="24"/>
  <c r="BT330" i="24" s="1"/>
  <c r="HM328" i="24"/>
  <c r="GX319" i="24"/>
  <c r="GX327" i="24" s="1"/>
  <c r="FZ328" i="24"/>
  <c r="FZ330" i="24" s="1"/>
  <c r="GU329" i="24"/>
  <c r="GU331" i="24" s="1"/>
  <c r="GS328" i="24"/>
  <c r="GS330" i="24" s="1"/>
  <c r="HN329" i="24"/>
  <c r="HN331" i="24" s="1"/>
  <c r="HN328" i="24"/>
  <c r="HN330" i="24" s="1"/>
  <c r="GW328" i="24"/>
  <c r="GW330" i="24" s="1"/>
  <c r="GS329" i="24"/>
  <c r="GS331" i="24" s="1"/>
  <c r="HM329" i="24"/>
  <c r="HM331" i="24" s="1"/>
  <c r="HL329" i="24"/>
  <c r="HL331" i="24" s="1"/>
  <c r="HL328" i="24"/>
  <c r="HL330" i="24" s="1"/>
  <c r="DF329" i="24"/>
  <c r="DF331" i="24" s="1"/>
  <c r="FK329" i="24"/>
  <c r="FK331" i="24" s="1"/>
  <c r="GX253" i="24"/>
  <c r="GX326" i="24" s="1"/>
  <c r="HQ253" i="24"/>
  <c r="HQ326" i="24" s="1"/>
  <c r="DY329" i="24"/>
  <c r="DY331" i="24" s="1"/>
  <c r="GG329" i="24"/>
  <c r="GG331" i="24" s="1"/>
  <c r="FZ329" i="24"/>
  <c r="FZ331" i="24" s="1"/>
  <c r="HR329" i="24"/>
  <c r="HR331" i="24" s="1"/>
  <c r="HR328" i="24"/>
  <c r="HR330" i="24" s="1"/>
  <c r="HO329" i="24"/>
  <c r="HO331" i="24" s="1"/>
  <c r="HO328" i="24"/>
  <c r="HO330" i="24" s="1"/>
  <c r="DD329" i="24"/>
  <c r="DD331" i="24" s="1"/>
  <c r="HM330" i="24"/>
  <c r="HQ319" i="24"/>
  <c r="HQ327" i="24" s="1"/>
  <c r="ES319" i="24"/>
  <c r="ES327" i="24" s="1"/>
  <c r="FJ329" i="24"/>
  <c r="FJ331" i="24" s="1"/>
  <c r="EU328" i="24"/>
  <c r="EU330" i="24" s="1"/>
  <c r="FM328" i="24"/>
  <c r="DC329" i="24"/>
  <c r="DC331" i="24" s="1"/>
  <c r="GT328" i="24"/>
  <c r="GT330" i="24" s="1"/>
  <c r="GE319" i="24"/>
  <c r="GE327" i="24" s="1"/>
  <c r="GU328" i="24"/>
  <c r="GU330" i="24" s="1"/>
  <c r="GY329" i="24"/>
  <c r="GY331" i="24" s="1"/>
  <c r="GY328" i="24"/>
  <c r="GY330" i="24" s="1"/>
  <c r="GB328" i="24"/>
  <c r="GB330" i="24" s="1"/>
  <c r="GZ329" i="24"/>
  <c r="GZ331" i="24" s="1"/>
  <c r="GZ328" i="24"/>
  <c r="GZ330" i="24" s="1"/>
  <c r="DZ319" i="24"/>
  <c r="DZ327" i="24" s="1"/>
  <c r="GG328" i="24"/>
  <c r="GG330" i="24" s="1"/>
  <c r="GV329" i="24"/>
  <c r="GV331" i="24" s="1"/>
  <c r="GV328" i="24"/>
  <c r="GV330" i="24" s="1"/>
  <c r="FK328" i="24"/>
  <c r="FK330" i="24" s="1"/>
  <c r="DY328" i="24"/>
  <c r="DY330" i="24" s="1"/>
  <c r="ER328" i="24"/>
  <c r="ER330" i="24" s="1"/>
  <c r="FG329" i="24"/>
  <c r="FG331" i="24" s="1"/>
  <c r="EN328" i="24"/>
  <c r="EN330" i="24" s="1"/>
  <c r="GB329" i="24"/>
  <c r="GB331" i="24" s="1"/>
  <c r="EU331" i="24"/>
  <c r="FJ328" i="24"/>
  <c r="FJ330" i="24" s="1"/>
  <c r="ES253" i="24"/>
  <c r="ES326" i="24" s="1"/>
  <c r="GA329" i="24"/>
  <c r="GA331" i="24" s="1"/>
  <c r="GA328" i="24"/>
  <c r="GA330" i="24" s="1"/>
  <c r="GC329" i="24"/>
  <c r="GC331" i="24" s="1"/>
  <c r="GC328" i="24"/>
  <c r="GC330" i="24" s="1"/>
  <c r="GF329" i="24"/>
  <c r="GF331" i="24" s="1"/>
  <c r="GF328" i="24"/>
  <c r="GF330" i="24" s="1"/>
  <c r="FG328" i="24"/>
  <c r="FG330" i="24" s="1"/>
  <c r="FH329" i="24"/>
  <c r="FH331" i="24" s="1"/>
  <c r="GE253" i="24"/>
  <c r="GE326" i="24" s="1"/>
  <c r="FL253" i="24"/>
  <c r="FL326" i="24" s="1"/>
  <c r="EQ329" i="24"/>
  <c r="EQ331" i="24" s="1"/>
  <c r="EQ328" i="24"/>
  <c r="EQ330" i="24" s="1"/>
  <c r="FM68" i="24"/>
  <c r="DZ253" i="24"/>
  <c r="DZ326" i="24" s="1"/>
  <c r="FM329" i="24"/>
  <c r="EN329" i="24"/>
  <c r="EN331" i="24" s="1"/>
  <c r="DW329" i="24"/>
  <c r="DW331" i="24" s="1"/>
  <c r="ET328" i="24"/>
  <c r="ET330" i="24" s="1"/>
  <c r="FI328" i="24"/>
  <c r="FI330" i="24" s="1"/>
  <c r="FI329" i="24"/>
  <c r="FI331" i="24" s="1"/>
  <c r="FN329" i="24"/>
  <c r="FN331" i="24" s="1"/>
  <c r="FN328" i="24"/>
  <c r="FN330" i="24" s="1"/>
  <c r="DW328" i="24"/>
  <c r="DW330" i="24" s="1"/>
  <c r="FH328" i="24"/>
  <c r="FH330" i="24" s="1"/>
  <c r="ET329" i="24"/>
  <c r="ET331" i="24" s="1"/>
  <c r="DI328" i="24"/>
  <c r="DI330" i="24" s="1"/>
  <c r="DI331" i="24"/>
  <c r="DD328" i="24"/>
  <c r="DD330" i="24" s="1"/>
  <c r="EP329" i="24"/>
  <c r="EP331" i="24" s="1"/>
  <c r="EP328" i="24"/>
  <c r="EP330" i="24" s="1"/>
  <c r="EO329" i="24"/>
  <c r="EO331" i="24" s="1"/>
  <c r="EO328" i="24"/>
  <c r="EO330" i="24" s="1"/>
  <c r="BT329" i="24"/>
  <c r="BT331" i="24" s="1"/>
  <c r="BP329" i="24"/>
  <c r="BP331" i="24" s="1"/>
  <c r="DU329" i="24"/>
  <c r="DU331" i="24" s="1"/>
  <c r="DB329" i="24"/>
  <c r="DB331" i="24" s="1"/>
  <c r="BU319" i="24"/>
  <c r="BU327" i="24" s="1"/>
  <c r="CI329" i="24"/>
  <c r="CI331" i="24" s="1"/>
  <c r="BP328" i="24"/>
  <c r="BP330" i="24" s="1"/>
  <c r="CI328" i="24"/>
  <c r="CI330" i="24" s="1"/>
  <c r="CL329" i="24"/>
  <c r="CL331" i="24" s="1"/>
  <c r="DC328" i="24"/>
  <c r="DC330" i="24" s="1"/>
  <c r="BW329" i="24"/>
  <c r="BW331" i="24" s="1"/>
  <c r="DU328" i="24"/>
  <c r="DU330" i="24" s="1"/>
  <c r="CK329" i="24"/>
  <c r="CK331" i="24" s="1"/>
  <c r="DV329" i="24"/>
  <c r="DV331" i="24" s="1"/>
  <c r="DV328" i="24"/>
  <c r="DV330" i="24" s="1"/>
  <c r="DX329" i="24"/>
  <c r="DX331" i="24" s="1"/>
  <c r="DX328" i="24"/>
  <c r="DX330" i="24" s="1"/>
  <c r="DG253" i="24"/>
  <c r="DG326" i="24" s="1"/>
  <c r="EA329" i="24"/>
  <c r="EA331" i="24" s="1"/>
  <c r="EA328" i="24"/>
  <c r="EA330" i="24" s="1"/>
  <c r="EB329" i="24"/>
  <c r="EB331" i="24" s="1"/>
  <c r="EB328" i="24"/>
  <c r="EB330" i="24" s="1"/>
  <c r="BW328" i="24"/>
  <c r="BW330" i="24" s="1"/>
  <c r="CN253" i="24"/>
  <c r="CN326" i="24" s="1"/>
  <c r="CN319" i="24"/>
  <c r="CN327" i="24" s="1"/>
  <c r="BQ329" i="24"/>
  <c r="BQ331" i="24" s="1"/>
  <c r="DG319" i="24"/>
  <c r="DG327" i="24" s="1"/>
  <c r="DE328" i="24"/>
  <c r="DE330" i="24" s="1"/>
  <c r="DE329" i="24"/>
  <c r="DE331" i="24" s="1"/>
  <c r="DF328" i="24"/>
  <c r="DF330" i="24" s="1"/>
  <c r="CK328" i="24"/>
  <c r="CK330" i="24" s="1"/>
  <c r="DB328" i="24"/>
  <c r="DB330" i="24" s="1"/>
  <c r="DH329" i="24"/>
  <c r="DH331" i="24" s="1"/>
  <c r="DH328" i="24"/>
  <c r="DH330" i="24" s="1"/>
  <c r="BQ328" i="24"/>
  <c r="BQ330" i="24" s="1"/>
  <c r="CO329" i="24"/>
  <c r="CO331" i="24" s="1"/>
  <c r="CO328" i="24"/>
  <c r="CO330" i="24" s="1"/>
  <c r="CL328" i="24"/>
  <c r="CL330" i="24" s="1"/>
  <c r="CP329" i="24"/>
  <c r="CP331" i="24" s="1"/>
  <c r="CP328" i="24"/>
  <c r="CP330" i="24" s="1"/>
  <c r="BU253" i="24"/>
  <c r="BU326" i="24" s="1"/>
  <c r="BS329" i="24"/>
  <c r="BS331" i="24" s="1"/>
  <c r="CJ329" i="24"/>
  <c r="CJ331" i="24" s="1"/>
  <c r="CJ328" i="24"/>
  <c r="CJ330" i="24" s="1"/>
  <c r="CM328" i="24"/>
  <c r="CM330" i="24" s="1"/>
  <c r="CM329" i="24"/>
  <c r="CM331" i="24" s="1"/>
  <c r="BF330" i="24"/>
  <c r="BS328" i="24"/>
  <c r="BS330" i="24" s="1"/>
  <c r="BF329" i="24"/>
  <c r="BF331" i="24" s="1"/>
  <c r="BV329" i="24"/>
  <c r="BV331" i="24" s="1"/>
  <c r="BV328" i="24"/>
  <c r="BV330" i="24" s="1"/>
  <c r="BD329" i="24"/>
  <c r="BD331" i="24" s="1"/>
  <c r="BR329" i="24"/>
  <c r="BR331" i="24" s="1"/>
  <c r="BR328" i="24"/>
  <c r="BR330" i="24" s="1"/>
  <c r="BD330" i="24"/>
  <c r="II328" i="24"/>
  <c r="II330" i="24" s="1"/>
  <c r="IG329" i="24"/>
  <c r="IG331" i="24" s="1"/>
  <c r="IJ319" i="24"/>
  <c r="IJ327" i="24" s="1"/>
  <c r="IF329" i="24"/>
  <c r="IF331" i="24" s="1"/>
  <c r="IE329" i="24"/>
  <c r="IE331" i="24" s="1"/>
  <c r="IH328" i="24"/>
  <c r="IH330" i="24" s="1"/>
  <c r="IJ326" i="24"/>
  <c r="IH329" i="24"/>
  <c r="IH331" i="24" s="1"/>
  <c r="IF328" i="24"/>
  <c r="IF330" i="24" s="1"/>
  <c r="IG328" i="24"/>
  <c r="IG330" i="24" s="1"/>
  <c r="IE328" i="24"/>
  <c r="IE330" i="24" s="1"/>
  <c r="IK329" i="24"/>
  <c r="IK331" i="24" s="1"/>
  <c r="IK328" i="24"/>
  <c r="IK330" i="24" s="1"/>
  <c r="BB253" i="24"/>
  <c r="BB326" i="24" s="1"/>
  <c r="BB319" i="24"/>
  <c r="BB327" i="24" s="1"/>
  <c r="AW253" i="24"/>
  <c r="AW326" i="24" s="1"/>
  <c r="AW319" i="24"/>
  <c r="AW327" i="24" s="1"/>
  <c r="AX327" i="24"/>
  <c r="AX253" i="24"/>
  <c r="AX326" i="24" s="1"/>
  <c r="BC319" i="24"/>
  <c r="BC327" i="24" s="1"/>
  <c r="AZ327" i="24"/>
  <c r="AZ253" i="24"/>
  <c r="AZ326" i="24" s="1"/>
  <c r="BT69" i="24"/>
  <c r="BA69" i="24"/>
  <c r="AY329" i="24"/>
  <c r="AY328" i="24"/>
  <c r="BA329" i="24"/>
  <c r="BA331" i="24" s="1"/>
  <c r="BA328" i="24"/>
  <c r="BA330" i="24" s="1"/>
  <c r="AS112" i="24"/>
  <c r="AS275" i="24"/>
  <c r="AS209" i="24"/>
  <c r="AS118" i="24"/>
  <c r="AS281" i="24"/>
  <c r="AS215" i="24"/>
  <c r="AS117" i="24"/>
  <c r="AS214" i="24"/>
  <c r="AS280" i="24"/>
  <c r="AS108" i="24"/>
  <c r="AS216" i="24"/>
  <c r="AS106" i="24"/>
  <c r="AS217" i="24"/>
  <c r="BB70" i="24"/>
  <c r="AS17" i="24"/>
  <c r="FL329" i="24" l="1"/>
  <c r="FL331" i="24" s="1"/>
  <c r="GX329" i="24"/>
  <c r="GX331" i="24" s="1"/>
  <c r="FM330" i="24"/>
  <c r="GX328" i="24"/>
  <c r="GX330" i="24" s="1"/>
  <c r="ES328" i="24"/>
  <c r="ES330" i="24" s="1"/>
  <c r="FM331" i="24"/>
  <c r="HQ329" i="24"/>
  <c r="HQ331" i="24" s="1"/>
  <c r="HQ328" i="24"/>
  <c r="HQ330" i="24" s="1"/>
  <c r="GE329" i="24"/>
  <c r="GE331" i="24" s="1"/>
  <c r="DZ329" i="24"/>
  <c r="DZ331" i="24" s="1"/>
  <c r="ES329" i="24"/>
  <c r="ES331" i="24" s="1"/>
  <c r="FL328" i="24"/>
  <c r="FL330" i="24" s="1"/>
  <c r="GE328" i="24"/>
  <c r="GE330" i="24" s="1"/>
  <c r="DZ328" i="24"/>
  <c r="DZ330" i="24" s="1"/>
  <c r="CN329" i="24"/>
  <c r="CN331" i="24" s="1"/>
  <c r="BU329" i="24"/>
  <c r="BU331" i="24" s="1"/>
  <c r="DG328" i="24"/>
  <c r="DG330" i="24" s="1"/>
  <c r="DG329" i="24"/>
  <c r="DG331" i="24" s="1"/>
  <c r="CN328" i="24"/>
  <c r="CN330" i="24" s="1"/>
  <c r="BU328" i="24"/>
  <c r="BU330" i="24" s="1"/>
  <c r="BC329" i="24"/>
  <c r="BC331" i="24" s="1"/>
  <c r="BC328" i="24"/>
  <c r="BC330" i="24" s="1"/>
  <c r="BB329" i="24"/>
  <c r="BB331" i="24" s="1"/>
  <c r="BB328" i="24"/>
  <c r="BB330" i="24" s="1"/>
  <c r="IJ329" i="24"/>
  <c r="IJ331" i="24" s="1"/>
  <c r="IJ328" i="24"/>
  <c r="IJ330" i="24" s="1"/>
  <c r="BS70" i="24"/>
  <c r="AW328" i="24"/>
  <c r="AW329" i="24"/>
  <c r="AX329" i="24"/>
  <c r="AX328" i="24"/>
  <c r="AZ329" i="24"/>
  <c r="AZ331" i="24" s="1"/>
  <c r="AZ328" i="24"/>
  <c r="AZ330" i="24" s="1"/>
  <c r="AZ70" i="24"/>
  <c r="AS202" i="24"/>
  <c r="AS200" i="24" s="1"/>
  <c r="AS196" i="24" s="1"/>
  <c r="AS268" i="24"/>
  <c r="AS266" i="24" s="1"/>
  <c r="AS262" i="24" s="1"/>
  <c r="AS11" i="24"/>
  <c r="AS110" i="24"/>
  <c r="AS194" i="24" l="1"/>
  <c r="AS333" i="24"/>
  <c r="AS260" i="24"/>
  <c r="AS334" i="24"/>
  <c r="AS9" i="24"/>
  <c r="AS68" i="24" s="1"/>
  <c r="BC70" i="24"/>
  <c r="BC69" i="24"/>
  <c r="BV71" i="24"/>
  <c r="BV69" i="24"/>
  <c r="AS253" i="24" l="1"/>
  <c r="AS326" i="24" s="1"/>
  <c r="AS319" i="24"/>
  <c r="AS327" i="24" s="1"/>
  <c r="AS70" i="24"/>
  <c r="AX330" i="24"/>
  <c r="AX331" i="24"/>
  <c r="AS335" i="24"/>
  <c r="AS337" i="24" s="1"/>
  <c r="AS336" i="24"/>
  <c r="AS338" i="24" s="1"/>
  <c r="BU70" i="24"/>
  <c r="AX70" i="24"/>
  <c r="AS329" i="24" l="1"/>
  <c r="AS331" i="24" s="1"/>
  <c r="AS328" i="24"/>
  <c r="AS330" i="24" s="1"/>
  <c r="AR20" i="24"/>
  <c r="AR32" i="24"/>
  <c r="AY331" i="24" l="1"/>
  <c r="AY330" i="24"/>
  <c r="AW70" i="24"/>
  <c r="AW331" i="24"/>
  <c r="AW330" i="24"/>
  <c r="BP69" i="24"/>
  <c r="AV331" i="24"/>
  <c r="AV330" i="24"/>
  <c r="AR106" i="24"/>
  <c r="AR217" i="24"/>
  <c r="AR283" i="24"/>
  <c r="AR107" i="24"/>
  <c r="AR271" i="24"/>
  <c r="AR205" i="24"/>
  <c r="AY70" i="24"/>
  <c r="AY69" i="24"/>
  <c r="BV70" i="24"/>
  <c r="BR69" i="24"/>
  <c r="AV70" i="24"/>
  <c r="AW69" i="24"/>
  <c r="AR30" i="24"/>
  <c r="AR29" i="24"/>
  <c r="AR117" i="24" l="1"/>
  <c r="AR280" i="24"/>
  <c r="AR214" i="24"/>
  <c r="AR118" i="24"/>
  <c r="AR215" i="24"/>
  <c r="AR281" i="24"/>
  <c r="AR11" i="24"/>
  <c r="BK11" i="24"/>
  <c r="BK337" i="24" l="1"/>
  <c r="BK338" i="24"/>
  <c r="AR266" i="24"/>
  <c r="AR262" i="24" s="1"/>
  <c r="AR260" i="24" s="1"/>
  <c r="AR200" i="24"/>
  <c r="AR196" i="24" s="1"/>
  <c r="AR194" i="24" s="1"/>
  <c r="BK9" i="24"/>
  <c r="BK68" i="24" s="1"/>
  <c r="BK331" i="24" s="1"/>
  <c r="AR9" i="24"/>
  <c r="AR68" i="24" s="1"/>
  <c r="AS69" i="24" s="1"/>
  <c r="BK330" i="24" l="1"/>
  <c r="AR334" i="24"/>
  <c r="AR333" i="24"/>
  <c r="AR253" i="24"/>
  <c r="AR326" i="24" s="1"/>
  <c r="AR319" i="24"/>
  <c r="AR327" i="24" s="1"/>
  <c r="AR70" i="24"/>
  <c r="BL69" i="24"/>
  <c r="BU71" i="24"/>
  <c r="AR336" i="24" l="1"/>
  <c r="AR338" i="24" s="1"/>
  <c r="AR335" i="24"/>
  <c r="AR337" i="24" s="1"/>
  <c r="AR329" i="24"/>
  <c r="AR331" i="24" s="1"/>
  <c r="AR328" i="24"/>
  <c r="AR330" i="2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tc={57A88FAB-B254-4CDA-849F-7E4C83BA616F}</author>
  </authors>
  <commentList>
    <comment ref="H66" authorId="0" shapeId="0" xr:uid="{57A88FAB-B254-4CDA-849F-7E4C83BA616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Geamtbeschichtete Folie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tc={3C891153-C94E-4AE9-AD81-3933C148CEAC}</author>
    <author>tc={3977ED54-FC7B-4C8C-A4FE-185BEDDDE9F6}</author>
  </authors>
  <commentList>
    <comment ref="BJ109" authorId="0" shapeId="0" xr:uid="{3C891153-C94E-4AE9-AD81-3933C148CEA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With Na2CO3 in diagramm</t>
      </text>
    </comment>
    <comment ref="BJ119" authorId="1" shapeId="0" xr:uid="{3977ED54-FC7B-4C8C-A4FE-185BEDDDE9F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With FeSO4 in diagramm</t>
      </text>
    </comment>
  </commentList>
</comments>
</file>

<file path=xl/sharedStrings.xml><?xml version="1.0" encoding="utf-8"?>
<sst xmlns="http://schemas.openxmlformats.org/spreadsheetml/2006/main" count="8734" uniqueCount="912">
  <si>
    <t>NCA</t>
  </si>
  <si>
    <t>NMC532</t>
  </si>
  <si>
    <t>NMC622</t>
  </si>
  <si>
    <t>NMC811</t>
  </si>
  <si>
    <t>NMC90505</t>
  </si>
  <si>
    <t>LFP</t>
  </si>
  <si>
    <t>High Power</t>
  </si>
  <si>
    <t>High Energy</t>
  </si>
  <si>
    <t>Cell Format</t>
  </si>
  <si>
    <t>Hight of jelly roll (in mm)</t>
  </si>
  <si>
    <t>Diameter of jelly roll (in mm)</t>
  </si>
  <si>
    <t>Share of coated current collector (%)</t>
  </si>
  <si>
    <t>Legth of electrode sheet per jelly roll (in mm)</t>
  </si>
  <si>
    <t>Area of electrode per jelly roll (in m²)</t>
  </si>
  <si>
    <t>Capacity per cell (Ah)</t>
  </si>
  <si>
    <t>Volumetric energy density (kWh/l)</t>
  </si>
  <si>
    <t>Gravimetric weight of 1 m² stack (kg/m²)</t>
  </si>
  <si>
    <t>Gravimetric energy density (kWh/kg)</t>
  </si>
  <si>
    <t>Anode (-)</t>
  </si>
  <si>
    <t>Graphit</t>
  </si>
  <si>
    <t>Graphit, 5%SiO</t>
  </si>
  <si>
    <t>Graphit, 10%Si</t>
  </si>
  <si>
    <t>Polyolefin</t>
  </si>
  <si>
    <t>Masse Graphit in g/kWh</t>
  </si>
  <si>
    <t>Configuration</t>
  </si>
  <si>
    <t>HP</t>
  </si>
  <si>
    <t>HE</t>
  </si>
  <si>
    <t>Cell voltage (V)</t>
  </si>
  <si>
    <t>Anode</t>
  </si>
  <si>
    <t>Active material</t>
  </si>
  <si>
    <t>94/2/4</t>
  </si>
  <si>
    <t>95/1/4</t>
  </si>
  <si>
    <t>94/2/5</t>
  </si>
  <si>
    <t>95/1/5</t>
  </si>
  <si>
    <t>94/2/6</t>
  </si>
  <si>
    <t>95/1/6</t>
  </si>
  <si>
    <t>94/2/7</t>
  </si>
  <si>
    <t>95/1/7</t>
  </si>
  <si>
    <t>94/2/8</t>
  </si>
  <si>
    <t>95/1/8</t>
  </si>
  <si>
    <t>Thickness active mat. calendered (µm)</t>
  </si>
  <si>
    <t>Porosity after calendering (%)</t>
  </si>
  <si>
    <t xml:space="preserve">Active material </t>
  </si>
  <si>
    <t>93/3/4</t>
  </si>
  <si>
    <t>Mass LiOH (g/kWh)</t>
  </si>
  <si>
    <t>Mass binder cathode (g/kWh)</t>
  </si>
  <si>
    <t>Mass carbon black cathode (g/kWh)</t>
  </si>
  <si>
    <t>Mass graphite (g/kWh)</t>
  </si>
  <si>
    <t>Mass binder anode (g/kWh)</t>
  </si>
  <si>
    <t>Mass carbon black anode (g/kWh)</t>
  </si>
  <si>
    <t>kWh/kg</t>
  </si>
  <si>
    <t>kg/kWh</t>
  </si>
  <si>
    <t>Cathode</t>
  </si>
  <si>
    <t>NiSO4</t>
  </si>
  <si>
    <t xml:space="preserve">NaOH </t>
  </si>
  <si>
    <t>NH4OH</t>
  </si>
  <si>
    <t xml:space="preserve">LiOH </t>
  </si>
  <si>
    <t xml:space="preserve">Anode </t>
  </si>
  <si>
    <t>Current Collector Cu</t>
  </si>
  <si>
    <t>Graphite</t>
  </si>
  <si>
    <t xml:space="preserve">Separator </t>
  </si>
  <si>
    <t>Separator</t>
  </si>
  <si>
    <t>kg</t>
  </si>
  <si>
    <t>Water</t>
  </si>
  <si>
    <t>kWh</t>
  </si>
  <si>
    <t xml:space="preserve">Component </t>
  </si>
  <si>
    <t xml:space="preserve">Carbon black </t>
  </si>
  <si>
    <t>Binder (PVdF)</t>
  </si>
  <si>
    <t>Solvent (NMP)</t>
  </si>
  <si>
    <t>Binder (CMC-SBR)</t>
  </si>
  <si>
    <t>Solvent (Water)</t>
  </si>
  <si>
    <t xml:space="preserve">Material </t>
  </si>
  <si>
    <t>Electricity</t>
  </si>
  <si>
    <t>Production machinery (general)</t>
  </si>
  <si>
    <t>Production machinery (normalized)</t>
  </si>
  <si>
    <t>High power (HP) configuration</t>
  </si>
  <si>
    <t>Process 
step
(-) [-]</t>
  </si>
  <si>
    <t>Machine / Process
(-) [-]</t>
  </si>
  <si>
    <r>
      <t>Electric energy consumption for one machine
(E</t>
    </r>
    <r>
      <rPr>
        <b/>
        <vertAlign val="subscript"/>
        <sz val="10"/>
        <rFont val="Calibri"/>
        <family val="2"/>
      </rPr>
      <t>electric</t>
    </r>
    <r>
      <rPr>
        <b/>
        <sz val="10"/>
        <rFont val="Calibri"/>
        <family val="2"/>
      </rPr>
      <t>) [kWh</t>
    </r>
    <r>
      <rPr>
        <b/>
        <vertAlign val="subscript"/>
        <sz val="10"/>
        <rFont val="Calibri"/>
        <family val="2"/>
      </rPr>
      <t>prod</t>
    </r>
    <r>
      <rPr>
        <b/>
        <sz val="10"/>
        <rFont val="Calibri"/>
        <family val="2"/>
      </rPr>
      <t>]</t>
    </r>
  </si>
  <si>
    <t>Machine Parameter for one machine</t>
  </si>
  <si>
    <t>General production output for one machine</t>
  </si>
  <si>
    <r>
      <t>Battery cell specific production output [kWh</t>
    </r>
    <r>
      <rPr>
        <b/>
        <vertAlign val="subscript"/>
        <sz val="10"/>
        <rFont val="Calibri"/>
        <family val="2"/>
      </rPr>
      <t>cell</t>
    </r>
    <r>
      <rPr>
        <b/>
        <sz val="10"/>
        <rFont val="Calibri"/>
        <family val="2"/>
      </rPr>
      <t>/h]</t>
    </r>
  </si>
  <si>
    <r>
      <t>Normalized electric energy consumption for one machine
(E</t>
    </r>
    <r>
      <rPr>
        <b/>
        <vertAlign val="subscript"/>
        <sz val="10"/>
        <rFont val="Calibri"/>
        <family val="2"/>
      </rPr>
      <t>electric</t>
    </r>
    <r>
      <rPr>
        <b/>
        <sz val="10"/>
        <rFont val="Calibri"/>
        <family val="2"/>
      </rPr>
      <t>) [kWh</t>
    </r>
    <r>
      <rPr>
        <b/>
        <vertAlign val="subscript"/>
        <sz val="10"/>
        <rFont val="Calibri"/>
        <family val="2"/>
      </rPr>
      <t>prod</t>
    </r>
    <r>
      <rPr>
        <b/>
        <sz val="10"/>
        <rFont val="Calibri"/>
        <family val="2"/>
      </rPr>
      <t>]</t>
    </r>
  </si>
  <si>
    <r>
      <t>Cell specific electric energy consumption (E</t>
    </r>
    <r>
      <rPr>
        <b/>
        <vertAlign val="subscript"/>
        <sz val="10"/>
        <rFont val="Calibri"/>
        <family val="2"/>
      </rPr>
      <t>cell,elec</t>
    </r>
    <r>
      <rPr>
        <b/>
        <sz val="10"/>
        <rFont val="Calibri"/>
        <family val="2"/>
      </rPr>
      <t>)
[kWh</t>
    </r>
    <r>
      <rPr>
        <b/>
        <vertAlign val="subscript"/>
        <sz val="10"/>
        <rFont val="Calibri"/>
        <family val="2"/>
      </rPr>
      <t>prod</t>
    </r>
    <r>
      <rPr>
        <b/>
        <sz val="10"/>
        <rFont val="Calibri"/>
        <family val="2"/>
      </rPr>
      <t>/kWh</t>
    </r>
    <r>
      <rPr>
        <b/>
        <vertAlign val="subscript"/>
        <sz val="10"/>
        <rFont val="Calibri"/>
        <family val="2"/>
      </rPr>
      <t>cell</t>
    </r>
    <r>
      <rPr>
        <b/>
        <sz val="10"/>
        <rFont val="Calibri"/>
        <family val="2"/>
      </rPr>
      <t>]</t>
    </r>
  </si>
  <si>
    <t>Electrode
manufacturing
(anode &amp; cathode stack)</t>
  </si>
  <si>
    <t>2x Batch mixing</t>
  </si>
  <si>
    <t>250 l/h, including solvent</t>
  </si>
  <si>
    <t>l/h</t>
  </si>
  <si>
    <t>2xCoating &amp; drying</t>
  </si>
  <si>
    <t>v=30 m/min; w=0.7 m</t>
  </si>
  <si>
    <t>m²/h</t>
  </si>
  <si>
    <t>2x Calendering</t>
  </si>
  <si>
    <t>v=30 m/min; w=0.8 m</t>
  </si>
  <si>
    <t>2x Knife slitting</t>
  </si>
  <si>
    <t>v=80 m/min; w=0.75 m</t>
  </si>
  <si>
    <t>2x Vacuum drying</t>
  </si>
  <si>
    <t>n=3*4 coils; l=4900 m; w=0.8 m; t=24h</t>
  </si>
  <si>
    <t>Cell assembly</t>
  </si>
  <si>
    <t>Cutting &amp; Winding</t>
  </si>
  <si>
    <t>Assembly &amp; Welding</t>
  </si>
  <si>
    <t>Washing</t>
  </si>
  <si>
    <t>Formation 
&amp; Aging</t>
  </si>
  <si>
    <t>Soaking</t>
  </si>
  <si>
    <t>Formation</t>
  </si>
  <si>
    <t>Aging (high temp. &amp; room temp.)</t>
  </si>
  <si>
    <t>OCV testing</t>
  </si>
  <si>
    <t>Miscellaneous</t>
  </si>
  <si>
    <t>Material handling</t>
  </si>
  <si>
    <t>Dry Rooms (T_dp=-40°C)</t>
  </si>
  <si>
    <t>960 m²</t>
  </si>
  <si>
    <t>Dry Rooms (T_dp=-60°C)</t>
  </si>
  <si>
    <t>Connecting power</t>
  </si>
  <si>
    <t>kW</t>
  </si>
  <si>
    <t>Chemistry</t>
  </si>
  <si>
    <t>SUM</t>
  </si>
  <si>
    <t>NMC822</t>
  </si>
  <si>
    <t>C</t>
  </si>
  <si>
    <t>Si</t>
  </si>
  <si>
    <t>NMC111</t>
  </si>
  <si>
    <t>Li</t>
  </si>
  <si>
    <t>Al</t>
  </si>
  <si>
    <t>Mn</t>
  </si>
  <si>
    <t>Fe</t>
  </si>
  <si>
    <t>Co</t>
  </si>
  <si>
    <t>Ni</t>
  </si>
  <si>
    <t>O</t>
  </si>
  <si>
    <t>S</t>
  </si>
  <si>
    <t>P</t>
  </si>
  <si>
    <t>Multiplicity</t>
  </si>
  <si>
    <t>Voltage vs. Ref (e.g. C) (V)</t>
  </si>
  <si>
    <t>Specific energy (Wh/kg)</t>
  </si>
  <si>
    <t>LiOH</t>
  </si>
  <si>
    <t>MnSO4</t>
  </si>
  <si>
    <t>CoSO4</t>
  </si>
  <si>
    <t>FeSO4</t>
  </si>
  <si>
    <t>H3PO4</t>
  </si>
  <si>
    <t>NaOH</t>
  </si>
  <si>
    <t>Energy supply</t>
  </si>
  <si>
    <t>Transport</t>
  </si>
  <si>
    <t>Industry</t>
  </si>
  <si>
    <t>Agriculture</t>
  </si>
  <si>
    <t>Residential/commercial</t>
  </si>
  <si>
    <t>International shipping</t>
  </si>
  <si>
    <t>International aviation</t>
  </si>
  <si>
    <t>Waste</t>
  </si>
  <si>
    <t>Other combustion</t>
  </si>
  <si>
    <t xml:space="preserve">Total 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</si>
  <si>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</si>
  <si>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</si>
  <si>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</si>
  <si>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</si>
  <si>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</si>
  <si>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</si>
  <si>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</si>
  <si>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</si>
  <si>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</si>
  <si>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</si>
  <si>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</si>
  <si>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</si>
  <si>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</si>
  <si>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</si>
  <si>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</si>
  <si>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</si>
  <si>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</si>
  <si>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</si>
  <si>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</si>
  <si>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</si>
  <si>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</si>
  <si>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</si>
  <si>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</si>
  <si>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</si>
  <si>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</si>
  <si>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</si>
  <si>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</si>
  <si>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</si>
  <si>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</si>
  <si>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</si>
  <si>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</si>
  <si>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 xml:space="preserve">Passenger transport  </t>
  </si>
  <si>
    <t>Heavy duty &amp; buses</t>
  </si>
  <si>
    <t>Light duty trucks</t>
  </si>
  <si>
    <t>Rail</t>
  </si>
  <si>
    <t xml:space="preserve">Aviation </t>
  </si>
  <si>
    <t>Road</t>
  </si>
  <si>
    <t xml:space="preserve">Marine </t>
  </si>
  <si>
    <t xml:space="preserve">Transport </t>
  </si>
  <si>
    <t xml:space="preserve">Other </t>
  </si>
  <si>
    <t xml:space="preserve">Production energy </t>
  </si>
  <si>
    <t xml:space="preserve">Cell Materials </t>
  </si>
  <si>
    <t>Pack components</t>
  </si>
  <si>
    <t>kg 1,4-DB eq.</t>
  </si>
  <si>
    <t>kg NOx eq.</t>
  </si>
  <si>
    <t>Seperator</t>
  </si>
  <si>
    <t>SiO</t>
  </si>
  <si>
    <t>Copper</t>
  </si>
  <si>
    <t>Electrolyte</t>
  </si>
  <si>
    <t>Graphite, 5%SiO</t>
  </si>
  <si>
    <t>Anode slurry</t>
  </si>
  <si>
    <t>Current collector (Al)</t>
  </si>
  <si>
    <t>Mass SiO (g/kWh)</t>
  </si>
  <si>
    <t>NMC900</t>
  </si>
  <si>
    <t>General</t>
  </si>
  <si>
    <t>Cathode chemistry</t>
  </si>
  <si>
    <t>Chemical formular</t>
  </si>
  <si>
    <t>Solid share in slurry (weight %)</t>
  </si>
  <si>
    <t>Thickness of calandared stack (in µm)</t>
  </si>
  <si>
    <t>Desity of active material (g/cm³)</t>
  </si>
  <si>
    <t>Density of carbon black (g/cm³)</t>
  </si>
  <si>
    <t>Density of binder (g/cm³)</t>
  </si>
  <si>
    <r>
      <t>NiSO</t>
    </r>
    <r>
      <rPr>
        <vertAlign val="subscript"/>
        <sz val="10"/>
        <rFont val="Calibri"/>
        <family val="2"/>
      </rPr>
      <t>4</t>
    </r>
  </si>
  <si>
    <r>
      <t>MnSO</t>
    </r>
    <r>
      <rPr>
        <vertAlign val="subscript"/>
        <sz val="10"/>
        <rFont val="Calibri"/>
        <family val="2"/>
      </rPr>
      <t xml:space="preserve">4 </t>
    </r>
  </si>
  <si>
    <t>Cathode (+)</t>
  </si>
  <si>
    <t>Graphit, 10%SiO</t>
  </si>
  <si>
    <t>Graphite, 10%SiO</t>
  </si>
  <si>
    <t>kgCO2-eq/kWh</t>
  </si>
  <si>
    <t>Total</t>
  </si>
  <si>
    <r>
      <t>NH</t>
    </r>
    <r>
      <rPr>
        <vertAlign val="subscript"/>
        <sz val="10"/>
        <rFont val="Calibri"/>
        <family val="2"/>
      </rPr>
      <t>4</t>
    </r>
    <r>
      <rPr>
        <sz val="10"/>
        <rFont val="Calibri"/>
        <family val="2"/>
      </rPr>
      <t>OH</t>
    </r>
  </si>
  <si>
    <t xml:space="preserve">LFP active material </t>
  </si>
  <si>
    <t>Cathode slurry</t>
  </si>
  <si>
    <t>Current collector (Cu)</t>
  </si>
  <si>
    <t>Life Cycle Inventory (LCI)</t>
  </si>
  <si>
    <t>kWh/kWh</t>
  </si>
  <si>
    <t>Primary Energy Demand (PED)</t>
  </si>
  <si>
    <t xml:space="preserve">NMC/NCA active material </t>
  </si>
  <si>
    <r>
      <t>AlSO</t>
    </r>
    <r>
      <rPr>
        <vertAlign val="subscript"/>
        <sz val="10"/>
        <rFont val="Calibri"/>
        <family val="2"/>
      </rPr>
      <t>4</t>
    </r>
  </si>
  <si>
    <t>Freshwater consumption [m³/l]</t>
  </si>
  <si>
    <t>Share of active material (weight %)</t>
  </si>
  <si>
    <t>Share of carbon black (weight %)</t>
  </si>
  <si>
    <t>Share of binder (weight %)</t>
  </si>
  <si>
    <t>Porosity after calendaring (%)</t>
  </si>
  <si>
    <t>Thickness of active material, calendared (µm)</t>
  </si>
  <si>
    <t>Areal Weight of Cu (g/m²)</t>
  </si>
  <si>
    <t>Density of Cu (kg/m³)</t>
  </si>
  <si>
    <t xml:space="preserve">Current collector material </t>
  </si>
  <si>
    <t>Total thickness of anode, two sided, calendared (µm)</t>
  </si>
  <si>
    <t>Required areal weight of active material, single sided (mg/cm²)</t>
  </si>
  <si>
    <t>Areal weight of carbon black, single sided (mg/cm²)</t>
  </si>
  <si>
    <t>Areal weight of binder, single sided (mg/cm²)</t>
  </si>
  <si>
    <t>Theoretical desinity of coating mix (kg/m³)</t>
  </si>
  <si>
    <t xml:space="preserve">Areal weight of coating (mg/cm²) </t>
  </si>
  <si>
    <t xml:space="preserve">Areal weight of coating (kg/m²) </t>
  </si>
  <si>
    <t>Areal weight of anode (kg/m²)</t>
  </si>
  <si>
    <t>Thickness current collector (µm)</t>
  </si>
  <si>
    <t>Aluminum</t>
  </si>
  <si>
    <t>Density of Al (kg/m³)</t>
  </si>
  <si>
    <t>Areal Weight of Al (g/m²)</t>
  </si>
  <si>
    <t>Specific capacity of active material (mAh/g)</t>
  </si>
  <si>
    <t>Areal weight of active material, single sided (mg/cm²)</t>
  </si>
  <si>
    <t>Required areal capacity, single sided (mAh/cm²)</t>
  </si>
  <si>
    <t>Required areal capacity, single sided (Ah/m²)</t>
  </si>
  <si>
    <t>Areal capacity, single sided (Ah/m²)</t>
  </si>
  <si>
    <t>Areal energy, single sided (Wh/m²) [single electrode stack]</t>
  </si>
  <si>
    <t>Areal weight of cathode (kg/m²)</t>
  </si>
  <si>
    <t>Density of separator (kg/m³)</t>
  </si>
  <si>
    <t>Areal weight of separator (kg/m²)</t>
  </si>
  <si>
    <t>Material separator</t>
  </si>
  <si>
    <t>Porosity (%)</t>
  </si>
  <si>
    <t>Material electrolyte</t>
  </si>
  <si>
    <t>Formula</t>
  </si>
  <si>
    <r>
      <t>Li</t>
    </r>
    <r>
      <rPr>
        <vertAlign val="subscript"/>
        <sz val="11"/>
        <rFont val="Calibri"/>
        <family val="2"/>
      </rPr>
      <t>1</t>
    </r>
    <r>
      <rPr>
        <sz val="11"/>
        <rFont val="Calibri"/>
        <family val="2"/>
      </rPr>
      <t>Ni</t>
    </r>
    <r>
      <rPr>
        <vertAlign val="subscript"/>
        <sz val="11"/>
        <rFont val="Calibri"/>
        <family val="2"/>
      </rPr>
      <t>0.5</t>
    </r>
    <r>
      <rPr>
        <sz val="11"/>
        <rFont val="Calibri"/>
        <family val="2"/>
      </rPr>
      <t>Mn</t>
    </r>
    <r>
      <rPr>
        <vertAlign val="subscript"/>
        <sz val="11"/>
        <rFont val="Calibri"/>
        <family val="2"/>
      </rPr>
      <t>0.3</t>
    </r>
    <r>
      <rPr>
        <sz val="11"/>
        <rFont val="Calibri"/>
        <family val="2"/>
      </rPr>
      <t>Co</t>
    </r>
    <r>
      <rPr>
        <vertAlign val="subscript"/>
        <sz val="11"/>
        <rFont val="Calibri"/>
        <family val="2"/>
      </rPr>
      <t>0.2</t>
    </r>
    <r>
      <rPr>
        <sz val="11"/>
        <rFont val="Calibri"/>
        <family val="2"/>
      </rPr>
      <t>O</t>
    </r>
    <r>
      <rPr>
        <vertAlign val="subscript"/>
        <sz val="11"/>
        <rFont val="Calibri"/>
        <family val="2"/>
      </rPr>
      <t>2</t>
    </r>
  </si>
  <si>
    <r>
      <t>Li</t>
    </r>
    <r>
      <rPr>
        <vertAlign val="subscript"/>
        <sz val="11"/>
        <rFont val="Calibri"/>
        <family val="2"/>
      </rPr>
      <t>1</t>
    </r>
    <r>
      <rPr>
        <sz val="11"/>
        <rFont val="Calibri"/>
        <family val="2"/>
      </rPr>
      <t>Ni</t>
    </r>
    <r>
      <rPr>
        <vertAlign val="subscript"/>
        <sz val="11"/>
        <rFont val="Calibri"/>
        <family val="2"/>
      </rPr>
      <t>0.6</t>
    </r>
    <r>
      <rPr>
        <sz val="11"/>
        <rFont val="Calibri"/>
        <family val="2"/>
      </rPr>
      <t>Mn</t>
    </r>
    <r>
      <rPr>
        <vertAlign val="subscript"/>
        <sz val="11"/>
        <rFont val="Calibri"/>
        <family val="2"/>
      </rPr>
      <t>0.2</t>
    </r>
    <r>
      <rPr>
        <sz val="11"/>
        <rFont val="Calibri"/>
        <family val="2"/>
      </rPr>
      <t>Co</t>
    </r>
    <r>
      <rPr>
        <vertAlign val="subscript"/>
        <sz val="11"/>
        <rFont val="Calibri"/>
        <family val="2"/>
      </rPr>
      <t>0.2</t>
    </r>
    <r>
      <rPr>
        <sz val="11"/>
        <rFont val="Calibri"/>
        <family val="2"/>
      </rPr>
      <t>O</t>
    </r>
    <r>
      <rPr>
        <vertAlign val="subscript"/>
        <sz val="11"/>
        <rFont val="Calibri"/>
        <family val="2"/>
      </rPr>
      <t>2</t>
    </r>
  </si>
  <si>
    <r>
      <t>Li</t>
    </r>
    <r>
      <rPr>
        <vertAlign val="subscript"/>
        <sz val="11"/>
        <rFont val="Calibri"/>
        <family val="2"/>
      </rPr>
      <t>1</t>
    </r>
    <r>
      <rPr>
        <sz val="11"/>
        <rFont val="Calibri"/>
        <family val="2"/>
      </rPr>
      <t>Ni</t>
    </r>
    <r>
      <rPr>
        <vertAlign val="subscript"/>
        <sz val="11"/>
        <rFont val="Calibri"/>
        <family val="2"/>
      </rPr>
      <t>0.8</t>
    </r>
    <r>
      <rPr>
        <sz val="11"/>
        <rFont val="Calibri"/>
        <family val="2"/>
      </rPr>
      <t>Mn</t>
    </r>
    <r>
      <rPr>
        <vertAlign val="subscript"/>
        <sz val="11"/>
        <rFont val="Calibri"/>
        <family val="2"/>
      </rPr>
      <t>0.1</t>
    </r>
    <r>
      <rPr>
        <sz val="11"/>
        <rFont val="Calibri"/>
        <family val="2"/>
      </rPr>
      <t>Co</t>
    </r>
    <r>
      <rPr>
        <vertAlign val="subscript"/>
        <sz val="11"/>
        <rFont val="Calibri"/>
        <family val="2"/>
      </rPr>
      <t>0.1</t>
    </r>
    <r>
      <rPr>
        <sz val="11"/>
        <rFont val="Calibri"/>
        <family val="2"/>
      </rPr>
      <t>O</t>
    </r>
    <r>
      <rPr>
        <vertAlign val="subscript"/>
        <sz val="11"/>
        <rFont val="Calibri"/>
        <family val="2"/>
      </rPr>
      <t>2</t>
    </r>
  </si>
  <si>
    <r>
      <t>Li</t>
    </r>
    <r>
      <rPr>
        <vertAlign val="subscript"/>
        <sz val="11"/>
        <rFont val="Calibri"/>
        <family val="2"/>
      </rPr>
      <t>1</t>
    </r>
    <r>
      <rPr>
        <sz val="11"/>
        <rFont val="Calibri"/>
        <family val="2"/>
      </rPr>
      <t>Ni</t>
    </r>
    <r>
      <rPr>
        <vertAlign val="subscript"/>
        <sz val="11"/>
        <rFont val="Calibri"/>
        <family val="2"/>
      </rPr>
      <t>0.9</t>
    </r>
    <r>
      <rPr>
        <sz val="11"/>
        <rFont val="Calibri"/>
        <family val="2"/>
      </rPr>
      <t>Mn</t>
    </r>
    <r>
      <rPr>
        <vertAlign val="subscript"/>
        <sz val="11"/>
        <rFont val="Calibri"/>
        <family val="2"/>
      </rPr>
      <t>0.05</t>
    </r>
    <r>
      <rPr>
        <sz val="11"/>
        <rFont val="Calibri"/>
        <family val="2"/>
      </rPr>
      <t>Co</t>
    </r>
    <r>
      <rPr>
        <vertAlign val="subscript"/>
        <sz val="11"/>
        <rFont val="Calibri"/>
        <family val="2"/>
      </rPr>
      <t>0.05</t>
    </r>
    <r>
      <rPr>
        <sz val="11"/>
        <rFont val="Calibri"/>
        <family val="2"/>
      </rPr>
      <t>O</t>
    </r>
    <r>
      <rPr>
        <vertAlign val="subscript"/>
        <sz val="11"/>
        <rFont val="Calibri"/>
        <family val="2"/>
      </rPr>
      <t>2</t>
    </r>
  </si>
  <si>
    <r>
      <t>Li</t>
    </r>
    <r>
      <rPr>
        <vertAlign val="subscript"/>
        <sz val="11"/>
        <rFont val="Calibri"/>
        <family val="2"/>
      </rPr>
      <t>1</t>
    </r>
    <r>
      <rPr>
        <sz val="11"/>
        <rFont val="Calibri"/>
        <family val="2"/>
      </rPr>
      <t>Fe</t>
    </r>
    <r>
      <rPr>
        <vertAlign val="subscript"/>
        <sz val="11"/>
        <rFont val="Calibri"/>
        <family val="2"/>
      </rPr>
      <t>1</t>
    </r>
    <r>
      <rPr>
        <sz val="11"/>
        <rFont val="Calibri"/>
        <family val="2"/>
      </rPr>
      <t>P</t>
    </r>
    <r>
      <rPr>
        <vertAlign val="subscript"/>
        <sz val="11"/>
        <rFont val="Calibri"/>
        <family val="2"/>
      </rPr>
      <t>1</t>
    </r>
    <r>
      <rPr>
        <sz val="11"/>
        <rFont val="Calibri"/>
        <family val="2"/>
      </rPr>
      <t>O</t>
    </r>
    <r>
      <rPr>
        <vertAlign val="subscript"/>
        <sz val="11"/>
        <rFont val="Calibri"/>
        <family val="2"/>
      </rPr>
      <t>4</t>
    </r>
  </si>
  <si>
    <r>
      <t>Li</t>
    </r>
    <r>
      <rPr>
        <vertAlign val="subscript"/>
        <sz val="11"/>
        <rFont val="Calibri"/>
        <family val="2"/>
      </rPr>
      <t>1</t>
    </r>
    <r>
      <rPr>
        <sz val="11"/>
        <rFont val="Calibri"/>
        <family val="2"/>
      </rPr>
      <t>Ni</t>
    </r>
    <r>
      <rPr>
        <vertAlign val="subscript"/>
        <sz val="11"/>
        <rFont val="Calibri"/>
        <family val="2"/>
      </rPr>
      <t>0.9</t>
    </r>
    <r>
      <rPr>
        <sz val="11"/>
        <rFont val="Calibri"/>
        <family val="2"/>
      </rPr>
      <t>Co</t>
    </r>
    <r>
      <rPr>
        <vertAlign val="subscript"/>
        <sz val="11"/>
        <rFont val="Calibri"/>
        <family val="2"/>
      </rPr>
      <t>0.07</t>
    </r>
    <r>
      <rPr>
        <sz val="11"/>
        <rFont val="Calibri"/>
        <family val="2"/>
      </rPr>
      <t>Al</t>
    </r>
    <r>
      <rPr>
        <vertAlign val="subscript"/>
        <sz val="11"/>
        <rFont val="Calibri"/>
        <family val="2"/>
      </rPr>
      <t>0.03</t>
    </r>
    <r>
      <rPr>
        <sz val="11"/>
        <rFont val="Calibri"/>
        <family val="2"/>
      </rPr>
      <t>O</t>
    </r>
    <r>
      <rPr>
        <vertAlign val="subscript"/>
        <sz val="11"/>
        <rFont val="Calibri"/>
        <family val="2"/>
      </rPr>
      <t>2</t>
    </r>
  </si>
  <si>
    <t>Atomic mass (g/mol)</t>
  </si>
  <si>
    <t>#F58220.9999</t>
  </si>
  <si>
    <t>Current Collector Al</t>
  </si>
  <si>
    <t>#F58220.7</t>
  </si>
  <si>
    <t>Carbon black</t>
  </si>
  <si>
    <t>#F58220.45</t>
  </si>
  <si>
    <t>Used solvent (NMP)</t>
  </si>
  <si>
    <t>Unit cell (A³)</t>
  </si>
  <si>
    <t>Density (g/cm³)</t>
  </si>
  <si>
    <t>Target cap. (mAh/g)</t>
  </si>
  <si>
    <t>kg CAM/kWh</t>
  </si>
  <si>
    <t>kWh/kg CAM</t>
  </si>
  <si>
    <t>amount of substance n (mol/kWh)</t>
  </si>
  <si>
    <t>amount of substance n (mol/kg CAM)</t>
  </si>
  <si>
    <t>Mass Ni (g/kg CAM)</t>
  </si>
  <si>
    <t>Mass Mn (g/kg CAM)</t>
  </si>
  <si>
    <t>Mass Co (g/kg CAM)</t>
  </si>
  <si>
    <t>Mass Li (g/kg CAM)</t>
  </si>
  <si>
    <t>Mass O (g/kg CAM)</t>
  </si>
  <si>
    <t>Mass Al (g/kg CAM)</t>
  </si>
  <si>
    <t>Mass Fe (g/kg CAM)</t>
  </si>
  <si>
    <t xml:space="preserve">Mass P (g/kg CAM) </t>
  </si>
  <si>
    <t>Mass Li (g/kWh)</t>
  </si>
  <si>
    <t>Mass Ni (g/kWh)</t>
  </si>
  <si>
    <t>Mass Mn (g/kWh)</t>
  </si>
  <si>
    <t>Mass Co (g/kWh)</t>
  </si>
  <si>
    <t>Mass Al (g/kWh)</t>
  </si>
  <si>
    <t>Mass Fe (g/kWh)</t>
  </si>
  <si>
    <t>Mass P (g/kWh)</t>
  </si>
  <si>
    <t>Mass O (g/kWh)</t>
  </si>
  <si>
    <t>Mass LiOH (g/kg CAM)</t>
  </si>
  <si>
    <t>Mass NiSO4 (g/kg CAM)</t>
  </si>
  <si>
    <t>Mass MnSO4 (g/kg CAM)</t>
  </si>
  <si>
    <t>Mass CoSO4 (g/kg CAM)</t>
  </si>
  <si>
    <t>Mass FeSO4 (g/kg CAM)</t>
  </si>
  <si>
    <t>Mass H3PO4 (g/kg CAM)</t>
  </si>
  <si>
    <t>N</t>
  </si>
  <si>
    <t>H</t>
  </si>
  <si>
    <t xml:space="preserve">Density electrolyte (g/cm³) </t>
  </si>
  <si>
    <t>Thickness of separator (µm)</t>
  </si>
  <si>
    <t>Mass copper foil (g/kWh)</t>
  </si>
  <si>
    <t>Mass separator (g/kWh)</t>
  </si>
  <si>
    <t>Further material</t>
  </si>
  <si>
    <t>Mass NiSO4 (g/kWh)</t>
  </si>
  <si>
    <t>Mass MnSO4 (g/kWh)</t>
  </si>
  <si>
    <t>Mass CoSO4 (g/kWh)</t>
  </si>
  <si>
    <t>Mass FeSO4 (g/kWh)</t>
  </si>
  <si>
    <t>Mass H3PO4 (g/kWh)</t>
  </si>
  <si>
    <t>Volume of electrolyte, mono stack (cm³/m²)</t>
  </si>
  <si>
    <t>Gravim. weight of 1 m² mono stack (kg/m²)</t>
  </si>
  <si>
    <t>Areal energy of mono stack (kWh/m²)</t>
  </si>
  <si>
    <t xml:space="preserve">Area/kWh, of mono stack (in m²/kWh) </t>
  </si>
  <si>
    <t>Density of solvent, NMP (kg/m³)</t>
  </si>
  <si>
    <t>Density of solvent, water (kg/m³)</t>
  </si>
  <si>
    <t>Mass solvent cathode, NMP (g/kWh)</t>
  </si>
  <si>
    <t>Mass solvent anode, water (g/kWh)</t>
  </si>
  <si>
    <t>Areal capacity, single sided (mAh/cm²)</t>
  </si>
  <si>
    <t>ReCiPe 2016 (H) of material (Ecoinvent)</t>
  </si>
  <si>
    <t>Na</t>
  </si>
  <si>
    <t>Atomic mass NiMnCo(OH)2 (g/mol)</t>
  </si>
  <si>
    <t>Atomic mass NiCoAl(OH)2 (g/mol)</t>
  </si>
  <si>
    <t>Na2SO4</t>
  </si>
  <si>
    <t>Required mol of NaOH per mol CAM</t>
  </si>
  <si>
    <t>Mass NiMnCo(OH)2 (g/kWh)</t>
  </si>
  <si>
    <t>Mass NiCoAl(OH)2 (g/kWh)</t>
  </si>
  <si>
    <t>Required mol of NH4OH per mol CAM</t>
  </si>
  <si>
    <t>(NH4​)2​SO4​</t>
  </si>
  <si>
    <r>
      <t>NCA(OH)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 xml:space="preserve"> / NMC(OH)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 xml:space="preserve">  </t>
    </r>
  </si>
  <si>
    <t>Electricity [kWh]</t>
  </si>
  <si>
    <t>CO2</t>
  </si>
  <si>
    <t>Required mol of O2 per mol CAM</t>
  </si>
  <si>
    <t>Li2CO3</t>
  </si>
  <si>
    <t>Emitted mol of H2O per mol CAM</t>
  </si>
  <si>
    <t>H2O</t>
  </si>
  <si>
    <t>Emitted amount of H2O (mol/kWh)</t>
  </si>
  <si>
    <t>Emitted mass H2O (g/kWh)</t>
  </si>
  <si>
    <t>O2</t>
  </si>
  <si>
    <t>#F58220.30</t>
  </si>
  <si>
    <t>Steam (H2O)</t>
  </si>
  <si>
    <t>#F58220.15</t>
  </si>
  <si>
    <t>Water consumption (gal/ton)</t>
  </si>
  <si>
    <t>Water consumption (l/kg)</t>
  </si>
  <si>
    <t>Natural gas consumption (mmBtu/ton)</t>
  </si>
  <si>
    <t>Natural gas consumption (kWh/kg)</t>
  </si>
  <si>
    <t>Precursor</t>
  </si>
  <si>
    <t>NMC900*</t>
  </si>
  <si>
    <t>CAM</t>
  </si>
  <si>
    <t>LiOH use</t>
  </si>
  <si>
    <t>Li2CO3 use</t>
  </si>
  <si>
    <t>x</t>
  </si>
  <si>
    <t>Electricity consumption (mmBtu/ton)</t>
  </si>
  <si>
    <t>Electricity consumption (kWh/kg)</t>
  </si>
  <si>
    <t>NMC442</t>
  </si>
  <si>
    <r>
      <t xml:space="preserve">GREET 
</t>
    </r>
    <r>
      <rPr>
        <b/>
        <sz val="10"/>
        <rFont val="Frutiger LT Com 45 Light"/>
        <family val="2"/>
      </rPr>
      <t>2018</t>
    </r>
  </si>
  <si>
    <r>
      <t xml:space="preserve">GREET 
</t>
    </r>
    <r>
      <rPr>
        <b/>
        <sz val="10"/>
        <rFont val="Frutiger LT Com 45 Light"/>
        <family val="2"/>
      </rPr>
      <t>2015</t>
    </r>
  </si>
  <si>
    <t>Water consumption (l/kWh_CAM)</t>
  </si>
  <si>
    <t>Natural gas consumption (kWh/kWh_CAM)</t>
  </si>
  <si>
    <t>Electricity consumption (kWh/kWh_CAM)</t>
  </si>
  <si>
    <r>
      <t xml:space="preserve">GREET
</t>
    </r>
    <r>
      <rPr>
        <b/>
        <sz val="10"/>
        <rFont val="Frutiger LT Com 45 Light"/>
        <family val="2"/>
      </rPr>
      <t>Consolidateted 
&amp; extended</t>
    </r>
  </si>
  <si>
    <t>Water [l]</t>
  </si>
  <si>
    <t>Natural gas [kWh]</t>
  </si>
  <si>
    <t>Energy consumption (mmBtu/ton)</t>
  </si>
  <si>
    <t>Energy consumption (kWh/kg)</t>
  </si>
  <si>
    <r>
      <t>Li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>CO</t>
    </r>
    <r>
      <rPr>
        <vertAlign val="subscript"/>
        <sz val="10"/>
        <rFont val="Calibri"/>
        <family val="2"/>
      </rPr>
      <t>3</t>
    </r>
  </si>
  <si>
    <t>Emitted mol of CO2 per mol CAM</t>
  </si>
  <si>
    <t>Emitted amount of CO2 (mol/kWh)</t>
  </si>
  <si>
    <t>Emitted mass CO2 (g/kWh)</t>
  </si>
  <si>
    <t>Mass Li2CO3 (g/kg CAM)</t>
  </si>
  <si>
    <t>Mass Li2CO3 (g/kWh)</t>
  </si>
  <si>
    <r>
      <t>Output CO</t>
    </r>
    <r>
      <rPr>
        <vertAlign val="subscript"/>
        <sz val="10"/>
        <rFont val="Calibri"/>
        <family val="2"/>
      </rPr>
      <t>2</t>
    </r>
  </si>
  <si>
    <r>
      <t>Output H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>O</t>
    </r>
  </si>
  <si>
    <r>
      <t>O</t>
    </r>
    <r>
      <rPr>
        <vertAlign val="subscript"/>
        <sz val="10"/>
        <rFont val="Calibri"/>
        <family val="2"/>
      </rPr>
      <t>2</t>
    </r>
  </si>
  <si>
    <r>
      <t>Fe</t>
    </r>
    <r>
      <rPr>
        <vertAlign val="subscript"/>
        <sz val="10"/>
        <rFont val="Calibri"/>
        <family val="2"/>
      </rPr>
      <t>3</t>
    </r>
    <r>
      <rPr>
        <sz val="10"/>
        <rFont val="Calibri"/>
        <family val="2"/>
      </rPr>
      <t>O</t>
    </r>
    <r>
      <rPr>
        <vertAlign val="subscript"/>
        <sz val="10"/>
        <rFont val="Calibri"/>
        <family val="2"/>
      </rPr>
      <t>4</t>
    </r>
  </si>
  <si>
    <t>(NH4)2HPO4</t>
  </si>
  <si>
    <r>
      <t>(NH</t>
    </r>
    <r>
      <rPr>
        <vertAlign val="subscript"/>
        <sz val="10"/>
        <rFont val="Calibri"/>
        <family val="2"/>
      </rPr>
      <t>4</t>
    </r>
    <r>
      <rPr>
        <sz val="10"/>
        <rFont val="Calibri"/>
        <family val="2"/>
      </rPr>
      <t>)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>HPO</t>
    </r>
    <r>
      <rPr>
        <vertAlign val="subscript"/>
        <sz val="10"/>
        <rFont val="Calibri"/>
        <family val="2"/>
      </rPr>
      <t>4</t>
    </r>
  </si>
  <si>
    <t>Fe3O4</t>
  </si>
  <si>
    <t>Required mol of Fe3O4 per mol CAM</t>
  </si>
  <si>
    <t>Required mol of (NH4​)2​SO4​ per mol CAM</t>
  </si>
  <si>
    <r>
      <t>Natural gas energy consumption for one machine
(E</t>
    </r>
    <r>
      <rPr>
        <b/>
        <vertAlign val="subscript"/>
        <sz val="10"/>
        <rFont val="Calibri"/>
        <family val="2"/>
      </rPr>
      <t>gas</t>
    </r>
    <r>
      <rPr>
        <b/>
        <sz val="10"/>
        <rFont val="Calibri"/>
        <family val="2"/>
      </rPr>
      <t>) [kWh</t>
    </r>
    <r>
      <rPr>
        <b/>
        <vertAlign val="subscript"/>
        <sz val="10"/>
        <rFont val="Calibri"/>
        <family val="2"/>
      </rPr>
      <t>prod</t>
    </r>
    <r>
      <rPr>
        <b/>
        <sz val="10"/>
        <rFont val="Calibri"/>
        <family val="2"/>
      </rPr>
      <t>]</t>
    </r>
  </si>
  <si>
    <r>
      <t>Normalized natural gas energy consumption for one machine
(E</t>
    </r>
    <r>
      <rPr>
        <b/>
        <vertAlign val="subscript"/>
        <sz val="10"/>
        <rFont val="Calibri"/>
        <family val="2"/>
      </rPr>
      <t>gas</t>
    </r>
    <r>
      <rPr>
        <b/>
        <sz val="10"/>
        <rFont val="Calibri"/>
        <family val="2"/>
      </rPr>
      <t>) [kWh</t>
    </r>
    <r>
      <rPr>
        <b/>
        <vertAlign val="subscript"/>
        <sz val="10"/>
        <rFont val="Calibri"/>
        <family val="2"/>
      </rPr>
      <t>prod</t>
    </r>
    <r>
      <rPr>
        <b/>
        <sz val="10"/>
        <rFont val="Calibri"/>
        <family val="2"/>
      </rPr>
      <t>]</t>
    </r>
  </si>
  <si>
    <r>
      <t>Cell specific
natural gas energy consumption (E</t>
    </r>
    <r>
      <rPr>
        <b/>
        <vertAlign val="subscript"/>
        <sz val="10"/>
        <rFont val="Calibri"/>
        <family val="2"/>
      </rPr>
      <t>cell,gas</t>
    </r>
    <r>
      <rPr>
        <b/>
        <sz val="10"/>
        <rFont val="Calibri"/>
        <family val="2"/>
      </rPr>
      <t>)
[kWh</t>
    </r>
    <r>
      <rPr>
        <b/>
        <vertAlign val="subscript"/>
        <sz val="10"/>
        <rFont val="Calibri"/>
        <family val="2"/>
      </rPr>
      <t>prod</t>
    </r>
    <r>
      <rPr>
        <b/>
        <sz val="10"/>
        <rFont val="Calibri"/>
        <family val="2"/>
      </rPr>
      <t>/kWh</t>
    </r>
    <r>
      <rPr>
        <b/>
        <vertAlign val="subscript"/>
        <sz val="10"/>
        <rFont val="Calibri"/>
        <family val="2"/>
      </rPr>
      <t>cell</t>
    </r>
    <r>
      <rPr>
        <b/>
        <sz val="10"/>
        <rFont val="Calibri"/>
        <family val="2"/>
      </rPr>
      <t>]</t>
    </r>
  </si>
  <si>
    <t>Natural gas</t>
  </si>
  <si>
    <t>NCA HE</t>
  </si>
  <si>
    <t>NMC811 HE</t>
  </si>
  <si>
    <t>Hydroxid-Precursor solution</t>
  </si>
  <si>
    <t>Cathode active material mix</t>
  </si>
  <si>
    <t>LFP HE</t>
  </si>
  <si>
    <t>Required amount of NaOH (mol/kWh)</t>
  </si>
  <si>
    <t>Required mass NaOH (g/kWh)</t>
  </si>
  <si>
    <t>Required amount of NH4OH (mol/kWh)</t>
  </si>
  <si>
    <t>Required mass NH4OH (g/kWh)</t>
  </si>
  <si>
    <t>Water loss [l]</t>
  </si>
  <si>
    <t>NH3</t>
  </si>
  <si>
    <t>Emitted mol of Na2SO4 per mol CAM</t>
  </si>
  <si>
    <t>Emitted amount of Na2SO4 (mol/kWh)</t>
  </si>
  <si>
    <t>Emitted mass Na2SO4 (g/kWh)</t>
  </si>
  <si>
    <t>Emitted mol of NH3 per mol CAM</t>
  </si>
  <si>
    <t>Emitted amount of NH3 (mol/kWh)</t>
  </si>
  <si>
    <t>Emitted mass NH3 (g/kWh)</t>
  </si>
  <si>
    <t>NaSO4</t>
  </si>
  <si>
    <t>Solvent (H2O)</t>
  </si>
  <si>
    <t>Used solvent (H2O)</t>
  </si>
  <si>
    <t>Emitted mol of O2 per mol CAM</t>
  </si>
  <si>
    <t>Emitted amount of O2 (mol/kWh)</t>
  </si>
  <si>
    <t>Emitted mass O2 (g/kWh)</t>
  </si>
  <si>
    <r>
      <t xml:space="preserve">BOM 
</t>
    </r>
    <r>
      <rPr>
        <b/>
        <sz val="10"/>
        <rFont val="Frutiger LT Com 45 Light"/>
        <family val="2"/>
      </rPr>
      <t>NCA/NCM</t>
    </r>
    <r>
      <rPr>
        <sz val="10"/>
        <rFont val="Frutiger LT Com 45 Light"/>
        <family val="2"/>
      </rPr>
      <t xml:space="preserve"> synthesis
with
</t>
    </r>
    <r>
      <rPr>
        <b/>
        <sz val="10"/>
        <rFont val="Frutiger LT Com 45 Light"/>
        <family val="2"/>
      </rPr>
      <t>LiOH</t>
    </r>
  </si>
  <si>
    <r>
      <t xml:space="preserve">BOM 
</t>
    </r>
    <r>
      <rPr>
        <b/>
        <sz val="10"/>
        <rFont val="Frutiger LT Com 45 Light"/>
        <family val="2"/>
      </rPr>
      <t>LFP</t>
    </r>
    <r>
      <rPr>
        <sz val="10"/>
        <rFont val="Frutiger LT Com 45 Light"/>
        <family val="2"/>
      </rPr>
      <t xml:space="preserve"> synthesis
with
</t>
    </r>
    <r>
      <rPr>
        <b/>
        <sz val="10"/>
        <rFont val="Frutiger LT Com 45 Light"/>
        <family val="2"/>
      </rPr>
      <t>Li2CO3</t>
    </r>
  </si>
  <si>
    <t>Required amount of Fe3O4 (mol/kWh)</t>
  </si>
  <si>
    <t>Required mass Fe3O4 (g/kWh)</t>
  </si>
  <si>
    <t>Required amount of (NH4​)2​SO4​ (mol/kWh)</t>
  </si>
  <si>
    <t>Required mass (NH4​)2​SO4​ (g/kWh)</t>
  </si>
  <si>
    <r>
      <t>Output NH</t>
    </r>
    <r>
      <rPr>
        <vertAlign val="subscript"/>
        <sz val="10"/>
        <rFont val="Calibri"/>
        <family val="2"/>
      </rPr>
      <t>3</t>
    </r>
  </si>
  <si>
    <r>
      <t>Output O</t>
    </r>
    <r>
      <rPr>
        <vertAlign val="subscript"/>
        <sz val="10"/>
        <rFont val="Calibri"/>
        <family val="2"/>
      </rPr>
      <t>2</t>
    </r>
  </si>
  <si>
    <t>NMC532 HE</t>
  </si>
  <si>
    <t>NMC622 HE</t>
  </si>
  <si>
    <t>NMC900 HE</t>
  </si>
  <si>
    <t>Required amount of O2 (mol/kWh)</t>
  </si>
  <si>
    <t>Required mass O2 (g/kWh)</t>
  </si>
  <si>
    <t>Bill of materials (BOM)</t>
  </si>
  <si>
    <r>
      <t>CoSO</t>
    </r>
    <r>
      <rPr>
        <vertAlign val="subscript"/>
        <sz val="10"/>
        <rFont val="Calibri"/>
        <family val="2"/>
      </rPr>
      <t>4</t>
    </r>
  </si>
  <si>
    <r>
      <t>Output Na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>SO</t>
    </r>
    <r>
      <rPr>
        <vertAlign val="subscript"/>
        <sz val="10"/>
        <rFont val="Calibri"/>
        <family val="2"/>
      </rPr>
      <t>4</t>
    </r>
  </si>
  <si>
    <t>Freshwater Ecotoxicity Potential (FEtP) [kg1.4DCB-eq/kg]</t>
  </si>
  <si>
    <t>Unit</t>
  </si>
  <si>
    <t>Type</t>
  </si>
  <si>
    <t>Region</t>
  </si>
  <si>
    <r>
      <t>Li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>CO</t>
    </r>
    <r>
      <rPr>
        <vertAlign val="subscript"/>
        <sz val="10"/>
        <rFont val="Calibri"/>
        <family val="2"/>
      </rPr>
      <t>3</t>
    </r>
    <r>
      <rPr>
        <sz val="10"/>
        <rFont val="Calibri"/>
        <family val="2"/>
      </rPr>
      <t xml:space="preserve"> (spodumen)</t>
    </r>
  </si>
  <si>
    <t>Electricity in cell factory</t>
  </si>
  <si>
    <t>Natural gas in cell factory</t>
  </si>
  <si>
    <t>Freshwater Eutrophication Potential (FEP) [kg P-eq to fresh water/kg]</t>
  </si>
  <si>
    <t>Human toxicity, cancer [kg1.4DCB-eq/kg]</t>
  </si>
  <si>
    <t>Human toxicity, non-cancer [kg1.4DCB-eq/kg]</t>
  </si>
  <si>
    <t>Photochemical Ozone Formation, Human Health [kg NOx eq.]</t>
  </si>
  <si>
    <t>Global Warming Potential (GWP)</t>
  </si>
  <si>
    <t>kg1.4DCB-eq/kWh</t>
  </si>
  <si>
    <t>Terrestrial Ecotoxicity Potential (TEP)</t>
  </si>
  <si>
    <t>kgSO2-eq/kWh</t>
  </si>
  <si>
    <t>Terrestrial Acidification Potential (TAP)</t>
  </si>
  <si>
    <t>kgCu-eq/kWh</t>
  </si>
  <si>
    <t xml:space="preserve">Metal depletion </t>
  </si>
  <si>
    <t>m³/kWh</t>
  </si>
  <si>
    <t>kg P-eq/kWh</t>
  </si>
  <si>
    <t>Energy LIB Factory</t>
  </si>
  <si>
    <t>C5H9NO</t>
  </si>
  <si>
    <t>%</t>
  </si>
  <si>
    <t>LFP HP</t>
  </si>
  <si>
    <t>NMC900 HP</t>
  </si>
  <si>
    <t>NMC811 HP</t>
  </si>
  <si>
    <t>NMC622 HP</t>
  </si>
  <si>
    <t>NMC532 HP</t>
  </si>
  <si>
    <t>NCA HP</t>
  </si>
  <si>
    <t>ID</t>
  </si>
  <si>
    <t>Main Contributor</t>
  </si>
  <si>
    <t>aluminium, wrought alloy</t>
  </si>
  <si>
    <t>IPCC 2021 Share</t>
  </si>
  <si>
    <t xml:space="preserve">Pedigree </t>
  </si>
  <si>
    <t>cobalt hydroxide</t>
  </si>
  <si>
    <t>copper, cathode</t>
  </si>
  <si>
    <t>electricity, medium voltage</t>
  </si>
  <si>
    <t>nickel, class 1</t>
  </si>
  <si>
    <r>
      <rPr>
        <sz val="22"/>
        <rFont val="Calibri"/>
        <family val="2"/>
      </rPr>
      <t>γ</t>
    </r>
    <r>
      <rPr>
        <vertAlign val="subscript"/>
        <sz val="22"/>
        <rFont val="Frutiger LT Com 45 Light"/>
        <family val="2"/>
      </rPr>
      <t>g</t>
    </r>
  </si>
  <si>
    <r>
      <rPr>
        <sz val="22"/>
        <rFont val="Calibri"/>
        <family val="2"/>
      </rPr>
      <t>γ</t>
    </r>
    <r>
      <rPr>
        <vertAlign val="subscript"/>
        <sz val="22"/>
        <rFont val="Calibri"/>
        <family val="2"/>
      </rPr>
      <t>g</t>
    </r>
    <r>
      <rPr>
        <sz val="22"/>
        <rFont val="Calibri"/>
        <family val="2"/>
      </rPr>
      <t>-(γ</t>
    </r>
    <r>
      <rPr>
        <vertAlign val="subscript"/>
        <sz val="22"/>
        <rFont val="Frutiger LT Com 45 Light"/>
        <family val="2"/>
      </rPr>
      <t>g</t>
    </r>
    <r>
      <rPr>
        <sz val="22"/>
        <rFont val="Frutiger LT Com 45 Light"/>
        <family val="2"/>
      </rPr>
      <t>/σ</t>
    </r>
    <r>
      <rPr>
        <vertAlign val="subscript"/>
        <sz val="22"/>
        <rFont val="Frutiger LT Com 45 Light"/>
        <family val="2"/>
      </rPr>
      <t>g</t>
    </r>
    <r>
      <rPr>
        <sz val="22"/>
        <rFont val="Frutiger LT Com 45 Light"/>
        <family val="2"/>
      </rPr>
      <t>)</t>
    </r>
  </si>
  <si>
    <r>
      <rPr>
        <sz val="22"/>
        <rFont val="Calibri"/>
        <family val="2"/>
      </rPr>
      <t>(γ</t>
    </r>
    <r>
      <rPr>
        <vertAlign val="subscript"/>
        <sz val="22"/>
        <rFont val="Frutiger LT Com 45 Light"/>
        <family val="2"/>
      </rPr>
      <t>g*</t>
    </r>
    <r>
      <rPr>
        <sz val="22"/>
        <rFont val="Frutiger LT Com 45 Light"/>
        <family val="2"/>
      </rPr>
      <t>σ</t>
    </r>
    <r>
      <rPr>
        <vertAlign val="subscript"/>
        <sz val="22"/>
        <rFont val="Frutiger LT Com 45 Light"/>
        <family val="2"/>
      </rPr>
      <t>g</t>
    </r>
    <r>
      <rPr>
        <sz val="22"/>
        <rFont val="Frutiger LT Com 45 Light"/>
        <family val="2"/>
      </rPr>
      <t>)-γ</t>
    </r>
    <r>
      <rPr>
        <vertAlign val="subscript"/>
        <sz val="22"/>
        <rFont val="Frutiger LT Com 45 Light"/>
        <family val="2"/>
      </rPr>
      <t>g</t>
    </r>
  </si>
  <si>
    <r>
      <t>Mass binder cathode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</si>
  <si>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carbon black cathode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</si>
  <si>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graphite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</si>
  <si>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SiO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</si>
  <si>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binder anode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</si>
  <si>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carbon black anode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</si>
  <si>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aluminum foil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</si>
  <si>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copper foil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</si>
  <si>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separator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</si>
  <si>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γ</t>
    </r>
    <r>
      <rPr>
        <vertAlign val="subscript"/>
        <sz val="22"/>
        <rFont val="Calibri"/>
        <family val="2"/>
      </rPr>
      <t>g</t>
    </r>
  </si>
  <si>
    <r>
      <t xml:space="preserve">σ* </t>
    </r>
    <r>
      <rPr>
        <sz val="12"/>
        <rFont val="Calibri"/>
        <family val="2"/>
      </rPr>
      <t>(=GSD2)</t>
    </r>
  </si>
  <si>
    <t>VAR[X]</t>
  </si>
  <si>
    <t>Mean E[X]</t>
  </si>
  <si>
    <t>Cell, lower limit</t>
  </si>
  <si>
    <t>Cell, upper limit</t>
  </si>
  <si>
    <t>Cell, VAR(X)</t>
  </si>
  <si>
    <t>Cell, E(X)</t>
  </si>
  <si>
    <t>C-Slurry, VAR(X)</t>
  </si>
  <si>
    <t>C-Slurry, E(X)</t>
  </si>
  <si>
    <t>C-Slurry, lower limit</t>
  </si>
  <si>
    <t>C-Slurry, upper limit</t>
  </si>
  <si>
    <t>Cell, lower Δ to µ*</t>
  </si>
  <si>
    <t>Cell, upper Δ to µ*</t>
  </si>
  <si>
    <t>C-Slurry, lower Δ to µ*</t>
  </si>
  <si>
    <t>C-Slurry, upper Δ to µ*</t>
  </si>
  <si>
    <t>Diameter of case (mm)</t>
  </si>
  <si>
    <t>Hight of case (mm)</t>
  </si>
  <si>
    <t>Thickness of case (mm)</t>
  </si>
  <si>
    <t>Case volume utilization (%)</t>
  </si>
  <si>
    <t>Volume of case material (mm³)</t>
  </si>
  <si>
    <t>Density aluminium (g/mm³)</t>
  </si>
  <si>
    <t>Density nickel plated steel (g/mm³)</t>
  </si>
  <si>
    <t>Mass of aluminium case (g)</t>
  </si>
  <si>
    <t>Mass of steel case (g)</t>
  </si>
  <si>
    <t>Area of coated electrode per jelly roll (in m²)</t>
  </si>
  <si>
    <t>Specific mass of aluminium case (g/kWh)</t>
  </si>
  <si>
    <t>Specific mass of steel case (g/kWh)</t>
  </si>
  <si>
    <t>Energy per cell (kWh)</t>
  </si>
  <si>
    <t>Caseing</t>
  </si>
  <si>
    <t>NCA (HE)</t>
  </si>
  <si>
    <t>NMC532 (HE)</t>
  </si>
  <si>
    <t>NMC622 (HE)</t>
  </si>
  <si>
    <t>NMC811 (HE)</t>
  </si>
  <si>
    <t>NMC900 (HE)</t>
  </si>
  <si>
    <t>LFP (HE)</t>
  </si>
  <si>
    <t>NCA (HP)</t>
  </si>
  <si>
    <t>NMC532 (HP)</t>
  </si>
  <si>
    <t>NMC622 (HP)</t>
  </si>
  <si>
    <t>NMC811 (HP)</t>
  </si>
  <si>
    <t>NMC900 (HP)</t>
  </si>
  <si>
    <t>LFP (HP)</t>
  </si>
  <si>
    <t>SiO/Si</t>
  </si>
  <si>
    <r>
      <t>Mass Fe-casing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</si>
  <si>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t>t=4h</t>
  </si>
  <si>
    <t xml:space="preserve"> t=20h, 5 cyles, 55% efficiency, for 100kWh of cells</t>
  </si>
  <si>
    <t>t=24h+504h</t>
  </si>
  <si>
    <t>High energy (HE) configuration</t>
  </si>
  <si>
    <t>kg oil eq.</t>
  </si>
  <si>
    <t>kBq Co-60 eq. to air</t>
  </si>
  <si>
    <t>Annual crop eq.·y</t>
  </si>
  <si>
    <t>kg N eq.</t>
  </si>
  <si>
    <t>Fine Particulate Matter Formation [kg PM2.5 eq.]</t>
  </si>
  <si>
    <t>Fossil depletion [kg oil eq.]</t>
  </si>
  <si>
    <t>Ionizing Radiation [kBq Co-60 eq. to air]</t>
  </si>
  <si>
    <t>Land use [Annual crop eq.·y]</t>
  </si>
  <si>
    <t>Marine ecotoxicity [kg 1,4-DB eq.]</t>
  </si>
  <si>
    <t>Marine Eutrophication [kg N eq.]</t>
  </si>
  <si>
    <t>Photochemical Ozone Formation, Ecosystems [kg NOx eq.]</t>
  </si>
  <si>
    <t>kg PM2.5 eq</t>
  </si>
  <si>
    <r>
      <t>O</t>
    </r>
    <r>
      <rPr>
        <i/>
        <vertAlign val="subscript"/>
        <sz val="10"/>
        <rFont val="Calibri"/>
        <family val="2"/>
      </rPr>
      <t>2</t>
    </r>
  </si>
  <si>
    <r>
      <t>Output CO</t>
    </r>
    <r>
      <rPr>
        <i/>
        <vertAlign val="subscript"/>
        <sz val="10"/>
        <rFont val="Calibri"/>
        <family val="2"/>
      </rPr>
      <t>2</t>
    </r>
  </si>
  <si>
    <r>
      <t>Output H</t>
    </r>
    <r>
      <rPr>
        <i/>
        <vertAlign val="subscript"/>
        <sz val="10"/>
        <rFont val="Calibri"/>
        <family val="2"/>
      </rPr>
      <t>2</t>
    </r>
    <r>
      <rPr>
        <i/>
        <sz val="10"/>
        <rFont val="Calibri"/>
        <family val="2"/>
      </rPr>
      <t>O</t>
    </r>
  </si>
  <si>
    <r>
      <t>NiSO</t>
    </r>
    <r>
      <rPr>
        <i/>
        <vertAlign val="subscript"/>
        <sz val="10"/>
        <rFont val="Calibri"/>
        <family val="2"/>
      </rPr>
      <t>4</t>
    </r>
  </si>
  <si>
    <r>
      <t>MnSO</t>
    </r>
    <r>
      <rPr>
        <i/>
        <vertAlign val="subscript"/>
        <sz val="10"/>
        <rFont val="Calibri"/>
        <family val="2"/>
      </rPr>
      <t xml:space="preserve">4 </t>
    </r>
  </si>
  <si>
    <r>
      <t>CoSO</t>
    </r>
    <r>
      <rPr>
        <i/>
        <vertAlign val="subscript"/>
        <sz val="10"/>
        <rFont val="Calibri"/>
        <family val="2"/>
      </rPr>
      <t>4</t>
    </r>
  </si>
  <si>
    <r>
      <t>NH</t>
    </r>
    <r>
      <rPr>
        <i/>
        <vertAlign val="subscript"/>
        <sz val="10"/>
        <rFont val="Calibri"/>
        <family val="2"/>
      </rPr>
      <t>4</t>
    </r>
    <r>
      <rPr>
        <i/>
        <sz val="10"/>
        <rFont val="Calibri"/>
        <family val="2"/>
      </rPr>
      <t>OH</t>
    </r>
  </si>
  <si>
    <r>
      <t>Output NH</t>
    </r>
    <r>
      <rPr>
        <i/>
        <vertAlign val="subscript"/>
        <sz val="10"/>
        <rFont val="Calibri"/>
        <family val="2"/>
      </rPr>
      <t>3</t>
    </r>
  </si>
  <si>
    <r>
      <t>Output Na</t>
    </r>
    <r>
      <rPr>
        <i/>
        <vertAlign val="subscript"/>
        <sz val="10"/>
        <rFont val="Calibri"/>
        <family val="2"/>
      </rPr>
      <t>2</t>
    </r>
    <r>
      <rPr>
        <i/>
        <sz val="10"/>
        <rFont val="Calibri"/>
        <family val="2"/>
      </rPr>
      <t>SO</t>
    </r>
    <r>
      <rPr>
        <i/>
        <vertAlign val="subscript"/>
        <sz val="10"/>
        <rFont val="Calibri"/>
        <family val="2"/>
      </rPr>
      <t>4</t>
    </r>
  </si>
  <si>
    <r>
      <t>(NH</t>
    </r>
    <r>
      <rPr>
        <i/>
        <vertAlign val="subscript"/>
        <sz val="10"/>
        <rFont val="Calibri"/>
        <family val="2"/>
      </rPr>
      <t>4</t>
    </r>
    <r>
      <rPr>
        <i/>
        <sz val="10"/>
        <rFont val="Calibri"/>
        <family val="2"/>
      </rPr>
      <t>)</t>
    </r>
    <r>
      <rPr>
        <i/>
        <vertAlign val="subscript"/>
        <sz val="10"/>
        <rFont val="Calibri"/>
        <family val="2"/>
      </rPr>
      <t>2</t>
    </r>
    <r>
      <rPr>
        <i/>
        <sz val="10"/>
        <rFont val="Calibri"/>
        <family val="2"/>
      </rPr>
      <t>HPO</t>
    </r>
    <r>
      <rPr>
        <i/>
        <vertAlign val="subscript"/>
        <sz val="10"/>
        <rFont val="Calibri"/>
        <family val="2"/>
      </rPr>
      <t>4</t>
    </r>
  </si>
  <si>
    <r>
      <t>Fe</t>
    </r>
    <r>
      <rPr>
        <i/>
        <vertAlign val="subscript"/>
        <sz val="10"/>
        <rFont val="Calibri"/>
        <family val="2"/>
      </rPr>
      <t>3</t>
    </r>
    <r>
      <rPr>
        <i/>
        <sz val="10"/>
        <rFont val="Calibri"/>
        <family val="2"/>
      </rPr>
      <t>O</t>
    </r>
    <r>
      <rPr>
        <i/>
        <vertAlign val="subscript"/>
        <sz val="10"/>
        <rFont val="Calibri"/>
        <family val="2"/>
      </rPr>
      <t>4</t>
    </r>
  </si>
  <si>
    <r>
      <t>Output O</t>
    </r>
    <r>
      <rPr>
        <i/>
        <vertAlign val="subscript"/>
        <sz val="10"/>
        <rFont val="Calibri"/>
        <family val="2"/>
      </rPr>
      <t>2</t>
    </r>
  </si>
  <si>
    <t>Casing</t>
  </si>
  <si>
    <t>Reference: capcacity per 4680 cell (Ah)</t>
  </si>
  <si>
    <t>Ratio active mat./binder/carbon bl. (%)</t>
  </si>
  <si>
    <t>Ratio active mat./binder/carbon black (%)</t>
  </si>
  <si>
    <t>Gravim. energy density of stack (kWh/kg)</t>
  </si>
  <si>
    <t>Thickness of current collector Al (µm)</t>
  </si>
  <si>
    <t>Specific energy of active material (mAh/g)</t>
  </si>
  <si>
    <t xml:space="preserve">LFP </t>
  </si>
  <si>
    <t>Hydroxid-precursor solution</t>
  </si>
  <si>
    <t>High
Power</t>
  </si>
  <si>
    <t>High
Energy</t>
  </si>
  <si>
    <t>Cell configuration</t>
  </si>
  <si>
    <t>Al2(SO4)3</t>
  </si>
  <si>
    <t>Mass Al2(SO4)3 (g/kg CAM)</t>
  </si>
  <si>
    <t>Mass Al2(SO4)3 (g/kWh)</t>
  </si>
  <si>
    <r>
      <t>Al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>(SO</t>
    </r>
    <r>
      <rPr>
        <vertAlign val="subscript"/>
        <sz val="10"/>
        <rFont val="Calibri"/>
        <family val="2"/>
      </rPr>
      <t>4</t>
    </r>
    <r>
      <rPr>
        <sz val="10"/>
        <rFont val="Calibri"/>
        <family val="2"/>
      </rPr>
      <t>)</t>
    </r>
    <r>
      <rPr>
        <vertAlign val="subscript"/>
        <sz val="10"/>
        <rFont val="Calibri"/>
        <family val="2"/>
      </rPr>
      <t>3</t>
    </r>
  </si>
  <si>
    <t>Hard carbon</t>
  </si>
  <si>
    <t>Mass Na (g/kg CAM)</t>
  </si>
  <si>
    <t>Mass Na (g/kWh)</t>
  </si>
  <si>
    <t>Na2CO3</t>
  </si>
  <si>
    <t>Required mol of Li2CO3/Na2CO3 per mol CAM</t>
  </si>
  <si>
    <t>Required amount of Li2CO3/Na2CO3 (mol/kWh)</t>
  </si>
  <si>
    <t>Required mass Li2CO3/Na2CO3 (g/kWh)</t>
  </si>
  <si>
    <t>Thickness of current collector Cu* (µm)</t>
  </si>
  <si>
    <r>
      <t>Mass hard carbon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</si>
  <si>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t>Mass hard carbon (g/kWh)</t>
  </si>
  <si>
    <t>Lithium metal</t>
  </si>
  <si>
    <t>100/0/0</t>
  </si>
  <si>
    <t xml:space="preserve">LFP/NaFP active material </t>
  </si>
  <si>
    <r>
      <t>Na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>CO</t>
    </r>
    <r>
      <rPr>
        <vertAlign val="subscript"/>
        <sz val="10"/>
        <rFont val="Calibri"/>
        <family val="2"/>
      </rPr>
      <t>3</t>
    </r>
  </si>
  <si>
    <t>Mass Na2CO3 (g/kWh)</t>
  </si>
  <si>
    <t>Hard Carbon</t>
  </si>
  <si>
    <t>Mass aluminum foil_anode (g/kWh)</t>
  </si>
  <si>
    <t>Mass aluminium foil_cathode (g/kWh)</t>
  </si>
  <si>
    <t>NMC900|Li (SSB)</t>
  </si>
  <si>
    <t>Required mol of Li2CO3 per mol of SE</t>
  </si>
  <si>
    <t>Required mol of Al2O3 per mol of SE</t>
  </si>
  <si>
    <t>Required mol of TiO2 per mol of SE</t>
  </si>
  <si>
    <t>Required mol of H3PO4 per mol of SE</t>
  </si>
  <si>
    <t>Required mol of O2 per mol of SE</t>
  </si>
  <si>
    <t>Emitted mol of H2O per mol of SE</t>
  </si>
  <si>
    <t>Emitted mol of CO2 per mol of SE</t>
  </si>
  <si>
    <t>Al2O3</t>
  </si>
  <si>
    <t>TiO2</t>
  </si>
  <si>
    <t>Ti</t>
  </si>
  <si>
    <t>Li1.3Al0.3Ti1.7(PO4)3</t>
  </si>
  <si>
    <t>Mass lithium metal (g/kWh)</t>
  </si>
  <si>
    <t>Mass liquid electrolyte (g/kWh)</t>
  </si>
  <si>
    <t>Mass solid electrolyte (g/kWh)</t>
  </si>
  <si>
    <t>Mol of Li1.3Al0.3Ti1.7(PO4)3 per kg</t>
  </si>
  <si>
    <r>
      <t xml:space="preserve">BOM
</t>
    </r>
    <r>
      <rPr>
        <b/>
        <sz val="10"/>
        <rFont val="Frutiger LT Com 45 Light"/>
        <family val="2"/>
      </rPr>
      <t>SE</t>
    </r>
    <r>
      <rPr>
        <sz val="10"/>
        <rFont val="Frutiger LT Com 45 Light"/>
        <family val="2"/>
      </rPr>
      <t xml:space="preserve"> synthesis of
</t>
    </r>
    <r>
      <rPr>
        <b/>
        <sz val="10"/>
        <rFont val="Frutiger LT Com 45 Light"/>
        <family val="2"/>
      </rPr>
      <t xml:space="preserve"> Li1.3Al0.3Ti1.7(PO4)3 </t>
    </r>
  </si>
  <si>
    <t>Required g of Li2CO3 per kg of SE</t>
  </si>
  <si>
    <t>Required g of Al2O3 per kg of SE</t>
  </si>
  <si>
    <t>Required g of TiO2 per kg of SE</t>
  </si>
  <si>
    <t>Required g of H3PO4 per kg of SE</t>
  </si>
  <si>
    <t>Required gl of O2 per kg of SE</t>
  </si>
  <si>
    <t>Emitted g of H2O per kg of SE</t>
  </si>
  <si>
    <t>Emitted g of CO2 per kg of SE</t>
  </si>
  <si>
    <t>NaNFM (SIB)</t>
  </si>
  <si>
    <t>NaPF6+Carbonate</t>
  </si>
  <si>
    <t>NaNFM</t>
  </si>
  <si>
    <t>Mass electrolyte, mono stack (g/m²)</t>
  </si>
  <si>
    <t>Porosity of electrolyte (%)</t>
  </si>
  <si>
    <t>Atomic mass NiFeMn(OH)2 (g/mol)</t>
  </si>
  <si>
    <t>Mass NiFeMn(OH)2 (g/kWh)</t>
  </si>
  <si>
    <r>
      <t xml:space="preserve">BOM 
</t>
    </r>
    <r>
      <rPr>
        <b/>
        <sz val="10"/>
        <rFont val="Frutiger LT Com 45 Light"/>
        <family val="2"/>
      </rPr>
      <t>NCA/NCM</t>
    </r>
    <r>
      <rPr>
        <sz val="10"/>
        <rFont val="Frutiger LT Com 45 Light"/>
        <family val="2"/>
      </rPr>
      <t xml:space="preserve"> synthesis
with
</t>
    </r>
    <r>
      <rPr>
        <b/>
        <sz val="10"/>
        <rFont val="Frutiger LT Com 45 Light"/>
        <family val="2"/>
      </rPr>
      <t>Li2CO3</t>
    </r>
    <r>
      <rPr>
        <sz val="10"/>
        <rFont val="Frutiger LT Com 45 Light"/>
        <family val="2"/>
      </rPr>
      <t xml:space="preserve">
(Na2CO3)</t>
    </r>
  </si>
  <si>
    <r>
      <t xml:space="preserve">BOM
</t>
    </r>
    <r>
      <rPr>
        <b/>
        <sz val="10"/>
        <rFont val="Frutiger LT Com 45 Light"/>
        <family val="2"/>
      </rPr>
      <t xml:space="preserve">NCA/NCM(OH)2
</t>
    </r>
    <r>
      <rPr>
        <sz val="10"/>
        <rFont val="Frutiger LT Com 45 Light"/>
        <family val="2"/>
      </rPr>
      <t>(NFM(OH)2)</t>
    </r>
    <r>
      <rPr>
        <b/>
        <sz val="10"/>
        <rFont val="Frutiger LT Com 45 Light"/>
        <family val="2"/>
      </rPr>
      <t xml:space="preserve">
</t>
    </r>
    <r>
      <rPr>
        <sz val="10"/>
        <rFont val="Frutiger LT Com 45 Light"/>
        <family val="2"/>
      </rPr>
      <t>synthesis</t>
    </r>
  </si>
  <si>
    <r>
      <t>Na</t>
    </r>
    <r>
      <rPr>
        <vertAlign val="subscript"/>
        <sz val="11"/>
        <rFont val="Calibri"/>
        <family val="2"/>
      </rPr>
      <t>1</t>
    </r>
    <r>
      <rPr>
        <sz val="11"/>
        <rFont val="Calibri"/>
        <family val="2"/>
      </rPr>
      <t>Ni</t>
    </r>
    <r>
      <rPr>
        <vertAlign val="subscript"/>
        <sz val="11"/>
        <rFont val="Calibri"/>
        <family val="2"/>
      </rPr>
      <t>0.4</t>
    </r>
    <r>
      <rPr>
        <sz val="11"/>
        <rFont val="Calibri"/>
        <family val="2"/>
      </rPr>
      <t>Fe</t>
    </r>
    <r>
      <rPr>
        <vertAlign val="subscript"/>
        <sz val="11"/>
        <rFont val="Calibri"/>
        <family val="2"/>
      </rPr>
      <t>0.4</t>
    </r>
    <r>
      <rPr>
        <sz val="11"/>
        <rFont val="Calibri"/>
        <family val="2"/>
      </rPr>
      <t>Mn</t>
    </r>
    <r>
      <rPr>
        <vertAlign val="subscript"/>
        <sz val="11"/>
        <rFont val="Calibri"/>
        <family val="2"/>
      </rPr>
      <t>0.2</t>
    </r>
    <r>
      <rPr>
        <sz val="11"/>
        <rFont val="Calibri"/>
        <family val="2"/>
      </rPr>
      <t>O</t>
    </r>
    <r>
      <rPr>
        <vertAlign val="subscript"/>
        <sz val="11"/>
        <rFont val="Calibri"/>
        <family val="2"/>
      </rPr>
      <t>2</t>
    </r>
  </si>
  <si>
    <t>NaNFM442 (SIB)</t>
  </si>
  <si>
    <t>LFP*</t>
  </si>
  <si>
    <t>NaNFM442*</t>
  </si>
  <si>
    <t>NaNFM422</t>
  </si>
  <si>
    <r>
      <t>FeSO</t>
    </r>
    <r>
      <rPr>
        <vertAlign val="subscript"/>
        <sz val="10"/>
        <rFont val="Calibri"/>
        <family val="2"/>
      </rPr>
      <t>4</t>
    </r>
  </si>
  <si>
    <t>Electrolyte (Li)</t>
  </si>
  <si>
    <t>Electrolyte (Na)</t>
  </si>
  <si>
    <t>Electrolyte (SE)</t>
  </si>
  <si>
    <t xml:space="preserve">NMC/NCA/NFM active material </t>
  </si>
  <si>
    <r>
      <t>NCA(OH)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 xml:space="preserve"> / NMC(OH)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 xml:space="preserve">  / NFM(OH)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 xml:space="preserve">  </t>
    </r>
  </si>
  <si>
    <t>NaNFM442 (HE)</t>
  </si>
  <si>
    <t>Electrolyte (NaPF6+EC)</t>
  </si>
  <si>
    <t>Binder (PVDF)</t>
  </si>
  <si>
    <t>LiPF6+Carbonat</t>
  </si>
  <si>
    <t>Electrolyte (LiPF6+EC)</t>
  </si>
  <si>
    <t>Casing (Fe)</t>
  </si>
  <si>
    <t>Separator (PE)</t>
  </si>
  <si>
    <t>NaNFM422 HE</t>
  </si>
  <si>
    <t>NaNFM422 (SIB)</t>
  </si>
  <si>
    <t>Thickness of separator/SE (µm)</t>
  </si>
  <si>
    <t>NMC900 (SSB)</t>
  </si>
  <si>
    <r>
      <t>Mass electrolyte/SE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</si>
  <si>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Li in CAM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</si>
  <si>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Na in CAM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</si>
  <si>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Ni in CAM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</si>
  <si>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Mn in CAM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</si>
  <si>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Co in CAM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</si>
  <si>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Al in CAM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</si>
  <si>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Fe in CAM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</si>
  <si>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P in CAM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</si>
  <si>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O in CAM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</si>
  <si>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r>
      <t>Mass lithium metal (g/kWh</t>
    </r>
    <r>
      <rPr>
        <vertAlign val="subscript"/>
        <sz val="11"/>
        <color theme="1"/>
        <rFont val="Calibri"/>
        <family val="2"/>
      </rPr>
      <t>cell</t>
    </r>
    <r>
      <rPr>
        <sz val="11"/>
        <color theme="1"/>
        <rFont val="Calibri"/>
        <family val="2"/>
      </rPr>
      <t>)</t>
    </r>
  </si>
  <si>
    <t xml:space="preserve">Lithium metal </t>
  </si>
  <si>
    <t>NMC900 | Li (SSB) (HE)</t>
  </si>
  <si>
    <t>Lithium metal foil</t>
  </si>
  <si>
    <t>Solid electrolyte (Li1.3Al0.3Ti1.7(PO4)3)</t>
  </si>
  <si>
    <t>Hard carbon*</t>
  </si>
  <si>
    <t>Lithium metal*</t>
  </si>
  <si>
    <r>
      <t>FeSO</t>
    </r>
    <r>
      <rPr>
        <vertAlign val="subscript"/>
        <sz val="10"/>
        <rFont val="Calibri"/>
        <family val="2"/>
      </rPr>
      <t>4</t>
    </r>
    <r>
      <rPr>
        <sz val="10"/>
        <rFont val="Calibri"/>
        <family val="2"/>
      </rPr>
      <t>*</t>
    </r>
  </si>
  <si>
    <r>
      <t>Na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>CO</t>
    </r>
    <r>
      <rPr>
        <vertAlign val="subscript"/>
        <sz val="10"/>
        <rFont val="Calibri"/>
        <family val="2"/>
      </rPr>
      <t>3</t>
    </r>
    <r>
      <rPr>
        <sz val="10"/>
        <rFont val="Calibri"/>
        <family val="2"/>
      </rPr>
      <t>*</t>
    </r>
  </si>
  <si>
    <t>High
Power*</t>
  </si>
  <si>
    <t>High
Energy*</t>
  </si>
  <si>
    <t>Al foil</t>
  </si>
  <si>
    <t>PVDF binder</t>
  </si>
  <si>
    <t>NMP solvent</t>
  </si>
  <si>
    <t>Fe casing</t>
  </si>
  <si>
    <t>Cu foil</t>
  </si>
  <si>
    <t>PE separator</t>
  </si>
  <si>
    <t>Liquid electrolyte</t>
  </si>
  <si>
    <t>Solid electrolyte*</t>
  </si>
  <si>
    <t>CMC-SBR binder</t>
  </si>
  <si>
    <r>
      <t>H</t>
    </r>
    <r>
      <rPr>
        <vertAlign val="subscript"/>
        <sz val="10"/>
        <rFont val="Calibri"/>
        <family val="2"/>
      </rPr>
      <t>2</t>
    </r>
    <r>
      <rPr>
        <sz val="10"/>
        <rFont val="Calibri"/>
        <family val="2"/>
      </rPr>
      <t>O solvent</t>
    </r>
  </si>
  <si>
    <t>Synth. graphite</t>
  </si>
  <si>
    <t>NMC900|Li</t>
  </si>
  <si>
    <t>1. Reference</t>
  </si>
  <si>
    <t>2. Production machinery (general)</t>
  </si>
  <si>
    <t>3. Production machinery (normalized)</t>
  </si>
  <si>
    <t>Reference Process from LIB/general production</t>
  </si>
  <si>
    <t>Level of electric energy consumption</t>
  </si>
  <si>
    <t>Level of gas energy consumption</t>
  </si>
  <si>
    <r>
      <t>Resulting electrical power of machine 
(P</t>
    </r>
    <r>
      <rPr>
        <b/>
        <vertAlign val="subscript"/>
        <sz val="10"/>
        <rFont val="Calibri"/>
        <family val="2"/>
      </rPr>
      <t>electric</t>
    </r>
    <r>
      <rPr>
        <b/>
        <sz val="10"/>
        <rFont val="Calibri"/>
        <family val="2"/>
      </rPr>
      <t>) [kW</t>
    </r>
    <r>
      <rPr>
        <b/>
        <vertAlign val="subscript"/>
        <sz val="10"/>
        <rFont val="Calibri"/>
        <family val="2"/>
      </rPr>
      <t>prod</t>
    </r>
    <r>
      <rPr>
        <b/>
        <sz val="10"/>
        <rFont val="Calibri"/>
        <family val="2"/>
      </rPr>
      <t>]</t>
    </r>
  </si>
  <si>
    <r>
      <t>Resulting natural gas power of machine 
(P</t>
    </r>
    <r>
      <rPr>
        <b/>
        <vertAlign val="subscript"/>
        <sz val="10"/>
        <rFont val="Calibri"/>
        <family val="2"/>
      </rPr>
      <t>gas</t>
    </r>
    <r>
      <rPr>
        <b/>
        <sz val="10"/>
        <rFont val="Calibri"/>
        <family val="2"/>
      </rPr>
      <t>) [kW</t>
    </r>
    <r>
      <rPr>
        <b/>
        <vertAlign val="subscript"/>
        <sz val="10"/>
        <rFont val="Calibri"/>
        <family val="2"/>
      </rPr>
      <t>prod</t>
    </r>
    <r>
      <rPr>
        <b/>
        <sz val="10"/>
        <rFont val="Calibri"/>
        <family val="2"/>
      </rPr>
      <t>]</t>
    </r>
  </si>
  <si>
    <t>Material flow rate (Q) [m²/h] [l/h]</t>
  </si>
  <si>
    <r>
      <t>Cell specific gas energy consumption (E</t>
    </r>
    <r>
      <rPr>
        <b/>
        <vertAlign val="subscript"/>
        <sz val="10"/>
        <rFont val="Calibri"/>
        <family val="2"/>
      </rPr>
      <t>cell,gas</t>
    </r>
    <r>
      <rPr>
        <b/>
        <sz val="10"/>
        <rFont val="Calibri"/>
        <family val="2"/>
      </rPr>
      <t>)
[kWh</t>
    </r>
    <r>
      <rPr>
        <b/>
        <vertAlign val="subscript"/>
        <sz val="10"/>
        <rFont val="Calibri"/>
        <family val="2"/>
      </rPr>
      <t>prod</t>
    </r>
    <r>
      <rPr>
        <b/>
        <sz val="10"/>
        <rFont val="Calibri"/>
        <family val="2"/>
      </rPr>
      <t>/kWh</t>
    </r>
    <r>
      <rPr>
        <b/>
        <vertAlign val="subscript"/>
        <sz val="10"/>
        <rFont val="Calibri"/>
        <family val="2"/>
      </rPr>
      <t>cell</t>
    </r>
    <r>
      <rPr>
        <b/>
        <sz val="10"/>
        <rFont val="Calibri"/>
        <family val="2"/>
      </rPr>
      <t>]</t>
    </r>
  </si>
  <si>
    <t>Electrode
manufacturing
(Anode)</t>
  </si>
  <si>
    <t>Extruding of lithium foil</t>
  </si>
  <si>
    <t>Extruding</t>
  </si>
  <si>
    <t>Calendering of lithium foil</t>
  </si>
  <si>
    <t>Calendering</t>
  </si>
  <si>
    <t>Passivation</t>
  </si>
  <si>
    <t>Conveyor spray washing</t>
  </si>
  <si>
    <t>Lamination</t>
  </si>
  <si>
    <t>Mixing</t>
  </si>
  <si>
    <t>Coating &amp; Drying (active material)</t>
  </si>
  <si>
    <t>Slitting</t>
  </si>
  <si>
    <t>Laser Cutting</t>
  </si>
  <si>
    <t>Vacuum drying</t>
  </si>
  <si>
    <t>Electrolyte
manufacturing</t>
  </si>
  <si>
    <t>Batch Mixing</t>
  </si>
  <si>
    <t>Coating &amp; Drying</t>
  </si>
  <si>
    <t>Electrode
manufacturing
(Cathode)</t>
  </si>
  <si>
    <t>Sintering (T=650°C)</t>
  </si>
  <si>
    <t>Assembly</t>
  </si>
  <si>
    <t>Cutting (Anode)</t>
  </si>
  <si>
    <t>Cutting (Cathode)</t>
  </si>
  <si>
    <t>Aerosol deposition</t>
  </si>
  <si>
    <t>Tempering (T=650°C)</t>
  </si>
  <si>
    <t>Stacking</t>
  </si>
  <si>
    <t>Wel./Pac./Fil./Clo.</t>
  </si>
  <si>
    <t>Aging</t>
  </si>
  <si>
    <t>HT aging</t>
  </si>
  <si>
    <t>EOL testing</t>
  </si>
  <si>
    <t>Dry Rooms (-40°C)</t>
  </si>
  <si>
    <t>Dry rooms (-40°C)</t>
  </si>
  <si>
    <t>Dry Rooms (-60°C)</t>
  </si>
  <si>
    <r>
      <t>Li</t>
    </r>
    <r>
      <rPr>
        <i/>
        <vertAlign val="subscript"/>
        <sz val="10"/>
        <rFont val="Calibri"/>
        <family val="2"/>
      </rPr>
      <t>2</t>
    </r>
    <r>
      <rPr>
        <i/>
        <sz val="10"/>
        <rFont val="Calibri"/>
        <family val="2"/>
      </rPr>
      <t>CO</t>
    </r>
    <r>
      <rPr>
        <i/>
        <vertAlign val="subscript"/>
        <sz val="10"/>
        <rFont val="Calibri"/>
        <family val="2"/>
      </rPr>
      <t>3</t>
    </r>
  </si>
  <si>
    <r>
      <t>Na</t>
    </r>
    <r>
      <rPr>
        <i/>
        <vertAlign val="subscript"/>
        <sz val="10"/>
        <rFont val="Calibri"/>
        <family val="2"/>
      </rPr>
      <t>2</t>
    </r>
    <r>
      <rPr>
        <i/>
        <sz val="10"/>
        <rFont val="Calibri"/>
        <family val="2"/>
      </rPr>
      <t>CO</t>
    </r>
    <r>
      <rPr>
        <i/>
        <vertAlign val="subscript"/>
        <sz val="10"/>
        <rFont val="Calibri"/>
        <family val="2"/>
      </rPr>
      <t>3</t>
    </r>
  </si>
  <si>
    <r>
      <t>NCA(OH)</t>
    </r>
    <r>
      <rPr>
        <i/>
        <vertAlign val="subscript"/>
        <sz val="10"/>
        <rFont val="Calibri"/>
        <family val="2"/>
      </rPr>
      <t>2</t>
    </r>
    <r>
      <rPr>
        <i/>
        <sz val="10"/>
        <rFont val="Calibri"/>
        <family val="2"/>
      </rPr>
      <t xml:space="preserve"> / NMC(OH)</t>
    </r>
    <r>
      <rPr>
        <i/>
        <vertAlign val="subscript"/>
        <sz val="10"/>
        <rFont val="Calibri"/>
        <family val="2"/>
      </rPr>
      <t>2</t>
    </r>
    <r>
      <rPr>
        <i/>
        <sz val="10"/>
        <rFont val="Calibri"/>
        <family val="2"/>
      </rPr>
      <t xml:space="preserve">  / NFM(OH)</t>
    </r>
    <r>
      <rPr>
        <i/>
        <vertAlign val="subscript"/>
        <sz val="10"/>
        <rFont val="Calibri"/>
        <family val="2"/>
      </rPr>
      <t>2</t>
    </r>
    <r>
      <rPr>
        <i/>
        <sz val="10"/>
        <rFont val="Calibri"/>
        <family val="2"/>
      </rPr>
      <t xml:space="preserve">  </t>
    </r>
  </si>
  <si>
    <r>
      <t>Al</t>
    </r>
    <r>
      <rPr>
        <i/>
        <vertAlign val="subscript"/>
        <sz val="10"/>
        <rFont val="Calibri"/>
        <family val="2"/>
      </rPr>
      <t>2</t>
    </r>
    <r>
      <rPr>
        <i/>
        <sz val="10"/>
        <rFont val="Calibri"/>
        <family val="2"/>
      </rPr>
      <t>(SO</t>
    </r>
    <r>
      <rPr>
        <i/>
        <vertAlign val="subscript"/>
        <sz val="10"/>
        <rFont val="Calibri"/>
        <family val="2"/>
      </rPr>
      <t>4</t>
    </r>
    <r>
      <rPr>
        <i/>
        <sz val="10"/>
        <rFont val="Calibri"/>
        <family val="2"/>
      </rPr>
      <t>)</t>
    </r>
    <r>
      <rPr>
        <i/>
        <vertAlign val="subscript"/>
        <sz val="10"/>
        <rFont val="Calibri"/>
        <family val="2"/>
      </rPr>
      <t>3</t>
    </r>
  </si>
  <si>
    <r>
      <t>FeSO</t>
    </r>
    <r>
      <rPr>
        <i/>
        <vertAlign val="subscript"/>
        <sz val="10"/>
        <rFont val="Calibri"/>
        <family val="2"/>
      </rPr>
      <t>4</t>
    </r>
  </si>
  <si>
    <t>NMC
532</t>
  </si>
  <si>
    <t>NMC
622</t>
  </si>
  <si>
    <t>NMC
811</t>
  </si>
  <si>
    <t>NMC
900</t>
  </si>
  <si>
    <t>NaNFM
422 
(SIB)</t>
  </si>
  <si>
    <t>NMC
900|Li 
(SSB)</t>
  </si>
  <si>
    <t>NMC
900
|Li (SSB)</t>
  </si>
  <si>
    <r>
      <t>Li</t>
    </r>
    <r>
      <rPr>
        <vertAlign val="subscript"/>
        <sz val="12"/>
        <color theme="1"/>
        <rFont val="Calibri"/>
        <family val="2"/>
      </rPr>
      <t>1</t>
    </r>
    <r>
      <rPr>
        <sz val="12"/>
        <color theme="1"/>
        <rFont val="Calibri"/>
        <family val="2"/>
      </rPr>
      <t>Ni</t>
    </r>
    <r>
      <rPr>
        <vertAlign val="subscript"/>
        <sz val="12"/>
        <color theme="1"/>
        <rFont val="Calibri"/>
        <family val="2"/>
      </rPr>
      <t>0.9</t>
    </r>
    <r>
      <rPr>
        <sz val="12"/>
        <color theme="1"/>
        <rFont val="Calibri"/>
        <family val="2"/>
      </rPr>
      <t>Co</t>
    </r>
    <r>
      <rPr>
        <vertAlign val="subscript"/>
        <sz val="12"/>
        <color theme="1"/>
        <rFont val="Calibri"/>
        <family val="2"/>
      </rPr>
      <t>0.07</t>
    </r>
    <r>
      <rPr>
        <sz val="12"/>
        <color theme="1"/>
        <rFont val="Calibri"/>
        <family val="2"/>
      </rPr>
      <t>Al</t>
    </r>
    <r>
      <rPr>
        <vertAlign val="subscript"/>
        <sz val="12"/>
        <color theme="1"/>
        <rFont val="Calibri"/>
        <family val="2"/>
      </rPr>
      <t>0.03</t>
    </r>
    <r>
      <rPr>
        <sz val="12"/>
        <color theme="1"/>
        <rFont val="Calibri"/>
        <family val="2"/>
      </rPr>
      <t>O</t>
    </r>
    <r>
      <rPr>
        <vertAlign val="subscript"/>
        <sz val="12"/>
        <color theme="1"/>
        <rFont val="Calibri"/>
        <family val="2"/>
      </rPr>
      <t>2</t>
    </r>
  </si>
  <si>
    <r>
      <t>Li</t>
    </r>
    <r>
      <rPr>
        <vertAlign val="subscript"/>
        <sz val="12"/>
        <color theme="1"/>
        <rFont val="Calibri"/>
        <family val="2"/>
      </rPr>
      <t>1</t>
    </r>
    <r>
      <rPr>
        <sz val="12"/>
        <color theme="1"/>
        <rFont val="Calibri"/>
        <family val="2"/>
      </rPr>
      <t>Ni</t>
    </r>
    <r>
      <rPr>
        <vertAlign val="subscript"/>
        <sz val="12"/>
        <color theme="1"/>
        <rFont val="Calibri"/>
        <family val="2"/>
      </rPr>
      <t>0.5</t>
    </r>
    <r>
      <rPr>
        <sz val="12"/>
        <color theme="1"/>
        <rFont val="Calibri"/>
        <family val="2"/>
      </rPr>
      <t>Mn</t>
    </r>
    <r>
      <rPr>
        <vertAlign val="subscript"/>
        <sz val="12"/>
        <color theme="1"/>
        <rFont val="Calibri"/>
        <family val="2"/>
      </rPr>
      <t>0.3</t>
    </r>
    <r>
      <rPr>
        <sz val="12"/>
        <color theme="1"/>
        <rFont val="Calibri"/>
        <family val="2"/>
      </rPr>
      <t>Co</t>
    </r>
    <r>
      <rPr>
        <vertAlign val="subscript"/>
        <sz val="12"/>
        <color theme="1"/>
        <rFont val="Calibri"/>
        <family val="2"/>
      </rPr>
      <t>0.2</t>
    </r>
    <r>
      <rPr>
        <sz val="12"/>
        <color theme="1"/>
        <rFont val="Calibri"/>
        <family val="2"/>
      </rPr>
      <t>O</t>
    </r>
    <r>
      <rPr>
        <vertAlign val="subscript"/>
        <sz val="12"/>
        <color theme="1"/>
        <rFont val="Calibri"/>
        <family val="2"/>
      </rPr>
      <t>2</t>
    </r>
  </si>
  <si>
    <r>
      <t>Li</t>
    </r>
    <r>
      <rPr>
        <vertAlign val="subscript"/>
        <sz val="12"/>
        <color theme="1"/>
        <rFont val="Calibri"/>
        <family val="2"/>
      </rPr>
      <t>1</t>
    </r>
    <r>
      <rPr>
        <sz val="12"/>
        <color theme="1"/>
        <rFont val="Calibri"/>
        <family val="2"/>
      </rPr>
      <t>Ni</t>
    </r>
    <r>
      <rPr>
        <vertAlign val="subscript"/>
        <sz val="12"/>
        <color theme="1"/>
        <rFont val="Calibri"/>
        <family val="2"/>
      </rPr>
      <t>0.6</t>
    </r>
    <r>
      <rPr>
        <sz val="12"/>
        <color theme="1"/>
        <rFont val="Calibri"/>
        <family val="2"/>
      </rPr>
      <t>Mn</t>
    </r>
    <r>
      <rPr>
        <vertAlign val="subscript"/>
        <sz val="12"/>
        <color theme="1"/>
        <rFont val="Calibri"/>
        <family val="2"/>
      </rPr>
      <t>0.2</t>
    </r>
    <r>
      <rPr>
        <sz val="12"/>
        <color theme="1"/>
        <rFont val="Calibri"/>
        <family val="2"/>
      </rPr>
      <t>Co</t>
    </r>
    <r>
      <rPr>
        <vertAlign val="subscript"/>
        <sz val="12"/>
        <color theme="1"/>
        <rFont val="Calibri"/>
        <family val="2"/>
      </rPr>
      <t>0.2</t>
    </r>
    <r>
      <rPr>
        <sz val="12"/>
        <color theme="1"/>
        <rFont val="Calibri"/>
        <family val="2"/>
      </rPr>
      <t>O</t>
    </r>
    <r>
      <rPr>
        <vertAlign val="subscript"/>
        <sz val="12"/>
        <color theme="1"/>
        <rFont val="Calibri"/>
        <family val="2"/>
      </rPr>
      <t>2</t>
    </r>
  </si>
  <si>
    <r>
      <t>Li</t>
    </r>
    <r>
      <rPr>
        <vertAlign val="subscript"/>
        <sz val="12"/>
        <color theme="1"/>
        <rFont val="Calibri"/>
        <family val="2"/>
      </rPr>
      <t>1</t>
    </r>
    <r>
      <rPr>
        <sz val="12"/>
        <color theme="1"/>
        <rFont val="Calibri"/>
        <family val="2"/>
      </rPr>
      <t>Ni</t>
    </r>
    <r>
      <rPr>
        <vertAlign val="subscript"/>
        <sz val="12"/>
        <color theme="1"/>
        <rFont val="Calibri"/>
        <family val="2"/>
      </rPr>
      <t>0.8</t>
    </r>
    <r>
      <rPr>
        <sz val="12"/>
        <color theme="1"/>
        <rFont val="Calibri"/>
        <family val="2"/>
      </rPr>
      <t>Mn</t>
    </r>
    <r>
      <rPr>
        <vertAlign val="subscript"/>
        <sz val="12"/>
        <color theme="1"/>
        <rFont val="Calibri"/>
        <family val="2"/>
      </rPr>
      <t>0.1</t>
    </r>
    <r>
      <rPr>
        <sz val="12"/>
        <color theme="1"/>
        <rFont val="Calibri"/>
        <family val="2"/>
      </rPr>
      <t>Co</t>
    </r>
    <r>
      <rPr>
        <vertAlign val="subscript"/>
        <sz val="12"/>
        <color theme="1"/>
        <rFont val="Calibri"/>
        <family val="2"/>
      </rPr>
      <t>0.1</t>
    </r>
    <r>
      <rPr>
        <sz val="12"/>
        <color theme="1"/>
        <rFont val="Calibri"/>
        <family val="2"/>
      </rPr>
      <t>O</t>
    </r>
    <r>
      <rPr>
        <vertAlign val="subscript"/>
        <sz val="12"/>
        <color theme="1"/>
        <rFont val="Calibri"/>
        <family val="2"/>
      </rPr>
      <t>2</t>
    </r>
  </si>
  <si>
    <r>
      <t>Li</t>
    </r>
    <r>
      <rPr>
        <vertAlign val="subscript"/>
        <sz val="12"/>
        <color theme="1"/>
        <rFont val="Calibri"/>
        <family val="2"/>
      </rPr>
      <t>1</t>
    </r>
    <r>
      <rPr>
        <sz val="12"/>
        <color theme="1"/>
        <rFont val="Calibri"/>
        <family val="2"/>
      </rPr>
      <t>Ni</t>
    </r>
    <r>
      <rPr>
        <vertAlign val="subscript"/>
        <sz val="12"/>
        <color theme="1"/>
        <rFont val="Calibri"/>
        <family val="2"/>
      </rPr>
      <t>0.9</t>
    </r>
    <r>
      <rPr>
        <sz val="12"/>
        <color theme="1"/>
        <rFont val="Calibri"/>
        <family val="2"/>
      </rPr>
      <t>Mn</t>
    </r>
    <r>
      <rPr>
        <vertAlign val="subscript"/>
        <sz val="12"/>
        <color theme="1"/>
        <rFont val="Calibri"/>
        <family val="2"/>
      </rPr>
      <t>0.05</t>
    </r>
    <r>
      <rPr>
        <sz val="12"/>
        <color theme="1"/>
        <rFont val="Calibri"/>
        <family val="2"/>
      </rPr>
      <t>Co</t>
    </r>
    <r>
      <rPr>
        <vertAlign val="subscript"/>
        <sz val="12"/>
        <color theme="1"/>
        <rFont val="Calibri"/>
        <family val="2"/>
      </rPr>
      <t>0.05</t>
    </r>
    <r>
      <rPr>
        <sz val="12"/>
        <color theme="1"/>
        <rFont val="Calibri"/>
        <family val="2"/>
      </rPr>
      <t>O</t>
    </r>
    <r>
      <rPr>
        <vertAlign val="subscript"/>
        <sz val="12"/>
        <color theme="1"/>
        <rFont val="Calibri"/>
        <family val="2"/>
      </rPr>
      <t>2</t>
    </r>
  </si>
  <si>
    <r>
      <t>Li</t>
    </r>
    <r>
      <rPr>
        <vertAlign val="subscript"/>
        <sz val="12"/>
        <color theme="1"/>
        <rFont val="Calibri"/>
        <family val="2"/>
      </rPr>
      <t>1</t>
    </r>
    <r>
      <rPr>
        <sz val="12"/>
        <color theme="1"/>
        <rFont val="Calibri"/>
        <family val="2"/>
      </rPr>
      <t>Fe</t>
    </r>
    <r>
      <rPr>
        <vertAlign val="subscript"/>
        <sz val="12"/>
        <color theme="1"/>
        <rFont val="Calibri"/>
        <family val="2"/>
      </rPr>
      <t>1</t>
    </r>
    <r>
      <rPr>
        <sz val="12"/>
        <color theme="1"/>
        <rFont val="Calibri"/>
        <family val="2"/>
      </rPr>
      <t>P</t>
    </r>
    <r>
      <rPr>
        <vertAlign val="subscript"/>
        <sz val="12"/>
        <color theme="1"/>
        <rFont val="Calibri"/>
        <family val="2"/>
      </rPr>
      <t>1</t>
    </r>
    <r>
      <rPr>
        <sz val="12"/>
        <color theme="1"/>
        <rFont val="Calibri"/>
        <family val="2"/>
      </rPr>
      <t>O</t>
    </r>
    <r>
      <rPr>
        <vertAlign val="subscript"/>
        <sz val="12"/>
        <color theme="1"/>
        <rFont val="Calibri"/>
        <family val="2"/>
      </rPr>
      <t>4</t>
    </r>
  </si>
  <si>
    <r>
      <t>NaNi</t>
    </r>
    <r>
      <rPr>
        <vertAlign val="subscript"/>
        <sz val="12"/>
        <color theme="1"/>
        <rFont val="Calibri"/>
        <family val="2"/>
      </rPr>
      <t>0.4</t>
    </r>
    <r>
      <rPr>
        <sz val="12"/>
        <color theme="1"/>
        <rFont val="Calibri"/>
        <family val="2"/>
      </rPr>
      <t>Fe</t>
    </r>
    <r>
      <rPr>
        <vertAlign val="subscript"/>
        <sz val="12"/>
        <color theme="1"/>
        <rFont val="Calibri"/>
        <family val="2"/>
      </rPr>
      <t>0.4</t>
    </r>
    <r>
      <rPr>
        <sz val="12"/>
        <color theme="1"/>
        <rFont val="Calibri"/>
        <family val="2"/>
      </rPr>
      <t>Mn</t>
    </r>
    <r>
      <rPr>
        <vertAlign val="subscript"/>
        <sz val="12"/>
        <color theme="1"/>
        <rFont val="Calibri"/>
        <family val="2"/>
      </rPr>
      <t>0.2</t>
    </r>
    <r>
      <rPr>
        <sz val="12"/>
        <color theme="1"/>
        <rFont val="Calibri"/>
        <family val="2"/>
      </rPr>
      <t>O</t>
    </r>
    <r>
      <rPr>
        <vertAlign val="subscript"/>
        <sz val="12"/>
        <color theme="1"/>
        <rFont val="Calibri"/>
        <family val="2"/>
      </rPr>
      <t>2</t>
    </r>
  </si>
  <si>
    <t>Material</t>
  </si>
  <si>
    <t>NaNFM422 HP</t>
  </si>
  <si>
    <t>NMC900 | Li (SSB) (HP)</t>
  </si>
  <si>
    <t>2024 Journal of Industrial Ecology – www.wileyonlinelibrary.com/journal/jie</t>
  </si>
  <si>
    <r>
      <t xml:space="preserve">           </t>
    </r>
    <r>
      <rPr>
        <sz val="10.5"/>
        <color rgb="FF000000"/>
        <rFont val="Arial Rounded MT Bold"/>
        <family val="2"/>
      </rPr>
      <t>SUPPORTING INFORMATION FOR:</t>
    </r>
  </si>
  <si>
    <r>
      <t xml:space="preserve">Degen, F., Mitterfellner, M. &amp; Kampker, A. (2024). Comparative life cycle assessment of lithium-ion, sodium-ion and solid-state battery cells for electric vehicles. </t>
    </r>
    <r>
      <rPr>
        <i/>
        <sz val="14"/>
        <color rgb="FF000000"/>
        <rFont val="Arial"/>
        <family val="2"/>
      </rPr>
      <t xml:space="preserve">Journal of Industrial Ecology. </t>
    </r>
  </si>
  <si>
    <t>This supporting information provides the detailed data for the bill of materials, the life cycle inventory and the life cycle inventory assessment.</t>
  </si>
  <si>
    <t>(GWP) [kgCO2-eq/kg]</t>
  </si>
  <si>
    <t>Literature</t>
  </si>
  <si>
    <t>Output CO2</t>
  </si>
  <si>
    <t>Output H2O</t>
  </si>
  <si>
    <t xml:space="preserve">NCA(OH)2 / NMC(OH)2  / NFM(OH)2  </t>
  </si>
  <si>
    <t xml:space="preserve">MnSO4 </t>
  </si>
  <si>
    <t>Output NH3</t>
  </si>
  <si>
    <t>Output Na2SO4</t>
  </si>
  <si>
    <t>Output O2</t>
  </si>
  <si>
    <t>Global Warming Potential (GWP), Literature</t>
  </si>
  <si>
    <t>NaNFM422 
(SIB)</t>
  </si>
  <si>
    <t>NMC900|Li 
(SSB)</t>
  </si>
  <si>
    <t>acidification: terrestrial</t>
  </si>
  <si>
    <t>terrestrial acidification potential (TAP)</t>
  </si>
  <si>
    <t>kg SO2-Eq</t>
  </si>
  <si>
    <t>climate change</t>
  </si>
  <si>
    <t>global warming potential (GWP100)</t>
  </si>
  <si>
    <t>kg CO2-Eq</t>
  </si>
  <si>
    <t>ecotoxicity: freshwater</t>
  </si>
  <si>
    <t>freshwater ecotoxicity potential (FETP)</t>
  </si>
  <si>
    <t>kg 1,4-DCB-Eq</t>
  </si>
  <si>
    <t>ecotoxicity: marine</t>
  </si>
  <si>
    <t>marine ecotoxicity potential (METP)</t>
  </si>
  <si>
    <t>ecotoxicity: terrestrial</t>
  </si>
  <si>
    <t>terrestrial ecotoxicity potential (TETP)</t>
  </si>
  <si>
    <t>energy resources: non-renewable, fossil</t>
  </si>
  <si>
    <t>fossil fuel potential (FFP)</t>
  </si>
  <si>
    <t>kg oil-Eq</t>
  </si>
  <si>
    <t>eutrophication: freshwater</t>
  </si>
  <si>
    <t>freshwater eutrophication potential (FEP)</t>
  </si>
  <si>
    <t>kg P-Eq</t>
  </si>
  <si>
    <t>eutrophication: marine</t>
  </si>
  <si>
    <t>marine eutrophication potential (MEP)</t>
  </si>
  <si>
    <t>kg N-Eq</t>
  </si>
  <si>
    <t>human toxicity: carcinogenic</t>
  </si>
  <si>
    <t>human toxicity potential (HTPc)</t>
  </si>
  <si>
    <t>human toxicity: non-carcinogenic</t>
  </si>
  <si>
    <t>human toxicity potential (HTPnc)</t>
  </si>
  <si>
    <t>ionising radiation</t>
  </si>
  <si>
    <t>ionising radiation potential (IRP)</t>
  </si>
  <si>
    <t>kBq Co-60-Eq</t>
  </si>
  <si>
    <t>land use</t>
  </si>
  <si>
    <t>agricultural land occupation (LOP)</t>
  </si>
  <si>
    <t>m2*a crop-Eq</t>
  </si>
  <si>
    <t>material resources: metals/minerals</t>
  </si>
  <si>
    <t>surplus ore potential (SOP)</t>
  </si>
  <si>
    <t>kg Cu-Eq</t>
  </si>
  <si>
    <t>ozone depletion</t>
  </si>
  <si>
    <t>ozone depletion potential (ODPinfinite)</t>
  </si>
  <si>
    <t>kg CFC-11-Eq</t>
  </si>
  <si>
    <t>particulate matter formation</t>
  </si>
  <si>
    <t>particulate matter formation potential (PMFP)</t>
  </si>
  <si>
    <t>kg PM2.5-Eq</t>
  </si>
  <si>
    <t>photochemical oxidant formation: human health</t>
  </si>
  <si>
    <t>photochemical oxidant formation potential: humans (HOFP)</t>
  </si>
  <si>
    <t>kg NOx-Eq</t>
  </si>
  <si>
    <t>photochemical oxidant formation: terrestrial ecosystems</t>
  </si>
  <si>
    <t>photochemical oxidant formation potential: ecosystems (EOFP)</t>
  </si>
  <si>
    <t>water use</t>
  </si>
  <si>
    <t>water consumption potential (WCP)</t>
  </si>
  <si>
    <t>m3</t>
  </si>
  <si>
    <t>Ecoinvent 3.10</t>
  </si>
  <si>
    <t>market for cobalt sulfate (CN)</t>
  </si>
  <si>
    <t>market for manganese sulfate (GLO)</t>
  </si>
  <si>
    <t>market for nickel sulfate (GLO)</t>
  </si>
  <si>
    <t>market for soda ash, light (RER)</t>
  </si>
  <si>
    <t>market for lithium hydroxide (GLO)</t>
  </si>
  <si>
    <t>market for lithium carbonate (GLO)</t>
  </si>
  <si>
    <t>market for N-methyl-2-pyrrolidone (GLO)</t>
  </si>
  <si>
    <t>market for polyvinylfluoride (GLO)</t>
  </si>
  <si>
    <t>market for aluminium collector foil, for Li-ion battery (GLO)</t>
  </si>
  <si>
    <t>market for iron sulfate (RER)</t>
  </si>
  <si>
    <t>market for sodium hydroxide, without water, in 50% solution state (RER)</t>
  </si>
  <si>
    <t>market for ammonia, anhydrous, liquid (RER)</t>
  </si>
  <si>
    <t>market for diammonium phosphate (RER)</t>
  </si>
  <si>
    <t>market for magnetite (GLO)</t>
  </si>
  <si>
    <t>market for carbon black (GLO)</t>
  </si>
  <si>
    <t>market for water, deionised (RER)</t>
  </si>
  <si>
    <t>market for synthetic graphite, battery grade (CN)</t>
  </si>
  <si>
    <t>market for anode, graphite, for Li-ion battery (CN)</t>
  </si>
  <si>
    <t>market for silicon, metallurgical grade (GLO)</t>
  </si>
  <si>
    <t>market for activated carbon, granular (GLO)</t>
  </si>
  <si>
    <t>market for lithium (GLO)</t>
  </si>
  <si>
    <t>market for copper collector foil, for Li-ion battery (GLO)</t>
  </si>
  <si>
    <t>market for sheet rolling, steel (GLO)</t>
  </si>
  <si>
    <t>market group for electricity, high voltage (RER)</t>
  </si>
  <si>
    <t>market group for heat, district or industrial, natural gas (RER)</t>
  </si>
  <si>
    <t>market for carboxymethyl cellulose, powder (GLO)</t>
  </si>
  <si>
    <t>market for synthetic rubber (GLO)</t>
  </si>
  <si>
    <t>market for electrolyte, for Li-ion battery (GLO)</t>
  </si>
  <si>
    <t>market for phosphoric acid, industrial grade, without water, in 85% solution state (GLO)</t>
  </si>
  <si>
    <t>market for aluminium oxide, metallurgical (IAI Area, EU27 &amp; EFTA)</t>
  </si>
  <si>
    <t>market for titanium dioxide (RER)</t>
  </si>
  <si>
    <t>Cumulative Energy Demand (CED)</t>
  </si>
  <si>
    <t>total energy content (HHV)</t>
  </si>
  <si>
    <t>MJ-Eq</t>
  </si>
  <si>
    <t>Cumulative Energy Demand</t>
  </si>
  <si>
    <t>market for aluminium sulfate, powder</t>
  </si>
  <si>
    <t>kg CO2-Eq / kg</t>
  </si>
  <si>
    <t>kg 1,4-DCB-Eq / kg</t>
  </si>
  <si>
    <t>kg SO2-Eq / kg</t>
  </si>
  <si>
    <t>kg Cu-Eq / kg</t>
  </si>
  <si>
    <t>m3 / l</t>
  </si>
  <si>
    <t>kg P-Eq / kg</t>
  </si>
  <si>
    <t>kg PM2.5-Eq / kg</t>
  </si>
  <si>
    <t>kg oil-Eq / kg</t>
  </si>
  <si>
    <t>kBq Co-60-Eq / kg</t>
  </si>
  <si>
    <t>m2*a crop-Eq / kg</t>
  </si>
  <si>
    <t>kg N-Eq / kg</t>
  </si>
  <si>
    <t>kg NOx-Eq / kg</t>
  </si>
  <si>
    <t>kg CFC-11-Eq / kg</t>
  </si>
  <si>
    <t>MJ/kg</t>
  </si>
  <si>
    <t>market for polyethylene, high density, granulate (GLO)</t>
  </si>
  <si>
    <t>PE Seperator</t>
  </si>
  <si>
    <t>market for extrusion, plastic film (GLO)</t>
  </si>
  <si>
    <t>market for polyethylene, high density, granulate + market for extrusion, plastic film (GLO)</t>
  </si>
  <si>
    <t>market for carboxymethyl cellulose, powder + market for synthetic rubber (GLO)</t>
  </si>
  <si>
    <t>OWN: CMC-SBR binder</t>
  </si>
  <si>
    <t>OWN: Solid electrolyte</t>
  </si>
  <si>
    <t>OWN:PE-separator</t>
  </si>
  <si>
    <t>See "CAM charteristics" for recipe</t>
  </si>
  <si>
    <t>Global Warming Potential (GWP100)</t>
  </si>
  <si>
    <t>Terrestrial Ecotoxicity Potential (TETP)</t>
  </si>
  <si>
    <t>Surplus Ore Potential (SOP)</t>
  </si>
  <si>
    <t>Water Consumption Potential (WCP)</t>
  </si>
  <si>
    <t>Freshwater Eutrophication Potential (FEP)</t>
  </si>
  <si>
    <t>Freshwater Ecotoxicity Potential (FETP)</t>
  </si>
  <si>
    <t>Human Toxicity Potential (HTPc)</t>
  </si>
  <si>
    <t>Human Toxicity Potential (HTPnc)</t>
  </si>
  <si>
    <t>Particulate Matter Formation Potential (PMFP)</t>
  </si>
  <si>
    <t>Fossil Fuel Potential (FFP)</t>
  </si>
  <si>
    <t>Ionising Radiation Potential (IRP)</t>
  </si>
  <si>
    <t>Agricultural Land Occupation (LOP)</t>
  </si>
  <si>
    <t>Marine Ecotoxicity Potential (METP)</t>
  </si>
  <si>
    <t>Marine Eutrophication Potential (MEP)</t>
  </si>
  <si>
    <t>Photochemical Oxidant Formation Potential: Ecosystems (EOFP)</t>
  </si>
  <si>
    <t>Photochemical Oxidant Formation Potential: Humans (HOFP)</t>
  </si>
  <si>
    <t>Ozone Depletion Potential (ODPinfinite)</t>
  </si>
  <si>
    <r>
      <t>Li</t>
    </r>
    <r>
      <rPr>
        <vertAlign val="subscript"/>
        <sz val="10"/>
        <color theme="0" tint="-0.249977111117893"/>
        <rFont val="Calibri"/>
        <family val="2"/>
      </rPr>
      <t>2</t>
    </r>
    <r>
      <rPr>
        <sz val="10"/>
        <color theme="0" tint="-0.249977111117893"/>
        <rFont val="Calibri"/>
        <family val="2"/>
      </rPr>
      <t>CO</t>
    </r>
    <r>
      <rPr>
        <vertAlign val="subscript"/>
        <sz val="10"/>
        <color theme="0" tint="-0.249977111117893"/>
        <rFont val="Calibri"/>
        <family val="2"/>
      </rPr>
      <t>3</t>
    </r>
  </si>
  <si>
    <t>Global Warming Potential (GWP), Ecoinvent 3.10</t>
  </si>
  <si>
    <t>Freshwater Ecotoxicity Potential (FETP) [kg1.4DCB-eq/kg]</t>
  </si>
  <si>
    <t>Ecoinvent 3.10
ReCiPe 2016 v1.03, midpoint (H)</t>
  </si>
  <si>
    <t>General: This supporting information provides the detailed data for the bill of materials (BOM), the life cycle inventory (LCI) and the life cycle inventory assessment (LCIA).</t>
  </si>
  <si>
    <t>Following sheets are available:</t>
  </si>
  <si>
    <t>CAM characteristics</t>
  </si>
  <si>
    <t>GREET</t>
  </si>
  <si>
    <t>Sankey diagram data</t>
  </si>
  <si>
    <t>LCIA</t>
  </si>
  <si>
    <t>EcoInvent 3.10</t>
  </si>
  <si>
    <t>NMC900Li</t>
  </si>
  <si>
    <t>Summary</t>
  </si>
  <si>
    <t>Sensitivity analysis</t>
  </si>
  <si>
    <t>EcoInvent_refined</t>
  </si>
  <si>
    <t>EcoInvent_raw</t>
  </si>
  <si>
    <t>Cell parameters</t>
  </si>
  <si>
    <t>Here all relevant cell parameter are given for which the LCA study is conducted. Also the bill of material (BOM) is calculated here</t>
  </si>
  <si>
    <t>Here the elements and their shares of the CAM (cathode active material) are calculated, based on their stoichiometry</t>
  </si>
  <si>
    <t>Table figures</t>
  </si>
  <si>
    <t>Here the calculated data is rearranged, to be able to create Figure 3 in the main document</t>
  </si>
  <si>
    <t>Here the data of the GREET Model is used, for CAM manufacturing of NMC and NCA, and applied to NMC900, LFP and NaNFM422</t>
  </si>
  <si>
    <t>Here the calculated data is rearranged, to be able to create Figure 4 in the main document, by using www.sankeymatic.com</t>
  </si>
  <si>
    <t>Here the environmental impact per kg of material is given, based on the data of EcoInvent 3.10</t>
  </si>
  <si>
    <t>Here it is calculated, how much energy is required in a battery gigafactory to produce 1 kWh of NCA battery cells</t>
  </si>
  <si>
    <t>Here it is calculated, how much energy is required in a battery gigafactory to produce 1 kWh of NMC532 battery cells</t>
  </si>
  <si>
    <t>Here it is calculated, how much energy is required in a battery gigafactory to produce 1 kWh of NMC622 battery cells</t>
  </si>
  <si>
    <t>Here it is calculated, how much energy is required in a battery gigafactory to produce 1 kWh of NMC811 battery cells</t>
  </si>
  <si>
    <t>Here it is calculated, how much energy is required in a battery gigafactory to produce 1 kWh of NMC900 battery cells</t>
  </si>
  <si>
    <t>Here it is calculated, how much energy is required in a battery gigafactory to produce 1 kWh of LFP battery cells</t>
  </si>
  <si>
    <t>Here it is calculated, how much energy is required in a battery gigafactory to produce 1 kWh of NaNFM422 battery cells</t>
  </si>
  <si>
    <t>Here it is calculated, how much energy is required in a battery gigafactory to produce 1 kWh of NMC900Li battery cells</t>
  </si>
  <si>
    <t xml:space="preserve">Here the previous calculated energy consumption for battery cell production is summarized </t>
  </si>
  <si>
    <t>Here it is calculated, what effect a variation of the impact criteria of LiOH, Li2CO3 and Graphite have on the overall results (sensitivity analysis)</t>
  </si>
  <si>
    <t>Here the raw data, which was directy exported from EcoInvent 3.10 is shown</t>
  </si>
  <si>
    <t>Here the raw data of EcoInvent 3.10 is rearranged and refined to allow a more convinient calculation in excel</t>
  </si>
  <si>
    <r>
      <t xml:space="preserve">Here the Life Cycle Inventory (LCI) is calculated for each cell chemestry/design, as well as the Life Cycle Inventory Assessment (LCIA). </t>
    </r>
    <r>
      <rPr>
        <b/>
        <i/>
        <sz val="10"/>
        <color rgb="FFFF0000"/>
        <rFont val="Frutiger LT Com 45 Light"/>
        <family val="2"/>
      </rPr>
      <t>This are the core results of this SI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</si>
</sst>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00"/>
    <numFmt numFmtId="165" formatCode="0.0"/>
    <numFmt numFmtId="166" formatCode="0.0%"/>
    <numFmt numFmtId="167" formatCode="#,##0\ &quot;€&quot;"/>
    <numFmt numFmtId="168" formatCode="0.00\ &quot;kWh&quot;"/>
    <numFmt numFmtId="169" formatCode="&quot;[&quot;0.00&quot;]&quot;"/>
    <numFmt numFmtId="170" formatCode="0.0000"/>
    <numFmt numFmtId="171" formatCode="0.00000"/>
  </numFmts>
  <fonts count="70" x14ac:knownFonts="1">
    <font>
      <sz val="10"/>
      <name val="Frutiger LT Com 45 Light"/>
      <family val="2"/>
    </font>
    <font>
      <sz val="11"/>
      <color theme="1"/>
      <name val="Frutiger LT Com 45 Light"/>
      <family val="2"/>
      <scheme val="minor"/>
    </font>
    <font>
      <sz val="11"/>
      <color theme="1"/>
      <name val="Frutiger LT Com 45 Light"/>
      <family val="2"/>
      <scheme val="minor"/>
    </font>
    <font>
      <sz val="11"/>
      <color theme="1"/>
      <name val="Frutiger LT Com 45 Light"/>
      <family val="2"/>
      <scheme val="minor"/>
    </font>
    <font>
      <b/>
      <sz val="10"/>
      <name val="Frutiger LT Com 45 Light"/>
      <family val="2"/>
    </font>
    <font>
      <i/>
      <sz val="10"/>
      <name val="Frutiger LT Com 45 Light"/>
      <family val="2"/>
    </font>
    <font>
      <sz val="10"/>
      <color theme="1"/>
      <name val="Frutiger LT Com 45 Light"/>
      <family val="2"/>
      <scheme val="minor"/>
    </font>
    <font>
      <sz val="10"/>
      <name val="Frutiger LT Com 45 Light"/>
      <family val="2"/>
    </font>
    <font>
      <sz val="8"/>
      <name val="Frutiger LT Com 45 Light"/>
      <family val="2"/>
    </font>
    <font>
      <sz val="10"/>
      <name val="Arial"/>
      <family val="2"/>
    </font>
    <font>
      <sz val="10"/>
      <name val="Calibri"/>
      <family val="2"/>
    </font>
    <font>
      <b/>
      <sz val="10"/>
      <name val="Calibri"/>
      <family val="2"/>
    </font>
    <font>
      <b/>
      <vertAlign val="subscript"/>
      <sz val="10"/>
      <name val="Calibri"/>
      <family val="2"/>
    </font>
    <font>
      <sz val="10"/>
      <color theme="1"/>
      <name val="Calibri"/>
      <family val="2"/>
    </font>
    <font>
      <b/>
      <sz val="10"/>
      <color theme="0"/>
      <name val="Frutiger LT Com 45 Light"/>
      <family val="2"/>
      <scheme val="major"/>
    </font>
    <font>
      <sz val="10"/>
      <color theme="1"/>
      <name val="Frutiger LT Com 45 Light"/>
      <family val="2"/>
    </font>
    <font>
      <b/>
      <sz val="12"/>
      <name val="Frutiger LT Com 45 Light"/>
      <family val="2"/>
    </font>
    <font>
      <b/>
      <sz val="11"/>
      <name val="Frutiger LT Com 45 Light"/>
      <family val="2"/>
    </font>
    <font>
      <sz val="11"/>
      <color theme="1"/>
      <name val="Frutiger LT Com 45 Light"/>
      <family val="2"/>
    </font>
    <font>
      <sz val="11"/>
      <name val="Frutiger LT Com 45 Light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Calibri"/>
      <family val="2"/>
    </font>
    <font>
      <i/>
      <sz val="10"/>
      <color theme="0" tint="-0.499984740745262"/>
      <name val="Frutiger LT Com 45 Light"/>
      <family val="2"/>
    </font>
    <font>
      <b/>
      <i/>
      <sz val="10"/>
      <color theme="0" tint="-0.499984740745262"/>
      <name val="Frutiger LT Com 45 Light"/>
      <family val="2"/>
    </font>
    <font>
      <vertAlign val="subscript"/>
      <sz val="10"/>
      <name val="Calibri"/>
      <family val="2"/>
    </font>
    <font>
      <b/>
      <sz val="12"/>
      <name val="Calibri"/>
      <family val="2"/>
    </font>
    <font>
      <sz val="11"/>
      <name val="Calibri"/>
      <family val="2"/>
    </font>
    <font>
      <vertAlign val="subscript"/>
      <sz val="11"/>
      <name val="Calibri"/>
      <family val="2"/>
    </font>
    <font>
      <b/>
      <sz val="10"/>
      <color rgb="FFFF0000"/>
      <name val="Frutiger LT Com 45 Light"/>
      <family val="2"/>
    </font>
    <font>
      <b/>
      <i/>
      <sz val="12"/>
      <name val="Frutiger LT Com 45 Light"/>
      <family val="2"/>
    </font>
    <font>
      <sz val="10.1"/>
      <color rgb="FF000000"/>
      <name val="Frutiger LT Com 45 Light"/>
      <family val="2"/>
    </font>
    <font>
      <b/>
      <sz val="10"/>
      <color rgb="FFFF0000"/>
      <name val="Calibri"/>
      <family val="2"/>
    </font>
    <font>
      <b/>
      <sz val="10"/>
      <color theme="1"/>
      <name val="Calibri"/>
      <family val="2"/>
    </font>
    <font>
      <sz val="22"/>
      <name val="Frutiger LT Com 45 Light"/>
      <family val="2"/>
    </font>
    <font>
      <sz val="22"/>
      <name val="Calibri"/>
      <family val="2"/>
    </font>
    <font>
      <vertAlign val="subscript"/>
      <sz val="22"/>
      <name val="Frutiger LT Com 45 Light"/>
      <family val="2"/>
    </font>
    <font>
      <vertAlign val="subscript"/>
      <sz val="22"/>
      <name val="Calibri"/>
      <family val="2"/>
    </font>
    <font>
      <vertAlign val="subscript"/>
      <sz val="11"/>
      <color theme="1"/>
      <name val="Calibri"/>
      <family val="2"/>
    </font>
    <font>
      <sz val="14"/>
      <name val="Frutiger LT Com 45 Light"/>
      <family val="2"/>
    </font>
    <font>
      <sz val="10"/>
      <color rgb="FFFF0000"/>
      <name val="Calibri"/>
      <family val="2"/>
    </font>
    <font>
      <sz val="12"/>
      <name val="Calibri"/>
      <family val="2"/>
    </font>
    <font>
      <sz val="18"/>
      <name val="Frutiger LT Com 45 Light"/>
      <family val="2"/>
    </font>
    <font>
      <b/>
      <i/>
      <sz val="12"/>
      <name val="Calibri"/>
      <family val="2"/>
    </font>
    <font>
      <i/>
      <sz val="10"/>
      <name val="Calibri"/>
      <family val="2"/>
    </font>
    <font>
      <i/>
      <sz val="10"/>
      <color theme="1"/>
      <name val="Calibri"/>
      <family val="2"/>
    </font>
    <font>
      <b/>
      <i/>
      <sz val="10"/>
      <color rgb="FFFF0000"/>
      <name val="Calibri"/>
      <family val="2"/>
    </font>
    <font>
      <b/>
      <i/>
      <sz val="10"/>
      <name val="Frutiger LT Com 45 Light"/>
      <family val="2"/>
    </font>
    <font>
      <b/>
      <i/>
      <sz val="10"/>
      <name val="Calibri"/>
      <family val="2"/>
    </font>
    <font>
      <i/>
      <vertAlign val="subscript"/>
      <sz val="10"/>
      <name val="Calibri"/>
      <family val="2"/>
    </font>
    <font>
      <b/>
      <i/>
      <sz val="11"/>
      <name val="Frutiger LT Com 45 Light"/>
      <family val="2"/>
    </font>
    <font>
      <b/>
      <i/>
      <sz val="10"/>
      <color theme="1"/>
      <name val="Calibri"/>
      <family val="2"/>
    </font>
    <font>
      <i/>
      <sz val="10"/>
      <color theme="3"/>
      <name val="Calibri"/>
      <family val="2"/>
    </font>
    <font>
      <b/>
      <i/>
      <sz val="10"/>
      <color theme="3"/>
      <name val="Calibri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0"/>
      <color theme="10"/>
      <name val="Frutiger LT Com 45 Light"/>
      <family val="2"/>
    </font>
    <font>
      <u/>
      <sz val="10"/>
      <name val="Arial"/>
      <family val="2"/>
    </font>
    <font>
      <sz val="14"/>
      <color rgb="FF000000"/>
      <name val="Arial"/>
      <family val="2"/>
    </font>
    <font>
      <sz val="10.5"/>
      <color rgb="FF000000"/>
      <name val="Arial Rounded MT Bold"/>
      <family val="2"/>
    </font>
    <font>
      <i/>
      <sz val="14"/>
      <color rgb="FF000000"/>
      <name val="Arial"/>
      <family val="2"/>
    </font>
    <font>
      <sz val="11"/>
      <color rgb="FF000000"/>
      <name val="Arial"/>
      <family val="2"/>
    </font>
    <font>
      <sz val="10"/>
      <color rgb="FFFF0000"/>
      <name val="Frutiger LT Com 45 Light"/>
      <family val="2"/>
    </font>
    <font>
      <sz val="10"/>
      <color theme="0" tint="-0.249977111117893"/>
      <name val="Calibri"/>
      <family val="2"/>
    </font>
    <font>
      <vertAlign val="subscript"/>
      <sz val="10"/>
      <color theme="0" tint="-0.249977111117893"/>
      <name val="Calibri"/>
      <family val="2"/>
    </font>
    <font>
      <i/>
      <sz val="10"/>
      <color theme="0" tint="-0.249977111117893"/>
      <name val="Calibri"/>
      <family val="2"/>
    </font>
    <font>
      <b/>
      <i/>
      <sz val="10"/>
      <color rgb="FFFF0000"/>
      <name val="Frutiger LT Com 45 Light"/>
      <family val="2"/>
    </font>
    <font>
      <b/>
      <sz val="10"/>
      <color theme="4"/>
      <name val="Frutiger LT Com 45 Light"/>
      <family val="2"/>
    </font>
    <font>
      <i/>
      <sz val="10"/>
      <color theme="4"/>
      <name val="Frutiger LT Com 45 Light"/>
      <family val="2"/>
    </font>
  </fonts>
  <fills count="2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lightTrellis"/>
    </fill>
    <fill>
      <patternFill patternType="solid">
        <fgColor theme="1" tint="0.499984740745262"/>
        <bgColor indexed="64"/>
      </patternFill>
    </fill>
    <fill>
      <patternFill patternType="lightUp">
        <fgColor theme="0" tint="-0.34998626667073579"/>
        <bgColor indexed="65"/>
      </patternFill>
    </fill>
    <fill>
      <patternFill patternType="darkDown">
        <fgColor theme="0"/>
        <bgColor theme="2" tint="0.79995117038483843"/>
      </patternFill>
    </fill>
    <fill>
      <patternFill patternType="darkDown">
        <fgColor theme="0"/>
        <bgColor theme="2" tint="0.79992065187536243"/>
      </patternFill>
    </fill>
    <fill>
      <patternFill patternType="darkDown">
        <fgColor theme="0"/>
        <bgColor theme="2" tint="0.79998168889431442"/>
      </patternFill>
    </fill>
    <fill>
      <patternFill patternType="solid">
        <fgColor theme="8"/>
        <bgColor indexed="64"/>
      </patternFill>
    </fill>
    <fill>
      <patternFill patternType="solid">
        <fgColor theme="2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5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indexed="64"/>
      </right>
      <top style="medium">
        <color indexed="64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 diagonalUp="1" diagonalDown="1">
      <left/>
      <right/>
      <top style="medium">
        <color indexed="64"/>
      </top>
      <bottom/>
      <diagonal style="thin">
        <color indexed="64"/>
      </diagonal>
    </border>
    <border diagonalUp="1" diagonalDown="1">
      <left/>
      <right style="thin">
        <color auto="1"/>
      </right>
      <top style="medium">
        <color indexed="64"/>
      </top>
      <bottom/>
      <diagonal style="thin">
        <color indexed="64"/>
      </diagonal>
    </border>
    <border diagonalUp="1" diagonalDown="1">
      <left/>
      <right/>
      <top/>
      <bottom/>
      <diagonal style="thin">
        <color indexed="64"/>
      </diagonal>
    </border>
    <border diagonalUp="1" diagonalDown="1">
      <left/>
      <right style="thin">
        <color auto="1"/>
      </right>
      <top/>
      <bottom/>
      <diagonal style="thin">
        <color indexed="64"/>
      </diagonal>
    </border>
    <border diagonalUp="1" diagonalDown="1">
      <left/>
      <right/>
      <top/>
      <bottom style="medium">
        <color indexed="64"/>
      </bottom>
      <diagonal style="thin">
        <color indexed="64"/>
      </diagonal>
    </border>
    <border diagonalUp="1" diagonalDown="1">
      <left/>
      <right style="thin">
        <color auto="1"/>
      </right>
      <top/>
      <bottom style="medium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medium">
        <color theme="0"/>
      </bottom>
      <diagonal/>
    </border>
    <border>
      <left/>
      <right style="thin">
        <color theme="0"/>
      </right>
      <top/>
      <bottom style="medium">
        <color theme="0"/>
      </bottom>
      <diagonal/>
    </border>
    <border>
      <left style="thin">
        <color theme="0"/>
      </left>
      <right/>
      <top/>
      <bottom style="medium">
        <color theme="0"/>
      </bottom>
      <diagonal/>
    </border>
    <border>
      <left/>
      <right style="thin">
        <color theme="1"/>
      </right>
      <top/>
      <bottom style="medium">
        <color indexed="64"/>
      </bottom>
      <diagonal/>
    </border>
  </borders>
  <cellStyleXfs count="7">
    <xf numFmtId="0" fontId="0" fillId="0" borderId="0"/>
    <xf numFmtId="0" fontId="3" fillId="0" borderId="0"/>
    <xf numFmtId="43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9" fillId="0" borderId="0"/>
    <xf numFmtId="0" fontId="1" fillId="0" borderId="0"/>
    <xf numFmtId="0" fontId="57" fillId="0" borderId="0" applyNumberFormat="0" applyFill="0" applyBorder="0" applyAlignment="0" applyProtection="0"/>
  </cellStyleXfs>
  <cellXfs count="766">
    <xf numFmtId="0" fontId="0" fillId="0" borderId="0" xfId="0"/>
    <xf numFmtId="0" fontId="4" fillId="0" borderId="0" xfId="0" applyFont="1"/>
    <xf numFmtId="0" fontId="4" fillId="0" borderId="1" xfId="0" applyFont="1" applyBorder="1"/>
    <xf numFmtId="0" fontId="0" fillId="0" borderId="1" xfId="0" applyBorder="1"/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2" fontId="0" fillId="0" borderId="0" xfId="0" applyNumberFormat="1"/>
    <xf numFmtId="165" fontId="0" fillId="0" borderId="0" xfId="0" applyNumberFormat="1"/>
    <xf numFmtId="2" fontId="0" fillId="0" borderId="1" xfId="0" applyNumberFormat="1" applyBorder="1"/>
    <xf numFmtId="9" fontId="0" fillId="0" borderId="0" xfId="3" applyFont="1"/>
    <xf numFmtId="166" fontId="0" fillId="0" borderId="0" xfId="3" applyNumberFormat="1" applyFont="1"/>
    <xf numFmtId="0" fontId="10" fillId="0" borderId="0" xfId="4" applyFont="1"/>
    <xf numFmtId="49" fontId="11" fillId="0" borderId="13" xfId="4" applyNumberFormat="1" applyFont="1" applyBorder="1" applyAlignment="1">
      <alignment wrapText="1"/>
    </xf>
    <xf numFmtId="0" fontId="11" fillId="0" borderId="13" xfId="4" applyFont="1" applyBorder="1" applyAlignment="1">
      <alignment wrapText="1"/>
    </xf>
    <xf numFmtId="0" fontId="10" fillId="0" borderId="0" xfId="4" applyFont="1" applyAlignment="1">
      <alignment horizontal="right"/>
    </xf>
    <xf numFmtId="2" fontId="10" fillId="0" borderId="0" xfId="4" applyNumberFormat="1" applyFont="1"/>
    <xf numFmtId="0" fontId="13" fillId="0" borderId="0" xfId="4" applyFont="1" applyAlignment="1">
      <alignment horizontal="right"/>
    </xf>
    <xf numFmtId="0" fontId="10" fillId="0" borderId="7" xfId="4" applyFont="1" applyBorder="1"/>
    <xf numFmtId="0" fontId="10" fillId="0" borderId="7" xfId="4" applyFont="1" applyBorder="1" applyAlignment="1">
      <alignment horizontal="right"/>
    </xf>
    <xf numFmtId="2" fontId="10" fillId="0" borderId="7" xfId="4" applyNumberFormat="1" applyFont="1" applyBorder="1"/>
    <xf numFmtId="0" fontId="10" fillId="0" borderId="0" xfId="4" applyFont="1" applyAlignment="1">
      <alignment horizontal="right" vertical="center"/>
    </xf>
    <xf numFmtId="0" fontId="11" fillId="0" borderId="0" xfId="4" applyFont="1" applyAlignment="1">
      <alignment horizontal="left" vertical="top"/>
    </xf>
    <xf numFmtId="0" fontId="11" fillId="0" borderId="0" xfId="4" applyFont="1"/>
    <xf numFmtId="2" fontId="11" fillId="0" borderId="0" xfId="4" applyNumberFormat="1" applyFont="1"/>
    <xf numFmtId="0" fontId="11" fillId="0" borderId="15" xfId="4" applyFont="1" applyBorder="1"/>
    <xf numFmtId="0" fontId="11" fillId="0" borderId="0" xfId="4" applyFont="1" applyAlignment="1">
      <alignment vertical="top"/>
    </xf>
    <xf numFmtId="0" fontId="10" fillId="0" borderId="0" xfId="4" applyFont="1" applyAlignment="1">
      <alignment vertical="center"/>
    </xf>
    <xf numFmtId="0" fontId="13" fillId="0" borderId="7" xfId="4" applyFont="1" applyBorder="1"/>
    <xf numFmtId="0" fontId="13" fillId="0" borderId="0" xfId="4" applyFont="1"/>
    <xf numFmtId="2" fontId="10" fillId="12" borderId="0" xfId="4" applyNumberFormat="1" applyFont="1" applyFill="1"/>
    <xf numFmtId="2" fontId="10" fillId="12" borderId="7" xfId="4" applyNumberFormat="1" applyFont="1" applyFill="1" applyBorder="1"/>
    <xf numFmtId="2" fontId="6" fillId="0" borderId="0" xfId="1" applyNumberFormat="1" applyFont="1"/>
    <xf numFmtId="1" fontId="10" fillId="0" borderId="0" xfId="4" applyNumberFormat="1" applyFont="1"/>
    <xf numFmtId="1" fontId="10" fillId="0" borderId="7" xfId="4" applyNumberFormat="1" applyFont="1" applyBorder="1"/>
    <xf numFmtId="0" fontId="13" fillId="0" borderId="7" xfId="4" applyFont="1" applyBorder="1" applyAlignment="1">
      <alignment horizontal="right"/>
    </xf>
    <xf numFmtId="2" fontId="13" fillId="0" borderId="0" xfId="4" applyNumberFormat="1" applyFont="1"/>
    <xf numFmtId="2" fontId="13" fillId="0" borderId="7" xfId="4" applyNumberFormat="1" applyFont="1" applyBorder="1"/>
    <xf numFmtId="2" fontId="13" fillId="11" borderId="0" xfId="4" applyNumberFormat="1" applyFont="1" applyFill="1"/>
    <xf numFmtId="0" fontId="4" fillId="0" borderId="13" xfId="0" applyFont="1" applyBorder="1"/>
    <xf numFmtId="168" fontId="0" fillId="0" borderId="0" xfId="0" applyNumberFormat="1"/>
    <xf numFmtId="168" fontId="4" fillId="0" borderId="0" xfId="0" applyNumberFormat="1" applyFont="1"/>
    <xf numFmtId="0" fontId="15" fillId="10" borderId="0" xfId="0" applyFont="1" applyFill="1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3" fontId="0" fillId="0" borderId="0" xfId="0" applyNumberFormat="1" applyAlignment="1">
      <alignment horizontal="right" vertical="center"/>
    </xf>
    <xf numFmtId="3" fontId="0" fillId="0" borderId="0" xfId="0" applyNumberFormat="1"/>
    <xf numFmtId="0" fontId="0" fillId="0" borderId="7" xfId="0" applyBorder="1"/>
    <xf numFmtId="165" fontId="0" fillId="0" borderId="2" xfId="0" applyNumberFormat="1" applyBorder="1"/>
    <xf numFmtId="165" fontId="0" fillId="0" borderId="1" xfId="0" applyNumberFormat="1" applyBorder="1"/>
    <xf numFmtId="2" fontId="11" fillId="0" borderId="15" xfId="4" applyNumberFormat="1" applyFont="1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0" xfId="0" applyNumberFormat="1" applyAlignment="1">
      <alignment horizontal="left" indent="3"/>
    </xf>
    <xf numFmtId="11" fontId="0" fillId="0" borderId="0" xfId="0" applyNumberFormat="1"/>
    <xf numFmtId="165" fontId="4" fillId="0" borderId="2" xfId="0" applyNumberFormat="1" applyFont="1" applyBorder="1"/>
    <xf numFmtId="165" fontId="4" fillId="0" borderId="1" xfId="0" applyNumberFormat="1" applyFont="1" applyBorder="1"/>
    <xf numFmtId="165" fontId="4" fillId="0" borderId="0" xfId="0" applyNumberFormat="1" applyFont="1"/>
    <xf numFmtId="4" fontId="4" fillId="0" borderId="0" xfId="0" applyNumberFormat="1" applyFont="1" applyAlignment="1">
      <alignment horizontal="center"/>
    </xf>
    <xf numFmtId="0" fontId="15" fillId="0" borderId="0" xfId="0" applyFont="1"/>
    <xf numFmtId="0" fontId="15" fillId="0" borderId="0" xfId="0" applyFont="1" applyAlignment="1">
      <alignment vertical="center"/>
    </xf>
    <xf numFmtId="0" fontId="19" fillId="0" borderId="0" xfId="0" applyFont="1"/>
    <xf numFmtId="0" fontId="19" fillId="0" borderId="0" xfId="0" applyFont="1" applyAlignment="1">
      <alignment wrapText="1"/>
    </xf>
    <xf numFmtId="2" fontId="2" fillId="0" borderId="0" xfId="1" applyNumberFormat="1" applyFont="1" applyAlignment="1">
      <alignment wrapText="1"/>
    </xf>
    <xf numFmtId="165" fontId="19" fillId="0" borderId="6" xfId="0" applyNumberFormat="1" applyFont="1" applyBorder="1" applyAlignment="1">
      <alignment wrapText="1"/>
    </xf>
    <xf numFmtId="165" fontId="19" fillId="0" borderId="8" xfId="0" applyNumberFormat="1" applyFont="1" applyBorder="1" applyAlignment="1">
      <alignment wrapText="1"/>
    </xf>
    <xf numFmtId="165" fontId="19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2" fontId="0" fillId="0" borderId="0" xfId="0" applyNumberFormat="1" applyFill="1" applyBorder="1"/>
    <xf numFmtId="2" fontId="6" fillId="0" borderId="0" xfId="1" applyNumberFormat="1" applyFont="1" applyFill="1"/>
    <xf numFmtId="0" fontId="20" fillId="10" borderId="0" xfId="0" applyFont="1" applyFill="1" applyAlignment="1">
      <alignment vertical="center" wrapText="1"/>
    </xf>
    <xf numFmtId="1" fontId="20" fillId="10" borderId="0" xfId="0" applyNumberFormat="1" applyFont="1" applyFill="1" applyAlignment="1">
      <alignment horizontal="center" vertical="center" wrapText="1"/>
    </xf>
    <xf numFmtId="0" fontId="21" fillId="10" borderId="0" xfId="0" applyFont="1" applyFill="1" applyAlignment="1">
      <alignment horizontal="center" vertical="center" textRotation="90"/>
    </xf>
    <xf numFmtId="0" fontId="20" fillId="10" borderId="0" xfId="0" applyFont="1" applyFill="1" applyBorder="1" applyAlignment="1">
      <alignment horizontal="center" vertical="center" wrapText="1"/>
    </xf>
    <xf numFmtId="0" fontId="18" fillId="10" borderId="0" xfId="0" applyFont="1" applyFill="1"/>
    <xf numFmtId="0" fontId="18" fillId="10" borderId="0" xfId="0" applyFont="1" applyFill="1" applyBorder="1"/>
    <xf numFmtId="0" fontId="20" fillId="10" borderId="0" xfId="0" applyFont="1" applyFill="1" applyBorder="1"/>
    <xf numFmtId="0" fontId="20" fillId="10" borderId="0" xfId="0" applyFont="1" applyFill="1" applyBorder="1" applyAlignment="1">
      <alignment vertical="center" wrapText="1"/>
    </xf>
    <xf numFmtId="0" fontId="18" fillId="10" borderId="0" xfId="0" applyFont="1" applyFill="1" applyBorder="1" applyAlignment="1">
      <alignment vertical="center"/>
    </xf>
    <xf numFmtId="0" fontId="21" fillId="10" borderId="0" xfId="0" applyFont="1" applyFill="1" applyBorder="1" applyAlignment="1">
      <alignment horizontal="center" vertical="center" textRotation="90"/>
    </xf>
    <xf numFmtId="1" fontId="20" fillId="10" borderId="0" xfId="0" applyNumberFormat="1" applyFont="1" applyFill="1" applyBorder="1" applyAlignment="1">
      <alignment horizontal="center" vertical="center" wrapText="1"/>
    </xf>
    <xf numFmtId="0" fontId="20" fillId="14" borderId="21" xfId="0" applyFont="1" applyFill="1" applyBorder="1" applyAlignment="1">
      <alignment vertical="center" wrapText="1"/>
    </xf>
    <xf numFmtId="0" fontId="20" fillId="14" borderId="22" xfId="0" applyFont="1" applyFill="1" applyBorder="1" applyAlignment="1">
      <alignment vertical="center" wrapText="1"/>
    </xf>
    <xf numFmtId="0" fontId="20" fillId="14" borderId="23" xfId="0" applyFont="1" applyFill="1" applyBorder="1" applyAlignment="1">
      <alignment vertical="center" wrapText="1"/>
    </xf>
    <xf numFmtId="2" fontId="20" fillId="14" borderId="23" xfId="0" applyNumberFormat="1" applyFont="1" applyFill="1" applyBorder="1" applyAlignment="1">
      <alignment horizontal="center" vertical="center" wrapText="1"/>
    </xf>
    <xf numFmtId="1" fontId="20" fillId="14" borderId="22" xfId="3" applyNumberFormat="1" applyFont="1" applyFill="1" applyBorder="1" applyAlignment="1">
      <alignment horizontal="center" vertical="center" wrapText="1"/>
    </xf>
    <xf numFmtId="0" fontId="20" fillId="9" borderId="21" xfId="0" applyFont="1" applyFill="1" applyBorder="1" applyAlignment="1">
      <alignment vertical="center" wrapText="1"/>
    </xf>
    <xf numFmtId="0" fontId="20" fillId="9" borderId="22" xfId="0" applyFont="1" applyFill="1" applyBorder="1" applyAlignment="1">
      <alignment vertical="center" wrapText="1"/>
    </xf>
    <xf numFmtId="0" fontId="20" fillId="9" borderId="23" xfId="0" applyFont="1" applyFill="1" applyBorder="1" applyAlignment="1">
      <alignment vertical="center" wrapText="1"/>
    </xf>
    <xf numFmtId="0" fontId="20" fillId="10" borderId="24" xfId="0" applyFont="1" applyFill="1" applyBorder="1" applyAlignment="1">
      <alignment vertical="center" wrapText="1"/>
    </xf>
    <xf numFmtId="0" fontId="20" fillId="10" borderId="24" xfId="0" applyFont="1" applyFill="1" applyBorder="1" applyAlignment="1">
      <alignment horizontal="center" vertical="center" wrapText="1"/>
    </xf>
    <xf numFmtId="167" fontId="11" fillId="0" borderId="13" xfId="4" applyNumberFormat="1" applyFont="1" applyBorder="1" applyAlignment="1">
      <alignment horizontal="right" wrapText="1"/>
    </xf>
    <xf numFmtId="0" fontId="11" fillId="0" borderId="0" xfId="4" applyFont="1" applyAlignment="1">
      <alignment horizontal="left" vertical="top"/>
    </xf>
    <xf numFmtId="0" fontId="0" fillId="0" borderId="0" xfId="0" applyBorder="1"/>
    <xf numFmtId="0" fontId="4" fillId="0" borderId="0" xfId="0" applyFont="1" applyFill="1" applyBorder="1"/>
    <xf numFmtId="165" fontId="10" fillId="0" borderId="31" xfId="0" applyNumberFormat="1" applyFont="1" applyBorder="1"/>
    <xf numFmtId="165" fontId="10" fillId="0" borderId="9" xfId="0" applyNumberFormat="1" applyFont="1" applyBorder="1"/>
    <xf numFmtId="2" fontId="0" fillId="0" borderId="0" xfId="0" applyNumberFormat="1" applyBorder="1"/>
    <xf numFmtId="167" fontId="11" fillId="0" borderId="13" xfId="4" applyNumberFormat="1" applyFont="1" applyBorder="1" applyAlignment="1">
      <alignment horizontal="right" wrapText="1"/>
    </xf>
    <xf numFmtId="165" fontId="10" fillId="0" borderId="31" xfId="0" applyNumberFormat="1" applyFont="1" applyFill="1" applyBorder="1"/>
    <xf numFmtId="0" fontId="0" fillId="0" borderId="0" xfId="0" applyFill="1"/>
    <xf numFmtId="0" fontId="0" fillId="0" borderId="1" xfId="0" applyBorder="1" applyAlignment="1">
      <alignment horizontal="center"/>
    </xf>
    <xf numFmtId="0" fontId="10" fillId="0" borderId="1" xfId="0" applyFont="1" applyBorder="1"/>
    <xf numFmtId="0" fontId="4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2" fontId="4" fillId="0" borderId="0" xfId="0" applyNumberFormat="1" applyFont="1" applyFill="1" applyBorder="1"/>
    <xf numFmtId="165" fontId="0" fillId="0" borderId="0" xfId="0" applyNumberFormat="1" applyFill="1" applyBorder="1"/>
    <xf numFmtId="165" fontId="17" fillId="0" borderId="0" xfId="0" applyNumberFormat="1" applyFont="1" applyFill="1" applyBorder="1"/>
    <xf numFmtId="0" fontId="10" fillId="0" borderId="0" xfId="0" applyFont="1"/>
    <xf numFmtId="4" fontId="11" fillId="0" borderId="0" xfId="0" applyNumberFormat="1" applyFont="1" applyAlignment="1">
      <alignment horizontal="center"/>
    </xf>
    <xf numFmtId="164" fontId="10" fillId="0" borderId="0" xfId="0" applyNumberFormat="1" applyFont="1"/>
    <xf numFmtId="164" fontId="10" fillId="0" borderId="0" xfId="0" applyNumberFormat="1" applyFont="1" applyAlignment="1">
      <alignment horizontal="left" indent="3"/>
    </xf>
    <xf numFmtId="164" fontId="10" fillId="0" borderId="1" xfId="0" applyNumberFormat="1" applyFont="1" applyBorder="1"/>
    <xf numFmtId="164" fontId="10" fillId="0" borderId="2" xfId="0" applyNumberFormat="1" applyFont="1" applyBorder="1"/>
    <xf numFmtId="2" fontId="10" fillId="0" borderId="2" xfId="0" applyNumberFormat="1" applyFont="1" applyBorder="1"/>
    <xf numFmtId="2" fontId="10" fillId="0" borderId="1" xfId="0" applyNumberFormat="1" applyFont="1" applyBorder="1"/>
    <xf numFmtId="0" fontId="11" fillId="0" borderId="1" xfId="0" applyFont="1" applyBorder="1"/>
    <xf numFmtId="0" fontId="10" fillId="0" borderId="0" xfId="0" applyFont="1" applyBorder="1"/>
    <xf numFmtId="2" fontId="10" fillId="0" borderId="0" xfId="0" applyNumberFormat="1" applyFont="1"/>
    <xf numFmtId="2" fontId="11" fillId="0" borderId="1" xfId="0" applyNumberFormat="1" applyFont="1" applyBorder="1"/>
    <xf numFmtId="2" fontId="10" fillId="0" borderId="0" xfId="0" applyNumberFormat="1" applyFont="1" applyBorder="1"/>
    <xf numFmtId="0" fontId="11" fillId="0" borderId="0" xfId="0" applyFont="1" applyBorder="1"/>
    <xf numFmtId="0" fontId="10" fillId="0" borderId="1" xfId="0" applyFont="1" applyBorder="1" applyAlignment="1">
      <alignment horizontal="left" indent="1"/>
    </xf>
    <xf numFmtId="2" fontId="11" fillId="0" borderId="2" xfId="0" applyNumberFormat="1" applyFont="1" applyFill="1" applyBorder="1"/>
    <xf numFmtId="2" fontId="11" fillId="0" borderId="1" xfId="0" applyNumberFormat="1" applyFont="1" applyFill="1" applyBorder="1"/>
    <xf numFmtId="2" fontId="10" fillId="0" borderId="2" xfId="0" applyNumberFormat="1" applyFont="1" applyFill="1" applyBorder="1"/>
    <xf numFmtId="2" fontId="10" fillId="0" borderId="1" xfId="0" applyNumberFormat="1" applyFont="1" applyFill="1" applyBorder="1"/>
    <xf numFmtId="0" fontId="4" fillId="0" borderId="0" xfId="0" applyFont="1" applyFill="1" applyBorder="1" applyAlignment="1"/>
    <xf numFmtId="0" fontId="4" fillId="0" borderId="0" xfId="0" applyFont="1" applyFill="1" applyBorder="1" applyAlignment="1">
      <alignment vertical="center"/>
    </xf>
    <xf numFmtId="0" fontId="10" fillId="0" borderId="0" xfId="0" applyFont="1" applyBorder="1" applyAlignment="1">
      <alignment horizontal="left" indent="1"/>
    </xf>
    <xf numFmtId="164" fontId="0" fillId="0" borderId="0" xfId="0" applyNumberFormat="1" applyBorder="1"/>
    <xf numFmtId="165" fontId="17" fillId="9" borderId="0" xfId="0" applyNumberFormat="1" applyFont="1" applyFill="1" applyBorder="1"/>
    <xf numFmtId="0" fontId="0" fillId="0" borderId="13" xfId="0" applyBorder="1"/>
    <xf numFmtId="0" fontId="0" fillId="0" borderId="20" xfId="0" applyBorder="1"/>
    <xf numFmtId="164" fontId="10" fillId="0" borderId="0" xfId="0" applyNumberFormat="1" applyFont="1" applyBorder="1"/>
    <xf numFmtId="2" fontId="11" fillId="0" borderId="0" xfId="0" applyNumberFormat="1" applyFont="1" applyBorder="1"/>
    <xf numFmtId="0" fontId="10" fillId="0" borderId="0" xfId="0" applyFont="1" applyBorder="1" applyAlignment="1">
      <alignment horizontal="left" indent="2"/>
    </xf>
    <xf numFmtId="0" fontId="10" fillId="0" borderId="0" xfId="0" applyFont="1" applyBorder="1" applyAlignment="1">
      <alignment horizontal="left" indent="3"/>
    </xf>
    <xf numFmtId="0" fontId="10" fillId="0" borderId="0" xfId="0" applyFont="1" applyBorder="1" applyAlignment="1">
      <alignment horizontal="left" indent="4"/>
    </xf>
    <xf numFmtId="0" fontId="10" fillId="0" borderId="0" xfId="0" applyFont="1" applyFill="1" applyBorder="1" applyAlignment="1">
      <alignment horizontal="left" indent="2"/>
    </xf>
    <xf numFmtId="0" fontId="11" fillId="0" borderId="0" xfId="0" applyFont="1" applyFill="1" applyBorder="1"/>
    <xf numFmtId="2" fontId="11" fillId="0" borderId="0" xfId="0" applyNumberFormat="1" applyFont="1" applyFill="1" applyBorder="1"/>
    <xf numFmtId="2" fontId="10" fillId="0" borderId="0" xfId="0" applyNumberFormat="1" applyFont="1" applyFill="1" applyBorder="1"/>
    <xf numFmtId="0" fontId="10" fillId="0" borderId="13" xfId="0" applyFont="1" applyBorder="1" applyAlignment="1">
      <alignment horizontal="right"/>
    </xf>
    <xf numFmtId="0" fontId="10" fillId="0" borderId="1" xfId="0" applyFont="1" applyBorder="1" applyAlignment="1">
      <alignment horizontal="left"/>
    </xf>
    <xf numFmtId="0" fontId="11" fillId="0" borderId="20" xfId="0" applyFont="1" applyBorder="1"/>
    <xf numFmtId="0" fontId="10" fillId="0" borderId="1" xfId="0" applyFont="1" applyBorder="1" applyAlignment="1">
      <alignment horizontal="left" indent="2"/>
    </xf>
    <xf numFmtId="0" fontId="10" fillId="0" borderId="1" xfId="0" applyFont="1" applyBorder="1" applyAlignment="1">
      <alignment horizontal="left" indent="3"/>
    </xf>
    <xf numFmtId="0" fontId="10" fillId="0" borderId="1" xfId="0" applyFont="1" applyBorder="1" applyAlignment="1">
      <alignment horizontal="left" indent="4"/>
    </xf>
    <xf numFmtId="0" fontId="10" fillId="0" borderId="1" xfId="0" applyFont="1" applyFill="1" applyBorder="1" applyAlignment="1">
      <alignment horizontal="left" indent="2"/>
    </xf>
    <xf numFmtId="0" fontId="11" fillId="0" borderId="1" xfId="0" applyFont="1" applyFill="1" applyBorder="1"/>
    <xf numFmtId="0" fontId="10" fillId="0" borderId="20" xfId="0" applyFont="1" applyBorder="1" applyAlignment="1">
      <alignment horizontal="right"/>
    </xf>
    <xf numFmtId="0" fontId="10" fillId="0" borderId="18" xfId="0" applyFont="1" applyBorder="1" applyAlignment="1">
      <alignment horizontal="right"/>
    </xf>
    <xf numFmtId="0" fontId="10" fillId="0" borderId="13" xfId="0" applyFont="1" applyBorder="1"/>
    <xf numFmtId="0" fontId="17" fillId="9" borderId="1" xfId="0" applyFont="1" applyFill="1" applyBorder="1"/>
    <xf numFmtId="0" fontId="0" fillId="0" borderId="0" xfId="0" applyBorder="1" applyAlignment="1"/>
    <xf numFmtId="165" fontId="4" fillId="0" borderId="16" xfId="0" applyNumberFormat="1" applyFont="1" applyBorder="1"/>
    <xf numFmtId="0" fontId="0" fillId="0" borderId="0" xfId="0" applyAlignment="1"/>
    <xf numFmtId="0" fontId="10" fillId="0" borderId="20" xfId="0" applyFont="1" applyBorder="1" applyAlignment="1">
      <alignment horizontal="left" indent="1"/>
    </xf>
    <xf numFmtId="165" fontId="10" fillId="0" borderId="19" xfId="0" applyNumberFormat="1" applyFont="1" applyBorder="1"/>
    <xf numFmtId="1" fontId="20" fillId="9" borderId="26" xfId="0" applyNumberFormat="1" applyFont="1" applyFill="1" applyBorder="1" applyAlignment="1">
      <alignment horizontal="center" vertical="center" wrapText="1"/>
    </xf>
    <xf numFmtId="0" fontId="21" fillId="14" borderId="22" xfId="0" applyFont="1" applyFill="1" applyBorder="1" applyAlignment="1">
      <alignment vertical="center" wrapText="1"/>
    </xf>
    <xf numFmtId="0" fontId="21" fillId="14" borderId="22" xfId="0" applyFont="1" applyFill="1" applyBorder="1" applyAlignment="1">
      <alignment horizontal="center" vertical="center" wrapText="1"/>
    </xf>
    <xf numFmtId="1" fontId="20" fillId="9" borderId="26" xfId="0" applyNumberFormat="1" applyFont="1" applyFill="1" applyBorder="1" applyAlignment="1">
      <alignment horizontal="center" vertical="center" wrapText="1"/>
    </xf>
    <xf numFmtId="169" fontId="0" fillId="0" borderId="0" xfId="0" applyNumberFormat="1"/>
    <xf numFmtId="169" fontId="0" fillId="0" borderId="0" xfId="0" applyNumberFormat="1" applyFill="1"/>
    <xf numFmtId="0" fontId="0" fillId="0" borderId="0" xfId="0" applyFont="1"/>
    <xf numFmtId="0" fontId="0" fillId="0" borderId="0" xfId="0" applyFont="1" applyFill="1" applyBorder="1"/>
    <xf numFmtId="0" fontId="0" fillId="0" borderId="0" xfId="0" applyFont="1" applyBorder="1"/>
    <xf numFmtId="0" fontId="6" fillId="0" borderId="0" xfId="1" applyFont="1"/>
    <xf numFmtId="2" fontId="0" fillId="0" borderId="0" xfId="0" applyNumberFormat="1" applyFont="1"/>
    <xf numFmtId="1" fontId="20" fillId="9" borderId="26" xfId="0" applyNumberFormat="1" applyFont="1" applyFill="1" applyBorder="1" applyAlignment="1">
      <alignment horizontal="center" vertical="center" wrapText="1"/>
    </xf>
    <xf numFmtId="2" fontId="0" fillId="0" borderId="0" xfId="0" applyNumberFormat="1" applyFont="1" applyBorder="1"/>
    <xf numFmtId="2" fontId="0" fillId="0" borderId="0" xfId="0" applyNumberFormat="1" applyFont="1" applyFill="1" applyBorder="1"/>
    <xf numFmtId="0" fontId="19" fillId="0" borderId="0" xfId="0" applyFont="1" applyFill="1" applyAlignment="1"/>
    <xf numFmtId="2" fontId="11" fillId="0" borderId="33" xfId="0" applyNumberFormat="1" applyFont="1" applyBorder="1"/>
    <xf numFmtId="2" fontId="0" fillId="0" borderId="0" xfId="0" applyNumberFormat="1" applyFill="1"/>
    <xf numFmtId="0" fontId="29" fillId="0" borderId="0" xfId="0" applyFont="1"/>
    <xf numFmtId="2" fontId="7" fillId="0" borderId="0" xfId="0" applyNumberFormat="1" applyFont="1"/>
    <xf numFmtId="0" fontId="8" fillId="0" borderId="0" xfId="0" applyFont="1" applyAlignment="1">
      <alignment vertical="center" wrapText="1"/>
    </xf>
    <xf numFmtId="0" fontId="10" fillId="0" borderId="1" xfId="0" applyFont="1" applyFill="1" applyBorder="1" applyAlignment="1">
      <alignment horizontal="left" indent="4"/>
    </xf>
    <xf numFmtId="167" fontId="11" fillId="0" borderId="13" xfId="4" applyNumberFormat="1" applyFont="1" applyBorder="1" applyAlignment="1">
      <alignment horizontal="right" wrapText="1"/>
    </xf>
    <xf numFmtId="0" fontId="0" fillId="0" borderId="0" xfId="0" applyAlignment="1">
      <alignment vertical="center" textRotation="90"/>
    </xf>
    <xf numFmtId="0" fontId="0" fillId="0" borderId="0" xfId="0" applyFill="1" applyAlignment="1">
      <alignment vertical="center" textRotation="90"/>
    </xf>
    <xf numFmtId="0" fontId="24" fillId="0" borderId="13" xfId="0" applyFont="1" applyBorder="1"/>
    <xf numFmtId="0" fontId="23" fillId="0" borderId="0" xfId="0" applyFont="1"/>
    <xf numFmtId="2" fontId="23" fillId="0" borderId="0" xfId="0" applyNumberFormat="1" applyFont="1"/>
    <xf numFmtId="0" fontId="23" fillId="0" borderId="0" xfId="0" applyFont="1" applyFill="1"/>
    <xf numFmtId="2" fontId="23" fillId="0" borderId="0" xfId="0" applyNumberFormat="1" applyFont="1" applyFill="1"/>
    <xf numFmtId="0" fontId="4" fillId="15" borderId="0" xfId="0" applyFont="1" applyFill="1"/>
    <xf numFmtId="2" fontId="4" fillId="15" borderId="0" xfId="0" applyNumberFormat="1" applyFont="1" applyFill="1"/>
    <xf numFmtId="2" fontId="24" fillId="15" borderId="0" xfId="0" applyNumberFormat="1" applyFont="1" applyFill="1"/>
    <xf numFmtId="2" fontId="11" fillId="16" borderId="0" xfId="0" applyNumberFormat="1" applyFont="1" applyFill="1" applyBorder="1"/>
    <xf numFmtId="2" fontId="11" fillId="16" borderId="1" xfId="0" applyNumberFormat="1" applyFont="1" applyFill="1" applyBorder="1"/>
    <xf numFmtId="2" fontId="10" fillId="16" borderId="0" xfId="0" applyNumberFormat="1" applyFont="1" applyFill="1" applyBorder="1"/>
    <xf numFmtId="2" fontId="10" fillId="16" borderId="1" xfId="0" applyNumberFormat="1" applyFont="1" applyFill="1" applyBorder="1"/>
    <xf numFmtId="0" fontId="0" fillId="0" borderId="0" xfId="0" applyAlignment="1">
      <alignment horizontal="center"/>
    </xf>
    <xf numFmtId="2" fontId="10" fillId="0" borderId="13" xfId="0" applyNumberFormat="1" applyFont="1" applyFill="1" applyBorder="1"/>
    <xf numFmtId="2" fontId="10" fillId="0" borderId="20" xfId="0" applyNumberFormat="1" applyFont="1" applyFill="1" applyBorder="1"/>
    <xf numFmtId="2" fontId="10" fillId="0" borderId="18" xfId="0" applyNumberFormat="1" applyFont="1" applyFill="1" applyBorder="1"/>
    <xf numFmtId="0" fontId="0" fillId="0" borderId="1" xfId="0" applyBorder="1" applyAlignment="1">
      <alignment horizontal="center"/>
    </xf>
    <xf numFmtId="0" fontId="10" fillId="0" borderId="0" xfId="0" applyFont="1" applyFill="1" applyBorder="1" applyAlignment="1">
      <alignment horizontal="left" indent="4"/>
    </xf>
    <xf numFmtId="0" fontId="26" fillId="0" borderId="13" xfId="0" applyFont="1" applyBorder="1"/>
    <xf numFmtId="0" fontId="11" fillId="0" borderId="0" xfId="0" applyFont="1" applyFill="1" applyBorder="1" applyAlignment="1">
      <alignment wrapText="1"/>
    </xf>
    <xf numFmtId="0" fontId="10" fillId="0" borderId="13" xfId="0" applyFont="1" applyFill="1" applyBorder="1" applyAlignment="1">
      <alignment wrapText="1"/>
    </xf>
    <xf numFmtId="0" fontId="11" fillId="0" borderId="13" xfId="0" applyFont="1" applyFill="1" applyBorder="1" applyAlignment="1">
      <alignment wrapText="1"/>
    </xf>
    <xf numFmtId="165" fontId="11" fillId="0" borderId="13" xfId="0" applyNumberFormat="1" applyFont="1" applyFill="1" applyBorder="1" applyAlignment="1">
      <alignment wrapText="1"/>
    </xf>
    <xf numFmtId="0" fontId="5" fillId="0" borderId="1" xfId="0" applyFont="1" applyBorder="1" applyAlignment="1">
      <alignment horizontal="center"/>
    </xf>
    <xf numFmtId="2" fontId="10" fillId="0" borderId="32" xfId="0" applyNumberFormat="1" applyFont="1" applyBorder="1"/>
    <xf numFmtId="2" fontId="10" fillId="0" borderId="30" xfId="0" applyNumberFormat="1" applyFont="1" applyBorder="1"/>
    <xf numFmtId="0" fontId="10" fillId="0" borderId="0" xfId="0" applyFont="1" applyFill="1" applyBorder="1"/>
    <xf numFmtId="0" fontId="10" fillId="0" borderId="0" xfId="0" applyFont="1" applyFill="1" applyBorder="1" applyAlignment="1">
      <alignment horizontal="left" indent="1"/>
    </xf>
    <xf numFmtId="165" fontId="10" fillId="0" borderId="0" xfId="0" applyNumberFormat="1" applyFont="1" applyFill="1" applyBorder="1"/>
    <xf numFmtId="0" fontId="10" fillId="0" borderId="0" xfId="0" applyFont="1" applyFill="1" applyBorder="1" applyAlignment="1">
      <alignment horizontal="left" indent="3"/>
    </xf>
    <xf numFmtId="165" fontId="11" fillId="0" borderId="29" xfId="0" applyNumberFormat="1" applyFont="1" applyBorder="1"/>
    <xf numFmtId="165" fontId="0" fillId="0" borderId="18" xfId="0" applyNumberFormat="1" applyBorder="1"/>
    <xf numFmtId="165" fontId="0" fillId="0" borderId="20" xfId="0" applyNumberFormat="1" applyBorder="1"/>
    <xf numFmtId="165" fontId="0" fillId="0" borderId="19" xfId="0" applyNumberFormat="1" applyBorder="1"/>
    <xf numFmtId="165" fontId="4" fillId="0" borderId="17" xfId="0" applyNumberFormat="1" applyFont="1" applyBorder="1"/>
    <xf numFmtId="165" fontId="0" fillId="0" borderId="9" xfId="0" applyNumberFormat="1" applyBorder="1"/>
    <xf numFmtId="165" fontId="4" fillId="0" borderId="9" xfId="0" applyNumberFormat="1" applyFont="1" applyBorder="1"/>
    <xf numFmtId="165" fontId="0" fillId="0" borderId="2" xfId="0" applyNumberFormat="1" applyFont="1" applyBorder="1"/>
    <xf numFmtId="0" fontId="10" fillId="0" borderId="1" xfId="0" applyFont="1" applyFill="1" applyBorder="1" applyAlignment="1">
      <alignment horizontal="left"/>
    </xf>
    <xf numFmtId="165" fontId="0" fillId="0" borderId="0" xfId="0" applyNumberFormat="1" applyBorder="1"/>
    <xf numFmtId="165" fontId="0" fillId="0" borderId="0" xfId="0" applyNumberFormat="1" applyAlignment="1"/>
    <xf numFmtId="165" fontId="0" fillId="0" borderId="1" xfId="0" applyNumberFormat="1" applyBorder="1" applyAlignment="1"/>
    <xf numFmtId="0" fontId="32" fillId="0" borderId="1" xfId="0" applyFont="1" applyFill="1" applyBorder="1" applyAlignment="1">
      <alignment horizontal="left" indent="1"/>
    </xf>
    <xf numFmtId="0" fontId="32" fillId="0" borderId="1" xfId="0" applyFont="1" applyFill="1" applyBorder="1" applyAlignment="1">
      <alignment horizontal="left" indent="2"/>
    </xf>
    <xf numFmtId="166" fontId="0" fillId="0" borderId="0" xfId="0" applyNumberFormat="1" applyBorder="1"/>
    <xf numFmtId="166" fontId="0" fillId="0" borderId="0" xfId="0" applyNumberFormat="1"/>
    <xf numFmtId="0" fontId="0" fillId="0" borderId="1" xfId="0" applyBorder="1" applyAlignment="1">
      <alignment horizontal="center"/>
    </xf>
    <xf numFmtId="10" fontId="10" fillId="0" borderId="1" xfId="0" applyNumberFormat="1" applyFont="1" applyBorder="1" applyAlignment="1">
      <alignment horizontal="left" indent="1"/>
    </xf>
    <xf numFmtId="10" fontId="10" fillId="0" borderId="1" xfId="0" applyNumberFormat="1" applyFont="1" applyBorder="1" applyAlignment="1">
      <alignment horizontal="left" indent="2"/>
    </xf>
    <xf numFmtId="10" fontId="10" fillId="0" borderId="1" xfId="0" applyNumberFormat="1" applyFont="1" applyBorder="1" applyAlignment="1">
      <alignment horizontal="left" indent="3"/>
    </xf>
    <xf numFmtId="10" fontId="32" fillId="0" borderId="1" xfId="0" applyNumberFormat="1" applyFont="1" applyFill="1" applyBorder="1" applyAlignment="1">
      <alignment horizontal="left" indent="1"/>
    </xf>
    <xf numFmtId="0" fontId="10" fillId="0" borderId="1" xfId="0" applyFont="1" applyFill="1" applyBorder="1" applyAlignment="1">
      <alignment horizontal="left" indent="3"/>
    </xf>
    <xf numFmtId="0" fontId="10" fillId="0" borderId="1" xfId="0" applyFont="1" applyFill="1" applyBorder="1" applyAlignment="1">
      <alignment horizontal="left" indent="1"/>
    </xf>
    <xf numFmtId="0" fontId="32" fillId="0" borderId="1" xfId="0" applyFont="1" applyFill="1" applyBorder="1" applyAlignment="1">
      <alignment horizontal="left"/>
    </xf>
    <xf numFmtId="10" fontId="10" fillId="0" borderId="1" xfId="0" applyNumberFormat="1" applyFont="1" applyBorder="1" applyAlignment="1">
      <alignment horizontal="left"/>
    </xf>
    <xf numFmtId="10" fontId="10" fillId="0" borderId="1" xfId="0" applyNumberFormat="1" applyFont="1" applyFill="1" applyBorder="1" applyAlignment="1">
      <alignment horizontal="left" indent="3"/>
    </xf>
    <xf numFmtId="10" fontId="10" fillId="0" borderId="1" xfId="0" applyNumberFormat="1" applyFont="1" applyFill="1" applyBorder="1" applyAlignment="1">
      <alignment horizontal="left" indent="1"/>
    </xf>
    <xf numFmtId="10" fontId="32" fillId="0" borderId="1" xfId="0" applyNumberFormat="1" applyFont="1" applyFill="1" applyBorder="1" applyAlignment="1">
      <alignment horizontal="left"/>
    </xf>
    <xf numFmtId="2" fontId="10" fillId="0" borderId="13" xfId="0" applyNumberFormat="1" applyFont="1" applyBorder="1"/>
    <xf numFmtId="0" fontId="34" fillId="0" borderId="0" xfId="0" applyFont="1"/>
    <xf numFmtId="0" fontId="4" fillId="0" borderId="0" xfId="0" applyFont="1" applyBorder="1"/>
    <xf numFmtId="0" fontId="0" fillId="0" borderId="0" xfId="0" applyBorder="1" applyAlignment="1">
      <alignment horizontal="left" indent="1"/>
    </xf>
    <xf numFmtId="9" fontId="0" fillId="0" borderId="0" xfId="3" applyFont="1" applyBorder="1"/>
    <xf numFmtId="0" fontId="35" fillId="0" borderId="0" xfId="0" applyFont="1" applyFill="1" applyBorder="1" applyAlignment="1">
      <alignment vertical="center"/>
    </xf>
    <xf numFmtId="0" fontId="34" fillId="0" borderId="0" xfId="0" applyFont="1" applyFill="1" applyAlignment="1">
      <alignment vertical="center"/>
    </xf>
    <xf numFmtId="0" fontId="13" fillId="0" borderId="1" xfId="0" applyFont="1" applyBorder="1" applyAlignment="1">
      <alignment horizontal="left"/>
    </xf>
    <xf numFmtId="0" fontId="13" fillId="0" borderId="1" xfId="0" applyFont="1" applyFill="1" applyBorder="1" applyAlignment="1">
      <alignment horizontal="left"/>
    </xf>
    <xf numFmtId="0" fontId="13" fillId="0" borderId="1" xfId="0" applyFont="1" applyFill="1" applyBorder="1" applyAlignment="1">
      <alignment horizontal="left" indent="1"/>
    </xf>
    <xf numFmtId="10" fontId="13" fillId="0" borderId="1" xfId="0" applyNumberFormat="1" applyFont="1" applyFill="1" applyBorder="1" applyAlignment="1">
      <alignment horizontal="left" indent="1"/>
    </xf>
    <xf numFmtId="0" fontId="0" fillId="0" borderId="12" xfId="0" applyBorder="1"/>
    <xf numFmtId="0" fontId="0" fillId="0" borderId="40" xfId="0" applyBorder="1"/>
    <xf numFmtId="0" fontId="0" fillId="0" borderId="14" xfId="0" applyBorder="1"/>
    <xf numFmtId="0" fontId="10" fillId="0" borderId="7" xfId="0" applyFont="1" applyBorder="1"/>
    <xf numFmtId="0" fontId="0" fillId="0" borderId="41" xfId="0" applyBorder="1"/>
    <xf numFmtId="165" fontId="4" fillId="0" borderId="0" xfId="0" applyNumberFormat="1" applyFont="1" applyBorder="1"/>
    <xf numFmtId="165" fontId="0" fillId="0" borderId="13" xfId="0" applyNumberFormat="1" applyBorder="1"/>
    <xf numFmtId="0" fontId="0" fillId="0" borderId="18" xfId="0" applyBorder="1"/>
    <xf numFmtId="0" fontId="11" fillId="0" borderId="33" xfId="0" applyFont="1" applyBorder="1"/>
    <xf numFmtId="165" fontId="4" fillId="0" borderId="33" xfId="0" applyNumberFormat="1" applyFont="1" applyBorder="1"/>
    <xf numFmtId="165" fontId="0" fillId="18" borderId="0" xfId="0" applyNumberFormat="1" applyFill="1" applyBorder="1"/>
    <xf numFmtId="165" fontId="0" fillId="18" borderId="1" xfId="0" applyNumberFormat="1" applyFill="1" applyBorder="1"/>
    <xf numFmtId="0" fontId="11" fillId="0" borderId="1" xfId="0" applyFont="1" applyBorder="1" applyAlignment="1">
      <alignment horizontal="left" indent="1"/>
    </xf>
    <xf numFmtId="0" fontId="11" fillId="0" borderId="1" xfId="0" applyFont="1" applyBorder="1" applyAlignment="1">
      <alignment horizontal="left" indent="2"/>
    </xf>
    <xf numFmtId="0" fontId="39" fillId="0" borderId="0" xfId="0" applyFont="1" applyFill="1" applyAlignment="1">
      <alignment vertical="center" wrapText="1"/>
    </xf>
    <xf numFmtId="165" fontId="10" fillId="0" borderId="0" xfId="0" applyNumberFormat="1" applyFont="1" applyFill="1" applyAlignment="1">
      <alignment vertical="center" wrapText="1"/>
    </xf>
    <xf numFmtId="0" fontId="10" fillId="0" borderId="0" xfId="0" applyFont="1" applyFill="1" applyAlignment="1">
      <alignment vertical="center" wrapText="1"/>
    </xf>
    <xf numFmtId="0" fontId="10" fillId="0" borderId="33" xfId="0" applyFont="1" applyFill="1" applyBorder="1" applyAlignment="1">
      <alignment horizontal="left"/>
    </xf>
    <xf numFmtId="0" fontId="10" fillId="0" borderId="1" xfId="0" applyFont="1" applyFill="1" applyBorder="1" applyAlignment="1">
      <alignment vertical="center" wrapText="1"/>
    </xf>
    <xf numFmtId="165" fontId="10" fillId="0" borderId="33" xfId="0" applyNumberFormat="1" applyFont="1" applyFill="1" applyBorder="1" applyAlignment="1">
      <alignment vertical="center" wrapText="1"/>
    </xf>
    <xf numFmtId="165" fontId="10" fillId="0" borderId="1" xfId="0" applyNumberFormat="1" applyFont="1" applyFill="1" applyBorder="1" applyAlignment="1">
      <alignment vertical="center" wrapText="1"/>
    </xf>
    <xf numFmtId="0" fontId="34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left"/>
    </xf>
    <xf numFmtId="165" fontId="0" fillId="0" borderId="0" xfId="0" applyNumberFormat="1" applyFill="1" applyBorder="1" applyAlignment="1"/>
    <xf numFmtId="0" fontId="11" fillId="0" borderId="0" xfId="0" applyFont="1" applyFill="1" applyBorder="1" applyAlignment="1"/>
    <xf numFmtId="0" fontId="0" fillId="0" borderId="0" xfId="0" applyFill="1" applyBorder="1" applyAlignment="1"/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vertical="center"/>
    </xf>
    <xf numFmtId="1" fontId="20" fillId="21" borderId="22" xfId="0" applyNumberFormat="1" applyFont="1" applyFill="1" applyBorder="1" applyAlignment="1">
      <alignment horizontal="center" vertical="center" wrapText="1"/>
    </xf>
    <xf numFmtId="1" fontId="20" fillId="19" borderId="26" xfId="0" applyNumberFormat="1" applyFont="1" applyFill="1" applyBorder="1" applyAlignment="1">
      <alignment horizontal="center" vertical="center" wrapText="1"/>
    </xf>
    <xf numFmtId="1" fontId="20" fillId="14" borderId="22" xfId="0" applyNumberFormat="1" applyFont="1" applyFill="1" applyBorder="1" applyAlignment="1">
      <alignment horizontal="center" vertical="center" wrapText="1"/>
    </xf>
    <xf numFmtId="1" fontId="20" fillId="14" borderId="26" xfId="0" applyNumberFormat="1" applyFont="1" applyFill="1" applyBorder="1" applyAlignment="1">
      <alignment horizontal="center" vertical="center" wrapText="1"/>
    </xf>
    <xf numFmtId="0" fontId="20" fillId="14" borderId="22" xfId="0" applyFont="1" applyFill="1" applyBorder="1" applyAlignment="1">
      <alignment horizontal="center" vertical="center" wrapText="1"/>
    </xf>
    <xf numFmtId="0" fontId="20" fillId="14" borderId="26" xfId="0" applyFont="1" applyFill="1" applyBorder="1" applyAlignment="1">
      <alignment horizontal="center" vertical="center" wrapText="1"/>
    </xf>
    <xf numFmtId="2" fontId="20" fillId="14" borderId="22" xfId="0" applyNumberFormat="1" applyFont="1" applyFill="1" applyBorder="1" applyAlignment="1">
      <alignment horizontal="center" vertical="center" wrapText="1"/>
    </xf>
    <xf numFmtId="2" fontId="20" fillId="14" borderId="26" xfId="0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left"/>
    </xf>
    <xf numFmtId="1" fontId="20" fillId="9" borderId="26" xfId="0" applyNumberFormat="1" applyFont="1" applyFill="1" applyBorder="1" applyAlignment="1">
      <alignment horizontal="center" vertical="center" wrapText="1"/>
    </xf>
    <xf numFmtId="0" fontId="21" fillId="2" borderId="0" xfId="0" applyFont="1" applyFill="1" applyBorder="1" applyAlignment="1">
      <alignment horizontal="center" vertical="center" textRotation="90"/>
    </xf>
    <xf numFmtId="0" fontId="20" fillId="14" borderId="0" xfId="0" applyFont="1" applyFill="1" applyBorder="1" applyAlignment="1">
      <alignment vertical="center" wrapText="1"/>
    </xf>
    <xf numFmtId="165" fontId="20" fillId="14" borderId="23" xfId="0" applyNumberFormat="1" applyFont="1" applyFill="1" applyBorder="1" applyAlignment="1">
      <alignment horizontal="center" vertical="center" wrapText="1"/>
    </xf>
    <xf numFmtId="2" fontId="20" fillId="14" borderId="27" xfId="0" applyNumberFormat="1" applyFont="1" applyFill="1" applyBorder="1" applyAlignment="1">
      <alignment horizontal="center" vertical="center" wrapText="1"/>
    </xf>
    <xf numFmtId="165" fontId="20" fillId="14" borderId="27" xfId="0" applyNumberFormat="1" applyFont="1" applyFill="1" applyBorder="1" applyAlignment="1">
      <alignment horizontal="center" vertical="center" wrapText="1"/>
    </xf>
    <xf numFmtId="0" fontId="21" fillId="14" borderId="26" xfId="0" applyFont="1" applyFill="1" applyBorder="1" applyAlignment="1">
      <alignment horizontal="center" vertical="center" wrapText="1"/>
    </xf>
    <xf numFmtId="1" fontId="20" fillId="14" borderId="26" xfId="3" applyNumberFormat="1" applyFont="1" applyFill="1" applyBorder="1" applyAlignment="1">
      <alignment horizontal="center" vertical="center" wrapText="1"/>
    </xf>
    <xf numFmtId="2" fontId="20" fillId="14" borderId="28" xfId="0" applyNumberFormat="1" applyFont="1" applyFill="1" applyBorder="1" applyAlignment="1">
      <alignment horizontal="center" vertical="center" wrapText="1"/>
    </xf>
    <xf numFmtId="2" fontId="20" fillId="14" borderId="44" xfId="0" applyNumberFormat="1" applyFont="1" applyFill="1" applyBorder="1" applyAlignment="1">
      <alignment horizontal="center" vertical="center" wrapText="1"/>
    </xf>
    <xf numFmtId="165" fontId="20" fillId="14" borderId="44" xfId="0" applyNumberFormat="1" applyFont="1" applyFill="1" applyBorder="1" applyAlignment="1">
      <alignment horizontal="center" vertical="center" wrapText="1"/>
    </xf>
    <xf numFmtId="0" fontId="20" fillId="10" borderId="45" xfId="0" applyFont="1" applyFill="1" applyBorder="1" applyAlignment="1">
      <alignment horizontal="center" vertical="center" wrapText="1"/>
    </xf>
    <xf numFmtId="0" fontId="21" fillId="14" borderId="28" xfId="0" applyFont="1" applyFill="1" applyBorder="1" applyAlignment="1">
      <alignment horizontal="center" vertical="center" wrapText="1"/>
    </xf>
    <xf numFmtId="1" fontId="20" fillId="14" borderId="28" xfId="0" applyNumberFormat="1" applyFont="1" applyFill="1" applyBorder="1" applyAlignment="1">
      <alignment horizontal="center" vertical="center" wrapText="1"/>
    </xf>
    <xf numFmtId="0" fontId="20" fillId="14" borderId="28" xfId="0" applyFont="1" applyFill="1" applyBorder="1" applyAlignment="1">
      <alignment horizontal="center" vertical="center" wrapText="1"/>
    </xf>
    <xf numFmtId="1" fontId="20" fillId="14" borderId="28" xfId="3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left" indent="2"/>
    </xf>
    <xf numFmtId="0" fontId="0" fillId="0" borderId="0" xfId="0" applyFill="1" applyAlignment="1">
      <alignment horizontal="left"/>
    </xf>
    <xf numFmtId="165" fontId="33" fillId="0" borderId="13" xfId="0" applyNumberFormat="1" applyFont="1" applyFill="1" applyBorder="1" applyAlignment="1">
      <alignment wrapText="1"/>
    </xf>
    <xf numFmtId="0" fontId="8" fillId="0" borderId="0" xfId="0" applyFont="1"/>
    <xf numFmtId="0" fontId="8" fillId="0" borderId="0" xfId="0" applyFont="1" applyAlignment="1">
      <alignment wrapText="1"/>
    </xf>
    <xf numFmtId="0" fontId="43" fillId="0" borderId="13" xfId="0" applyFont="1" applyBorder="1" applyAlignment="1">
      <alignment horizontal="center"/>
    </xf>
    <xf numFmtId="0" fontId="44" fillId="0" borderId="9" xfId="0" applyFont="1" applyBorder="1" applyAlignment="1">
      <alignment horizontal="center"/>
    </xf>
    <xf numFmtId="0" fontId="44" fillId="0" borderId="17" xfId="0" applyFont="1" applyBorder="1" applyAlignment="1">
      <alignment horizontal="center"/>
    </xf>
    <xf numFmtId="0" fontId="45" fillId="0" borderId="9" xfId="0" applyFont="1" applyBorder="1" applyAlignment="1">
      <alignment horizontal="center"/>
    </xf>
    <xf numFmtId="0" fontId="13" fillId="0" borderId="0" xfId="0" applyFont="1" applyFill="1"/>
    <xf numFmtId="0" fontId="46" fillId="0" borderId="9" xfId="0" applyFont="1" applyBorder="1" applyAlignment="1">
      <alignment horizontal="center"/>
    </xf>
    <xf numFmtId="2" fontId="10" fillId="0" borderId="0" xfId="0" applyNumberFormat="1" applyFont="1" applyFill="1"/>
    <xf numFmtId="0" fontId="46" fillId="0" borderId="1" xfId="0" applyFont="1" applyBorder="1" applyAlignment="1">
      <alignment horizontal="center"/>
    </xf>
    <xf numFmtId="0" fontId="44" fillId="0" borderId="1" xfId="0" applyFont="1" applyBorder="1" applyAlignment="1">
      <alignment horizontal="center"/>
    </xf>
    <xf numFmtId="0" fontId="44" fillId="0" borderId="19" xfId="0" applyFont="1" applyBorder="1" applyAlignment="1">
      <alignment horizontal="center"/>
    </xf>
    <xf numFmtId="0" fontId="44" fillId="0" borderId="20" xfId="0" applyFont="1" applyBorder="1" applyAlignment="1">
      <alignment horizontal="center"/>
    </xf>
    <xf numFmtId="171" fontId="10" fillId="0" borderId="0" xfId="0" applyNumberFormat="1" applyFont="1"/>
    <xf numFmtId="0" fontId="8" fillId="0" borderId="1" xfId="0" applyFont="1" applyBorder="1"/>
    <xf numFmtId="0" fontId="11" fillId="0" borderId="20" xfId="0" applyFont="1" applyFill="1" applyBorder="1" applyAlignment="1">
      <alignment wrapText="1"/>
    </xf>
    <xf numFmtId="2" fontId="10" fillId="0" borderId="20" xfId="0" applyNumberFormat="1" applyFont="1" applyBorder="1"/>
    <xf numFmtId="171" fontId="44" fillId="0" borderId="31" xfId="0" applyNumberFormat="1" applyFont="1" applyBorder="1"/>
    <xf numFmtId="171" fontId="44" fillId="0" borderId="31" xfId="0" applyNumberFormat="1" applyFont="1" applyFill="1" applyBorder="1"/>
    <xf numFmtId="171" fontId="44" fillId="0" borderId="9" xfId="0" applyNumberFormat="1" applyFont="1" applyBorder="1"/>
    <xf numFmtId="171" fontId="44" fillId="0" borderId="19" xfId="0" applyNumberFormat="1" applyFont="1" applyBorder="1"/>
    <xf numFmtId="0" fontId="5" fillId="0" borderId="1" xfId="0" applyFont="1" applyBorder="1"/>
    <xf numFmtId="164" fontId="5" fillId="0" borderId="0" xfId="0" applyNumberFormat="1" applyFont="1" applyBorder="1"/>
    <xf numFmtId="164" fontId="5" fillId="0" borderId="1" xfId="0" applyNumberFormat="1" applyFont="1" applyBorder="1"/>
    <xf numFmtId="0" fontId="5" fillId="0" borderId="20" xfId="0" applyFont="1" applyBorder="1"/>
    <xf numFmtId="0" fontId="5" fillId="0" borderId="13" xfId="0" applyFont="1" applyBorder="1"/>
    <xf numFmtId="164" fontId="47" fillId="0" borderId="16" xfId="0" applyNumberFormat="1" applyFont="1" applyBorder="1"/>
    <xf numFmtId="0" fontId="44" fillId="0" borderId="1" xfId="0" applyFont="1" applyBorder="1" applyAlignment="1">
      <alignment horizontal="left" indent="1"/>
    </xf>
    <xf numFmtId="164" fontId="5" fillId="0" borderId="2" xfId="0" applyNumberFormat="1" applyFont="1" applyBorder="1"/>
    <xf numFmtId="0" fontId="44" fillId="0" borderId="1" xfId="0" applyFont="1" applyBorder="1" applyAlignment="1">
      <alignment horizontal="left" indent="2"/>
    </xf>
    <xf numFmtId="164" fontId="47" fillId="0" borderId="2" xfId="0" applyNumberFormat="1" applyFont="1" applyBorder="1"/>
    <xf numFmtId="0" fontId="44" fillId="0" borderId="1" xfId="0" applyFont="1" applyBorder="1" applyAlignment="1">
      <alignment horizontal="left" indent="3"/>
    </xf>
    <xf numFmtId="0" fontId="44" fillId="0" borderId="1" xfId="0" applyFont="1" applyBorder="1" applyAlignment="1">
      <alignment horizontal="left" indent="4"/>
    </xf>
    <xf numFmtId="0" fontId="48" fillId="0" borderId="1" xfId="0" applyFont="1" applyBorder="1"/>
    <xf numFmtId="0" fontId="44" fillId="0" borderId="1" xfId="0" applyFont="1" applyFill="1" applyBorder="1" applyAlignment="1">
      <alignment horizontal="left" indent="2"/>
    </xf>
    <xf numFmtId="0" fontId="48" fillId="0" borderId="1" xfId="0" applyFont="1" applyFill="1" applyBorder="1"/>
    <xf numFmtId="0" fontId="44" fillId="0" borderId="20" xfId="0" applyFont="1" applyBorder="1" applyAlignment="1">
      <alignment horizontal="left" indent="1"/>
    </xf>
    <xf numFmtId="164" fontId="5" fillId="0" borderId="18" xfId="0" applyNumberFormat="1" applyFont="1" applyBorder="1"/>
    <xf numFmtId="164" fontId="50" fillId="9" borderId="0" xfId="0" applyNumberFormat="1" applyFont="1" applyFill="1" applyBorder="1"/>
    <xf numFmtId="0" fontId="21" fillId="13" borderId="21" xfId="0" applyFont="1" applyFill="1" applyBorder="1" applyAlignment="1">
      <alignment horizontal="center" vertical="center" wrapText="1"/>
    </xf>
    <xf numFmtId="0" fontId="21" fillId="13" borderId="25" xfId="0" applyFont="1" applyFill="1" applyBorder="1" applyAlignment="1">
      <alignment horizontal="center" vertical="center" wrapText="1"/>
    </xf>
    <xf numFmtId="0" fontId="21" fillId="13" borderId="21" xfId="0" applyFont="1" applyFill="1" applyBorder="1" applyAlignment="1">
      <alignment vertical="center" wrapText="1"/>
    </xf>
    <xf numFmtId="0" fontId="20" fillId="14" borderId="22" xfId="0" applyFont="1" applyFill="1" applyBorder="1" applyAlignment="1">
      <alignment horizontal="center" vertical="center" wrapText="1"/>
    </xf>
    <xf numFmtId="1" fontId="20" fillId="19" borderId="22" xfId="0" applyNumberFormat="1" applyFont="1" applyFill="1" applyBorder="1" applyAlignment="1">
      <alignment horizontal="center" vertical="center" wrapText="1"/>
    </xf>
    <xf numFmtId="1" fontId="20" fillId="19" borderId="26" xfId="0" applyNumberFormat="1" applyFont="1" applyFill="1" applyBorder="1" applyAlignment="1">
      <alignment horizontal="center" vertical="center" wrapText="1"/>
    </xf>
    <xf numFmtId="2" fontId="7" fillId="0" borderId="0" xfId="0" applyNumberFormat="1" applyFont="1" applyFill="1"/>
    <xf numFmtId="2" fontId="0" fillId="0" borderId="0" xfId="0" applyNumberFormat="1" applyFont="1" applyFill="1"/>
    <xf numFmtId="0" fontId="11" fillId="0" borderId="0" xfId="0" applyFont="1"/>
    <xf numFmtId="0" fontId="10" fillId="0" borderId="0" xfId="0" applyFont="1" applyFill="1"/>
    <xf numFmtId="9" fontId="10" fillId="0" borderId="0" xfId="0" applyNumberFormat="1" applyFont="1" applyAlignment="1">
      <alignment horizontal="right"/>
    </xf>
    <xf numFmtId="0" fontId="13" fillId="0" borderId="0" xfId="0" applyFont="1"/>
    <xf numFmtId="2" fontId="13" fillId="0" borderId="0" xfId="0" applyNumberFormat="1" applyFont="1"/>
    <xf numFmtId="2" fontId="13" fillId="0" borderId="1" xfId="0" applyNumberFormat="1" applyFont="1" applyBorder="1"/>
    <xf numFmtId="2" fontId="13" fillId="0" borderId="0" xfId="0" applyNumberFormat="1" applyFont="1" applyBorder="1"/>
    <xf numFmtId="0" fontId="10" fillId="0" borderId="0" xfId="0" applyFont="1" applyAlignment="1">
      <alignment horizontal="right"/>
    </xf>
    <xf numFmtId="0" fontId="10" fillId="0" borderId="0" xfId="0" applyFont="1" applyAlignment="1">
      <alignment wrapText="1"/>
    </xf>
    <xf numFmtId="1" fontId="51" fillId="0" borderId="0" xfId="0" applyNumberFormat="1" applyFont="1" applyFill="1"/>
    <xf numFmtId="1" fontId="51" fillId="0" borderId="1" xfId="0" applyNumberFormat="1" applyFont="1" applyFill="1" applyBorder="1"/>
    <xf numFmtId="1" fontId="51" fillId="0" borderId="0" xfId="0" applyNumberFormat="1" applyFont="1" applyFill="1" applyBorder="1"/>
    <xf numFmtId="2" fontId="52" fillId="0" borderId="0" xfId="0" applyNumberFormat="1" applyFont="1" applyFill="1"/>
    <xf numFmtId="164" fontId="10" fillId="0" borderId="0" xfId="0" applyNumberFormat="1" applyFont="1" applyFill="1" applyBorder="1"/>
    <xf numFmtId="0" fontId="11" fillId="0" borderId="0" xfId="0" applyFont="1" applyAlignment="1">
      <alignment horizontal="center" vertical="center" textRotation="90"/>
    </xf>
    <xf numFmtId="0" fontId="11" fillId="0" borderId="0" xfId="0" applyFont="1" applyFill="1"/>
    <xf numFmtId="0" fontId="33" fillId="0" borderId="0" xfId="0" applyFont="1" applyFill="1"/>
    <xf numFmtId="0" fontId="33" fillId="0" borderId="1" xfId="0" applyFont="1" applyFill="1" applyBorder="1"/>
    <xf numFmtId="2" fontId="53" fillId="0" borderId="0" xfId="0" applyNumberFormat="1" applyFont="1" applyFill="1" applyBorder="1"/>
    <xf numFmtId="165" fontId="13" fillId="0" borderId="0" xfId="0" applyNumberFormat="1" applyFont="1" applyAlignment="1">
      <alignment horizontal="right"/>
    </xf>
    <xf numFmtId="165" fontId="13" fillId="0" borderId="1" xfId="0" applyNumberFormat="1" applyFont="1" applyBorder="1" applyAlignment="1">
      <alignment horizontal="right"/>
    </xf>
    <xf numFmtId="2" fontId="13" fillId="0" borderId="0" xfId="1" applyNumberFormat="1" applyFont="1"/>
    <xf numFmtId="2" fontId="13" fillId="0" borderId="0" xfId="1" applyNumberFormat="1" applyFont="1" applyFill="1"/>
    <xf numFmtId="0" fontId="0" fillId="0" borderId="40" xfId="0" applyFont="1" applyBorder="1"/>
    <xf numFmtId="170" fontId="0" fillId="0" borderId="12" xfId="0" applyNumberFormat="1" applyFont="1" applyBorder="1"/>
    <xf numFmtId="0" fontId="0" fillId="0" borderId="40" xfId="0" applyFont="1" applyFill="1" applyBorder="1"/>
    <xf numFmtId="170" fontId="0" fillId="0" borderId="12" xfId="0" applyNumberFormat="1" applyBorder="1"/>
    <xf numFmtId="0" fontId="0" fillId="0" borderId="40" xfId="0" applyFill="1" applyBorder="1"/>
    <xf numFmtId="170" fontId="15" fillId="0" borderId="12" xfId="0" applyNumberFormat="1" applyFont="1" applyFill="1" applyBorder="1"/>
    <xf numFmtId="0" fontId="0" fillId="0" borderId="12" xfId="0" applyFont="1" applyBorder="1"/>
    <xf numFmtId="0" fontId="31" fillId="0" borderId="40" xfId="0" applyFont="1" applyBorder="1"/>
    <xf numFmtId="1" fontId="20" fillId="9" borderId="26" xfId="0" applyNumberFormat="1" applyFont="1" applyFill="1" applyBorder="1" applyAlignment="1">
      <alignment horizontal="center" vertical="center" wrapText="1"/>
    </xf>
    <xf numFmtId="1" fontId="20" fillId="19" borderId="22" xfId="0" applyNumberFormat="1" applyFont="1" applyFill="1" applyBorder="1" applyAlignment="1">
      <alignment horizontal="center" vertical="center" wrapText="1"/>
    </xf>
    <xf numFmtId="1" fontId="20" fillId="9" borderId="26" xfId="0" applyNumberFormat="1" applyFont="1" applyFill="1" applyBorder="1" applyAlignment="1">
      <alignment horizontal="center" vertical="center" wrapText="1"/>
    </xf>
    <xf numFmtId="1" fontId="20" fillId="14" borderId="22" xfId="0" applyNumberFormat="1" applyFont="1" applyFill="1" applyBorder="1" applyAlignment="1">
      <alignment horizontal="center" vertical="center" wrapText="1"/>
    </xf>
    <xf numFmtId="2" fontId="20" fillId="14" borderId="22" xfId="0" applyNumberFormat="1" applyFont="1" applyFill="1" applyBorder="1" applyAlignment="1">
      <alignment horizontal="center" vertical="center" wrapText="1"/>
    </xf>
    <xf numFmtId="1" fontId="20" fillId="19" borderId="26" xfId="0" applyNumberFormat="1" applyFont="1" applyFill="1" applyBorder="1" applyAlignment="1">
      <alignment horizontal="center" vertical="center" wrapText="1"/>
    </xf>
    <xf numFmtId="167" fontId="11" fillId="0" borderId="13" xfId="4" applyNumberFormat="1" applyFont="1" applyBorder="1" applyAlignment="1">
      <alignment horizontal="right" wrapText="1"/>
    </xf>
    <xf numFmtId="0" fontId="11" fillId="0" borderId="0" xfId="4" applyFont="1" applyAlignment="1">
      <alignment horizontal="left" vertical="top"/>
    </xf>
    <xf numFmtId="165" fontId="13" fillId="0" borderId="0" xfId="0" applyNumberFormat="1" applyFont="1" applyFill="1" applyAlignment="1">
      <alignment horizontal="right"/>
    </xf>
    <xf numFmtId="165" fontId="13" fillId="0" borderId="1" xfId="0" applyNumberFormat="1" applyFont="1" applyFill="1" applyBorder="1" applyAlignment="1">
      <alignment horizontal="right"/>
    </xf>
    <xf numFmtId="0" fontId="13" fillId="0" borderId="0" xfId="0" applyFont="1" applyFill="1" applyBorder="1"/>
    <xf numFmtId="9" fontId="13" fillId="0" borderId="0" xfId="0" applyNumberFormat="1" applyFont="1" applyFill="1" applyBorder="1"/>
    <xf numFmtId="9" fontId="13" fillId="0" borderId="1" xfId="0" applyNumberFormat="1" applyFont="1" applyFill="1" applyBorder="1"/>
    <xf numFmtId="1" fontId="20" fillId="19" borderId="0" xfId="0" applyNumberFormat="1" applyFont="1" applyFill="1" applyBorder="1" applyAlignment="1">
      <alignment horizontal="center" vertical="center" wrapText="1"/>
    </xf>
    <xf numFmtId="2" fontId="20" fillId="14" borderId="23" xfId="0" applyNumberFormat="1" applyFont="1" applyFill="1" applyBorder="1" applyAlignment="1">
      <alignment horizontal="center" vertical="center" wrapText="1"/>
    </xf>
    <xf numFmtId="0" fontId="4" fillId="0" borderId="13" xfId="0" applyFont="1" applyFill="1" applyBorder="1"/>
    <xf numFmtId="0" fontId="10" fillId="0" borderId="8" xfId="0" applyFont="1" applyBorder="1" applyAlignment="1">
      <alignment horizontal="left" indent="4"/>
    </xf>
    <xf numFmtId="2" fontId="10" fillId="0" borderId="7" xfId="0" applyNumberFormat="1" applyFont="1" applyFill="1" applyBorder="1"/>
    <xf numFmtId="2" fontId="10" fillId="0" borderId="8" xfId="0" applyNumberFormat="1" applyFont="1" applyFill="1" applyBorder="1"/>
    <xf numFmtId="0" fontId="10" fillId="0" borderId="8" xfId="0" applyFont="1" applyBorder="1" applyAlignment="1">
      <alignment horizontal="left" indent="3"/>
    </xf>
    <xf numFmtId="0" fontId="26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vertical="center"/>
    </xf>
    <xf numFmtId="1" fontId="20" fillId="14" borderId="28" xfId="0" applyNumberFormat="1" applyFont="1" applyFill="1" applyBorder="1" applyAlignment="1">
      <alignment horizontal="center" vertical="center" wrapText="1"/>
    </xf>
    <xf numFmtId="1" fontId="20" fillId="14" borderId="26" xfId="0" applyNumberFormat="1" applyFont="1" applyFill="1" applyBorder="1" applyAlignment="1">
      <alignment horizontal="center" vertical="center" wrapText="1"/>
    </xf>
    <xf numFmtId="1" fontId="20" fillId="9" borderId="26" xfId="0" applyNumberFormat="1" applyFont="1" applyFill="1" applyBorder="1" applyAlignment="1">
      <alignment horizontal="center" vertical="center" wrapText="1"/>
    </xf>
    <xf numFmtId="0" fontId="20" fillId="14" borderId="28" xfId="0" applyFont="1" applyFill="1" applyBorder="1" applyAlignment="1">
      <alignment horizontal="center" vertical="center" wrapText="1"/>
    </xf>
    <xf numFmtId="2" fontId="20" fillId="14" borderId="28" xfId="0" applyNumberFormat="1" applyFont="1" applyFill="1" applyBorder="1" applyAlignment="1">
      <alignment horizontal="center" vertical="center" wrapText="1"/>
    </xf>
    <xf numFmtId="2" fontId="20" fillId="14" borderId="26" xfId="0" applyNumberFormat="1" applyFont="1" applyFill="1" applyBorder="1" applyAlignment="1">
      <alignment horizontal="center" vertical="center" wrapText="1"/>
    </xf>
    <xf numFmtId="0" fontId="16" fillId="4" borderId="0" xfId="0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center" vertical="center"/>
    </xf>
    <xf numFmtId="4" fontId="4" fillId="0" borderId="0" xfId="0" applyNumberFormat="1" applyFont="1" applyBorder="1" applyAlignment="1">
      <alignment horizontal="center"/>
    </xf>
    <xf numFmtId="0" fontId="30" fillId="9" borderId="0" xfId="0" applyFont="1" applyFill="1" applyBorder="1" applyAlignment="1">
      <alignment horizontal="center" vertical="center"/>
    </xf>
    <xf numFmtId="0" fontId="10" fillId="0" borderId="20" xfId="0" applyFont="1" applyFill="1" applyBorder="1" applyAlignment="1">
      <alignment horizontal="left" indent="1"/>
    </xf>
    <xf numFmtId="0" fontId="46" fillId="0" borderId="9" xfId="0" applyFont="1" applyFill="1" applyBorder="1" applyAlignment="1">
      <alignment horizontal="center"/>
    </xf>
    <xf numFmtId="0" fontId="44" fillId="0" borderId="9" xfId="0" applyFont="1" applyFill="1" applyBorder="1" applyAlignment="1">
      <alignment horizontal="center"/>
    </xf>
    <xf numFmtId="10" fontId="10" fillId="0" borderId="1" xfId="0" applyNumberFormat="1" applyFont="1" applyFill="1" applyBorder="1" applyAlignment="1">
      <alignment horizontal="left"/>
    </xf>
    <xf numFmtId="0" fontId="10" fillId="0" borderId="19" xfId="0" applyFont="1" applyFill="1" applyBorder="1"/>
    <xf numFmtId="0" fontId="10" fillId="0" borderId="20" xfId="0" applyFont="1" applyFill="1" applyBorder="1" applyAlignment="1">
      <alignment horizontal="left"/>
    </xf>
    <xf numFmtId="10" fontId="10" fillId="0" borderId="20" xfId="0" applyNumberFormat="1" applyFont="1" applyFill="1" applyBorder="1" applyAlignment="1">
      <alignment horizontal="left"/>
    </xf>
    <xf numFmtId="0" fontId="44" fillId="0" borderId="19" xfId="0" applyFont="1" applyFill="1" applyBorder="1" applyAlignment="1">
      <alignment horizontal="center"/>
    </xf>
    <xf numFmtId="0" fontId="44" fillId="0" borderId="1" xfId="0" applyFont="1" applyFill="1" applyBorder="1" applyAlignment="1">
      <alignment horizontal="center"/>
    </xf>
    <xf numFmtId="0" fontId="21" fillId="13" borderId="43" xfId="0" applyFont="1" applyFill="1" applyBorder="1" applyAlignment="1">
      <alignment horizontal="center" vertical="center" wrapText="1"/>
    </xf>
    <xf numFmtId="0" fontId="20" fillId="13" borderId="43" xfId="0" applyFont="1" applyFill="1" applyBorder="1" applyAlignment="1">
      <alignment horizontal="center" vertical="center" wrapText="1"/>
    </xf>
    <xf numFmtId="0" fontId="20" fillId="13" borderId="25" xfId="0" applyFont="1" applyFill="1" applyBorder="1" applyAlignment="1">
      <alignment horizontal="center" vertical="center" wrapText="1"/>
    </xf>
    <xf numFmtId="0" fontId="20" fillId="13" borderId="21" xfId="0" applyFont="1" applyFill="1" applyBorder="1" applyAlignment="1">
      <alignment horizontal="center" vertical="center" wrapText="1"/>
    </xf>
    <xf numFmtId="0" fontId="20" fillId="10" borderId="46" xfId="0" applyFont="1" applyFill="1" applyBorder="1" applyAlignment="1">
      <alignment vertical="center" wrapText="1"/>
    </xf>
    <xf numFmtId="165" fontId="10" fillId="0" borderId="0" xfId="0" applyNumberFormat="1" applyFont="1" applyFill="1" applyBorder="1" applyAlignment="1">
      <alignment vertical="center" wrapText="1"/>
    </xf>
    <xf numFmtId="165" fontId="4" fillId="0" borderId="0" xfId="0" applyNumberFormat="1" applyFont="1" applyFill="1" applyBorder="1"/>
    <xf numFmtId="165" fontId="0" fillId="0" borderId="1" xfId="0" applyNumberFormat="1" applyFill="1" applyBorder="1"/>
    <xf numFmtId="165" fontId="4" fillId="0" borderId="1" xfId="0" applyNumberFormat="1" applyFont="1" applyFill="1" applyBorder="1"/>
    <xf numFmtId="164" fontId="10" fillId="0" borderId="0" xfId="0" applyNumberFormat="1" applyFont="1" applyBorder="1" applyAlignment="1">
      <alignment horizontal="left" indent="3"/>
    </xf>
    <xf numFmtId="0" fontId="10" fillId="0" borderId="0" xfId="4" applyFont="1" applyAlignment="1"/>
    <xf numFmtId="49" fontId="11" fillId="0" borderId="13" xfId="0" applyNumberFormat="1" applyFont="1" applyBorder="1" applyAlignment="1">
      <alignment wrapText="1"/>
    </xf>
    <xf numFmtId="0" fontId="11" fillId="0" borderId="13" xfId="0" applyFont="1" applyBorder="1" applyAlignment="1">
      <alignment wrapText="1"/>
    </xf>
    <xf numFmtId="167" fontId="11" fillId="0" borderId="13" xfId="0" applyNumberFormat="1" applyFont="1" applyBorder="1" applyAlignment="1">
      <alignment horizontal="right" wrapText="1"/>
    </xf>
    <xf numFmtId="167" fontId="13" fillId="23" borderId="0" xfId="0" applyNumberFormat="1" applyFont="1" applyFill="1" applyAlignment="1">
      <alignment horizontal="left" wrapText="1"/>
    </xf>
    <xf numFmtId="9" fontId="13" fillId="23" borderId="0" xfId="0" applyNumberFormat="1" applyFont="1" applyFill="1" applyAlignment="1">
      <alignment horizontal="right"/>
    </xf>
    <xf numFmtId="0" fontId="13" fillId="23" borderId="0" xfId="0" applyFont="1" applyFill="1"/>
    <xf numFmtId="0" fontId="13" fillId="23" borderId="0" xfId="0" applyFont="1" applyFill="1" applyAlignment="1">
      <alignment horizontal="right"/>
    </xf>
    <xf numFmtId="2" fontId="13" fillId="23" borderId="0" xfId="0" applyNumberFormat="1" applyFont="1" applyFill="1"/>
    <xf numFmtId="2" fontId="10" fillId="23" borderId="0" xfId="0" applyNumberFormat="1" applyFont="1" applyFill="1"/>
    <xf numFmtId="167" fontId="10" fillId="23" borderId="0" xfId="0" applyNumberFormat="1" applyFont="1" applyFill="1" applyAlignment="1">
      <alignment horizontal="left" wrapText="1"/>
    </xf>
    <xf numFmtId="0" fontId="13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3" fillId="23" borderId="0" xfId="0" applyFont="1" applyFill="1" applyAlignment="1">
      <alignment horizontal="left"/>
    </xf>
    <xf numFmtId="9" fontId="13" fillId="0" borderId="0" xfId="0" applyNumberFormat="1" applyFont="1" applyAlignment="1">
      <alignment horizontal="right"/>
    </xf>
    <xf numFmtId="0" fontId="13" fillId="0" borderId="0" xfId="0" applyFont="1" applyAlignment="1">
      <alignment horizontal="right"/>
    </xf>
    <xf numFmtId="9" fontId="32" fillId="0" borderId="0" xfId="0" applyNumberFormat="1" applyFont="1" applyAlignment="1">
      <alignment horizontal="right"/>
    </xf>
    <xf numFmtId="0" fontId="13" fillId="7" borderId="0" xfId="0" applyFont="1" applyFill="1" applyAlignment="1">
      <alignment horizontal="left"/>
    </xf>
    <xf numFmtId="9" fontId="10" fillId="7" borderId="0" xfId="0" applyNumberFormat="1" applyFont="1" applyFill="1" applyAlignment="1">
      <alignment horizontal="right"/>
    </xf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10" fillId="7" borderId="0" xfId="0" applyNumberFormat="1" applyFont="1" applyFill="1"/>
    <xf numFmtId="0" fontId="10" fillId="7" borderId="0" xfId="0" applyFont="1" applyFill="1" applyAlignment="1">
      <alignment horizontal="left"/>
    </xf>
    <xf numFmtId="0" fontId="10" fillId="0" borderId="7" xfId="0" applyFont="1" applyBorder="1" applyAlignment="1">
      <alignment horizontal="left"/>
    </xf>
    <xf numFmtId="9" fontId="10" fillId="0" borderId="7" xfId="0" applyNumberFormat="1" applyFont="1" applyBorder="1" applyAlignment="1">
      <alignment horizontal="right"/>
    </xf>
    <xf numFmtId="0" fontId="10" fillId="0" borderId="7" xfId="0" applyFont="1" applyBorder="1" applyAlignment="1">
      <alignment horizontal="right"/>
    </xf>
    <xf numFmtId="2" fontId="10" fillId="0" borderId="7" xfId="0" applyNumberFormat="1" applyFont="1" applyBorder="1"/>
    <xf numFmtId="9" fontId="13" fillId="23" borderId="0" xfId="0" applyNumberFormat="1" applyFont="1" applyFill="1" applyAlignment="1">
      <alignment horizontal="right" vertical="center"/>
    </xf>
    <xf numFmtId="0" fontId="10" fillId="23" borderId="0" xfId="0" applyFont="1" applyFill="1" applyAlignment="1">
      <alignment horizontal="left"/>
    </xf>
    <xf numFmtId="9" fontId="10" fillId="23" borderId="0" xfId="0" applyNumberFormat="1" applyFont="1" applyFill="1" applyAlignment="1">
      <alignment horizontal="right"/>
    </xf>
    <xf numFmtId="0" fontId="10" fillId="23" borderId="0" xfId="0" applyFont="1" applyFill="1"/>
    <xf numFmtId="0" fontId="10" fillId="23" borderId="0" xfId="0" applyFont="1" applyFill="1" applyAlignment="1">
      <alignment horizontal="right"/>
    </xf>
    <xf numFmtId="9" fontId="13" fillId="7" borderId="0" xfId="0" applyNumberFormat="1" applyFont="1" applyFill="1" applyAlignment="1">
      <alignment horizontal="right"/>
    </xf>
    <xf numFmtId="0" fontId="13" fillId="7" borderId="7" xfId="0" applyFont="1" applyFill="1" applyBorder="1" applyAlignment="1">
      <alignment horizontal="left"/>
    </xf>
    <xf numFmtId="9" fontId="13" fillId="7" borderId="7" xfId="0" applyNumberFormat="1" applyFont="1" applyFill="1" applyBorder="1" applyAlignment="1">
      <alignment horizontal="right"/>
    </xf>
    <xf numFmtId="0" fontId="10" fillId="7" borderId="7" xfId="0" applyFont="1" applyFill="1" applyBorder="1"/>
    <xf numFmtId="0" fontId="10" fillId="7" borderId="7" xfId="0" applyFont="1" applyFill="1" applyBorder="1" applyAlignment="1">
      <alignment horizontal="right"/>
    </xf>
    <xf numFmtId="2" fontId="10" fillId="7" borderId="7" xfId="0" applyNumberFormat="1" applyFont="1" applyFill="1" applyBorder="1"/>
    <xf numFmtId="9" fontId="40" fillId="0" borderId="0" xfId="0" applyNumberFormat="1" applyFont="1" applyAlignment="1">
      <alignment horizontal="right"/>
    </xf>
    <xf numFmtId="2" fontId="11" fillId="0" borderId="0" xfId="0" applyNumberFormat="1" applyFont="1"/>
    <xf numFmtId="2" fontId="11" fillId="0" borderId="15" xfId="0" applyNumberFormat="1" applyFont="1" applyBorder="1"/>
    <xf numFmtId="2" fontId="13" fillId="7" borderId="0" xfId="0" applyNumberFormat="1" applyFont="1" applyFill="1"/>
    <xf numFmtId="2" fontId="13" fillId="7" borderId="7" xfId="0" applyNumberFormat="1" applyFont="1" applyFill="1" applyBorder="1"/>
    <xf numFmtId="171" fontId="10" fillId="0" borderId="0" xfId="0" applyNumberFormat="1" applyFont="1" applyFill="1" applyAlignment="1">
      <alignment vertical="center" wrapText="1"/>
    </xf>
    <xf numFmtId="171" fontId="10" fillId="0" borderId="1" xfId="0" applyNumberFormat="1" applyFont="1" applyFill="1" applyBorder="1" applyAlignment="1">
      <alignment vertical="center" wrapText="1"/>
    </xf>
    <xf numFmtId="164" fontId="4" fillId="0" borderId="16" xfId="0" applyNumberFormat="1" applyFont="1" applyBorder="1"/>
    <xf numFmtId="164" fontId="4" fillId="0" borderId="2" xfId="0" applyNumberFormat="1" applyFont="1" applyBorder="1"/>
    <xf numFmtId="164" fontId="0" fillId="0" borderId="18" xfId="0" applyNumberFormat="1" applyBorder="1"/>
    <xf numFmtId="164" fontId="17" fillId="9" borderId="0" xfId="0" applyNumberFormat="1" applyFont="1" applyFill="1" applyBorder="1"/>
    <xf numFmtId="164" fontId="17" fillId="9" borderId="1" xfId="0" applyNumberFormat="1" applyFont="1" applyFill="1" applyBorder="1"/>
    <xf numFmtId="165" fontId="0" fillId="3" borderId="0" xfId="0" applyNumberFormat="1" applyFill="1" applyBorder="1"/>
    <xf numFmtId="164" fontId="50" fillId="9" borderId="1" xfId="0" applyNumberFormat="1" applyFont="1" applyFill="1" applyBorder="1"/>
    <xf numFmtId="0" fontId="44" fillId="0" borderId="1" xfId="0" applyFont="1" applyFill="1" applyBorder="1" applyAlignment="1">
      <alignment horizontal="left" indent="4"/>
    </xf>
    <xf numFmtId="0" fontId="44" fillId="0" borderId="8" xfId="0" applyFont="1" applyBorder="1" applyAlignment="1">
      <alignment horizontal="left" indent="4"/>
    </xf>
    <xf numFmtId="0" fontId="44" fillId="0" borderId="8" xfId="0" applyFont="1" applyBorder="1" applyAlignment="1">
      <alignment horizontal="left" indent="3"/>
    </xf>
    <xf numFmtId="0" fontId="5" fillId="0" borderId="0" xfId="0" applyFont="1"/>
    <xf numFmtId="0" fontId="10" fillId="0" borderId="0" xfId="0" applyFont="1" applyFill="1" applyAlignment="1">
      <alignment wrapText="1"/>
    </xf>
    <xf numFmtId="2" fontId="13" fillId="0" borderId="0" xfId="0" applyNumberFormat="1" applyFont="1" applyFill="1"/>
    <xf numFmtId="2" fontId="13" fillId="0" borderId="1" xfId="0" applyNumberFormat="1" applyFont="1" applyFill="1" applyBorder="1"/>
    <xf numFmtId="0" fontId="33" fillId="0" borderId="0" xfId="0" applyFont="1"/>
    <xf numFmtId="0" fontId="33" fillId="0" borderId="1" xfId="0" applyFont="1" applyBorder="1"/>
    <xf numFmtId="0" fontId="33" fillId="0" borderId="0" xfId="0" applyFont="1" applyBorder="1"/>
    <xf numFmtId="0" fontId="33" fillId="0" borderId="0" xfId="0" applyFont="1" applyFill="1" applyBorder="1"/>
    <xf numFmtId="0" fontId="13" fillId="0" borderId="1" xfId="0" applyFont="1" applyBorder="1"/>
    <xf numFmtId="0" fontId="13" fillId="0" borderId="0" xfId="0" applyFont="1" applyBorder="1"/>
    <xf numFmtId="0" fontId="45" fillId="0" borderId="0" xfId="0" applyFont="1"/>
    <xf numFmtId="0" fontId="45" fillId="0" borderId="1" xfId="0" applyFont="1" applyBorder="1"/>
    <xf numFmtId="165" fontId="45" fillId="0" borderId="0" xfId="0" applyNumberFormat="1" applyFont="1" applyFill="1" applyBorder="1"/>
    <xf numFmtId="0" fontId="13" fillId="0" borderId="1" xfId="0" applyFont="1" applyFill="1" applyBorder="1"/>
    <xf numFmtId="9" fontId="13" fillId="0" borderId="0" xfId="0" applyNumberFormat="1" applyFont="1"/>
    <xf numFmtId="9" fontId="13" fillId="0" borderId="1" xfId="0" applyNumberFormat="1" applyFont="1" applyBorder="1"/>
    <xf numFmtId="9" fontId="13" fillId="0" borderId="0" xfId="0" applyNumberFormat="1" applyFont="1" applyBorder="1"/>
    <xf numFmtId="9" fontId="13" fillId="0" borderId="0" xfId="0" applyNumberFormat="1" applyFont="1" applyFill="1"/>
    <xf numFmtId="1" fontId="13" fillId="0" borderId="0" xfId="0" applyNumberFormat="1" applyFont="1"/>
    <xf numFmtId="1" fontId="13" fillId="0" borderId="1" xfId="0" applyNumberFormat="1" applyFont="1" applyBorder="1"/>
    <xf numFmtId="1" fontId="13" fillId="0" borderId="0" xfId="0" applyNumberFormat="1" applyFont="1" applyFill="1"/>
    <xf numFmtId="1" fontId="13" fillId="0" borderId="1" xfId="0" applyNumberFormat="1" applyFont="1" applyFill="1" applyBorder="1"/>
    <xf numFmtId="170" fontId="13" fillId="0" borderId="0" xfId="0" applyNumberFormat="1" applyFont="1"/>
    <xf numFmtId="170" fontId="13" fillId="0" borderId="1" xfId="0" applyNumberFormat="1" applyFont="1" applyBorder="1"/>
    <xf numFmtId="170" fontId="13" fillId="0" borderId="0" xfId="0" applyNumberFormat="1" applyFont="1" applyFill="1"/>
    <xf numFmtId="170" fontId="13" fillId="0" borderId="1" xfId="0" applyNumberFormat="1" applyFont="1" applyFill="1" applyBorder="1"/>
    <xf numFmtId="2" fontId="13" fillId="0" borderId="0" xfId="0" applyNumberFormat="1" applyFont="1" applyAlignment="1">
      <alignment horizontal="right"/>
    </xf>
    <xf numFmtId="2" fontId="13" fillId="0" borderId="1" xfId="0" applyNumberFormat="1" applyFont="1" applyBorder="1" applyAlignment="1">
      <alignment horizontal="right"/>
    </xf>
    <xf numFmtId="2" fontId="13" fillId="0" borderId="0" xfId="0" applyNumberFormat="1" applyFont="1" applyFill="1" applyAlignment="1">
      <alignment horizontal="right"/>
    </xf>
    <xf numFmtId="2" fontId="13" fillId="0" borderId="1" xfId="0" applyNumberFormat="1" applyFont="1" applyFill="1" applyBorder="1" applyAlignment="1">
      <alignment horizontal="right"/>
    </xf>
    <xf numFmtId="9" fontId="13" fillId="0" borderId="1" xfId="0" applyNumberFormat="1" applyFont="1" applyBorder="1" applyAlignment="1">
      <alignment horizontal="right"/>
    </xf>
    <xf numFmtId="9" fontId="13" fillId="0" borderId="0" xfId="0" applyNumberFormat="1" applyFont="1" applyFill="1" applyAlignment="1">
      <alignment horizontal="right"/>
    </xf>
    <xf numFmtId="9" fontId="13" fillId="0" borderId="1" xfId="0" applyNumberFormat="1" applyFont="1" applyFill="1" applyBorder="1" applyAlignment="1">
      <alignment horizontal="right"/>
    </xf>
    <xf numFmtId="1" fontId="13" fillId="0" borderId="0" xfId="0" applyNumberFormat="1" applyFont="1" applyAlignment="1">
      <alignment horizontal="right"/>
    </xf>
    <xf numFmtId="1" fontId="13" fillId="0" borderId="1" xfId="0" applyNumberFormat="1" applyFont="1" applyBorder="1" applyAlignment="1">
      <alignment horizontal="right"/>
    </xf>
    <xf numFmtId="1" fontId="13" fillId="0" borderId="0" xfId="0" applyNumberFormat="1" applyFont="1" applyBorder="1" applyAlignment="1">
      <alignment horizontal="right"/>
    </xf>
    <xf numFmtId="1" fontId="13" fillId="0" borderId="0" xfId="0" applyNumberFormat="1" applyFont="1" applyFill="1" applyAlignment="1">
      <alignment horizontal="right"/>
    </xf>
    <xf numFmtId="1" fontId="13" fillId="0" borderId="1" xfId="0" applyNumberFormat="1" applyFont="1" applyFill="1" applyBorder="1" applyAlignment="1">
      <alignment horizontal="right"/>
    </xf>
    <xf numFmtId="164" fontId="13" fillId="0" borderId="0" xfId="0" applyNumberFormat="1" applyFont="1"/>
    <xf numFmtId="164" fontId="13" fillId="0" borderId="1" xfId="0" applyNumberFormat="1" applyFont="1" applyBorder="1"/>
    <xf numFmtId="164" fontId="13" fillId="0" borderId="0" xfId="0" applyNumberFormat="1" applyFont="1" applyFill="1"/>
    <xf numFmtId="164" fontId="13" fillId="0" borderId="1" xfId="0" applyNumberFormat="1" applyFont="1" applyFill="1" applyBorder="1"/>
    <xf numFmtId="0" fontId="13" fillId="0" borderId="1" xfId="0" applyFont="1" applyBorder="1" applyAlignment="1">
      <alignment horizontal="right"/>
    </xf>
    <xf numFmtId="0" fontId="13" fillId="0" borderId="0" xfId="0" applyFont="1" applyBorder="1" applyAlignment="1">
      <alignment horizontal="right"/>
    </xf>
    <xf numFmtId="0" fontId="13" fillId="0" borderId="0" xfId="0" applyFont="1" applyFill="1" applyBorder="1" applyAlignment="1">
      <alignment horizontal="right"/>
    </xf>
    <xf numFmtId="0" fontId="13" fillId="0" borderId="1" xfId="0" applyFont="1" applyFill="1" applyBorder="1" applyAlignment="1">
      <alignment horizontal="right"/>
    </xf>
    <xf numFmtId="0" fontId="13" fillId="0" borderId="0" xfId="0" applyFont="1" applyFill="1" applyAlignment="1">
      <alignment horizontal="right"/>
    </xf>
    <xf numFmtId="1" fontId="13" fillId="0" borderId="0" xfId="0" applyNumberFormat="1" applyFont="1" applyFill="1" applyBorder="1"/>
    <xf numFmtId="1" fontId="13" fillId="0" borderId="1" xfId="0" quotePrefix="1" applyNumberFormat="1" applyFont="1" applyFill="1" applyBorder="1"/>
    <xf numFmtId="1" fontId="45" fillId="0" borderId="0" xfId="0" applyNumberFormat="1" applyFont="1" applyFill="1"/>
    <xf numFmtId="1" fontId="45" fillId="0" borderId="1" xfId="0" applyNumberFormat="1" applyFont="1" applyFill="1" applyBorder="1"/>
    <xf numFmtId="1" fontId="45" fillId="0" borderId="0" xfId="0" applyNumberFormat="1" applyFont="1" applyFill="1" applyBorder="1"/>
    <xf numFmtId="2" fontId="45" fillId="0" borderId="0" xfId="0" applyNumberFormat="1" applyFont="1" applyFill="1"/>
    <xf numFmtId="2" fontId="45" fillId="0" borderId="1" xfId="0" applyNumberFormat="1" applyFont="1" applyFill="1" applyBorder="1"/>
    <xf numFmtId="2" fontId="45" fillId="0" borderId="0" xfId="0" applyNumberFormat="1" applyFont="1" applyFill="1" applyBorder="1"/>
    <xf numFmtId="164" fontId="13" fillId="0" borderId="0" xfId="0" applyNumberFormat="1" applyFont="1" applyFill="1" applyBorder="1"/>
    <xf numFmtId="2" fontId="13" fillId="0" borderId="0" xfId="0" applyNumberFormat="1" applyFont="1" applyFill="1" applyBorder="1"/>
    <xf numFmtId="1" fontId="45" fillId="0" borderId="0" xfId="0" applyNumberFormat="1" applyFont="1"/>
    <xf numFmtId="1" fontId="45" fillId="0" borderId="1" xfId="0" applyNumberFormat="1" applyFont="1" applyBorder="1"/>
    <xf numFmtId="1" fontId="45" fillId="0" borderId="0" xfId="0" applyNumberFormat="1" applyFont="1" applyBorder="1"/>
    <xf numFmtId="2" fontId="45" fillId="0" borderId="0" xfId="0" applyNumberFormat="1" applyFont="1"/>
    <xf numFmtId="2" fontId="45" fillId="0" borderId="1" xfId="0" applyNumberFormat="1" applyFont="1" applyBorder="1"/>
    <xf numFmtId="2" fontId="45" fillId="0" borderId="0" xfId="0" applyNumberFormat="1" applyFont="1" applyBorder="1"/>
    <xf numFmtId="9" fontId="13" fillId="0" borderId="0" xfId="0" quotePrefix="1" applyNumberFormat="1" applyFont="1" applyAlignment="1">
      <alignment horizontal="right"/>
    </xf>
    <xf numFmtId="9" fontId="13" fillId="0" borderId="1" xfId="0" quotePrefix="1" applyNumberFormat="1" applyFont="1" applyBorder="1" applyAlignment="1">
      <alignment horizontal="right"/>
    </xf>
    <xf numFmtId="9" fontId="13" fillId="0" borderId="0" xfId="0" quotePrefix="1" applyNumberFormat="1" applyFont="1" applyFill="1" applyAlignment="1">
      <alignment horizontal="right"/>
    </xf>
    <xf numFmtId="9" fontId="13" fillId="0" borderId="1" xfId="0" quotePrefix="1" applyNumberFormat="1" applyFont="1" applyFill="1" applyBorder="1" applyAlignment="1">
      <alignment horizontal="right"/>
    </xf>
    <xf numFmtId="0" fontId="13" fillId="0" borderId="0" xfId="0" quotePrefix="1" applyFont="1" applyAlignment="1">
      <alignment horizontal="right"/>
    </xf>
    <xf numFmtId="0" fontId="13" fillId="0" borderId="1" xfId="0" quotePrefix="1" applyFont="1" applyBorder="1" applyAlignment="1">
      <alignment horizontal="right"/>
    </xf>
    <xf numFmtId="0" fontId="13" fillId="0" borderId="0" xfId="0" quotePrefix="1" applyFont="1" applyFill="1" applyAlignment="1">
      <alignment horizontal="right"/>
    </xf>
    <xf numFmtId="0" fontId="13" fillId="0" borderId="1" xfId="0" quotePrefix="1" applyFont="1" applyFill="1" applyBorder="1" applyAlignment="1">
      <alignment horizontal="right"/>
    </xf>
    <xf numFmtId="164" fontId="13" fillId="0" borderId="0" xfId="0" applyNumberFormat="1" applyFont="1" applyAlignment="1">
      <alignment horizontal="right"/>
    </xf>
    <xf numFmtId="164" fontId="13" fillId="0" borderId="1" xfId="0" applyNumberFormat="1" applyFont="1" applyBorder="1" applyAlignment="1">
      <alignment horizontal="right"/>
    </xf>
    <xf numFmtId="164" fontId="13" fillId="0" borderId="0" xfId="0" applyNumberFormat="1" applyFont="1" applyFill="1" applyAlignment="1">
      <alignment horizontal="right"/>
    </xf>
    <xf numFmtId="164" fontId="13" fillId="0" borderId="1" xfId="0" applyNumberFormat="1" applyFont="1" applyFill="1" applyBorder="1" applyAlignment="1">
      <alignment horizontal="right"/>
    </xf>
    <xf numFmtId="165" fontId="13" fillId="0" borderId="0" xfId="0" applyNumberFormat="1" applyFont="1" applyFill="1" applyBorder="1" applyAlignment="1">
      <alignment horizontal="right"/>
    </xf>
    <xf numFmtId="165" fontId="13" fillId="0" borderId="0" xfId="0" applyNumberFormat="1" applyFont="1" applyBorder="1" applyAlignment="1">
      <alignment horizontal="right"/>
    </xf>
    <xf numFmtId="0" fontId="4" fillId="8" borderId="13" xfId="0" applyFont="1" applyFill="1" applyBorder="1" applyAlignment="1">
      <alignment horizontal="center"/>
    </xf>
    <xf numFmtId="165" fontId="6" fillId="0" borderId="0" xfId="1" applyNumberFormat="1" applyFont="1" applyFill="1"/>
    <xf numFmtId="0" fontId="0" fillId="0" borderId="0" xfId="0" applyFont="1" applyFill="1"/>
    <xf numFmtId="0" fontId="4" fillId="0" borderId="7" xfId="0" applyFont="1" applyBorder="1"/>
    <xf numFmtId="0" fontId="0" fillId="0" borderId="7" xfId="0" applyFont="1" applyBorder="1"/>
    <xf numFmtId="0" fontId="4" fillId="0" borderId="11" xfId="0" applyFont="1" applyBorder="1"/>
    <xf numFmtId="0" fontId="4" fillId="0" borderId="42" xfId="0" applyFont="1" applyBorder="1"/>
    <xf numFmtId="0" fontId="57" fillId="0" borderId="0" xfId="6" applyAlignment="1">
      <alignment vertical="center"/>
    </xf>
    <xf numFmtId="0" fontId="58" fillId="0" borderId="0" xfId="0" applyFont="1" applyAlignment="1">
      <alignment vertical="center"/>
    </xf>
    <xf numFmtId="0" fontId="9" fillId="0" borderId="0" xfId="0" applyFont="1"/>
    <xf numFmtId="0" fontId="59" fillId="0" borderId="0" xfId="0" applyFont="1" applyAlignment="1">
      <alignment vertical="center"/>
    </xf>
    <xf numFmtId="0" fontId="59" fillId="0" borderId="0" xfId="0" applyFont="1" applyAlignment="1">
      <alignment vertical="center" wrapText="1"/>
    </xf>
    <xf numFmtId="0" fontId="62" fillId="0" borderId="0" xfId="0" applyFont="1" applyAlignment="1">
      <alignment vertical="top" wrapText="1"/>
    </xf>
    <xf numFmtId="2" fontId="0" fillId="22" borderId="0" xfId="0" applyNumberFormat="1" applyFill="1"/>
    <xf numFmtId="0" fontId="0" fillId="22" borderId="0" xfId="0" applyFill="1"/>
    <xf numFmtId="0" fontId="0" fillId="0" borderId="0" xfId="0" applyAlignment="1">
      <alignment textRotation="90"/>
    </xf>
    <xf numFmtId="0" fontId="0" fillId="7" borderId="0" xfId="0" applyFill="1" applyAlignment="1">
      <alignment textRotation="90"/>
    </xf>
    <xf numFmtId="0" fontId="0" fillId="7" borderId="0" xfId="0" applyFill="1"/>
    <xf numFmtId="11" fontId="0" fillId="7" borderId="0" xfId="0" applyNumberFormat="1" applyFill="1"/>
    <xf numFmtId="9" fontId="0" fillId="0" borderId="0" xfId="0" applyNumberFormat="1"/>
    <xf numFmtId="9" fontId="4" fillId="0" borderId="0" xfId="0" applyNumberFormat="1" applyFont="1"/>
    <xf numFmtId="0" fontId="0" fillId="0" borderId="0" xfId="0" applyFill="1" applyAlignment="1">
      <alignment textRotation="90"/>
    </xf>
    <xf numFmtId="11" fontId="0" fillId="24" borderId="0" xfId="0" applyNumberFormat="1" applyFill="1"/>
    <xf numFmtId="0" fontId="4" fillId="24" borderId="0" xfId="0" applyFont="1" applyFill="1" applyAlignment="1">
      <alignment textRotation="90"/>
    </xf>
    <xf numFmtId="0" fontId="63" fillId="0" borderId="0" xfId="0" applyFont="1" applyAlignment="1">
      <alignment textRotation="90"/>
    </xf>
    <xf numFmtId="11" fontId="63" fillId="0" borderId="0" xfId="0" applyNumberFormat="1" applyFont="1"/>
    <xf numFmtId="171" fontId="10" fillId="0" borderId="0" xfId="0" applyNumberFormat="1" applyFont="1" applyFill="1"/>
    <xf numFmtId="0" fontId="46" fillId="0" borderId="1" xfId="0" applyFont="1" applyFill="1" applyBorder="1" applyAlignment="1">
      <alignment horizontal="center"/>
    </xf>
    <xf numFmtId="2" fontId="10" fillId="0" borderId="19" xfId="0" applyNumberFormat="1" applyFont="1" applyBorder="1"/>
    <xf numFmtId="171" fontId="10" fillId="0" borderId="13" xfId="0" applyNumberFormat="1" applyFont="1" applyBorder="1"/>
    <xf numFmtId="164" fontId="10" fillId="0" borderId="32" xfId="0" applyNumberFormat="1" applyFont="1" applyBorder="1"/>
    <xf numFmtId="164" fontId="10" fillId="0" borderId="49" xfId="0" applyNumberFormat="1" applyFont="1" applyBorder="1"/>
    <xf numFmtId="2" fontId="10" fillId="0" borderId="9" xfId="0" applyNumberFormat="1" applyFont="1" applyBorder="1"/>
    <xf numFmtId="2" fontId="10" fillId="0" borderId="9" xfId="0" applyNumberFormat="1" applyFont="1" applyFill="1" applyBorder="1"/>
    <xf numFmtId="0" fontId="10" fillId="0" borderId="19" xfId="0" applyFont="1" applyFill="1" applyBorder="1" applyAlignment="1">
      <alignment horizontal="left"/>
    </xf>
    <xf numFmtId="0" fontId="45" fillId="0" borderId="0" xfId="0" applyFont="1" applyFill="1"/>
    <xf numFmtId="0" fontId="64" fillId="0" borderId="1" xfId="0" applyFont="1" applyBorder="1" applyAlignment="1">
      <alignment horizontal="left" indent="3"/>
    </xf>
    <xf numFmtId="0" fontId="64" fillId="0" borderId="0" xfId="0" applyFont="1"/>
    <xf numFmtId="0" fontId="64" fillId="0" borderId="1" xfId="0" applyFont="1" applyBorder="1" applyAlignment="1">
      <alignment horizontal="left"/>
    </xf>
    <xf numFmtId="0" fontId="64" fillId="0" borderId="1" xfId="0" applyFont="1" applyBorder="1" applyAlignment="1">
      <alignment horizontal="left" indent="1"/>
    </xf>
    <xf numFmtId="10" fontId="64" fillId="0" borderId="1" xfId="0" applyNumberFormat="1" applyFont="1" applyBorder="1" applyAlignment="1">
      <alignment horizontal="left" indent="1"/>
    </xf>
    <xf numFmtId="0" fontId="66" fillId="0" borderId="9" xfId="0" applyFont="1" applyBorder="1" applyAlignment="1">
      <alignment horizontal="center"/>
    </xf>
    <xf numFmtId="2" fontId="64" fillId="0" borderId="9" xfId="0" applyNumberFormat="1" applyFont="1" applyBorder="1"/>
    <xf numFmtId="2" fontId="64" fillId="0" borderId="0" xfId="0" applyNumberFormat="1" applyFont="1"/>
    <xf numFmtId="2" fontId="64" fillId="0" borderId="1" xfId="0" applyNumberFormat="1" applyFont="1" applyBorder="1"/>
    <xf numFmtId="171" fontId="64" fillId="0" borderId="0" xfId="0" applyNumberFormat="1" applyFont="1"/>
    <xf numFmtId="0" fontId="64" fillId="0" borderId="1" xfId="0" applyFont="1" applyFill="1" applyBorder="1" applyAlignment="1">
      <alignment horizontal="left" indent="2"/>
    </xf>
    <xf numFmtId="0" fontId="64" fillId="0" borderId="0" xfId="0" applyFont="1" applyFill="1"/>
    <xf numFmtId="0" fontId="64" fillId="0" borderId="1" xfId="0" applyFont="1" applyFill="1" applyBorder="1" applyAlignment="1">
      <alignment horizontal="left"/>
    </xf>
    <xf numFmtId="0" fontId="64" fillId="0" borderId="1" xfId="0" applyFont="1" applyFill="1" applyBorder="1" applyAlignment="1">
      <alignment horizontal="left" indent="1"/>
    </xf>
    <xf numFmtId="10" fontId="64" fillId="0" borderId="1" xfId="0" applyNumberFormat="1" applyFont="1" applyFill="1" applyBorder="1" applyAlignment="1">
      <alignment horizontal="left" indent="1"/>
    </xf>
    <xf numFmtId="0" fontId="66" fillId="0" borderId="9" xfId="0" applyFont="1" applyFill="1" applyBorder="1" applyAlignment="1">
      <alignment horizontal="center"/>
    </xf>
    <xf numFmtId="0" fontId="66" fillId="0" borderId="1" xfId="0" applyFont="1" applyFill="1" applyBorder="1" applyAlignment="1">
      <alignment horizontal="center"/>
    </xf>
    <xf numFmtId="2" fontId="64" fillId="0" borderId="9" xfId="0" applyNumberFormat="1" applyFont="1" applyFill="1" applyBorder="1"/>
    <xf numFmtId="2" fontId="64" fillId="0" borderId="0" xfId="0" applyNumberFormat="1" applyFont="1" applyFill="1"/>
    <xf numFmtId="2" fontId="64" fillId="0" borderId="1" xfId="0" applyNumberFormat="1" applyFont="1" applyFill="1" applyBorder="1"/>
    <xf numFmtId="171" fontId="64" fillId="0" borderId="0" xfId="0" applyNumberFormat="1" applyFont="1" applyFill="1"/>
    <xf numFmtId="2" fontId="64" fillId="0" borderId="32" xfId="0" applyNumberFormat="1" applyFont="1" applyBorder="1"/>
    <xf numFmtId="0" fontId="4" fillId="0" borderId="0" xfId="0" applyFont="1" applyFill="1" applyAlignment="1">
      <alignment vertical="center"/>
    </xf>
    <xf numFmtId="11" fontId="0" fillId="0" borderId="0" xfId="0" applyNumberFormat="1" applyFill="1"/>
    <xf numFmtId="11" fontId="63" fillId="0" borderId="0" xfId="0" applyNumberFormat="1" applyFont="1" applyFill="1"/>
    <xf numFmtId="171" fontId="0" fillId="0" borderId="0" xfId="0" applyNumberFormat="1" applyFill="1"/>
    <xf numFmtId="165" fontId="0" fillId="22" borderId="0" xfId="0" applyNumberFormat="1" applyFill="1"/>
    <xf numFmtId="0" fontId="4" fillId="0" borderId="0" xfId="0" applyFont="1" applyAlignment="1">
      <alignment vertical="center" wrapText="1"/>
    </xf>
    <xf numFmtId="0" fontId="68" fillId="0" borderId="0" xfId="0" applyFont="1"/>
    <xf numFmtId="0" fontId="69" fillId="0" borderId="0" xfId="0" applyFont="1"/>
    <xf numFmtId="0" fontId="59" fillId="0" borderId="0" xfId="0" applyFont="1" applyAlignment="1">
      <alignment horizontal="left" vertical="center" wrapText="1"/>
    </xf>
    <xf numFmtId="0" fontId="62" fillId="0" borderId="0" xfId="0" applyFont="1" applyAlignment="1">
      <alignment horizontal="left" vertical="top" wrapText="1"/>
    </xf>
    <xf numFmtId="0" fontId="17" fillId="0" borderId="0" xfId="0" applyFont="1" applyAlignment="1">
      <alignment horizontal="left"/>
    </xf>
    <xf numFmtId="0" fontId="11" fillId="2" borderId="0" xfId="0" applyFont="1" applyFill="1" applyAlignment="1">
      <alignment horizontal="center" vertical="center" textRotation="90"/>
    </xf>
    <xf numFmtId="0" fontId="11" fillId="7" borderId="0" xfId="0" applyFont="1" applyFill="1" applyAlignment="1">
      <alignment horizontal="center" vertical="center" textRotation="90"/>
    </xf>
    <xf numFmtId="0" fontId="22" fillId="8" borderId="0" xfId="0" applyFont="1" applyFill="1" applyAlignment="1">
      <alignment horizontal="center"/>
    </xf>
    <xf numFmtId="0" fontId="22" fillId="8" borderId="2" xfId="0" applyFont="1" applyFill="1" applyBorder="1" applyAlignment="1">
      <alignment horizontal="center"/>
    </xf>
    <xf numFmtId="0" fontId="55" fillId="0" borderId="0" xfId="0" applyFont="1" applyFill="1" applyAlignment="1">
      <alignment horizontal="center"/>
    </xf>
    <xf numFmtId="0" fontId="22" fillId="8" borderId="3" xfId="0" applyFont="1" applyFill="1" applyBorder="1" applyAlignment="1">
      <alignment horizontal="center"/>
    </xf>
    <xf numFmtId="0" fontId="22" fillId="8" borderId="5" xfId="0" applyFont="1" applyFill="1" applyBorder="1" applyAlignment="1">
      <alignment horizontal="center"/>
    </xf>
    <xf numFmtId="0" fontId="55" fillId="0" borderId="0" xfId="0" applyFont="1" applyAlignment="1">
      <alignment horizontal="center"/>
    </xf>
    <xf numFmtId="0" fontId="55" fillId="0" borderId="1" xfId="0" applyFont="1" applyBorder="1" applyAlignment="1">
      <alignment horizontal="center"/>
    </xf>
    <xf numFmtId="0" fontId="11" fillId="8" borderId="0" xfId="0" applyFont="1" applyFill="1" applyAlignment="1">
      <alignment horizontal="center" vertical="center" textRotation="90"/>
    </xf>
    <xf numFmtId="0" fontId="22" fillId="8" borderId="9" xfId="0" applyFont="1" applyFill="1" applyBorder="1" applyAlignment="1">
      <alignment horizontal="center"/>
    </xf>
    <xf numFmtId="0" fontId="55" fillId="0" borderId="2" xfId="0" applyFont="1" applyFill="1" applyBorder="1" applyAlignment="1">
      <alignment horizontal="center"/>
    </xf>
    <xf numFmtId="0" fontId="55" fillId="0" borderId="1" xfId="0" applyFont="1" applyFill="1" applyBorder="1" applyAlignment="1">
      <alignment horizontal="center"/>
    </xf>
    <xf numFmtId="0" fontId="55" fillId="0" borderId="2" xfId="0" applyFont="1" applyBorder="1" applyAlignment="1">
      <alignment horizontal="center"/>
    </xf>
    <xf numFmtId="0" fontId="22" fillId="8" borderId="1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0" fillId="14" borderId="45" xfId="0" applyFont="1" applyFill="1" applyBorder="1" applyAlignment="1">
      <alignment horizontal="center" vertical="center" wrapText="1"/>
    </xf>
    <xf numFmtId="0" fontId="20" fillId="14" borderId="24" xfId="0" applyFont="1" applyFill="1" applyBorder="1" applyAlignment="1">
      <alignment horizontal="center" vertical="center" wrapText="1"/>
    </xf>
    <xf numFmtId="1" fontId="20" fillId="14" borderId="28" xfId="0" applyNumberFormat="1" applyFont="1" applyFill="1" applyBorder="1" applyAlignment="1">
      <alignment horizontal="center" vertical="center" wrapText="1"/>
    </xf>
    <xf numFmtId="1" fontId="20" fillId="14" borderId="26" xfId="0" applyNumberFormat="1" applyFont="1" applyFill="1" applyBorder="1" applyAlignment="1">
      <alignment horizontal="center" vertical="center" wrapText="1"/>
    </xf>
    <xf numFmtId="1" fontId="20" fillId="9" borderId="28" xfId="0" applyNumberFormat="1" applyFont="1" applyFill="1" applyBorder="1" applyAlignment="1">
      <alignment horizontal="center" vertical="center" wrapText="1"/>
    </xf>
    <xf numFmtId="1" fontId="20" fillId="9" borderId="22" xfId="0" applyNumberFormat="1" applyFont="1" applyFill="1" applyBorder="1" applyAlignment="1">
      <alignment horizontal="center" vertical="center" wrapText="1"/>
    </xf>
    <xf numFmtId="1" fontId="20" fillId="9" borderId="21" xfId="0" applyNumberFormat="1" applyFont="1" applyFill="1" applyBorder="1" applyAlignment="1">
      <alignment horizontal="center" vertical="center" wrapText="1"/>
    </xf>
    <xf numFmtId="1" fontId="20" fillId="9" borderId="25" xfId="0" applyNumberFormat="1" applyFont="1" applyFill="1" applyBorder="1" applyAlignment="1">
      <alignment horizontal="center" vertical="center" wrapText="1"/>
    </xf>
    <xf numFmtId="1" fontId="20" fillId="19" borderId="21" xfId="0" applyNumberFormat="1" applyFont="1" applyFill="1" applyBorder="1" applyAlignment="1">
      <alignment horizontal="center" vertical="center" wrapText="1"/>
    </xf>
    <xf numFmtId="1" fontId="20" fillId="19" borderId="25" xfId="0" applyNumberFormat="1" applyFont="1" applyFill="1" applyBorder="1" applyAlignment="1">
      <alignment horizontal="center" vertical="center" wrapText="1"/>
    </xf>
    <xf numFmtId="1" fontId="20" fillId="9" borderId="43" xfId="0" applyNumberFormat="1" applyFont="1" applyFill="1" applyBorder="1" applyAlignment="1">
      <alignment horizontal="center" vertical="center" wrapText="1"/>
    </xf>
    <xf numFmtId="0" fontId="54" fillId="13" borderId="48" xfId="0" applyFont="1" applyFill="1" applyBorder="1" applyAlignment="1">
      <alignment horizontal="center" vertical="center" wrapText="1"/>
    </xf>
    <xf numFmtId="0" fontId="54" fillId="13" borderId="47" xfId="0" applyFont="1" applyFill="1" applyBorder="1" applyAlignment="1">
      <alignment horizontal="center" vertical="center" wrapText="1"/>
    </xf>
    <xf numFmtId="0" fontId="20" fillId="14" borderId="43" xfId="0" applyFont="1" applyFill="1" applyBorder="1" applyAlignment="1">
      <alignment horizontal="center" vertical="center" wrapText="1"/>
    </xf>
    <xf numFmtId="0" fontId="20" fillId="14" borderId="25" xfId="0" applyFont="1" applyFill="1" applyBorder="1" applyAlignment="1">
      <alignment horizontal="center" vertical="center" wrapText="1"/>
    </xf>
    <xf numFmtId="0" fontId="20" fillId="14" borderId="28" xfId="0" applyFont="1" applyFill="1" applyBorder="1" applyAlignment="1">
      <alignment horizontal="center" vertical="center" wrapText="1"/>
    </xf>
    <xf numFmtId="0" fontId="20" fillId="14" borderId="26" xfId="0" applyFont="1" applyFill="1" applyBorder="1" applyAlignment="1">
      <alignment horizontal="center" vertical="center" wrapText="1"/>
    </xf>
    <xf numFmtId="2" fontId="20" fillId="14" borderId="44" xfId="0" applyNumberFormat="1" applyFont="1" applyFill="1" applyBorder="1" applyAlignment="1">
      <alignment horizontal="center" vertical="center" wrapText="1"/>
    </xf>
    <xf numFmtId="2" fontId="20" fillId="14" borderId="27" xfId="0" applyNumberFormat="1" applyFont="1" applyFill="1" applyBorder="1" applyAlignment="1">
      <alignment horizontal="center" vertical="center" wrapText="1"/>
    </xf>
    <xf numFmtId="0" fontId="20" fillId="14" borderId="44" xfId="0" applyFont="1" applyFill="1" applyBorder="1" applyAlignment="1">
      <alignment horizontal="center" vertical="center" wrapText="1"/>
    </xf>
    <xf numFmtId="0" fontId="20" fillId="14" borderId="27" xfId="0" applyFont="1" applyFill="1" applyBorder="1" applyAlignment="1">
      <alignment horizontal="center" vertical="center" wrapText="1"/>
    </xf>
    <xf numFmtId="1" fontId="20" fillId="14" borderId="44" xfId="0" applyNumberFormat="1" applyFont="1" applyFill="1" applyBorder="1" applyAlignment="1">
      <alignment horizontal="center" vertical="center" wrapText="1"/>
    </xf>
    <xf numFmtId="1" fontId="20" fillId="14" borderId="27" xfId="0" applyNumberFormat="1" applyFont="1" applyFill="1" applyBorder="1" applyAlignment="1">
      <alignment horizontal="center" vertical="center" wrapText="1"/>
    </xf>
    <xf numFmtId="1" fontId="20" fillId="9" borderId="26" xfId="0" applyNumberFormat="1" applyFont="1" applyFill="1" applyBorder="1" applyAlignment="1">
      <alignment horizontal="center" vertical="center" wrapText="1"/>
    </xf>
    <xf numFmtId="1" fontId="20" fillId="19" borderId="43" xfId="0" applyNumberFormat="1" applyFont="1" applyFill="1" applyBorder="1" applyAlignment="1">
      <alignment horizontal="center" vertical="center" wrapText="1"/>
    </xf>
    <xf numFmtId="1" fontId="20" fillId="14" borderId="22" xfId="0" applyNumberFormat="1" applyFont="1" applyFill="1" applyBorder="1" applyAlignment="1">
      <alignment horizontal="center" vertical="center" wrapText="1"/>
    </xf>
    <xf numFmtId="0" fontId="22" fillId="8" borderId="46" xfId="0" applyFont="1" applyFill="1" applyBorder="1" applyAlignment="1">
      <alignment horizontal="center" vertical="center" wrapText="1"/>
    </xf>
    <xf numFmtId="0" fontId="22" fillId="8" borderId="47" xfId="0" applyFont="1" applyFill="1" applyBorder="1" applyAlignment="1">
      <alignment horizontal="center" vertical="center" wrapText="1"/>
    </xf>
    <xf numFmtId="2" fontId="20" fillId="14" borderId="28" xfId="0" applyNumberFormat="1" applyFont="1" applyFill="1" applyBorder="1" applyAlignment="1">
      <alignment horizontal="center" vertical="center" wrapText="1"/>
    </xf>
    <xf numFmtId="2" fontId="20" fillId="14" borderId="26" xfId="0" applyNumberFormat="1" applyFont="1" applyFill="1" applyBorder="1" applyAlignment="1">
      <alignment horizontal="center" vertical="center" wrapText="1"/>
    </xf>
    <xf numFmtId="1" fontId="20" fillId="19" borderId="28" xfId="0" applyNumberFormat="1" applyFont="1" applyFill="1" applyBorder="1" applyAlignment="1">
      <alignment horizontal="center" vertical="center" wrapText="1"/>
    </xf>
    <xf numFmtId="1" fontId="20" fillId="19" borderId="26" xfId="0" applyNumberFormat="1" applyFont="1" applyFill="1" applyBorder="1" applyAlignment="1">
      <alignment horizontal="center" vertical="center" wrapText="1"/>
    </xf>
    <xf numFmtId="0" fontId="21" fillId="8" borderId="0" xfId="0" applyFont="1" applyFill="1" applyBorder="1" applyAlignment="1">
      <alignment horizontal="center" vertical="center" textRotation="90"/>
    </xf>
    <xf numFmtId="0" fontId="21" fillId="13" borderId="0" xfId="0" applyFont="1" applyFill="1" applyBorder="1" applyAlignment="1">
      <alignment horizontal="center" vertical="center" textRotation="90"/>
    </xf>
    <xf numFmtId="2" fontId="20" fillId="14" borderId="22" xfId="0" applyNumberFormat="1" applyFont="1" applyFill="1" applyBorder="1" applyAlignment="1">
      <alignment horizontal="center" vertical="center" wrapText="1"/>
    </xf>
    <xf numFmtId="0" fontId="20" fillId="14" borderId="22" xfId="0" applyFont="1" applyFill="1" applyBorder="1" applyAlignment="1">
      <alignment horizontal="center" vertical="center" wrapText="1"/>
    </xf>
    <xf numFmtId="0" fontId="20" fillId="14" borderId="23" xfId="0" applyFont="1" applyFill="1" applyBorder="1" applyAlignment="1">
      <alignment horizontal="center" vertical="center" wrapText="1"/>
    </xf>
    <xf numFmtId="0" fontId="20" fillId="14" borderId="21" xfId="0" applyFont="1" applyFill="1" applyBorder="1" applyAlignment="1">
      <alignment horizontal="center" vertical="center" wrapText="1"/>
    </xf>
    <xf numFmtId="1" fontId="20" fillId="20" borderId="21" xfId="0" applyNumberFormat="1" applyFont="1" applyFill="1" applyBorder="1" applyAlignment="1">
      <alignment horizontal="center" vertical="center" wrapText="1"/>
    </xf>
    <xf numFmtId="1" fontId="20" fillId="20" borderId="25" xfId="0" applyNumberFormat="1" applyFont="1" applyFill="1" applyBorder="1" applyAlignment="1">
      <alignment horizontal="center" vertical="center" wrapText="1"/>
    </xf>
    <xf numFmtId="0" fontId="21" fillId="2" borderId="0" xfId="0" applyFont="1" applyFill="1" applyBorder="1" applyAlignment="1">
      <alignment horizontal="center" vertical="center" textRotation="90"/>
    </xf>
    <xf numFmtId="1" fontId="20" fillId="19" borderId="22" xfId="0" applyNumberFormat="1" applyFont="1" applyFill="1" applyBorder="1" applyAlignment="1">
      <alignment horizontal="center" vertical="center" wrapText="1"/>
    </xf>
    <xf numFmtId="0" fontId="54" fillId="13" borderId="46" xfId="0" applyFont="1" applyFill="1" applyBorder="1" applyAlignment="1">
      <alignment horizontal="center" vertical="center" wrapText="1"/>
    </xf>
    <xf numFmtId="2" fontId="20" fillId="14" borderId="23" xfId="0" applyNumberFormat="1" applyFont="1" applyFill="1" applyBorder="1" applyAlignment="1">
      <alignment horizontal="center" vertical="center" wrapText="1"/>
    </xf>
    <xf numFmtId="1" fontId="20" fillId="14" borderId="23" xfId="0" applyNumberFormat="1" applyFont="1" applyFill="1" applyBorder="1" applyAlignment="1">
      <alignment horizontal="center" vertical="center" wrapText="1"/>
    </xf>
    <xf numFmtId="0" fontId="20" fillId="14" borderId="0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center" vertical="center" textRotation="90" wrapText="1"/>
    </xf>
    <xf numFmtId="0" fontId="0" fillId="0" borderId="0" xfId="0" applyFill="1" applyAlignment="1">
      <alignment horizontal="center" vertical="center" textRotation="90" wrapText="1"/>
    </xf>
    <xf numFmtId="0" fontId="4" fillId="0" borderId="13" xfId="0" applyFont="1" applyBorder="1" applyAlignment="1">
      <alignment horizontal="center"/>
    </xf>
    <xf numFmtId="0" fontId="16" fillId="4" borderId="0" xfId="0" applyFont="1" applyFill="1" applyBorder="1" applyAlignment="1">
      <alignment horizontal="center" vertical="center"/>
    </xf>
    <xf numFmtId="4" fontId="11" fillId="0" borderId="2" xfId="0" applyNumberFormat="1" applyFont="1" applyBorder="1" applyAlignment="1">
      <alignment horizontal="center"/>
    </xf>
    <xf numFmtId="4" fontId="11" fillId="0" borderId="1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4" fontId="4" fillId="0" borderId="0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4" fontId="11" fillId="0" borderId="2" xfId="0" applyNumberFormat="1" applyFont="1" applyBorder="1" applyAlignment="1">
      <alignment horizontal="center" wrapText="1"/>
    </xf>
    <xf numFmtId="0" fontId="26" fillId="2" borderId="0" xfId="0" applyFont="1" applyFill="1" applyBorder="1" applyAlignment="1">
      <alignment horizontal="center" vertical="center"/>
    </xf>
    <xf numFmtId="0" fontId="30" fillId="9" borderId="0" xfId="0" applyFont="1" applyFill="1" applyBorder="1" applyAlignment="1">
      <alignment horizontal="center" vertical="center"/>
    </xf>
    <xf numFmtId="2" fontId="47" fillId="0" borderId="0" xfId="0" applyNumberFormat="1" applyFont="1" applyBorder="1" applyAlignment="1">
      <alignment horizontal="center"/>
    </xf>
    <xf numFmtId="2" fontId="47" fillId="0" borderId="1" xfId="0" applyNumberFormat="1" applyFont="1" applyBorder="1" applyAlignment="1">
      <alignment horizontal="center"/>
    </xf>
    <xf numFmtId="4" fontId="47" fillId="0" borderId="0" xfId="0" applyNumberFormat="1" applyFont="1" applyBorder="1" applyAlignment="1">
      <alignment horizontal="center"/>
    </xf>
    <xf numFmtId="4" fontId="47" fillId="0" borderId="1" xfId="0" applyNumberFormat="1" applyFont="1" applyBorder="1" applyAlignment="1">
      <alignment horizontal="center"/>
    </xf>
    <xf numFmtId="4" fontId="48" fillId="0" borderId="2" xfId="0" applyNumberFormat="1" applyFont="1" applyBorder="1" applyAlignment="1">
      <alignment horizontal="center"/>
    </xf>
    <xf numFmtId="4" fontId="48" fillId="0" borderId="1" xfId="0" applyNumberFormat="1" applyFont="1" applyBorder="1" applyAlignment="1">
      <alignment horizontal="center"/>
    </xf>
    <xf numFmtId="4" fontId="4" fillId="0" borderId="2" xfId="0" applyNumberFormat="1" applyFont="1" applyBorder="1" applyAlignment="1">
      <alignment horizontal="center"/>
    </xf>
    <xf numFmtId="164" fontId="42" fillId="7" borderId="0" xfId="0" applyNumberFormat="1" applyFont="1" applyFill="1" applyAlignment="1">
      <alignment horizontal="center" vertical="center" textRotation="90"/>
    </xf>
    <xf numFmtId="2" fontId="4" fillId="0" borderId="0" xfId="0" applyNumberFormat="1" applyFont="1" applyBorder="1" applyAlignment="1">
      <alignment horizontal="center" wrapText="1"/>
    </xf>
    <xf numFmtId="4" fontId="4" fillId="0" borderId="0" xfId="0" applyNumberFormat="1" applyFont="1" applyBorder="1" applyAlignment="1">
      <alignment horizontal="center" wrapText="1"/>
    </xf>
    <xf numFmtId="0" fontId="11" fillId="0" borderId="0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4" fontId="11" fillId="0" borderId="0" xfId="0" applyNumberFormat="1" applyFont="1" applyBorder="1" applyAlignment="1">
      <alignment horizontal="center"/>
    </xf>
    <xf numFmtId="2" fontId="11" fillId="0" borderId="0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0" fontId="35" fillId="17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left"/>
    </xf>
    <xf numFmtId="0" fontId="34" fillId="17" borderId="0" xfId="0" applyFont="1" applyFill="1" applyAlignment="1">
      <alignment horizontal="center" vertical="center"/>
    </xf>
    <xf numFmtId="0" fontId="10" fillId="0" borderId="34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0" fontId="10" fillId="0" borderId="36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38" xfId="0" applyFont="1" applyBorder="1" applyAlignment="1">
      <alignment horizontal="center"/>
    </xf>
    <xf numFmtId="0" fontId="10" fillId="0" borderId="39" xfId="0" applyFont="1" applyBorder="1" applyAlignment="1">
      <alignment horizontal="center"/>
    </xf>
    <xf numFmtId="0" fontId="11" fillId="5" borderId="0" xfId="4" applyFont="1" applyFill="1" applyAlignment="1">
      <alignment horizontal="center"/>
    </xf>
    <xf numFmtId="0" fontId="14" fillId="6" borderId="0" xfId="4" applyFont="1" applyFill="1" applyAlignment="1">
      <alignment horizontal="center" vertical="center" textRotation="90"/>
    </xf>
    <xf numFmtId="167" fontId="11" fillId="0" borderId="13" xfId="4" applyNumberFormat="1" applyFont="1" applyBorder="1" applyAlignment="1">
      <alignment horizontal="right" wrapText="1"/>
    </xf>
    <xf numFmtId="0" fontId="11" fillId="0" borderId="10" xfId="4" applyFont="1" applyBorder="1" applyAlignment="1">
      <alignment horizontal="left" vertical="top" wrapText="1"/>
    </xf>
    <xf numFmtId="0" fontId="11" fillId="0" borderId="0" xfId="4" applyFont="1" applyAlignment="1">
      <alignment horizontal="left" vertical="top" wrapText="1"/>
    </xf>
    <xf numFmtId="0" fontId="11" fillId="0" borderId="7" xfId="4" applyFont="1" applyBorder="1" applyAlignment="1">
      <alignment horizontal="left" vertical="top" wrapText="1"/>
    </xf>
    <xf numFmtId="0" fontId="11" fillId="0" borderId="4" xfId="4" applyFont="1" applyBorder="1" applyAlignment="1">
      <alignment horizontal="left" vertical="top"/>
    </xf>
    <xf numFmtId="0" fontId="11" fillId="0" borderId="0" xfId="4" applyFont="1" applyAlignment="1">
      <alignment horizontal="left" vertical="top"/>
    </xf>
    <xf numFmtId="0" fontId="11" fillId="0" borderId="7" xfId="4" applyFont="1" applyBorder="1" applyAlignment="1">
      <alignment horizontal="left" vertical="top"/>
    </xf>
    <xf numFmtId="0" fontId="11" fillId="0" borderId="10" xfId="0" applyFont="1" applyBorder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/>
    </xf>
    <xf numFmtId="0" fontId="11" fillId="0" borderId="7" xfId="0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7" fontId="11" fillId="0" borderId="13" xfId="0" applyNumberFormat="1" applyFont="1" applyBorder="1" applyAlignment="1">
      <alignment horizontal="right" wrapText="1"/>
    </xf>
    <xf numFmtId="0" fontId="11" fillId="22" borderId="0" xfId="0" applyFont="1" applyFill="1" applyAlignment="1">
      <alignment horizontal="center"/>
    </xf>
    <xf numFmtId="0" fontId="0" fillId="0" borderId="1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22" borderId="0" xfId="0" applyFont="1" applyFill="1" applyAlignment="1">
      <alignment horizontal="center"/>
    </xf>
    <xf numFmtId="0" fontId="4" fillId="9" borderId="0" xfId="0" applyFont="1" applyFill="1" applyAlignment="1">
      <alignment horizontal="center" vertical="center"/>
    </xf>
    <xf numFmtId="0" fontId="4" fillId="22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/>
    </xf>
  </cellXfs>
  <cellStyles count="7">
    <cellStyle name="Comma 3" xfId="2" xr:uid="{AED8E226-D17E-4B2D-98B8-F14945706E78}"/>
    <cellStyle name="Link" xfId="6" builtinId="8"/>
    <cellStyle name="Prozent" xfId="3" builtinId="5"/>
    <cellStyle name="Standard" xfId="0" builtinId="0" customBuiltin="1"/>
    <cellStyle name="Standard 2" xfId="1" xr:uid="{2327A630-C814-4618-8769-16DADD0D72B2}"/>
    <cellStyle name="Standard 3" xfId="4" xr:uid="{20FD1821-4BA7-4AF1-9EAE-B26219FDDEB7}"/>
    <cellStyle name="Standard 4" xfId="5" xr:uid="{1FA5F365-D41E-48F8-A987-4CE5469AF4A9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99DFD0"/>
      <rgbColor rgb="00008080"/>
      <rgbColor rgb="00C0C0C0"/>
      <rgbColor rgb="00808080"/>
      <rgbColor rgb="0000AF8A"/>
      <rgbColor rgb="0066CFB9"/>
      <rgbColor rgb="0099DFD0"/>
      <rgbColor rgb="00CCEFE8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CFB9"/>
      <rgbColor rgb="00969696"/>
      <rgbColor rgb="00003366"/>
      <rgbColor rgb="00339966"/>
      <rgbColor rgb="00003300"/>
      <rgbColor rgb="00333300"/>
      <rgbColor rgb="00993300"/>
      <rgbColor rgb="00CCEFE8"/>
      <rgbColor rgb="0000AF8A"/>
      <rgbColor rgb="00333333"/>
    </indexedColors>
    <mruColors>
      <color rgb="FFB45608"/>
      <color rgb="FFF8A968"/>
      <color rgb="FF127860"/>
      <color rgb="FF006600"/>
      <color rgb="FF005B7F"/>
      <color rgb="FFA6C6A8"/>
      <color rgb="FF6EA272"/>
      <color rgb="FF5A8D5E"/>
      <color rgb="FF8BCBA9"/>
      <color rgb="FF5B8F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de-DE"/>
              <a:t>Cumulative Energy Demand (CED) </a:t>
            </a:r>
            <a:br>
              <a:rPr lang="de-DE"/>
            </a:br>
            <a:r>
              <a:rPr lang="de-DE" baseline="0"/>
              <a:t>[kWh</a:t>
            </a:r>
            <a:r>
              <a:rPr lang="de-DE" baseline="-25000"/>
              <a:t>CED</a:t>
            </a:r>
            <a:r>
              <a:rPr lang="de-DE" baseline="0"/>
              <a:t>/kWh</a:t>
            </a:r>
            <a:r>
              <a:rPr lang="de-DE" baseline="-25000"/>
              <a:t>cell</a:t>
            </a:r>
            <a:r>
              <a:rPr lang="de-DE" baseline="0"/>
              <a:t>]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LCIA!$AQ$10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(LCIA!$AR$6:$AS$7,LCIA!$AT$6:$AU$7,LCIA!$AV$6:$AW$7,LCIA!$AX$6:$AY$7,LCIA!$AZ$6:$BA$7,LCIA!$BB$6:$BC$7,LCIA!$BD$6:$BE$7,LCIA!$BF$6:$BG$7)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LCIA!$AR$10:$BG$10</c:f>
              <c:numCache>
                <c:formatCode>0.0</c:formatCode>
                <c:ptCount val="16"/>
                <c:pt idx="0">
                  <c:v>9.0767588382781259</c:v>
                </c:pt>
                <c:pt idx="1">
                  <c:v>4.6392322951199301</c:v>
                </c:pt>
                <c:pt idx="2">
                  <c:v>11.924961388590358</c:v>
                </c:pt>
                <c:pt idx="3">
                  <c:v>6.0949802652795135</c:v>
                </c:pt>
                <c:pt idx="4">
                  <c:v>11.579238899759675</c:v>
                </c:pt>
                <c:pt idx="5">
                  <c:v>5.9182776598771678</c:v>
                </c:pt>
                <c:pt idx="6">
                  <c:v>9.6894891742938718</c:v>
                </c:pt>
                <c:pt idx="7">
                  <c:v>4.9524055779724243</c:v>
                </c:pt>
                <c:pt idx="8">
                  <c:v>8.7512942758075578</c:v>
                </c:pt>
                <c:pt idx="9">
                  <c:v>4.4728837409683075</c:v>
                </c:pt>
                <c:pt idx="10">
                  <c:v>16.171325132530018</c:v>
                </c:pt>
                <c:pt idx="11">
                  <c:v>8.2653439566264524</c:v>
                </c:pt>
                <c:pt idx="12">
                  <c:v>18.553518667886088</c:v>
                </c:pt>
                <c:pt idx="13">
                  <c:v>9.4829095413640001</c:v>
                </c:pt>
                <c:pt idx="14">
                  <c:v>8.5147728088938397</c:v>
                </c:pt>
                <c:pt idx="15">
                  <c:v>4.3519949912124067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60-4D24-A515-17790FD424C4}"/>
            </c:ext>
          </c:extLst>
        </c:ser>
        <c:ser>
          <c:idx val="2"/>
          <c:order val="1"/>
          <c:tx>
            <c:strRef>
              <c:f>LCIA!$AQ$11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(LCIA!$AR$6:$AS$7,LCIA!$AT$6:$AU$7,LCIA!$AV$6:$AW$7,LCIA!$AX$6:$AY$7,LCIA!$AZ$6:$BA$7,LCIA!$BB$6:$BC$7,LCIA!$BD$6:$BE$7,LCIA!$BF$6:$BG$7)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LCIA!$AR$11:$BG$11</c:f>
              <c:numCache>
                <c:formatCode>0.0</c:formatCode>
                <c:ptCount val="16"/>
                <c:pt idx="0">
                  <c:v>323.03020383374451</c:v>
                </c:pt>
                <c:pt idx="1">
                  <c:v>323.03020383374451</c:v>
                </c:pt>
                <c:pt idx="2">
                  <c:v>465.8137154746845</c:v>
                </c:pt>
                <c:pt idx="3">
                  <c:v>465.8137154746845</c:v>
                </c:pt>
                <c:pt idx="4">
                  <c:v>472.21021685150538</c:v>
                </c:pt>
                <c:pt idx="5">
                  <c:v>472.21021685150538</c:v>
                </c:pt>
                <c:pt idx="6">
                  <c:v>355.04537693818469</c:v>
                </c:pt>
                <c:pt idx="7">
                  <c:v>355.04537693818469</c:v>
                </c:pt>
                <c:pt idx="8">
                  <c:v>301.36971257422567</c:v>
                </c:pt>
                <c:pt idx="9">
                  <c:v>301.36971257422567</c:v>
                </c:pt>
                <c:pt idx="10">
                  <c:v>155.83293011393013</c:v>
                </c:pt>
                <c:pt idx="11">
                  <c:v>155.83293011393013</c:v>
                </c:pt>
                <c:pt idx="12">
                  <c:v>310.93155711941773</c:v>
                </c:pt>
                <c:pt idx="13">
                  <c:v>310.93155711941773</c:v>
                </c:pt>
                <c:pt idx="14">
                  <c:v>301.16478156072907</c:v>
                </c:pt>
                <c:pt idx="15">
                  <c:v>301.16478156072907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60-4D24-A515-17790FD424C4}"/>
            </c:ext>
          </c:extLst>
        </c:ser>
        <c:ser>
          <c:idx val="34"/>
          <c:order val="2"/>
          <c:tx>
            <c:strRef>
              <c:f>LCIA!$AQ$61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(LCIA!$AR$6:$AS$7,LCIA!$AT$6:$AU$7,LCIA!$AV$6:$AW$7,LCIA!$AX$6:$AY$7,LCIA!$AZ$6:$BA$7,LCIA!$BB$6:$BC$7,LCIA!$BD$6:$BE$7,LCIA!$BF$6:$BG$7)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(LCIA!$AR$61:$BC$61,LCIA!$BD$62:$BE$62,LCIA!$BF$63:$BG$63)</c:f>
              <c:numCache>
                <c:formatCode>0.0</c:formatCode>
                <c:ptCount val="16"/>
                <c:pt idx="0">
                  <c:v>16.781582440624032</c:v>
                </c:pt>
                <c:pt idx="1">
                  <c:v>11.20939669599861</c:v>
                </c:pt>
                <c:pt idx="2">
                  <c:v>19.435155138602269</c:v>
                </c:pt>
                <c:pt idx="3">
                  <c:v>12.953173040384304</c:v>
                </c:pt>
                <c:pt idx="4">
                  <c:v>19.113057344912136</c:v>
                </c:pt>
                <c:pt idx="5">
                  <c:v>12.741508775959364</c:v>
                </c:pt>
                <c:pt idx="6">
                  <c:v>15.528401683084288</c:v>
                </c:pt>
                <c:pt idx="7">
                  <c:v>10.346201976299513</c:v>
                </c:pt>
                <c:pt idx="8">
                  <c:v>13.490085758019594</c:v>
                </c:pt>
                <c:pt idx="9">
                  <c:v>8.981413882696506</c:v>
                </c:pt>
                <c:pt idx="10">
                  <c:v>24.431981366191618</c:v>
                </c:pt>
                <c:pt idx="11">
                  <c:v>16.259489162177299</c:v>
                </c:pt>
                <c:pt idx="12">
                  <c:v>32.255651909150586</c:v>
                </c:pt>
                <c:pt idx="13">
                  <c:v>21.56760594966762</c:v>
                </c:pt>
                <c:pt idx="14">
                  <c:v>18.182722075842928</c:v>
                </c:pt>
                <c:pt idx="15">
                  <c:v>12.121814717228618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60-4D24-A515-17790FD424C4}"/>
            </c:ext>
          </c:extLst>
        </c:ser>
        <c:ser>
          <c:idx val="33"/>
          <c:order val="3"/>
          <c:tx>
            <c:strRef>
              <c:f>LCIA!$AQ$60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(LCIA!$AR$6:$AS$7,LCIA!$AT$6:$AU$7,LCIA!$AV$6:$AW$7,LCIA!$AX$6:$AY$7,LCIA!$AZ$6:$BA$7,LCIA!$BB$6:$BC$7,LCIA!$BD$6:$BE$7,LCIA!$BF$6:$BG$7)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LCIA!$AR$60:$BG$60</c:f>
              <c:numCache>
                <c:formatCode>0.0</c:formatCode>
                <c:ptCount val="16"/>
                <c:pt idx="0">
                  <c:v>5.6962134154075033</c:v>
                </c:pt>
                <c:pt idx="1">
                  <c:v>2.9113979678749455</c:v>
                </c:pt>
                <c:pt idx="2">
                  <c:v>7.4836322359304583</c:v>
                </c:pt>
                <c:pt idx="3">
                  <c:v>3.8249675872533442</c:v>
                </c:pt>
                <c:pt idx="4">
                  <c:v>7.2666705303290584</c:v>
                </c:pt>
                <c:pt idx="5">
                  <c:v>3.714076048834853</c:v>
                </c:pt>
                <c:pt idx="6">
                  <c:v>6.0807386432147181</c:v>
                </c:pt>
                <c:pt idx="7">
                  <c:v>3.1079330843097441</c:v>
                </c:pt>
                <c:pt idx="8">
                  <c:v>5.4919647799621796</c:v>
                </c:pt>
                <c:pt idx="9">
                  <c:v>2.8070042208695583</c:v>
                </c:pt>
                <c:pt idx="10">
                  <c:v>10.148481501609272</c:v>
                </c:pt>
                <c:pt idx="11">
                  <c:v>5.1870016563780705</c:v>
                </c:pt>
                <c:pt idx="12">
                  <c:v>11.643451569224995</c:v>
                </c:pt>
                <c:pt idx="13">
                  <c:v>5.9510974687149965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B60-4D24-A515-17790FD424C4}"/>
            </c:ext>
          </c:extLst>
        </c:ser>
        <c:ser>
          <c:idx val="26"/>
          <c:order val="4"/>
          <c:tx>
            <c:strRef>
              <c:f>LCIA!$AQ$52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(LCIA!$AR$6:$AS$7,LCIA!$AT$6:$AU$7,LCIA!$AV$6:$AW$7,LCIA!$AX$6:$AY$7,LCIA!$AZ$6:$BA$7,LCIA!$BB$6:$BC$7,LCIA!$BD$6:$BE$7,LCIA!$BF$6:$BG$7)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LCIA!$AR$52:$BG$52</c:f>
              <c:numCache>
                <c:formatCode>0.0</c:formatCode>
                <c:ptCount val="16"/>
                <c:pt idx="0">
                  <c:v>32.844744920376044</c:v>
                </c:pt>
                <c:pt idx="1">
                  <c:v>32.62100457432139</c:v>
                </c:pt>
                <c:pt idx="2">
                  <c:v>32.844744920376037</c:v>
                </c:pt>
                <c:pt idx="3">
                  <c:v>32.62100457432139</c:v>
                </c:pt>
                <c:pt idx="4">
                  <c:v>32.844744920376051</c:v>
                </c:pt>
                <c:pt idx="5">
                  <c:v>32.621004574321397</c:v>
                </c:pt>
                <c:pt idx="6">
                  <c:v>25.96220801469784</c:v>
                </c:pt>
                <c:pt idx="7">
                  <c:v>25.787864887902018</c:v>
                </c:pt>
                <c:pt idx="8">
                  <c:v>21.569099351499005</c:v>
                </c:pt>
                <c:pt idx="9">
                  <c:v>21.426286364655606</c:v>
                </c:pt>
                <c:pt idx="10">
                  <c:v>36.950338035423044</c:v>
                </c:pt>
                <c:pt idx="11">
                  <c:v>36.698630146111569</c:v>
                </c:pt>
                <c:pt idx="12">
                  <c:v>14.416323696886419</c:v>
                </c:pt>
                <c:pt idx="13">
                  <c:v>14.140164184041813</c:v>
                </c:pt>
                <c:pt idx="14">
                  <c:v>270.38498044702135</c:v>
                </c:pt>
                <c:pt idx="15">
                  <c:v>138.19676778403314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B60-4D24-A515-17790FD424C4}"/>
            </c:ext>
          </c:extLst>
        </c:ser>
        <c:ser>
          <c:idx val="25"/>
          <c:order val="5"/>
          <c:tx>
            <c:strRef>
              <c:f>LCIA!$AQ$50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(LCIA!$AR$6:$AS$7,LCIA!$AT$6:$AU$7,LCIA!$AV$6:$AW$7,LCIA!$AX$6:$AY$7,LCIA!$AZ$6:$BA$7,LCIA!$BB$6:$BC$7,LCIA!$BD$6:$BE$7,LCIA!$BF$6:$BG$7)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(LCIA!$AR$50:$BC$50,LCIA!$BD$51:$BE$51,LCIA!$BF$50:$BG$50)</c:f>
              <c:numCache>
                <c:formatCode>0.0</c:formatCode>
                <c:ptCount val="16"/>
                <c:pt idx="0">
                  <c:v>15.35823585783408</c:v>
                </c:pt>
                <c:pt idx="1">
                  <c:v>7.8497649940040839</c:v>
                </c:pt>
                <c:pt idx="2">
                  <c:v>20.177507507324989</c:v>
                </c:pt>
                <c:pt idx="3">
                  <c:v>10.312948281521654</c:v>
                </c:pt>
                <c:pt idx="4">
                  <c:v>19.592531347946679</c:v>
                </c:pt>
                <c:pt idx="5">
                  <c:v>10.013960466728303</c:v>
                </c:pt>
                <c:pt idx="6">
                  <c:v>16.394999881804221</c:v>
                </c:pt>
                <c:pt idx="7">
                  <c:v>8.3796666062554905</c:v>
                </c:pt>
                <c:pt idx="8">
                  <c:v>14.807536913106139</c:v>
                </c:pt>
                <c:pt idx="9">
                  <c:v>7.5682966444764723</c:v>
                </c:pt>
                <c:pt idx="10">
                  <c:v>27.362523335062058</c:v>
                </c:pt>
                <c:pt idx="11">
                  <c:v>13.98528970458727</c:v>
                </c:pt>
                <c:pt idx="12">
                  <c:v>18.553518667886088</c:v>
                </c:pt>
                <c:pt idx="13">
                  <c:v>9.4829095413640001</c:v>
                </c:pt>
                <c:pt idx="14">
                  <c:v>14.40733321275192</c:v>
                </c:pt>
                <c:pt idx="15">
                  <c:v>7.3637480865176475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B60-4D24-A515-17790FD424C4}"/>
            </c:ext>
          </c:extLst>
        </c:ser>
        <c:ser>
          <c:idx val="0"/>
          <c:order val="6"/>
          <c:tx>
            <c:strRef>
              <c:f>LCIA!$AQ$64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(LCIA!$AR$6:$AS$7,LCIA!$AT$6:$AU$7,LCIA!$AV$6:$AW$7,LCIA!$AX$6:$AY$7,LCIA!$AZ$6:$BA$7,LCIA!$BB$6:$BC$7,LCIA!$BD$6:$BE$7,LCIA!$BF$6:$BG$7)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LCIA!$AR$64:$BG$64</c:f>
              <c:numCache>
                <c:formatCode>0.0</c:formatCode>
                <c:ptCount val="16"/>
                <c:pt idx="0">
                  <c:v>0.85021127966234811</c:v>
                </c:pt>
                <c:pt idx="1">
                  <c:v>0.69992599405318945</c:v>
                </c:pt>
                <c:pt idx="2">
                  <c:v>0.96823287155943172</c:v>
                </c:pt>
                <c:pt idx="3">
                  <c:v>0.79114235701482838</c:v>
                </c:pt>
                <c:pt idx="4">
                  <c:v>0.97358965432561018</c:v>
                </c:pt>
                <c:pt idx="5">
                  <c:v>0.79646975303370526</c:v>
                </c:pt>
                <c:pt idx="6">
                  <c:v>0.79293106523188428</c:v>
                </c:pt>
                <c:pt idx="7">
                  <c:v>0.64746182275118425</c:v>
                </c:pt>
                <c:pt idx="8">
                  <c:v>0.68823960925549754</c:v>
                </c:pt>
                <c:pt idx="9">
                  <c:v>0.56055535671265655</c:v>
                </c:pt>
                <c:pt idx="10">
                  <c:v>1.2510767659410953</c:v>
                </c:pt>
                <c:pt idx="11">
                  <c:v>1.0172826575894569</c:v>
                </c:pt>
                <c:pt idx="12">
                  <c:v>1.6593260112591037</c:v>
                </c:pt>
                <c:pt idx="13">
                  <c:v>1.358154445084095</c:v>
                </c:pt>
                <c:pt idx="14">
                  <c:v>0.52570894388855915</c:v>
                </c:pt>
                <c:pt idx="15">
                  <c:v>0.38091047423428209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0-4DE1-9D3D-82916986BC50}"/>
            </c:ext>
          </c:extLst>
        </c:ser>
        <c:ser>
          <c:idx val="35"/>
          <c:order val="7"/>
          <c:tx>
            <c:strRef>
              <c:f>LCIA!$AQ$65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LCIA!$AR$331:$BG$331</c:f>
                <c:numCache>
                  <c:formatCode>General</c:formatCode>
                  <c:ptCount val="16"/>
                  <c:pt idx="0">
                    <c:v>39.86227963633155</c:v>
                  </c:pt>
                  <c:pt idx="1">
                    <c:v>37.428967900140719</c:v>
                  </c:pt>
                  <c:pt idx="2">
                    <c:v>44.244555302923573</c:v>
                  </c:pt>
                  <c:pt idx="3">
                    <c:v>40.926347345322824</c:v>
                  </c:pt>
                  <c:pt idx="4">
                    <c:v>45.152718353197656</c:v>
                  </c:pt>
                  <c:pt idx="5">
                    <c:v>42.008596674163186</c:v>
                  </c:pt>
                  <c:pt idx="6">
                    <c:v>40.517278113299199</c:v>
                  </c:pt>
                  <c:pt idx="7">
                    <c:v>37.979923280462685</c:v>
                  </c:pt>
                  <c:pt idx="8">
                    <c:v>38.564767047138275</c:v>
                  </c:pt>
                  <c:pt idx="9">
                    <c:v>36.340828024585903</c:v>
                  </c:pt>
                  <c:pt idx="10">
                    <c:v>37.791874058118935</c:v>
                  </c:pt>
                  <c:pt idx="11">
                    <c:v>31.922812894542062</c:v>
                  </c:pt>
                  <c:pt idx="12">
                    <c:v>52.235261892294261</c:v>
                  </c:pt>
                  <c:pt idx="13">
                    <c:v>47.172434317328111</c:v>
                  </c:pt>
                  <c:pt idx="14">
                    <c:v>103.37612604181857</c:v>
                  </c:pt>
                  <c:pt idx="15">
                    <c:v>61.597499918967287</c:v>
                  </c:pt>
                </c:numCache>
              </c:numRef>
            </c:plus>
            <c:minus>
              <c:numRef>
                <c:f>LCIA!$AR$330:$BG$330</c:f>
                <c:numCache>
                  <c:formatCode>General</c:formatCode>
                  <c:ptCount val="16"/>
                  <c:pt idx="0">
                    <c:v>21.836007827555022</c:v>
                  </c:pt>
                  <c:pt idx="1">
                    <c:v>21.842873671372331</c:v>
                  </c:pt>
                  <c:pt idx="2">
                    <c:v>22.117057214349416</c:v>
                  </c:pt>
                  <c:pt idx="3">
                    <c:v>21.921256938135798</c:v>
                  </c:pt>
                  <c:pt idx="4">
                    <c:v>23.073466825589435</c:v>
                  </c:pt>
                  <c:pt idx="5">
                    <c:v>22.969259761200306</c:v>
                  </c:pt>
                  <c:pt idx="6">
                    <c:v>21.752208305855675</c:v>
                  </c:pt>
                  <c:pt idx="7">
                    <c:v>21.743853890870014</c:v>
                  </c:pt>
                  <c:pt idx="8">
                    <c:v>21.155993675808077</c:v>
                  </c:pt>
                  <c:pt idx="9">
                    <c:v>21.199131779414415</c:v>
                  </c:pt>
                  <c:pt idx="10">
                    <c:v>16.932994859115581</c:v>
                  </c:pt>
                  <c:pt idx="11">
                    <c:v>15.237561480961631</c:v>
                  </c:pt>
                  <c:pt idx="12">
                    <c:v>25.393450505373096</c:v>
                  </c:pt>
                  <c:pt idx="13">
                    <c:v>24.641573394636453</c:v>
                  </c:pt>
                  <c:pt idx="14">
                    <c:v>65.944102309464483</c:v>
                  </c:pt>
                  <c:pt idx="15">
                    <c:v>36.891989280112966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(LCIA!$AR$6:$AS$7,LCIA!$AT$6:$AU$7,LCIA!$AV$6:$AW$7,LCIA!$AX$6:$AY$7,LCIA!$AZ$6:$BA$7,LCIA!$BB$6:$BC$7,LCIA!$BD$6:$BE$7,LCIA!$BF$6:$BG$7)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LCIA!$AR$65:$BG$65</c:f>
              <c:numCache>
                <c:formatCode>0.0</c:formatCode>
                <c:ptCount val="16"/>
                <c:pt idx="0">
                  <c:v>52.454659193574955</c:v>
                </c:pt>
                <c:pt idx="1">
                  <c:v>43.954124230728951</c:v>
                </c:pt>
                <c:pt idx="2">
                  <c:v>61.154218670648973</c:v>
                </c:pt>
                <c:pt idx="3">
                  <c:v>49.987339729021414</c:v>
                </c:pt>
                <c:pt idx="4">
                  <c:v>60.098242734592446</c:v>
                </c:pt>
                <c:pt idx="5">
                  <c:v>49.255011799080883</c:v>
                </c:pt>
                <c:pt idx="6">
                  <c:v>54.256898377811439</c:v>
                </c:pt>
                <c:pt idx="7">
                  <c:v>45.183485422077837</c:v>
                </c:pt>
                <c:pt idx="8">
                  <c:v>51.347049384048091</c:v>
                </c:pt>
                <c:pt idx="9">
                  <c:v>43.152392815016839</c:v>
                </c:pt>
                <c:pt idx="10">
                  <c:v>74.16386837264595</c:v>
                </c:pt>
                <c:pt idx="11">
                  <c:v>59.021341031384345</c:v>
                </c:pt>
                <c:pt idx="12">
                  <c:v>85.261092832491826</c:v>
                </c:pt>
                <c:pt idx="13">
                  <c:v>67.886111616804087</c:v>
                </c:pt>
                <c:pt idx="14">
                  <c:v>41.57974490327932</c:v>
                </c:pt>
                <c:pt idx="15">
                  <c:v>29.568170131777386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B60-4D24-A515-17790FD4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129525146841544"/>
          <c:y val="1.7049775905878466E-2"/>
          <c:w val="0.11995223950998665"/>
          <c:h val="0.21828557461569675"/>
        </c:manualLayout>
      </c:layout>
      <c:overlay val="1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de-DE"/>
              <a:t>Global Warming Potential (GWP) </a:t>
            </a:r>
            <a:br>
              <a:rPr lang="de-DE"/>
            </a:br>
            <a:r>
              <a:rPr lang="de-DE"/>
              <a:t>[kgCO</a:t>
            </a:r>
            <a:r>
              <a:rPr lang="de-DE" baseline="-25000"/>
              <a:t>2</a:t>
            </a:r>
            <a:r>
              <a:rPr lang="de-DE"/>
              <a:t>-eq/kWh</a:t>
            </a:r>
            <a:r>
              <a:rPr lang="de-DE" baseline="-25000"/>
              <a:t>cell</a:t>
            </a:r>
            <a:r>
              <a:rPr lang="de-DE"/>
              <a:t>]</a:t>
            </a:r>
            <a:r>
              <a:rPr lang="de-D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LCIA!$BJ$10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LCIA!$BK$6:$BZ$7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LCIA!$BK$10:$BZ$10</c:f>
              <c:numCache>
                <c:formatCode>0.0</c:formatCode>
                <c:ptCount val="16"/>
                <c:pt idx="0">
                  <c:v>3.0323271963859337</c:v>
                </c:pt>
                <c:pt idx="1">
                  <c:v>1.5498561225972549</c:v>
                </c:pt>
                <c:pt idx="2">
                  <c:v>3.983843283571737</c:v>
                </c:pt>
                <c:pt idx="3">
                  <c:v>2.0361865671588868</c:v>
                </c:pt>
                <c:pt idx="4">
                  <c:v>3.8683457007933471</c:v>
                </c:pt>
                <c:pt idx="5">
                  <c:v>1.9771544692943777</c:v>
                </c:pt>
                <c:pt idx="6">
                  <c:v>3.2370256900944772</c:v>
                </c:pt>
                <c:pt idx="7">
                  <c:v>1.6544797971593996</c:v>
                </c:pt>
                <c:pt idx="8">
                  <c:v>2.9235973004149876</c:v>
                </c:pt>
                <c:pt idx="9">
                  <c:v>1.494283064656549</c:v>
                </c:pt>
                <c:pt idx="10">
                  <c:v>5.4024514559287873</c:v>
                </c:pt>
                <c:pt idx="11">
                  <c:v>2.7612529663636014</c:v>
                </c:pt>
                <c:pt idx="12">
                  <c:v>6.1982851200173315</c:v>
                </c:pt>
                <c:pt idx="13">
                  <c:v>3.1680123946755252</c:v>
                </c:pt>
                <c:pt idx="14">
                  <c:v>2.844581157160528</c:v>
                </c:pt>
                <c:pt idx="15">
                  <c:v>1.4538970358820478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84-4771-BEE6-44F5802C272B}"/>
            </c:ext>
          </c:extLst>
        </c:ser>
        <c:ser>
          <c:idx val="2"/>
          <c:order val="1"/>
          <c:tx>
            <c:strRef>
              <c:f>LCIA!$BJ$11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LCIA!$BK$6:$BZ$7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LCIA!$BK$11:$BZ$11</c:f>
              <c:numCache>
                <c:formatCode>0.0</c:formatCode>
                <c:ptCount val="16"/>
                <c:pt idx="0">
                  <c:v>42.466242739080528</c:v>
                </c:pt>
                <c:pt idx="1">
                  <c:v>42.466242739080528</c:v>
                </c:pt>
                <c:pt idx="2">
                  <c:v>61.53736426932285</c:v>
                </c:pt>
                <c:pt idx="3">
                  <c:v>61.53736426932285</c:v>
                </c:pt>
                <c:pt idx="4">
                  <c:v>61.129409311843062</c:v>
                </c:pt>
                <c:pt idx="5">
                  <c:v>61.129409311843062</c:v>
                </c:pt>
                <c:pt idx="6">
                  <c:v>46.927942409687013</c:v>
                </c:pt>
                <c:pt idx="7">
                  <c:v>46.927942409687013</c:v>
                </c:pt>
                <c:pt idx="8">
                  <c:v>40.16381340005649</c:v>
                </c:pt>
                <c:pt idx="9">
                  <c:v>40.16381340005649</c:v>
                </c:pt>
                <c:pt idx="10">
                  <c:v>31.893619509831101</c:v>
                </c:pt>
                <c:pt idx="11">
                  <c:v>31.893619509831101</c:v>
                </c:pt>
                <c:pt idx="12">
                  <c:v>48.778279542788304</c:v>
                </c:pt>
                <c:pt idx="13">
                  <c:v>48.778279542788297</c:v>
                </c:pt>
                <c:pt idx="14">
                  <c:v>40.116443795428822</c:v>
                </c:pt>
                <c:pt idx="15">
                  <c:v>40.116443795428822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84-4771-BEE6-44F5802C272B}"/>
            </c:ext>
          </c:extLst>
        </c:ser>
        <c:ser>
          <c:idx val="34"/>
          <c:order val="2"/>
          <c:tx>
            <c:strRef>
              <c:f>LCIA!$BJ$61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LCIA!$BK$6:$BZ$7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(LCIA!$BK$61:$BV$61,LCIA!$BW$62:$BX$62,LCIA!$BY$63:$BZ$63)</c:f>
              <c:numCache>
                <c:formatCode>0.0</c:formatCode>
                <c:ptCount val="16"/>
                <c:pt idx="0">
                  <c:v>3.895306260903451</c:v>
                </c:pt>
                <c:pt idx="1">
                  <c:v>2.6019020128384369</c:v>
                </c:pt>
                <c:pt idx="2">
                  <c:v>4.5112480757334419</c:v>
                </c:pt>
                <c:pt idx="3">
                  <c:v>3.0066637768695736</c:v>
                </c:pt>
                <c:pt idx="4">
                  <c:v>4.4364834010179566</c:v>
                </c:pt>
                <c:pt idx="5">
                  <c:v>2.9575327049136835</c:v>
                </c:pt>
                <c:pt idx="6">
                  <c:v>3.6044205313746702</c:v>
                </c:pt>
                <c:pt idx="7">
                  <c:v>2.4015390370630927</c:v>
                </c:pt>
                <c:pt idx="8">
                  <c:v>3.1312908481224353</c:v>
                </c:pt>
                <c:pt idx="9">
                  <c:v>2.0847472431647467</c:v>
                </c:pt>
                <c:pt idx="10">
                  <c:v>5.6711010608641805</c:v>
                </c:pt>
                <c:pt idx="11">
                  <c:v>3.7741190472717943</c:v>
                </c:pt>
                <c:pt idx="12">
                  <c:v>7.4871153108350379</c:v>
                </c:pt>
                <c:pt idx="13">
                  <c:v>5.0062281543286185</c:v>
                </c:pt>
                <c:pt idx="14">
                  <c:v>3.3137557663180632</c:v>
                </c:pt>
                <c:pt idx="15">
                  <c:v>2.209170510878709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84-4771-BEE6-44F5802C272B}"/>
            </c:ext>
          </c:extLst>
        </c:ser>
        <c:ser>
          <c:idx val="33"/>
          <c:order val="3"/>
          <c:tx>
            <c:strRef>
              <c:f>LCIA!$BJ$60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LCIA!$BK$6:$BZ$7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LCIA!$BK$60:$BZ$60</c:f>
              <c:numCache>
                <c:formatCode>0.0</c:formatCode>
                <c:ptCount val="16"/>
                <c:pt idx="0">
                  <c:v>0.78651265181819496</c:v>
                </c:pt>
                <c:pt idx="1">
                  <c:v>0.40199535537374403</c:v>
                </c:pt>
                <c:pt idx="2">
                  <c:v>1.0333130109193274</c:v>
                </c:pt>
                <c:pt idx="3">
                  <c:v>0.52813776113654487</c:v>
                </c:pt>
                <c:pt idx="4">
                  <c:v>1.0033557192992506</c:v>
                </c:pt>
                <c:pt idx="5">
                  <c:v>0.51282625653072822</c:v>
                </c:pt>
                <c:pt idx="6">
                  <c:v>0.83960651164367195</c:v>
                </c:pt>
                <c:pt idx="7">
                  <c:v>0.42913221706232119</c:v>
                </c:pt>
                <c:pt idx="8">
                  <c:v>0.75831073518005987</c:v>
                </c:pt>
                <c:pt idx="9">
                  <c:v>0.3875810424253639</c:v>
                </c:pt>
                <c:pt idx="10">
                  <c:v>1.4012658086455465</c:v>
                </c:pt>
                <c:pt idx="11">
                  <c:v>0.71620252441883459</c:v>
                </c:pt>
                <c:pt idx="12">
                  <c:v>1.6076858962582841</c:v>
                </c:pt>
                <c:pt idx="13">
                  <c:v>0.82170612475423399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84-4771-BEE6-44F5802C272B}"/>
            </c:ext>
          </c:extLst>
        </c:ser>
        <c:ser>
          <c:idx val="26"/>
          <c:order val="4"/>
          <c:tx>
            <c:strRef>
              <c:f>LCIA!$BJ$52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LCIA!$BK$6:$BZ$7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LCIA!$BK$52:$BZ$52</c:f>
              <c:numCache>
                <c:formatCode>0.0</c:formatCode>
                <c:ptCount val="16"/>
                <c:pt idx="0">
                  <c:v>7.1946816128184921</c:v>
                </c:pt>
                <c:pt idx="1">
                  <c:v>7.1702153411306027</c:v>
                </c:pt>
                <c:pt idx="2">
                  <c:v>7.1946816128184903</c:v>
                </c:pt>
                <c:pt idx="3">
                  <c:v>7.1702153411306018</c:v>
                </c:pt>
                <c:pt idx="4">
                  <c:v>7.1946816128184929</c:v>
                </c:pt>
                <c:pt idx="5">
                  <c:v>7.1702153411306035</c:v>
                </c:pt>
                <c:pt idx="6">
                  <c:v>5.7203988517392759</c:v>
                </c:pt>
                <c:pt idx="7">
                  <c:v>5.7013342244500143</c:v>
                </c:pt>
                <c:pt idx="8">
                  <c:v>4.7793673021142471</c:v>
                </c:pt>
                <c:pt idx="9">
                  <c:v>4.7637505329517644</c:v>
                </c:pt>
                <c:pt idx="10">
                  <c:v>8.0940168144208045</c:v>
                </c:pt>
                <c:pt idx="11">
                  <c:v>8.0664922587719303</c:v>
                </c:pt>
                <c:pt idx="12">
                  <c:v>3.8205022573454923</c:v>
                </c:pt>
                <c:pt idx="13">
                  <c:v>3.7903038877192987</c:v>
                </c:pt>
                <c:pt idx="14">
                  <c:v>72.924184679203336</c:v>
                </c:pt>
                <c:pt idx="15">
                  <c:v>37.272361058259484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84-4771-BEE6-44F5802C272B}"/>
            </c:ext>
          </c:extLst>
        </c:ser>
        <c:ser>
          <c:idx val="25"/>
          <c:order val="5"/>
          <c:tx>
            <c:strRef>
              <c:f>LCIA!$BJ$50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LCIA!$BK$6:$BZ$7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(LCIA!$BK$50:$BV$50,LCIA!$BW$51:$BX$51,LCIA!$BY$50:$BZ$50)</c:f>
              <c:numCache>
                <c:formatCode>0.0</c:formatCode>
                <c:ptCount val="16"/>
                <c:pt idx="0">
                  <c:v>3.7346787112402731</c:v>
                </c:pt>
                <c:pt idx="1">
                  <c:v>1.9088357857450282</c:v>
                </c:pt>
                <c:pt idx="2">
                  <c:v>4.9065861750689832</c:v>
                </c:pt>
                <c:pt idx="3">
                  <c:v>2.5078107117019233</c:v>
                </c:pt>
                <c:pt idx="4">
                  <c:v>4.7643368940163766</c:v>
                </c:pt>
                <c:pt idx="5">
                  <c:v>2.4351055236083705</c:v>
                </c:pt>
                <c:pt idx="6">
                  <c:v>3.9867897326324875</c:v>
                </c:pt>
                <c:pt idx="7">
                  <c:v>2.0376925300121602</c:v>
                </c:pt>
                <c:pt idx="8">
                  <c:v>3.6007646572944987</c:v>
                </c:pt>
                <c:pt idx="9">
                  <c:v>1.8403908248394105</c:v>
                </c:pt>
                <c:pt idx="10">
                  <c:v>6.6537741919847688</c:v>
                </c:pt>
                <c:pt idx="11">
                  <c:v>3.4008179203477704</c:v>
                </c:pt>
                <c:pt idx="12">
                  <c:v>6.1982851200173315</c:v>
                </c:pt>
                <c:pt idx="13">
                  <c:v>3.1680123946755252</c:v>
                </c:pt>
                <c:pt idx="14">
                  <c:v>3.5034466935838364</c:v>
                </c:pt>
                <c:pt idx="15">
                  <c:v>1.790650532276183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84-4771-BEE6-44F5802C272B}"/>
            </c:ext>
          </c:extLst>
        </c:ser>
        <c:ser>
          <c:idx val="0"/>
          <c:order val="6"/>
          <c:tx>
            <c:strRef>
              <c:f>LCIA!$BJ$64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LCIA!$BK$6:$BZ$7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LCIA!$BK$64:$BZ$64</c:f>
              <c:numCache>
                <c:formatCode>0.0</c:formatCode>
                <c:ptCount val="16"/>
                <c:pt idx="0">
                  <c:v>0.22310565434890478</c:v>
                </c:pt>
                <c:pt idx="1">
                  <c:v>0.1836689898551577</c:v>
                </c:pt>
                <c:pt idx="2">
                  <c:v>0.25407593799176048</c:v>
                </c:pt>
                <c:pt idx="3">
                  <c:v>0.20760525938332225</c:v>
                </c:pt>
                <c:pt idx="4">
                  <c:v>0.25548162214679521</c:v>
                </c:pt>
                <c:pt idx="5">
                  <c:v>0.2090032321028083</c:v>
                </c:pt>
                <c:pt idx="6">
                  <c:v>0.20807463790928585</c:v>
                </c:pt>
                <c:pt idx="7">
                  <c:v>0.16990176099310891</c:v>
                </c:pt>
                <c:pt idx="8">
                  <c:v>0.18060234208226811</c:v>
                </c:pt>
                <c:pt idx="9">
                  <c:v>0.14709646019731515</c:v>
                </c:pt>
                <c:pt idx="10">
                  <c:v>0.32829757400636927</c:v>
                </c:pt>
                <c:pt idx="11">
                  <c:v>0.26694719113750626</c:v>
                </c:pt>
                <c:pt idx="12">
                  <c:v>0.4354270807453216</c:v>
                </c:pt>
                <c:pt idx="13">
                  <c:v>0.35639604346074832</c:v>
                </c:pt>
                <c:pt idx="14">
                  <c:v>0.13795234282225532</c:v>
                </c:pt>
                <c:pt idx="15">
                  <c:v>9.9955484754496907E-2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2-45A2-931B-C4CC86E0E832}"/>
            </c:ext>
          </c:extLst>
        </c:ser>
        <c:ser>
          <c:idx val="35"/>
          <c:order val="7"/>
          <c:tx>
            <c:strRef>
              <c:f>LCIA!$BJ$65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LCIA!$BK$331:$BZ$331</c:f>
                <c:numCache>
                  <c:formatCode>General</c:formatCode>
                  <c:ptCount val="16"/>
                  <c:pt idx="0">
                    <c:v>6.0076993087719757</c:v>
                  </c:pt>
                  <c:pt idx="1">
                    <c:v>5.3366709012383353</c:v>
                  </c:pt>
                  <c:pt idx="2">
                    <c:v>7.2846882659452206</c:v>
                  </c:pt>
                  <c:pt idx="3">
                    <c:v>6.4362824771868645</c:v>
                  </c:pt>
                  <c:pt idx="4">
                    <c:v>7.1805280033850067</c:v>
                  </c:pt>
                  <c:pt idx="5">
                    <c:v>6.3596800932989481</c:v>
                  </c:pt>
                  <c:pt idx="6">
                    <c:v>6.2944808186583288</c:v>
                  </c:pt>
                  <c:pt idx="7">
                    <c:v>5.6100485011543242</c:v>
                  </c:pt>
                  <c:pt idx="8">
                    <c:v>5.7778130341125404</c:v>
                  </c:pt>
                  <c:pt idx="9">
                    <c:v>5.171351629194227</c:v>
                  </c:pt>
                  <c:pt idx="10">
                    <c:v>7.5611664679386195</c:v>
                  </c:pt>
                  <c:pt idx="11">
                    <c:v>6.1974503890757546</c:v>
                  </c:pt>
                  <c:pt idx="12">
                    <c:v>9.392032845720891</c:v>
                  </c:pt>
                  <c:pt idx="13">
                    <c:v>8.0294511240130504</c:v>
                  </c:pt>
                  <c:pt idx="14">
                    <c:v>26.134508297801034</c:v>
                  </c:pt>
                  <c:pt idx="15">
                    <c:v>14.232310378136091</c:v>
                  </c:pt>
                </c:numCache>
              </c:numRef>
            </c:plus>
            <c:minus>
              <c:numRef>
                <c:f>LCIA!$BK$330:$BZ$330</c:f>
                <c:numCache>
                  <c:formatCode>General</c:formatCode>
                  <c:ptCount val="16"/>
                  <c:pt idx="0">
                    <c:v>2.8549907242784229</c:v>
                  </c:pt>
                  <c:pt idx="1">
                    <c:v>2.739206293142459</c:v>
                  </c:pt>
                  <c:pt idx="2">
                    <c:v>3.9655741839628149</c:v>
                  </c:pt>
                  <c:pt idx="3">
                    <c:v>3.8272436242505705</c:v>
                  </c:pt>
                  <c:pt idx="4">
                    <c:v>3.9056758622548102</c:v>
                  </c:pt>
                  <c:pt idx="5">
                    <c:v>3.7761927570865907</c:v>
                  </c:pt>
                  <c:pt idx="6">
                    <c:v>2.9784585659889586</c:v>
                  </c:pt>
                  <c:pt idx="7">
                    <c:v>2.8691235853237416</c:v>
                  </c:pt>
                  <c:pt idx="8">
                    <c:v>2.7353120901699128</c:v>
                  </c:pt>
                  <c:pt idx="9">
                    <c:v>2.6443027191651609</c:v>
                  </c:pt>
                  <c:pt idx="10">
                    <c:v>3.785283976117654</c:v>
                  </c:pt>
                  <c:pt idx="11">
                    <c:v>3.3704269262359503</c:v>
                  </c:pt>
                  <c:pt idx="12">
                    <c:v>5.1290761922810617</c:v>
                  </c:pt>
                  <c:pt idx="13">
                    <c:v>4.8174985792239085</c:v>
                  </c:pt>
                  <c:pt idx="14">
                    <c:v>17.575515209240137</c:v>
                  </c:pt>
                  <c:pt idx="15">
                    <c:v>8.9826400417405665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LCIA!$BK$6:$BZ$7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LCIA!$BK$65:$BZ$65</c:f>
              <c:numCache>
                <c:formatCode>0.0</c:formatCode>
                <c:ptCount val="16"/>
                <c:pt idx="0">
                  <c:v>7.3527671227617848</c:v>
                </c:pt>
                <c:pt idx="1">
                  <c:v>6.0199291587964092</c:v>
                </c:pt>
                <c:pt idx="2">
                  <c:v>8.7340522315752409</c:v>
                </c:pt>
                <c:pt idx="3">
                  <c:v>6.9831067778048732</c:v>
                </c:pt>
                <c:pt idx="4">
                  <c:v>8.5663881286302477</c:v>
                </c:pt>
                <c:pt idx="5">
                  <c:v>6.8661936869177413</c:v>
                </c:pt>
                <c:pt idx="6">
                  <c:v>7.6416540916905511</c:v>
                </c:pt>
                <c:pt idx="7">
                  <c:v>6.2189561973541485</c:v>
                </c:pt>
                <c:pt idx="8">
                  <c:v>7.1813835438557128</c:v>
                </c:pt>
                <c:pt idx="9">
                  <c:v>5.8964653572946322</c:v>
                </c:pt>
                <c:pt idx="10">
                  <c:v>10.798117923569805</c:v>
                </c:pt>
                <c:pt idx="11">
                  <c:v>8.4237694959069813</c:v>
                </c:pt>
                <c:pt idx="12">
                  <c:v>12.409328375937806</c:v>
                </c:pt>
                <c:pt idx="13">
                  <c:v>9.6849990849127554</c:v>
                </c:pt>
                <c:pt idx="14">
                  <c:v>6.6857237776507956</c:v>
                </c:pt>
                <c:pt idx="15">
                  <c:v>4.8214704575564857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84-4771-BEE6-44F5802C2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2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055689346971781"/>
          <c:y val="1.8834434515700878E-3"/>
          <c:w val="0.11738689225158869"/>
          <c:h val="0.32277723913964329"/>
        </c:manualLayout>
      </c:layout>
      <c:overlay val="1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de-DE" sz="1400" b="0" i="0" baseline="0">
                <a:effectLst/>
              </a:rPr>
              <a:t>Global Warming Potential (GWP) [kgCO2-eq/kWh</a:t>
            </a:r>
            <a:r>
              <a:rPr lang="de-DE" sz="1400" b="0" i="0" baseline="-25000">
                <a:effectLst/>
              </a:rPr>
              <a:t>cell</a:t>
            </a:r>
            <a:r>
              <a:rPr lang="de-DE" sz="1400" b="0" i="0" baseline="0">
                <a:effectLst/>
              </a:rPr>
              <a:t>] </a:t>
            </a:r>
            <a:endParaRPr lang="de-DE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LCIA!$BJ$121</c:f>
              <c:strCache>
                <c:ptCount val="1"/>
                <c:pt idx="0">
                  <c:v>Carbon black </c:v>
                </c:pt>
              </c:strCache>
            </c:strRef>
          </c:tx>
          <c:spPr>
            <a:pattFill prst="pct80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(LCIA!$BL$121,LCIA!$BN$121,LCIA!$BP$121,LCIA!$BR$121,LCIA!$BT$121,LCIA!$BV$121,LCIA!$BX$121,LCIA!$BZ$121)</c:f>
              <c:numCache>
                <c:formatCode>0.0</c:formatCode>
                <c:ptCount val="8"/>
                <c:pt idx="0">
                  <c:v>0.14556147127396732</c:v>
                </c:pt>
                <c:pt idx="1">
                  <c:v>0.19471209793790431</c:v>
                </c:pt>
                <c:pt idx="2">
                  <c:v>0.18978267773694482</c:v>
                </c:pt>
                <c:pt idx="3">
                  <c:v>0.15781927938124879</c:v>
                </c:pt>
                <c:pt idx="4">
                  <c:v>0.1427888718211299</c:v>
                </c:pt>
                <c:pt idx="5">
                  <c:v>0.21083669354838711</c:v>
                </c:pt>
                <c:pt idx="6">
                  <c:v>0.26653922739944247</c:v>
                </c:pt>
                <c:pt idx="7">
                  <c:v>0.13892971312326152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EC-4405-ADCD-68E80612C4B1}"/>
            </c:ext>
          </c:extLst>
        </c:ser>
        <c:ser>
          <c:idx val="4"/>
          <c:order val="1"/>
          <c:tx>
            <c:strRef>
              <c:f>LCIA!$BJ$122</c:f>
              <c:strCache>
                <c:ptCount val="1"/>
                <c:pt idx="0">
                  <c:v>Binder (PVDF)</c:v>
                </c:pt>
              </c:strCache>
            </c:strRef>
          </c:tx>
          <c:spPr>
            <a:pattFill prst="horzBrick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(LCIA!$BL$122,LCIA!$BN$122,LCIA!$BP$122,LCIA!$BR$122,LCIA!$BT$122,LCIA!$BV$122,LCIA!$BX$122,LCIA!$BZ$122)</c:f>
              <c:numCache>
                <c:formatCode>0.0</c:formatCode>
                <c:ptCount val="8"/>
                <c:pt idx="0">
                  <c:v>0.71889028082263284</c:v>
                </c:pt>
                <c:pt idx="1">
                  <c:v>0.96163245356793714</c:v>
                </c:pt>
                <c:pt idx="2">
                  <c:v>0.93728732816115412</c:v>
                </c:pt>
                <c:pt idx="3">
                  <c:v>0.77942840973401228</c:v>
                </c:pt>
                <c:pt idx="4">
                  <c:v>0.70519713261648742</c:v>
                </c:pt>
                <c:pt idx="5">
                  <c:v>1.0412676411290323</c:v>
                </c:pt>
                <c:pt idx="6">
                  <c:v>1.3163679808841102</c:v>
                </c:pt>
                <c:pt idx="7">
                  <c:v>0.68613775065387972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EC-4405-ADCD-68E80612C4B1}"/>
            </c:ext>
          </c:extLst>
        </c:ser>
        <c:ser>
          <c:idx val="5"/>
          <c:order val="2"/>
          <c:tx>
            <c:strRef>
              <c:f>LCIA!$BJ$123</c:f>
              <c:strCache>
                <c:ptCount val="1"/>
                <c:pt idx="0">
                  <c:v>Solvent (NMP)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(LCIA!$BL$123,LCIA!$BN$123,LCIA!$BP$123,LCIA!$BR$123,LCIA!$BT$123,LCIA!$BV$123,LCIA!$BX$123,LCIA!$BZ$123)</c:f>
              <c:numCache>
                <c:formatCode>0.0</c:formatCode>
                <c:ptCount val="8"/>
                <c:pt idx="0">
                  <c:v>13.175087865817588</c:v>
                </c:pt>
                <c:pt idx="1">
                  <c:v>17.623818833496252</c:v>
                </c:pt>
                <c:pt idx="2">
                  <c:v>17.177646204800144</c:v>
                </c:pt>
                <c:pt idx="3">
                  <c:v>14.284568949254854</c:v>
                </c:pt>
                <c:pt idx="4">
                  <c:v>12.924133811230584</c:v>
                </c:pt>
                <c:pt idx="5">
                  <c:v>19.08329133064516</c:v>
                </c:pt>
                <c:pt idx="6">
                  <c:v>24.12504978096376</c:v>
                </c:pt>
                <c:pt idx="7">
                  <c:v>12.899682747263393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EC-4405-ADCD-68E80612C4B1}"/>
            </c:ext>
          </c:extLst>
        </c:ser>
        <c:ser>
          <c:idx val="18"/>
          <c:order val="3"/>
          <c:tx>
            <c:strRef>
              <c:f>LCIA!$BJ$109</c:f>
              <c:strCache>
                <c:ptCount val="1"/>
                <c:pt idx="0">
                  <c:v>Li2CO3</c:v>
                </c:pt>
              </c:strCache>
            </c:strRef>
          </c:tx>
          <c:spPr>
            <a:pattFill prst="narVert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(LCIA!$BL$109,LCIA!$BN$109,LCIA!$BP$109,LCIA!$BR$109,LCIA!$BT$109,LCIA!$BV$109,LCIA!$BX$111,LCIA!$BZ$109)</c:f>
              <c:numCache>
                <c:formatCode>0.0</c:formatCode>
                <c:ptCount val="8"/>
                <c:pt idx="0">
                  <c:v>0</c:v>
                </c:pt>
                <c:pt idx="1">
                  <c:v>5.5961049068819815</c:v>
                </c:pt>
                <c:pt idx="2">
                  <c:v>5.4332988993192428</c:v>
                </c:pt>
                <c:pt idx="3">
                  <c:v>0</c:v>
                </c:pt>
                <c:pt idx="4">
                  <c:v>0</c:v>
                </c:pt>
                <c:pt idx="5">
                  <c:v>3.7086964251666612</c:v>
                </c:pt>
                <c:pt idx="6">
                  <c:v>0.41468921406889631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F-4AB9-9BF0-FAE25D214517}"/>
            </c:ext>
          </c:extLst>
        </c:ser>
        <c:ser>
          <c:idx val="7"/>
          <c:order val="4"/>
          <c:tx>
            <c:strRef>
              <c:f>LCIA!$BJ$110</c:f>
              <c:strCache>
                <c:ptCount val="1"/>
                <c:pt idx="0">
                  <c:v>LiOH</c:v>
                </c:pt>
              </c:strCache>
            </c:strRef>
          </c:tx>
          <c:spPr>
            <a:pattFill prst="narHorz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(LCIA!$BL$110,LCIA!$BN$110,LCIA!$BP$110,LCIA!$BR$110,LCIA!$BT$110,LCIA!$BV$110,LCIA!$BX$110,LCIA!$BZ$110)</c:f>
              <c:numCache>
                <c:formatCode>0.0</c:formatCode>
                <c:ptCount val="8"/>
                <c:pt idx="0">
                  <c:v>5.1954470680184572</c:v>
                </c:pt>
                <c:pt idx="1">
                  <c:v>0</c:v>
                </c:pt>
                <c:pt idx="2">
                  <c:v>0</c:v>
                </c:pt>
                <c:pt idx="3">
                  <c:v>5.5991991617297954</c:v>
                </c:pt>
                <c:pt idx="4">
                  <c:v>5.0568047917653871</c:v>
                </c:pt>
                <c:pt idx="5">
                  <c:v>0</c:v>
                </c:pt>
                <c:pt idx="6">
                  <c:v>0</c:v>
                </c:pt>
                <c:pt idx="7">
                  <c:v>5.0568047917653871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EC-4405-ADCD-68E80612C4B1}"/>
            </c:ext>
          </c:extLst>
        </c:ser>
        <c:ser>
          <c:idx val="10"/>
          <c:order val="5"/>
          <c:tx>
            <c:strRef>
              <c:f>LCIA!$BJ$112</c:f>
              <c:strCache>
                <c:ptCount val="1"/>
                <c:pt idx="0">
                  <c:v>NiSO4</c:v>
                </c:pt>
              </c:strCache>
            </c:strRef>
          </c:tx>
          <c:spPr>
            <a:pattFill prst="weave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(LCIA!$BL$112,LCIA!$BN$112,LCIA!$BP$112,LCIA!$BR$112,LCIA!$BT$112,LCIA!$BV$112,LCIA!$BX$112,LCIA!$BZ$112)</c:f>
              <c:numCache>
                <c:formatCode>0.0</c:formatCode>
                <c:ptCount val="8"/>
                <c:pt idx="0">
                  <c:v>10.587212807411893</c:v>
                </c:pt>
                <c:pt idx="1">
                  <c:v>7.8795826879037643</c:v>
                </c:pt>
                <c:pt idx="2">
                  <c:v>9.1804128745262705</c:v>
                </c:pt>
                <c:pt idx="3">
                  <c:v>10.142198616977403</c:v>
                </c:pt>
                <c:pt idx="4">
                  <c:v>10.304689424230725</c:v>
                </c:pt>
                <c:pt idx="5">
                  <c:v>0</c:v>
                </c:pt>
                <c:pt idx="6">
                  <c:v>7.4528111412290796</c:v>
                </c:pt>
                <c:pt idx="7">
                  <c:v>10.304689424230725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EC-4405-ADCD-68E80612C4B1}"/>
            </c:ext>
          </c:extLst>
        </c:ser>
        <c:ser>
          <c:idx val="11"/>
          <c:order val="6"/>
          <c:tx>
            <c:strRef>
              <c:f>LCIA!$BJ$113</c:f>
              <c:strCache>
                <c:ptCount val="1"/>
                <c:pt idx="0">
                  <c:v>MnSO4 </c:v>
                </c:pt>
              </c:strCache>
            </c:strRef>
          </c:tx>
          <c:spPr>
            <a:pattFill prst="dashDnDiag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(LCIA!$BL$113,LCIA!$BN$113,LCIA!$BP$113,LCIA!$BR$113,LCIA!$BT$113,LCIA!$BV$113,LCIA!$BX$113,LCIA!$BZ$113)</c:f>
              <c:numCache>
                <c:formatCode>0.0</c:formatCode>
                <c:ptCount val="8"/>
                <c:pt idx="0">
                  <c:v>0</c:v>
                </c:pt>
                <c:pt idx="1">
                  <c:v>0.76786908043275315</c:v>
                </c:pt>
                <c:pt idx="2">
                  <c:v>0.49701977821583676</c:v>
                </c:pt>
                <c:pt idx="3">
                  <c:v>0.20590876641909184</c:v>
                </c:pt>
                <c:pt idx="4">
                  <c:v>9.298119307948377E-2</c:v>
                </c:pt>
                <c:pt idx="5">
                  <c:v>0</c:v>
                </c:pt>
                <c:pt idx="6">
                  <c:v>0.60523332519878725</c:v>
                </c:pt>
                <c:pt idx="7">
                  <c:v>9.298119307948377E-2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EC-4405-ADCD-68E80612C4B1}"/>
            </c:ext>
          </c:extLst>
        </c:ser>
        <c:ser>
          <c:idx val="12"/>
          <c:order val="7"/>
          <c:tx>
            <c:strRef>
              <c:f>LCIA!$BJ$114</c:f>
              <c:strCache>
                <c:ptCount val="1"/>
                <c:pt idx="0">
                  <c:v>CoSO4</c:v>
                </c:pt>
              </c:strCache>
            </c:strRef>
          </c:tx>
          <c:spPr>
            <a:pattFill prst="openDmnd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(LCIA!$BL$114,LCIA!$BN$114,LCIA!$BP$114,LCIA!$BR$114,LCIA!$BT$114,LCIA!$BV$114,LCIA!$BX$114,LCIA!$BZ$114)</c:f>
              <c:numCache>
                <c:formatCode>0.0</c:formatCode>
                <c:ptCount val="8"/>
                <c:pt idx="0">
                  <c:v>4.7555782872431118</c:v>
                </c:pt>
                <c:pt idx="1">
                  <c:v>18.202430056653487</c:v>
                </c:pt>
                <c:pt idx="2">
                  <c:v>17.672871548588468</c:v>
                </c:pt>
                <c:pt idx="3">
                  <c:v>7.32163857284697</c:v>
                </c:pt>
                <c:pt idx="4">
                  <c:v>3.3061957566900304</c:v>
                </c:pt>
                <c:pt idx="5">
                  <c:v>0</c:v>
                </c:pt>
                <c:pt idx="6">
                  <c:v>0</c:v>
                </c:pt>
                <c:pt idx="7">
                  <c:v>3.3061957566900304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EC-4405-ADCD-68E80612C4B1}"/>
            </c:ext>
          </c:extLst>
        </c:ser>
        <c:ser>
          <c:idx val="38"/>
          <c:order val="8"/>
          <c:tx>
            <c:strRef>
              <c:f>LCIA!$BJ$115</c:f>
              <c:strCache>
                <c:ptCount val="1"/>
                <c:pt idx="0">
                  <c:v>Al2(SO4)3</c:v>
                </c:pt>
              </c:strCache>
            </c:strRef>
          </c:tx>
          <c:spPr>
            <a:pattFill prst="lgConfetti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(LCIA!$BL$115,LCIA!$BN$115,LCIA!$BP$115,LCIA!$BR$115,LCIA!$BT$115,LCIA!$BV$115,LCIA!$BX$115,LCIA!$BZ$115)</c:f>
              <c:numCache>
                <c:formatCode>0.0</c:formatCode>
                <c:ptCount val="8"/>
                <c:pt idx="0">
                  <c:v>8.2514663661733698E-2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F-4AB9-9BF0-FAE25D214517}"/>
            </c:ext>
          </c:extLst>
        </c:ser>
        <c:ser>
          <c:idx val="13"/>
          <c:order val="9"/>
          <c:tx>
            <c:strRef>
              <c:f>LCIA!$BJ$117</c:f>
              <c:strCache>
                <c:ptCount val="1"/>
                <c:pt idx="0">
                  <c:v>NaOH </c:v>
                </c:pt>
              </c:strCache>
            </c:strRef>
          </c:tx>
          <c:spPr>
            <a:pattFill prst="divot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(LCIA!$BL$117,LCIA!$BN$117,LCIA!$BP$117,LCIA!$BR$117,LCIA!$BT$117,LCIA!$BV$117,LCIA!$BX$117,LCIA!$BZ$117)</c:f>
              <c:numCache>
                <c:formatCode>0.0</c:formatCode>
                <c:ptCount val="8"/>
                <c:pt idx="0">
                  <c:v>1.0262295508533936</c:v>
                </c:pt>
                <c:pt idx="1">
                  <c:v>1.3544798661329038</c:v>
                </c:pt>
                <c:pt idx="2">
                  <c:v>1.3150743397893889</c:v>
                </c:pt>
                <c:pt idx="3">
                  <c:v>1.0896360544342079</c:v>
                </c:pt>
                <c:pt idx="4">
                  <c:v>0.9840830201226437</c:v>
                </c:pt>
                <c:pt idx="5">
                  <c:v>0</c:v>
                </c:pt>
                <c:pt idx="6">
                  <c:v>1.6013986775566325</c:v>
                </c:pt>
                <c:pt idx="7">
                  <c:v>0.9840830201226437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EC-4405-ADCD-68E80612C4B1}"/>
            </c:ext>
          </c:extLst>
        </c:ser>
        <c:ser>
          <c:idx val="14"/>
          <c:order val="10"/>
          <c:tx>
            <c:strRef>
              <c:f>LCIA!$BJ$118</c:f>
              <c:strCache>
                <c:ptCount val="1"/>
                <c:pt idx="0">
                  <c:v>NH4OH</c:v>
                </c:pt>
              </c:strCache>
            </c:strRef>
          </c:tx>
          <c:spPr>
            <a:pattFill prst="dashHorz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(LCIA!$BL$118,LCIA!$BN$118,LCIA!$BP$118,LCIA!$BR$118,LCIA!$BT$118,LCIA!$BV$118,LCIA!$BX$118,LCIA!$BZ$118)</c:f>
              <c:numCache>
                <c:formatCode>0.0</c:formatCode>
                <c:ptCount val="8"/>
                <c:pt idx="0">
                  <c:v>0.4770804118125912</c:v>
                </c:pt>
                <c:pt idx="1">
                  <c:v>0.63912479324535365</c:v>
                </c:pt>
                <c:pt idx="2">
                  <c:v>0.62053090380724207</c:v>
                </c:pt>
                <c:pt idx="3">
                  <c:v>0.51415560719350895</c:v>
                </c:pt>
                <c:pt idx="4">
                  <c:v>0.46434935837609126</c:v>
                </c:pt>
                <c:pt idx="5">
                  <c:v>0</c:v>
                </c:pt>
                <c:pt idx="6">
                  <c:v>0.75563588967836182</c:v>
                </c:pt>
                <c:pt idx="7">
                  <c:v>0.46434935837609126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8EC-4405-ADCD-68E80612C4B1}"/>
            </c:ext>
          </c:extLst>
        </c:ser>
        <c:ser>
          <c:idx val="15"/>
          <c:order val="11"/>
          <c:tx>
            <c:strRef>
              <c:f>LCIA!$BJ$108</c:f>
              <c:strCache>
                <c:ptCount val="1"/>
                <c:pt idx="0">
                  <c:v>Water</c:v>
                </c:pt>
              </c:strCache>
            </c:strRef>
          </c:tx>
          <c:spPr>
            <a:pattFill prst="wave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(LCIA!$BL$108,LCIA!$BN$108,LCIA!$BP$108,LCIA!$BR$108,LCIA!$BT$108,LCIA!$BV$108,LCIA!$BX$108,LCIA!$BZ$108)</c:f>
              <c:numCache>
                <c:formatCode>0.0</c:formatCode>
                <c:ptCount val="8"/>
                <c:pt idx="0">
                  <c:v>3.6479949618032362E-4</c:v>
                </c:pt>
                <c:pt idx="1">
                  <c:v>4.8797854683861478E-4</c:v>
                </c:pt>
                <c:pt idx="2">
                  <c:v>4.7562465957687756E-4</c:v>
                </c:pt>
                <c:pt idx="3">
                  <c:v>3.9551945375340344E-4</c:v>
                </c:pt>
                <c:pt idx="4">
                  <c:v>3.5785093434831746E-4</c:v>
                </c:pt>
                <c:pt idx="5">
                  <c:v>0</c:v>
                </c:pt>
                <c:pt idx="6">
                  <c:v>6.679884107835259E-4</c:v>
                </c:pt>
                <c:pt idx="7">
                  <c:v>3.5785093434831746E-4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EC-4405-ADCD-68E80612C4B1}"/>
            </c:ext>
          </c:extLst>
        </c:ser>
        <c:ser>
          <c:idx val="19"/>
          <c:order val="12"/>
          <c:tx>
            <c:strRef>
              <c:f>LCIA!$BJ$120</c:f>
              <c:strCache>
                <c:ptCount val="1"/>
                <c:pt idx="0">
                  <c:v>(NH4)2HPO4</c:v>
                </c:pt>
              </c:strCache>
            </c:strRef>
          </c:tx>
          <c:spPr>
            <a:pattFill prst="solidDmnd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(LCIA!$BL$120,LCIA!$BN$120,LCIA!$BP$120,LCIA!$BR$120,LCIA!$BT$120,LCIA!$BV$120,LCIA!$BX$120,LCIA!$BZ$120)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2.6432143406756121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8EC-4405-ADCD-68E80612C4B1}"/>
            </c:ext>
          </c:extLst>
        </c:ser>
        <c:ser>
          <c:idx val="8"/>
          <c:order val="13"/>
          <c:tx>
            <c:strRef>
              <c:f>LCIA!$BJ$107</c:f>
              <c:strCache>
                <c:ptCount val="1"/>
                <c:pt idx="0">
                  <c:v>Electricity</c:v>
                </c:pt>
              </c:strCache>
            </c:strRef>
          </c:tx>
          <c:spPr>
            <a:pattFill prst="zigZag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(LCIA!$BL$107,LCIA!$BN$107,LCIA!$BP$107,LCIA!$BR$107,LCIA!$BT$107,LCIA!$BV$107,LCIA!$BX$107,LCIA!$BZ$107)</c:f>
              <c:numCache>
                <c:formatCode>0.0</c:formatCode>
                <c:ptCount val="8"/>
                <c:pt idx="0">
                  <c:v>3.1360883141280507</c:v>
                </c:pt>
                <c:pt idx="1">
                  <c:v>3.670754693084842</c:v>
                </c:pt>
                <c:pt idx="2">
                  <c:v>3.5778241945257316</c:v>
                </c:pt>
                <c:pt idx="3">
                  <c:v>3.4001799616335711</c:v>
                </c:pt>
                <c:pt idx="4">
                  <c:v>3.0763532986208499</c:v>
                </c:pt>
                <c:pt idx="5">
                  <c:v>3.9747390661059301</c:v>
                </c:pt>
                <c:pt idx="6">
                  <c:v>5.7425261574255853</c:v>
                </c:pt>
                <c:pt idx="7">
                  <c:v>3.0763532986208499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8EC-4405-ADCD-68E80612C4B1}"/>
            </c:ext>
          </c:extLst>
        </c:ser>
        <c:ser>
          <c:idx val="20"/>
          <c:order val="14"/>
          <c:tx>
            <c:strRef>
              <c:f>LCIA!$BJ$119</c:f>
              <c:strCache>
                <c:ptCount val="1"/>
                <c:pt idx="0">
                  <c:v>Fe3O4</c:v>
                </c:pt>
              </c:strCache>
            </c:strRef>
          </c:tx>
          <c:spPr>
            <a:pattFill prst="lgCheck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(LCIA!$BL$119,LCIA!$BN$119,LCIA!$BP$119,LCIA!$BR$119,LCIA!$BT$119,LCIA!$BV$119,LCIA!$BX$116,LCIA!$BZ$119)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0.95914141833508204</c:v>
                </c:pt>
                <c:pt idx="6">
                  <c:v>0.21370359489527585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8EC-4405-ADCD-68E80612C4B1}"/>
            </c:ext>
          </c:extLst>
        </c:ser>
        <c:ser>
          <c:idx val="16"/>
          <c:order val="15"/>
          <c:tx>
            <c:strRef>
              <c:f>LCIA!$BJ$106</c:f>
              <c:strCache>
                <c:ptCount val="1"/>
                <c:pt idx="0">
                  <c:v>Natural gas</c:v>
                </c:pt>
              </c:strCache>
            </c:strRef>
          </c:tx>
          <c:spPr>
            <a:pattFill prst="pct5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(LCIA!$BL$338,LCIA!$BN$338,LCIA!$BP$338,LCIA!$BR$338,LCIA!$BT$338,LCIA!$BV$338,LCIA!$BX$338,LCIA!$BZ$338)</c:f>
                <c:numCache>
                  <c:formatCode>General</c:formatCode>
                  <c:ptCount val="8"/>
                  <c:pt idx="0">
                    <c:v>4.4547404702342064</c:v>
                  </c:pt>
                  <c:pt idx="1">
                    <c:v>5.423943087582046</c:v>
                  </c:pt>
                  <c:pt idx="2">
                    <c:v>5.3694745313845402</c:v>
                  </c:pt>
                  <c:pt idx="3">
                    <c:v>4.726348659486753</c:v>
                  </c:pt>
                  <c:pt idx="4">
                    <c:v>4.3465115731741193</c:v>
                  </c:pt>
                  <c:pt idx="5">
                    <c:v>4.7264800811080612</c:v>
                  </c:pt>
                  <c:pt idx="6">
                    <c:v>6.2762030291044795</c:v>
                  </c:pt>
                  <c:pt idx="7">
                    <c:v>4.3413541005153746</c:v>
                  </c:pt>
                </c:numCache>
              </c:numRef>
            </c:plus>
            <c:minus>
              <c:numRef>
                <c:f>(LCIA!$BL$337,LCIA!$BN$337,LCIA!$BP$337,LCIA!$BR$337,LCIA!$BT$337,LCIA!$BV$337,LCIA!$BX$337,LCIA!$BZ$337)</c:f>
                <c:numCache>
                  <c:formatCode>General</c:formatCode>
                  <c:ptCount val="8"/>
                  <c:pt idx="0">
                    <c:v>2.8638357997481094</c:v>
                  </c:pt>
                  <c:pt idx="1">
                    <c:v>4.0292539253428004</c:v>
                  </c:pt>
                  <c:pt idx="2">
                    <c:v>3.9755314520138967</c:v>
                  </c:pt>
                  <c:pt idx="3">
                    <c:v>3.037668049500347</c:v>
                  </c:pt>
                  <c:pt idx="4">
                    <c:v>2.8036137845227884</c:v>
                  </c:pt>
                  <c:pt idx="5">
                    <c:v>3.4451031299649912</c:v>
                  </c:pt>
                  <c:pt idx="6">
                    <c:v>5.0733011529433583</c:v>
                  </c:pt>
                  <c:pt idx="7">
                    <c:v>2.8003541808233336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(LCIA!$BK$6,LCIA!$BM$6,LCIA!$BO$6,LCIA!$BQ$6,LCIA!$BS$6,LCIA!$BU$6,LCIA!$BW$6,LCIA!$BY$6)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(LCIA!$BL$106,LCIA!$BN$106,LCIA!$BP$106,LCIA!$BR$106,LCIA!$BT$106,LCIA!$BV$106,LCIA!$BX$106,LCIA!$BZ$106)</c:f>
              <c:numCache>
                <c:formatCode>0.0</c:formatCode>
                <c:ptCount val="8"/>
                <c:pt idx="0">
                  <c:v>3.166187218540935</c:v>
                </c:pt>
                <c:pt idx="1">
                  <c:v>4.2352893962300824</c:v>
                </c:pt>
                <c:pt idx="2">
                  <c:v>4.1280668798698263</c:v>
                </c:pt>
                <c:pt idx="3">
                  <c:v>3.4328135106285931</c:v>
                </c:pt>
                <c:pt idx="4">
                  <c:v>3.1058788905687269</c:v>
                </c:pt>
                <c:pt idx="5">
                  <c:v>0</c:v>
                </c:pt>
                <c:pt idx="6">
                  <c:v>5.7976405957282902</c:v>
                </c:pt>
                <c:pt idx="7">
                  <c:v>3.1058788905687269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8EC-4405-ADCD-68E80612C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ax val="7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1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49724773986581"/>
          <c:y val="9.6055693998953987E-2"/>
          <c:w val="0.11801112261835515"/>
          <c:h val="0.23233225006000849"/>
        </c:manualLayout>
      </c:layout>
      <c:overlay val="1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de-DE" sz="900"/>
              <a:t>Terrestrial Ecotoxicity Potential (TEP)</a:t>
            </a:r>
            <a:br>
              <a:rPr lang="de-DE" sz="900"/>
            </a:br>
            <a:r>
              <a:rPr lang="de-DE" sz="900"/>
              <a:t>[kg1.4DCB-eq/kWh</a:t>
            </a:r>
            <a:r>
              <a:rPr lang="de-DE" sz="900" baseline="-25000"/>
              <a:t>cell</a:t>
            </a:r>
            <a:r>
              <a:rPr lang="de-DE" sz="900"/>
              <a:t>]</a:t>
            </a:r>
          </a:p>
        </c:rich>
      </c:tx>
      <c:layout>
        <c:manualLayout>
          <c:xMode val="edge"/>
          <c:yMode val="edge"/>
          <c:x val="0.27554484981456984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LCIA!$CC$10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(LCIA!$CD$6:$CE$7,LCIA!$CF$6:$CG$7,LCIA!$CH$6:$CI$7,LCIA!$CJ$6:$CK$7,LCIA!$CL$6:$CM$7,LCIA!$CN$6:$CO$7,LCIA!$CP$6:$CQ$7,LCIA!$CR$6:$CS$7)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LCIA!$CD$10:$CS$10</c:f>
              <c:numCache>
                <c:formatCode>0.0</c:formatCode>
                <c:ptCount val="16"/>
                <c:pt idx="0">
                  <c:v>13.80226543255629</c:v>
                </c:pt>
                <c:pt idx="1">
                  <c:v>7.0544912210843247</c:v>
                </c:pt>
                <c:pt idx="2">
                  <c:v>18.133288026140001</c:v>
                </c:pt>
                <c:pt idx="3">
                  <c:v>9.2681249911382171</c:v>
                </c:pt>
                <c:pt idx="4">
                  <c:v>17.607576850833478</c:v>
                </c:pt>
                <c:pt idx="5">
                  <c:v>8.999428168203778</c:v>
                </c:pt>
                <c:pt idx="6">
                  <c:v>14.733993033448797</c:v>
                </c:pt>
                <c:pt idx="7">
                  <c:v>7.5307075504293861</c:v>
                </c:pt>
                <c:pt idx="8">
                  <c:v>13.307358785795392</c:v>
                </c:pt>
                <c:pt idx="9">
                  <c:v>6.8015389349620889</c:v>
                </c:pt>
                <c:pt idx="10">
                  <c:v>24.590377011458575</c:v>
                </c:pt>
                <c:pt idx="11">
                  <c:v>12.568414916967711</c:v>
                </c:pt>
                <c:pt idx="12">
                  <c:v>28.21277880405059</c:v>
                </c:pt>
                <c:pt idx="13">
                  <c:v>14.419864722070303</c:v>
                </c:pt>
                <c:pt idx="14">
                  <c:v>12.947700440233353</c:v>
                </c:pt>
                <c:pt idx="15">
                  <c:v>6.6177135583414914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6-437A-8F52-F31FE78DB951}"/>
            </c:ext>
          </c:extLst>
        </c:ser>
        <c:ser>
          <c:idx val="2"/>
          <c:order val="2"/>
          <c:tx>
            <c:strRef>
              <c:f>LCIA!$CC$11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(LCIA!$CD$6:$CE$7,LCIA!$CF$6:$CG$7,LCIA!$CH$6:$CI$7,LCIA!$CJ$6:$CK$7,LCIA!$CL$6:$CM$7,LCIA!$CN$6:$CO$7,LCIA!$CP$6:$CQ$7,LCIA!$CR$6:$CS$7)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LCIA!$CD$11:$CS$11</c:f>
              <c:numCache>
                <c:formatCode>0.0</c:formatCode>
                <c:ptCount val="16"/>
                <c:pt idx="0">
                  <c:v>1086.1017098283398</c:v>
                </c:pt>
                <c:pt idx="1">
                  <c:v>1086.1017098283398</c:v>
                </c:pt>
                <c:pt idx="2">
                  <c:v>1507.0779206746925</c:v>
                </c:pt>
                <c:pt idx="3">
                  <c:v>1507.0779206746925</c:v>
                </c:pt>
                <c:pt idx="4">
                  <c:v>1560.4016966391869</c:v>
                </c:pt>
                <c:pt idx="5">
                  <c:v>1560.4016966391869</c:v>
                </c:pt>
                <c:pt idx="6">
                  <c:v>1176.4320283873033</c:v>
                </c:pt>
                <c:pt idx="7">
                  <c:v>1176.4320283873033</c:v>
                </c:pt>
                <c:pt idx="8">
                  <c:v>1005.7405972654676</c:v>
                </c:pt>
                <c:pt idx="9">
                  <c:v>1005.7405972654676</c:v>
                </c:pt>
                <c:pt idx="10">
                  <c:v>278.48137558526776</c:v>
                </c:pt>
                <c:pt idx="11">
                  <c:v>278.48137558526776</c:v>
                </c:pt>
                <c:pt idx="12">
                  <c:v>789.68129065767221</c:v>
                </c:pt>
                <c:pt idx="13">
                  <c:v>789.68129065767221</c:v>
                </c:pt>
                <c:pt idx="14">
                  <c:v>1005.4202961655967</c:v>
                </c:pt>
                <c:pt idx="15">
                  <c:v>1005.4202961655967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6-437A-8F52-F31FE78DB951}"/>
            </c:ext>
          </c:extLst>
        </c:ser>
        <c:ser>
          <c:idx val="34"/>
          <c:order val="25"/>
          <c:tx>
            <c:strRef>
              <c:f>LCIA!$CC$61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(LCIA!$CD$6:$CE$7,LCIA!$CF$6:$CG$7,LCIA!$CH$6:$CI$7,LCIA!$CJ$6:$CK$7,LCIA!$CL$6:$CM$7,LCIA!$CN$6:$CO$7,LCIA!$CP$6:$CQ$7,LCIA!$CR$6:$CS$7)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(LCIA!$CD$61:$CO$61,LCIA!$CP$62:$CQ$62,LCIA!$CR$63:$CS$63)</c:f>
              <c:numCache>
                <c:formatCode>0.0</c:formatCode>
                <c:ptCount val="16"/>
                <c:pt idx="0">
                  <c:v>39.96148873832324</c:v>
                </c:pt>
                <c:pt idx="1">
                  <c:v>26.692606696385489</c:v>
                </c:pt>
                <c:pt idx="2">
                  <c:v>46.280363365419262</c:v>
                </c:pt>
                <c:pt idx="3">
                  <c:v>30.845010022762867</c:v>
                </c:pt>
                <c:pt idx="4">
                  <c:v>45.513361361840133</c:v>
                </c:pt>
                <c:pt idx="5">
                  <c:v>30.34098013469659</c:v>
                </c:pt>
                <c:pt idx="6">
                  <c:v>36.977326255035663</c:v>
                </c:pt>
                <c:pt idx="7">
                  <c:v>24.637106495955472</c:v>
                </c:pt>
                <c:pt idx="8">
                  <c:v>32.1235444872664</c:v>
                </c:pt>
                <c:pt idx="9">
                  <c:v>21.387176745547134</c:v>
                </c:pt>
                <c:pt idx="10">
                  <c:v>58.179158710117683</c:v>
                </c:pt>
                <c:pt idx="11">
                  <c:v>38.718243368536321</c:v>
                </c:pt>
                <c:pt idx="12">
                  <c:v>76.80943528868211</c:v>
                </c:pt>
                <c:pt idx="13">
                  <c:v>51.358305768820379</c:v>
                </c:pt>
                <c:pt idx="14">
                  <c:v>31.828912060543029</c:v>
                </c:pt>
                <c:pt idx="15">
                  <c:v>21.219274707028685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D6-437A-8F52-F31FE78DB951}"/>
            </c:ext>
          </c:extLst>
        </c:ser>
        <c:ser>
          <c:idx val="33"/>
          <c:order val="26"/>
          <c:tx>
            <c:strRef>
              <c:f>LCIA!$CC$60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(LCIA!$CD$6:$CE$7,LCIA!$CF$6:$CG$7,LCIA!$CH$6:$CI$7,LCIA!$CJ$6:$CK$7,LCIA!$CL$6:$CM$7,LCIA!$CN$6:$CO$7,LCIA!$CP$6:$CQ$7,LCIA!$CR$6:$CS$7)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LCIA!$CD$60:$CS$60</c:f>
              <c:numCache>
                <c:formatCode>0.0</c:formatCode>
                <c:ptCount val="16"/>
                <c:pt idx="0">
                  <c:v>6.2873919302978489</c:v>
                </c:pt>
                <c:pt idx="1">
                  <c:v>3.2135558754855666</c:v>
                </c:pt>
                <c:pt idx="2">
                  <c:v>8.2603170734851936</c:v>
                </c:pt>
                <c:pt idx="3">
                  <c:v>4.2219398375590975</c:v>
                </c:pt>
                <c:pt idx="4">
                  <c:v>8.0208381113219911</c:v>
                </c:pt>
                <c:pt idx="5">
                  <c:v>4.0995394791201303</c:v>
                </c:pt>
                <c:pt idx="6">
                  <c:v>6.7118249067329607</c:v>
                </c:pt>
                <c:pt idx="7">
                  <c:v>3.4304882856635128</c:v>
                </c:pt>
                <c:pt idx="8">
                  <c:v>6.0619454575937697</c:v>
                </c:pt>
                <c:pt idx="9">
                  <c:v>3.0983276783257043</c:v>
                </c:pt>
                <c:pt idx="10">
                  <c:v>11.201736319324752</c:v>
                </c:pt>
                <c:pt idx="11">
                  <c:v>5.7253318965437607</c:v>
                </c:pt>
                <c:pt idx="12">
                  <c:v>12.851861069521018</c:v>
                </c:pt>
                <c:pt idx="13">
                  <c:v>6.5687289910885207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D6-437A-8F52-F31FE78DB951}"/>
            </c:ext>
          </c:extLst>
        </c:ser>
        <c:ser>
          <c:idx val="26"/>
          <c:order val="27"/>
          <c:tx>
            <c:strRef>
              <c:f>LCIA!$CC$52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(LCIA!$CD$6:$CE$7,LCIA!$CF$6:$CG$7,LCIA!$CH$6:$CI$7,LCIA!$CJ$6:$CK$7,LCIA!$CL$6:$CM$7,LCIA!$CN$6:$CO$7,LCIA!$CP$6:$CQ$7,LCIA!$CR$6:$CS$7)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LCIA!$CD$52:$CS$52</c:f>
              <c:numCache>
                <c:formatCode>0.0</c:formatCode>
                <c:ptCount val="16"/>
                <c:pt idx="0">
                  <c:v>424.98096682919623</c:v>
                </c:pt>
                <c:pt idx="1">
                  <c:v>424.83585609974</c:v>
                </c:pt>
                <c:pt idx="2">
                  <c:v>424.98096682919612</c:v>
                </c:pt>
                <c:pt idx="3">
                  <c:v>424.83585609973994</c:v>
                </c:pt>
                <c:pt idx="4">
                  <c:v>424.98096682919629</c:v>
                </c:pt>
                <c:pt idx="5">
                  <c:v>424.83585609974006</c:v>
                </c:pt>
                <c:pt idx="6">
                  <c:v>352.49361652876269</c:v>
                </c:pt>
                <c:pt idx="7">
                  <c:v>352.38054323308268</c:v>
                </c:pt>
                <c:pt idx="8">
                  <c:v>306.22509506040115</c:v>
                </c:pt>
                <c:pt idx="9">
                  <c:v>306.13247119053545</c:v>
                </c:pt>
                <c:pt idx="10">
                  <c:v>478.10358768284578</c:v>
                </c:pt>
                <c:pt idx="11">
                  <c:v>477.94033811220766</c:v>
                </c:pt>
                <c:pt idx="12">
                  <c:v>11.699964772036477</c:v>
                </c:pt>
                <c:pt idx="13">
                  <c:v>11.520856671679201</c:v>
                </c:pt>
                <c:pt idx="14">
                  <c:v>575.71087979425818</c:v>
                </c:pt>
                <c:pt idx="15">
                  <c:v>294.25222745039861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D6-437A-8F52-F31FE78DB951}"/>
            </c:ext>
          </c:extLst>
        </c:ser>
        <c:ser>
          <c:idx val="25"/>
          <c:order val="28"/>
          <c:tx>
            <c:strRef>
              <c:f>LCIA!$CC$50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(LCIA!$CD$6:$CE$7,LCIA!$CF$6:$CG$7,LCIA!$CH$6:$CI$7,LCIA!$CJ$6:$CK$7,LCIA!$CL$6:$CM$7,LCIA!$CN$6:$CO$7,LCIA!$CP$6:$CQ$7,LCIA!$CR$6:$CS$7)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(LCIA!$CD$50:$CO$50,LCIA!$CP$51:$CQ$51,LCIA!$CR$50:$CS$50)</c:f>
              <c:numCache>
                <c:formatCode>0.0</c:formatCode>
                <c:ptCount val="16"/>
                <c:pt idx="0">
                  <c:v>444.22700417973812</c:v>
                </c:pt>
                <c:pt idx="1">
                  <c:v>227.04935769186611</c:v>
                </c:pt>
                <c:pt idx="2">
                  <c:v>583.62130877297466</c:v>
                </c:pt>
                <c:pt idx="3">
                  <c:v>298.2953355950757</c:v>
                </c:pt>
                <c:pt idx="4">
                  <c:v>566.70125303202553</c:v>
                </c:pt>
                <c:pt idx="5">
                  <c:v>289.64730710525754</c:v>
                </c:pt>
                <c:pt idx="6">
                  <c:v>474.21473067858983</c:v>
                </c:pt>
                <c:pt idx="7">
                  <c:v>242.37641790239033</c:v>
                </c:pt>
                <c:pt idx="8">
                  <c:v>428.29839462549364</c:v>
                </c:pt>
                <c:pt idx="9">
                  <c:v>218.9080683641412</c:v>
                </c:pt>
                <c:pt idx="10">
                  <c:v>791.44322827498218</c:v>
                </c:pt>
                <c:pt idx="11">
                  <c:v>404.51542778499078</c:v>
                </c:pt>
                <c:pt idx="12">
                  <c:v>28.21277880405059</c:v>
                </c:pt>
                <c:pt idx="13">
                  <c:v>14.419864722070303</c:v>
                </c:pt>
                <c:pt idx="14">
                  <c:v>416.72276233831815</c:v>
                </c:pt>
                <c:pt idx="15">
                  <c:v>212.99163408402924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D6-437A-8F52-F31FE78DB951}"/>
            </c:ext>
          </c:extLst>
        </c:ser>
        <c:ser>
          <c:idx val="39"/>
          <c:order val="35"/>
          <c:tx>
            <c:strRef>
              <c:f>LCIA!$CC$64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(LCIA!$CD$6:$CE$7,LCIA!$CF$6:$CG$7,LCIA!$CH$6:$CI$7,LCIA!$CJ$6:$CK$7,LCIA!$CL$6:$CM$7,LCIA!$CN$6:$CO$7,LCIA!$CP$6:$CQ$7,LCIA!$CR$6:$CS$7)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LCIA!$CD$64:$CS$64</c:f>
              <c:numCache>
                <c:formatCode>0.0</c:formatCode>
                <c:ptCount val="16"/>
                <c:pt idx="0">
                  <c:v>23.597918042244675</c:v>
                </c:pt>
                <c:pt idx="1">
                  <c:v>19.426696208809719</c:v>
                </c:pt>
                <c:pt idx="2">
                  <c:v>26.873649521493792</c:v>
                </c:pt>
                <c:pt idx="3">
                  <c:v>21.958438975308002</c:v>
                </c:pt>
                <c:pt idx="4">
                  <c:v>27.022328942374433</c:v>
                </c:pt>
                <c:pt idx="5">
                  <c:v>22.106302756510672</c:v>
                </c:pt>
                <c:pt idx="6">
                  <c:v>22.008085211387506</c:v>
                </c:pt>
                <c:pt idx="7">
                  <c:v>17.970534376858161</c:v>
                </c:pt>
                <c:pt idx="8">
                  <c:v>19.10233642052793</c:v>
                </c:pt>
                <c:pt idx="9">
                  <c:v>15.558414340374108</c:v>
                </c:pt>
                <c:pt idx="10">
                  <c:v>34.724082934960755</c:v>
                </c:pt>
                <c:pt idx="11">
                  <c:v>28.235043869479682</c:v>
                </c:pt>
                <c:pt idx="12">
                  <c:v>46.055186699719762</c:v>
                </c:pt>
                <c:pt idx="13">
                  <c:v>37.696062202953733</c:v>
                </c:pt>
                <c:pt idx="14">
                  <c:v>14.591239693837021</c:v>
                </c:pt>
                <c:pt idx="15">
                  <c:v>10.572306398925805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E-4881-B6BC-3EDE8D8040DB}"/>
            </c:ext>
          </c:extLst>
        </c:ser>
        <c:ser>
          <c:idx val="35"/>
          <c:order val="36"/>
          <c:tx>
            <c:strRef>
              <c:f>LCIA!$CC$65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LCIA!$CD$331:$CS$331</c:f>
                <c:numCache>
                  <c:formatCode>General</c:formatCode>
                  <c:ptCount val="16"/>
                  <c:pt idx="0">
                    <c:v>229.66867460065077</c:v>
                  </c:pt>
                  <c:pt idx="1">
                    <c:v>168.89922889977606</c:v>
                  </c:pt>
                  <c:pt idx="2">
                    <c:v>269.60062604646419</c:v>
                  </c:pt>
                  <c:pt idx="3">
                    <c:v>177.82820786841467</c:v>
                  </c:pt>
                  <c:pt idx="4">
                    <c:v>269.80497753562167</c:v>
                  </c:pt>
                  <c:pt idx="5">
                    <c:v>184.00936097886779</c:v>
                  </c:pt>
                  <c:pt idx="6">
                    <c:v>238.327781023022</c:v>
                  </c:pt>
                  <c:pt idx="7">
                    <c:v>171.02034693895826</c:v>
                  </c:pt>
                  <c:pt idx="8">
                    <c:v>224.14606001546827</c:v>
                  </c:pt>
                  <c:pt idx="9">
                    <c:v>165.96072694918826</c:v>
                  </c:pt>
                  <c:pt idx="10">
                    <c:v>321.46393694720973</c:v>
                  </c:pt>
                  <c:pt idx="11">
                    <c:v>176.00209621536919</c:v>
                  </c:pt>
                  <c:pt idx="12">
                    <c:v>120.91633886209002</c:v>
                  </c:pt>
                  <c:pt idx="13">
                    <c:v>114.18690329632079</c:v>
                  </c:pt>
                  <c:pt idx="14">
                    <c:v>305.06666590889154</c:v>
                  </c:pt>
                  <c:pt idx="15">
                    <c:v>195.49743483277121</c:v>
                  </c:pt>
                </c:numCache>
              </c:numRef>
            </c:plus>
            <c:minus>
              <c:numRef>
                <c:f>LCIA!$CD$330:$CS$330</c:f>
                <c:numCache>
                  <c:formatCode>General</c:formatCode>
                  <c:ptCount val="16"/>
                  <c:pt idx="0">
                    <c:v>147.68537580550424</c:v>
                  </c:pt>
                  <c:pt idx="1">
                    <c:v>110.85543594185947</c:v>
                  </c:pt>
                  <c:pt idx="2">
                    <c:v>169.28170292320419</c:v>
                  </c:pt>
                  <c:pt idx="3">
                    <c:v>108.71254001289299</c:v>
                  </c:pt>
                  <c:pt idx="4">
                    <c:v>169.70662009274974</c:v>
                  </c:pt>
                  <c:pt idx="5">
                    <c:v>114.24138763190558</c:v>
                  </c:pt>
                  <c:pt idx="6">
                    <c:v>150.12544605974267</c:v>
                  </c:pt>
                  <c:pt idx="7">
                    <c:v>108.15655327309901</c:v>
                  </c:pt>
                  <c:pt idx="8">
                    <c:v>140.63069841606102</c:v>
                  </c:pt>
                  <c:pt idx="9">
                    <c:v>105.28089616830152</c:v>
                  </c:pt>
                  <c:pt idx="10">
                    <c:v>211.07143138943502</c:v>
                  </c:pt>
                  <c:pt idx="11">
                    <c:v>107.76440127359388</c:v>
                  </c:pt>
                  <c:pt idx="12">
                    <c:v>72.079458376278581</c:v>
                  </c:pt>
                  <c:pt idx="13">
                    <c:v>72.461286046626469</c:v>
                  </c:pt>
                  <c:pt idx="14">
                    <c:v>185.73489375367944</c:v>
                  </c:pt>
                  <c:pt idx="15">
                    <c:v>120.42455455141931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(LCIA!$CD$6:$CE$7,LCIA!$CF$6:$CG$7,LCIA!$CH$6:$CI$7,LCIA!$CJ$6:$CK$7,LCIA!$CL$6:$CM$7,LCIA!$CN$6:$CO$7,LCIA!$CP$6:$CQ$7,LCIA!$CR$6:$CS$7)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LCIA!$CD$65:$CS$65</c:f>
              <c:numCache>
                <c:formatCode>0.0</c:formatCode>
                <c:ptCount val="16"/>
                <c:pt idx="0">
                  <c:v>30.525898549987488</c:v>
                </c:pt>
                <c:pt idx="1">
                  <c:v>25.383616947865832</c:v>
                </c:pt>
                <c:pt idx="2">
                  <c:v>35.812423234070351</c:v>
                </c:pt>
                <c:pt idx="3">
                  <c:v>29.057119391241422</c:v>
                </c:pt>
                <c:pt idx="4">
                  <c:v>35.170730644178676</c:v>
                </c:pt>
                <c:pt idx="5">
                  <c:v>28.611219780867795</c:v>
                </c:pt>
                <c:pt idx="6">
                  <c:v>31.624859489139311</c:v>
                </c:pt>
                <c:pt idx="7">
                  <c:v>26.135973778843614</c:v>
                </c:pt>
                <c:pt idx="8">
                  <c:v>29.85902372502747</c:v>
                </c:pt>
                <c:pt idx="9">
                  <c:v>24.901723304779832</c:v>
                </c:pt>
                <c:pt idx="10">
                  <c:v>43.715933945630127</c:v>
                </c:pt>
                <c:pt idx="11">
                  <c:v>34.555557165802661</c:v>
                </c:pt>
                <c:pt idx="12">
                  <c:v>50.250941696619364</c:v>
                </c:pt>
                <c:pt idx="13">
                  <c:v>39.740149916786308</c:v>
                </c:pt>
                <c:pt idx="14">
                  <c:v>25.383023702440635</c:v>
                </c:pt>
                <c:pt idx="15">
                  <c:v>18.143199212482969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D6-437A-8F52-F31FE78DB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LCIA!$AQ$9</c15:sqref>
                        </c15:formulaRef>
                      </c:ext>
                    </c:extLst>
                    <c:strCache>
                      <c:ptCount val="1"/>
                      <c:pt idx="0">
                        <c:v>Cathode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LCIA!$AR$9:$BC$9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332.10696267202263</c:v>
                      </c:pt>
                      <c:pt idx="1">
                        <c:v>327.66943612886445</c:v>
                      </c:pt>
                      <c:pt idx="2">
                        <c:v>477.73867686327486</c:v>
                      </c:pt>
                      <c:pt idx="3">
                        <c:v>471.908695739964</c:v>
                      </c:pt>
                      <c:pt idx="4">
                        <c:v>483.78945575126505</c:v>
                      </c:pt>
                      <c:pt idx="5">
                        <c:v>478.12849451138254</c:v>
                      </c:pt>
                      <c:pt idx="6">
                        <c:v>364.73486611247858</c:v>
                      </c:pt>
                      <c:pt idx="7">
                        <c:v>359.99778251615709</c:v>
                      </c:pt>
                      <c:pt idx="8">
                        <c:v>310.12100685003321</c:v>
                      </c:pt>
                      <c:pt idx="9">
                        <c:v>305.84259631519399</c:v>
                      </c:pt>
                      <c:pt idx="10">
                        <c:v>172.00425524646016</c:v>
                      </c:pt>
                      <c:pt idx="11">
                        <c:v>164.09827407055658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99D6-437A-8F52-F31FE78DB95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LCIA!$AQ$12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LCIA!$AR$12:$BC$12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1.3604293226602815</c:v>
                      </c:pt>
                      <c:pt idx="1">
                        <c:v>1.3604293226602815</c:v>
                      </c:pt>
                      <c:pt idx="2">
                        <c:v>1.819795067974143</c:v>
                      </c:pt>
                      <c:pt idx="3">
                        <c:v>1.8197950679741424</c:v>
                      </c:pt>
                      <c:pt idx="4">
                        <c:v>1.7737243067596078</c:v>
                      </c:pt>
                      <c:pt idx="5">
                        <c:v>1.773724306759608</c:v>
                      </c:pt>
                      <c:pt idx="6">
                        <c:v>1.4749917919369366</c:v>
                      </c:pt>
                      <c:pt idx="7">
                        <c:v>1.4749917919369366</c:v>
                      </c:pt>
                      <c:pt idx="8">
                        <c:v>1.334516383181038</c:v>
                      </c:pt>
                      <c:pt idx="9">
                        <c:v>1.3345163831810383</c:v>
                      </c:pt>
                      <c:pt idx="10">
                        <c:v>1.9704968470407518</c:v>
                      </c:pt>
                      <c:pt idx="11">
                        <c:v>1.9704968470407518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9D6-437A-8F52-F31FE78DB95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LCIA!$AQ$13</c15:sqref>
                        </c15:formulaRef>
                      </c:ext>
                    </c:extLst>
                    <c:strCache>
                      <c:ptCount val="1"/>
                      <c:pt idx="0">
                        <c:v>Binder (PVDF)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LCIA!$AR$13:$BC$13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2.117945455915887</c:v>
                      </c:pt>
                      <c:pt idx="1">
                        <c:v>2.1179454559158875</c:v>
                      </c:pt>
                      <c:pt idx="2">
                        <c:v>2.8330958696017716</c:v>
                      </c:pt>
                      <c:pt idx="3">
                        <c:v>2.8330958696017703</c:v>
                      </c:pt>
                      <c:pt idx="4">
                        <c:v>2.7613719235359033</c:v>
                      </c:pt>
                      <c:pt idx="5">
                        <c:v>2.7613719235359033</c:v>
                      </c:pt>
                      <c:pt idx="6">
                        <c:v>2.2962987574666989</c:v>
                      </c:pt>
                      <c:pt idx="7">
                        <c:v>2.2962987574666984</c:v>
                      </c:pt>
                      <c:pt idx="8">
                        <c:v>2.0776036377079659</c:v>
                      </c:pt>
                      <c:pt idx="9">
                        <c:v>2.0776036377079654</c:v>
                      </c:pt>
                      <c:pt idx="10">
                        <c:v>3.067711621303169</c:v>
                      </c:pt>
                      <c:pt idx="11">
                        <c:v>3.0677116213031681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9D6-437A-8F52-F31FE78DB95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LCIA!$AQ$14</c15:sqref>
                        </c15:formulaRef>
                      </c:ext>
                    </c:extLst>
                    <c:strCache>
                      <c:ptCount val="1"/>
                      <c:pt idx="0">
                        <c:v>Solvent (NMP)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LCIA!$AR$14:$BC$14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60.732924443960734</c:v>
                      </c:pt>
                      <c:pt idx="1">
                        <c:v>60.732924443960734</c:v>
                      </c:pt>
                      <c:pt idx="2">
                        <c:v>81.240145684778625</c:v>
                      </c:pt>
                      <c:pt idx="3">
                        <c:v>81.240145684778625</c:v>
                      </c:pt>
                      <c:pt idx="4">
                        <c:v>79.183433135796889</c:v>
                      </c:pt>
                      <c:pt idx="5">
                        <c:v>79.183433135796889</c:v>
                      </c:pt>
                      <c:pt idx="6">
                        <c:v>65.847275976083722</c:v>
                      </c:pt>
                      <c:pt idx="7">
                        <c:v>65.847275976083722</c:v>
                      </c:pt>
                      <c:pt idx="8">
                        <c:v>59.576106835504326</c:v>
                      </c:pt>
                      <c:pt idx="9">
                        <c:v>59.576106835504326</c:v>
                      </c:pt>
                      <c:pt idx="10">
                        <c:v>87.967845249299373</c:v>
                      </c:pt>
                      <c:pt idx="11">
                        <c:v>87.967845249299373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9D6-437A-8F52-F31FE78DB95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LCIA!$AQ$15</c15:sqref>
                        </c15:formulaRef>
                      </c:ext>
                    </c:extLst>
                    <c:strCache>
                      <c:ptCount val="1"/>
                      <c:pt idx="0">
                        <c:v>NMC/NCA/NFM active material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LCIA!$AR$15:$BC$15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258.81890461120764</c:v>
                      </c:pt>
                      <c:pt idx="1">
                        <c:v>258.81890461120764</c:v>
                      </c:pt>
                      <c:pt idx="2">
                        <c:v>379.92067885232996</c:v>
                      </c:pt>
                      <c:pt idx="3">
                        <c:v>379.92067885232996</c:v>
                      </c:pt>
                      <c:pt idx="4">
                        <c:v>388.49168748541302</c:v>
                      </c:pt>
                      <c:pt idx="5">
                        <c:v>388.49168748541302</c:v>
                      </c:pt>
                      <c:pt idx="6">
                        <c:v>285.42681041269731</c:v>
                      </c:pt>
                      <c:pt idx="7">
                        <c:v>285.42681041269731</c:v>
                      </c:pt>
                      <c:pt idx="8">
                        <c:v>238.38148571783233</c:v>
                      </c:pt>
                      <c:pt idx="9">
                        <c:v>238.38148571783233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9D6-437A-8F52-F31FE78DB95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LCIA!$AQ$17</c15:sqref>
                        </c15:formulaRef>
                      </c:ext>
                    </c:extLst>
                    <c:strCache>
                      <c:ptCount val="1"/>
                      <c:pt idx="0">
                        <c:v>LiOH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LCIA!$AR$17:$BC$17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18.092300568250593</c:v>
                      </c:pt>
                      <c:pt idx="1">
                        <c:v>18.092300568250593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19.498301657060082</c:v>
                      </c:pt>
                      <c:pt idx="7">
                        <c:v>19.498301657060082</c:v>
                      </c:pt>
                      <c:pt idx="8">
                        <c:v>17.609501359520774</c:v>
                      </c:pt>
                      <c:pt idx="9">
                        <c:v>17.609501359520774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9D6-437A-8F52-F31FE78DB95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LCIA!$AQ$20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LCIA!$AR$20:$BC$20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26.283153316055923</c:v>
                      </c:pt>
                      <c:pt idx="1">
                        <c:v>26.283153316055923</c:v>
                      </c:pt>
                      <c:pt idx="2">
                        <c:v>30.764123557791283</c:v>
                      </c:pt>
                      <c:pt idx="3">
                        <c:v>30.764123557791283</c:v>
                      </c:pt>
                      <c:pt idx="4">
                        <c:v>29.985284986707956</c:v>
                      </c:pt>
                      <c:pt idx="5">
                        <c:v>29.985284986707956</c:v>
                      </c:pt>
                      <c:pt idx="6">
                        <c:v>28.496471490039582</c:v>
                      </c:pt>
                      <c:pt idx="7">
                        <c:v>28.496471490039582</c:v>
                      </c:pt>
                      <c:pt idx="8">
                        <c:v>25.782521824321528</c:v>
                      </c:pt>
                      <c:pt idx="9">
                        <c:v>25.782521824321528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9D6-437A-8F52-F31FE78DB951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LCIA!$AQ$23</c15:sqref>
                        </c15:formulaRef>
                      </c:ext>
                    </c:extLst>
                    <c:strCache>
                      <c:ptCount val="1"/>
                      <c:pt idx="0">
                        <c:v>NCA(OH)2 / NMC(OH)2  / NFM(OH)2  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LCIA!$AR$23:$BC$23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9D6-437A-8F52-F31FE78DB951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LCIA!$AQ$24</c15:sqref>
                        </c15:formulaRef>
                      </c:ext>
                    </c:extLst>
                    <c:strCache>
                      <c:ptCount val="1"/>
                      <c:pt idx="0">
                        <c:v>NiSO4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LCIA!$AR$24:$BC$24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141.48309692033857</c:v>
                      </c:pt>
                      <c:pt idx="1">
                        <c:v>141.48309692033857</c:v>
                      </c:pt>
                      <c:pt idx="2">
                        <c:v>105.29945712851278</c:v>
                      </c:pt>
                      <c:pt idx="3">
                        <c:v>105.29945712851278</c:v>
                      </c:pt>
                      <c:pt idx="4">
                        <c:v>122.68320927543928</c:v>
                      </c:pt>
                      <c:pt idx="5">
                        <c:v>122.68320927543928</c:v>
                      </c:pt>
                      <c:pt idx="6">
                        <c:v>135.53611285744236</c:v>
                      </c:pt>
                      <c:pt idx="7">
                        <c:v>135.53611285744236</c:v>
                      </c:pt>
                      <c:pt idx="8">
                        <c:v>137.70757224429735</c:v>
                      </c:pt>
                      <c:pt idx="9">
                        <c:v>137.70757224429735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9D6-437A-8F52-F31FE78DB951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LCIA!$AQ$25</c15:sqref>
                        </c15:formulaRef>
                      </c:ext>
                    </c:extLst>
                    <c:strCache>
                      <c:ptCount val="1"/>
                      <c:pt idx="0">
                        <c:v>MnSO4 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LCIA!$AR$25:$BC$25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3.1405711295031846</c:v>
                      </c:pt>
                      <c:pt idx="3">
                        <c:v>3.1405711295031846</c:v>
                      </c:pt>
                      <c:pt idx="4">
                        <c:v>2.0328022133369807</c:v>
                      </c:pt>
                      <c:pt idx="5">
                        <c:v>2.0328022133369807</c:v>
                      </c:pt>
                      <c:pt idx="6">
                        <c:v>0.8421632588239728</c:v>
                      </c:pt>
                      <c:pt idx="7">
                        <c:v>0.8421632588239728</c:v>
                      </c:pt>
                      <c:pt idx="8">
                        <c:v>0.38029145594404679</c:v>
                      </c:pt>
                      <c:pt idx="9">
                        <c:v>0.38029145594404679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9D6-437A-8F52-F31FE78DB951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LCIA!$AQ$26</c15:sqref>
                        </c15:formulaRef>
                      </c:ext>
                    </c:extLst>
                    <c:strCache>
                      <c:ptCount val="1"/>
                      <c:pt idx="0">
                        <c:v>CoSO4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LCIA!$AR$26:$BC$26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49.466080852204676</c:v>
                      </c:pt>
                      <c:pt idx="1">
                        <c:v>49.466080852204676</c:v>
                      </c:pt>
                      <c:pt idx="2">
                        <c:v>189.33614851938452</c:v>
                      </c:pt>
                      <c:pt idx="3">
                        <c:v>189.33614851938452</c:v>
                      </c:pt>
                      <c:pt idx="4">
                        <c:v>183.82784177019568</c:v>
                      </c:pt>
                      <c:pt idx="5">
                        <c:v>183.82784177019568</c:v>
                      </c:pt>
                      <c:pt idx="6">
                        <c:v>76.157460510449582</c:v>
                      </c:pt>
                      <c:pt idx="7">
                        <c:v>76.157460510449582</c:v>
                      </c:pt>
                      <c:pt idx="8">
                        <c:v>34.390044014700592</c:v>
                      </c:pt>
                      <c:pt idx="9">
                        <c:v>34.390044014700592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9D6-437A-8F52-F31FE78DB951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LCIA!$AQ$29</c15:sqref>
                        </c15:formulaRef>
                      </c:ext>
                    </c:extLst>
                    <c:strCache>
                      <c:ptCount val="1"/>
                      <c:pt idx="0">
                        <c:v>NaOH 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LCIA!$AR$29:$BC$29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5.7011493365781689</c:v>
                      </c:pt>
                      <c:pt idx="1">
                        <c:v>5.7011493365781689</c:v>
                      </c:pt>
                      <c:pt idx="2">
                        <c:v>7.5247219141083415</c:v>
                      </c:pt>
                      <c:pt idx="3">
                        <c:v>7.5247219141083415</c:v>
                      </c:pt>
                      <c:pt idx="4">
                        <c:v>7.3058071594279452</c:v>
                      </c:pt>
                      <c:pt idx="5">
                        <c:v>7.3058071594279452</c:v>
                      </c:pt>
                      <c:pt idx="6">
                        <c:v>6.0533999081231915</c:v>
                      </c:pt>
                      <c:pt idx="7">
                        <c:v>6.0533999081231915</c:v>
                      </c:pt>
                      <c:pt idx="8">
                        <c:v>5.4670071161413567</c:v>
                      </c:pt>
                      <c:pt idx="9">
                        <c:v>5.4670071161413567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9D6-437A-8F52-F31FE78DB951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LCIA!$AQ$30</c15:sqref>
                        </c15:formulaRef>
                      </c:ext>
                    </c:extLst>
                    <c:strCache>
                      <c:ptCount val="1"/>
                      <c:pt idx="0">
                        <c:v>NH4OH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LCIA!$AR$30:$BC$30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2.1555823705414752</c:v>
                      </c:pt>
                      <c:pt idx="1">
                        <c:v>2.1555823705414752</c:v>
                      </c:pt>
                      <c:pt idx="2">
                        <c:v>2.8877440841919082</c:v>
                      </c:pt>
                      <c:pt idx="3">
                        <c:v>2.8877440841919082</c:v>
                      </c:pt>
                      <c:pt idx="4">
                        <c:v>2.8037317053975017</c:v>
                      </c:pt>
                      <c:pt idx="5">
                        <c:v>2.8037317053975017</c:v>
                      </c:pt>
                      <c:pt idx="6">
                        <c:v>2.3230984444960709</c:v>
                      </c:pt>
                      <c:pt idx="7">
                        <c:v>2.3230984444960709</c:v>
                      </c:pt>
                      <c:pt idx="8">
                        <c:v>2.0980599200977941</c:v>
                      </c:pt>
                      <c:pt idx="9">
                        <c:v>2.0980599200977941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9D6-437A-8F52-F31FE78DB951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LCIA!$AQ$31</c15:sqref>
                        </c15:formulaRef>
                      </c:ext>
                    </c:extLst>
                    <c:strCache>
                      <c:ptCount val="1"/>
                      <c:pt idx="0">
                        <c:v>Water loss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LCIA!$AR$31:$BC$31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1.4974966092954176E-3</c:v>
                      </c:pt>
                      <c:pt idx="1">
                        <c:v>1.4974966092954176E-3</c:v>
                      </c:pt>
                      <c:pt idx="2">
                        <c:v>2.0031448150315328E-3</c:v>
                      </c:pt>
                      <c:pt idx="3">
                        <c:v>2.0031448150315328E-3</c:v>
                      </c:pt>
                      <c:pt idx="4">
                        <c:v>1.9524322880687087E-3</c:v>
                      </c:pt>
                      <c:pt idx="5">
                        <c:v>1.9524322880687087E-3</c:v>
                      </c:pt>
                      <c:pt idx="6">
                        <c:v>1.6236015869202946E-3</c:v>
                      </c:pt>
                      <c:pt idx="7">
                        <c:v>1.6236015869202946E-3</c:v>
                      </c:pt>
                      <c:pt idx="8">
                        <c:v>1.4689728643564573E-3</c:v>
                      </c:pt>
                      <c:pt idx="9">
                        <c:v>1.4689728643564573E-3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9D6-437A-8F52-F31FE78DB951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LCIA!$AQ$32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LCIA!$AR$32:$BC$32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15.235213349943471</c:v>
                      </c:pt>
                      <c:pt idx="1">
                        <c:v>15.235213349943471</c:v>
                      </c:pt>
                      <c:pt idx="2">
                        <c:v>20.379571104469839</c:v>
                      </c:pt>
                      <c:pt idx="3">
                        <c:v>20.379571104469839</c:v>
                      </c:pt>
                      <c:pt idx="4">
                        <c:v>19.863632595495915</c:v>
                      </c:pt>
                      <c:pt idx="5">
                        <c:v>19.863632595495915</c:v>
                      </c:pt>
                      <c:pt idx="6">
                        <c:v>16.518178684675554</c:v>
                      </c:pt>
                      <c:pt idx="7">
                        <c:v>16.518178684675554</c:v>
                      </c:pt>
                      <c:pt idx="8">
                        <c:v>14.945018809944548</c:v>
                      </c:pt>
                      <c:pt idx="9">
                        <c:v>14.945018809944548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99D6-437A-8F52-F31FE78DB951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LCIA!$AQ$36</c15:sqref>
                        </c15:formulaRef>
                      </c:ext>
                    </c:extLst>
                    <c:strCache>
                      <c:ptCount val="1"/>
                      <c:pt idx="0">
                        <c:v>LFP/NaFP active material 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LCIA!$AR$36:$BC$36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62.826876396286842</c:v>
                      </c:pt>
                      <c:pt idx="11">
                        <c:v>62.826876396286842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9D6-437A-8F52-F31FE78DB951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LCIA!$AQ$38</c15:sqref>
                        </c15:formulaRef>
                      </c:ext>
                    </c:extLst>
                    <c:strCache>
                      <c:ptCount val="1"/>
                      <c:pt idx="0">
                        <c:v>LiOH 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LCIA!$AR$38:$BC$38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99D6-437A-8F52-F31FE78DB951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LCIA!$AQ$40</c15:sqref>
                        </c15:formulaRef>
                      </c:ext>
                    </c:extLst>
                    <c:strCache>
                      <c:ptCount val="1"/>
                      <c:pt idx="0">
                        <c:v>(NH4)2HPO4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LCIA!$AR$40:$BC$40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11.857378052248388</c:v>
                      </c:pt>
                      <c:pt idx="11">
                        <c:v>11.857378052248388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9D6-437A-8F52-F31FE78DB951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LCIA!$AQ$41</c15:sqref>
                        </c15:formulaRef>
                      </c:ext>
                    </c:extLst>
                    <c:strCache>
                      <c:ptCount val="1"/>
                      <c:pt idx="0">
                        <c:v>Fe3O4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LCIA!$AR$41:$BC$41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4.0145742909650011</c:v>
                      </c:pt>
                      <c:pt idx="11">
                        <c:v>4.0145742909650011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99D6-437A-8F52-F31FE78DB951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LCIA!$AQ$42</c15:sqref>
                        </c15:formulaRef>
                      </c:ext>
                    </c:extLst>
                    <c:strCache>
                      <c:ptCount val="1"/>
                      <c:pt idx="0">
                        <c:v>Water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LCIA!$AR$42:$BC$42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99D6-437A-8F52-F31FE78DB951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LCIA!$AQ$43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LCIA!$AR$43:$BC$43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33.311777539920868</c:v>
                      </c:pt>
                      <c:pt idx="11">
                        <c:v>33.311777539920868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99D6-437A-8F52-F31FE78DB951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LCIA!$AQ$44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LCIA!$AR$44:$BC$44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99D6-437A-8F52-F31FE78DB951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LCIA!$AQ$49</c15:sqref>
                        </c15:formulaRef>
                      </c:ext>
                    </c:extLst>
                    <c:strCache>
                      <c:ptCount val="1"/>
                      <c:pt idx="0">
                        <c:v>Anode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LCIA!$AR$49:$BC$49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48.202980778210126</c:v>
                      </c:pt>
                      <c:pt idx="1">
                        <c:v>40.470769568325473</c:v>
                      </c:pt>
                      <c:pt idx="2">
                        <c:v>53.022252427701027</c:v>
                      </c:pt>
                      <c:pt idx="3">
                        <c:v>42.933952855843046</c:v>
                      </c:pt>
                      <c:pt idx="4">
                        <c:v>52.437276268322734</c:v>
                      </c:pt>
                      <c:pt idx="5">
                        <c:v>42.634965041049696</c:v>
                      </c:pt>
                      <c:pt idx="6">
                        <c:v>42.357207896502061</c:v>
                      </c:pt>
                      <c:pt idx="7">
                        <c:v>34.167531494157508</c:v>
                      </c:pt>
                      <c:pt idx="8">
                        <c:v>36.376636264605146</c:v>
                      </c:pt>
                      <c:pt idx="9">
                        <c:v>28.994583009132079</c:v>
                      </c:pt>
                      <c:pt idx="10">
                        <c:v>64.312861370485109</c:v>
                      </c:pt>
                      <c:pt idx="11">
                        <c:v>50.683919850698842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99D6-437A-8F52-F31FE78DB951}"/>
                  </c:ext>
                </c:extLst>
              </c15:ser>
            </c15:filteredBarSeries>
            <c15:filteredBa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LCIA!$AQ$53</c15:sqref>
                        </c15:formulaRef>
                      </c:ext>
                    </c:extLst>
                    <c:strCache>
                      <c:ptCount val="1"/>
                      <c:pt idx="0">
                        <c:v>Graphite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LCIA!$AR$53:$BC$53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31.498728336765993</c:v>
                      </c:pt>
                      <c:pt idx="1">
                        <c:v>31.498728336765986</c:v>
                      </c:pt>
                      <c:pt idx="2">
                        <c:v>31.498728336765986</c:v>
                      </c:pt>
                      <c:pt idx="3">
                        <c:v>31.498728336765982</c:v>
                      </c:pt>
                      <c:pt idx="4">
                        <c:v>31.498728336766</c:v>
                      </c:pt>
                      <c:pt idx="5">
                        <c:v>31.498728336765989</c:v>
                      </c:pt>
                      <c:pt idx="6">
                        <c:v>23.317240457086506</c:v>
                      </c:pt>
                      <c:pt idx="7">
                        <c:v>23.317240457086516</c:v>
                      </c:pt>
                      <c:pt idx="8">
                        <c:v>18.095014150908128</c:v>
                      </c:pt>
                      <c:pt idx="9">
                        <c:v>18.095014150908124</c:v>
                      </c:pt>
                      <c:pt idx="10">
                        <c:v>35.436069378861738</c:v>
                      </c:pt>
                      <c:pt idx="11">
                        <c:v>35.436069378861745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99D6-437A-8F52-F31FE78DB951}"/>
                  </c:ext>
                </c:extLst>
              </c15:ser>
            </c15:filteredBarSeries>
            <c15:filteredBa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LCIA!$AQ$54</c15:sqref>
                        </c15:formulaRef>
                      </c:ext>
                    </c:extLst>
                    <c:strCache>
                      <c:ptCount val="1"/>
                      <c:pt idx="0">
                        <c:v>SiO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LCIA!$AR$54:$BC$54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1.5961234664866157</c:v>
                      </c:pt>
                      <c:pt idx="7">
                        <c:v>1.5961234664866164</c:v>
                      </c:pt>
                      <c:pt idx="8">
                        <c:v>2.6149256791376483</c:v>
                      </c:pt>
                      <c:pt idx="9">
                        <c:v>2.6149256791376478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99D6-437A-8F52-F31FE78DB951}"/>
                  </c:ext>
                </c:extLst>
              </c15:ser>
            </c15:filteredBarSeries>
            <c15:filteredBa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LCIA!$AQ$55</c15:sqref>
                        </c15:formulaRef>
                      </c:ext>
                    </c:extLst>
                    <c:strCache>
                      <c:ptCount val="1"/>
                      <c:pt idx="0">
                        <c:v>Hard Carbon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LCIA!$AR$55:$BC$55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99D6-437A-8F52-F31FE78DB951}"/>
                  </c:ext>
                </c:extLst>
              </c15:ser>
            </c15:filteredBarSeries>
            <c15:filteredBarSeries>
              <c15:ser>
                <c:idx val="3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LCIA!$AQ$57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LCIA!$AR$57:$BC$57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0.42360247428898129</c:v>
                      </c:pt>
                      <c:pt idx="1">
                        <c:v>0.20957175043770643</c:v>
                      </c:pt>
                      <c:pt idx="2">
                        <c:v>0.42360247428898123</c:v>
                      </c:pt>
                      <c:pt idx="3">
                        <c:v>0.20957175043770643</c:v>
                      </c:pt>
                      <c:pt idx="4">
                        <c:v>0.4236024742889814</c:v>
                      </c:pt>
                      <c:pt idx="5">
                        <c:v>0.20957175043770648</c:v>
                      </c:pt>
                      <c:pt idx="6">
                        <c:v>0.33007985009530993</c:v>
                      </c:pt>
                      <c:pt idx="7">
                        <c:v>0.16330266267873234</c:v>
                      </c:pt>
                      <c:pt idx="8">
                        <c:v>0.27038455805679651</c:v>
                      </c:pt>
                      <c:pt idx="9">
                        <c:v>0.13376920240704673</c:v>
                      </c:pt>
                      <c:pt idx="10">
                        <c:v>0.47655278357510389</c:v>
                      </c:pt>
                      <c:pt idx="11">
                        <c:v>0.23576821924241984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99D6-437A-8F52-F31FE78DB951}"/>
                  </c:ext>
                </c:extLst>
              </c15:ser>
            </c15:filteredBarSeries>
            <c15:filteredBarSeries>
              <c15:ser>
                <c:idx val="3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LCIA!$AQ$58</c15:sqref>
                        </c15:formulaRef>
                      </c:ext>
                    </c:extLst>
                    <c:strCache>
                      <c:ptCount val="1"/>
                      <c:pt idx="0">
                        <c:v>Binder (CMC-SBR)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LCIA!$AR$58:$BC$58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0.92084311943594255</c:v>
                      </c:pt>
                      <c:pt idx="1">
                        <c:v>0.91115003396819538</c:v>
                      </c:pt>
                      <c:pt idx="2">
                        <c:v>0.92084311943594244</c:v>
                      </c:pt>
                      <c:pt idx="3">
                        <c:v>0.91115003396819538</c:v>
                      </c:pt>
                      <c:pt idx="4">
                        <c:v>0.92084311943594277</c:v>
                      </c:pt>
                      <c:pt idx="5">
                        <c:v>0.91115003396819561</c:v>
                      </c:pt>
                      <c:pt idx="6">
                        <c:v>0.71754009306696787</c:v>
                      </c:pt>
                      <c:pt idx="7">
                        <c:v>0.70998703945573682</c:v>
                      </c:pt>
                      <c:pt idx="8">
                        <c:v>0.5877722038952824</c:v>
                      </c:pt>
                      <c:pt idx="9">
                        <c:v>0.58158512806480589</c:v>
                      </c:pt>
                      <c:pt idx="10">
                        <c:v>1.0359485093654353</c:v>
                      </c:pt>
                      <c:pt idx="11">
                        <c:v>1.0250437882142203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99D6-437A-8F52-F31FE78DB951}"/>
                  </c:ext>
                </c:extLst>
              </c15:ser>
            </c15:filteredBarSeries>
            <c15:filteredBarSeries>
              <c15:ser>
                <c:idx val="32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LCIA!$AQ$59</c15:sqref>
                        </c15:formulaRef>
                      </c:ext>
                    </c:extLst>
                    <c:strCache>
                      <c:ptCount val="1"/>
                      <c:pt idx="0">
                        <c:v>Solvent (Water)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LCIA!$AR$59:$BC$59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1.5709898851325116E-3</c:v>
                      </c:pt>
                      <c:pt idx="1">
                        <c:v>1.5544531494995374E-3</c:v>
                      </c:pt>
                      <c:pt idx="2">
                        <c:v>1.570989885132511E-3</c:v>
                      </c:pt>
                      <c:pt idx="3">
                        <c:v>1.5544531494995372E-3</c:v>
                      </c:pt>
                      <c:pt idx="4">
                        <c:v>1.5709898851325118E-3</c:v>
                      </c:pt>
                      <c:pt idx="5">
                        <c:v>1.5544531494995377E-3</c:v>
                      </c:pt>
                      <c:pt idx="6">
                        <c:v>1.2241479624409176E-3</c:v>
                      </c:pt>
                      <c:pt idx="7">
                        <c:v>1.2112621944152244E-3</c:v>
                      </c:pt>
                      <c:pt idx="8">
                        <c:v>1.0027595011484118E-3</c:v>
                      </c:pt>
                      <c:pt idx="9">
                        <c:v>9.9220413797842816E-4</c:v>
                      </c:pt>
                      <c:pt idx="10">
                        <c:v>1.7673636207740752E-3</c:v>
                      </c:pt>
                      <c:pt idx="11">
                        <c:v>1.74875979318698E-3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99D6-437A-8F52-F31FE78DB951}"/>
                  </c:ext>
                </c:extLst>
              </c15:ser>
            </c15:filteredBarSeries>
            <c15:filteredBa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LCIA!$AQ$66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LCIA!$AR$66:$BC$66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40.094210140883995</c:v>
                      </c:pt>
                      <c:pt idx="1">
                        <c:v>35.193180024698016</c:v>
                      </c:pt>
                      <c:pt idx="2">
                        <c:v>44.915175601951603</c:v>
                      </c:pt>
                      <c:pt idx="3">
                        <c:v>38.477292668618063</c:v>
                      </c:pt>
                      <c:pt idx="4">
                        <c:v>44.329993843166825</c:v>
                      </c:pt>
                      <c:pt idx="5">
                        <c:v>38.078658239780879</c:v>
                      </c:pt>
                      <c:pt idx="6">
                        <c:v>41.062052131551596</c:v>
                      </c:pt>
                      <c:pt idx="7">
                        <c:v>35.831130076583946</c:v>
                      </c:pt>
                      <c:pt idx="8">
                        <c:v>39.4298078919578</c:v>
                      </c:pt>
                      <c:pt idx="9">
                        <c:v>34.70558903329907</c:v>
                      </c:pt>
                      <c:pt idx="10">
                        <c:v>52.142258679525952</c:v>
                      </c:pt>
                      <c:pt idx="11">
                        <c:v>43.412677217798063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99D6-437A-8F52-F31FE78DB951}"/>
                  </c:ext>
                </c:extLst>
              </c15:ser>
            </c15:filteredBarSeries>
            <c15:filteredBa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LCIA!$AQ$67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(LCIA!$CD$6:$CE$7,LCIA!$CF$6:$CG$7,LCIA!$CH$6:$CI$7,LCIA!$CJ$6:$CK$7,LCIA!$CL$6:$CM$7,LCIA!$CN$6:$CO$7,LCIA!$CP$6:$CQ$7,LCIA!$CR$6:$CS$7)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LCIA!$AR$67:$BC$67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12.360449052690958</c:v>
                      </c:pt>
                      <c:pt idx="1">
                        <c:v>8.7609442060309313</c:v>
                      </c:pt>
                      <c:pt idx="2">
                        <c:v>16.239043068697367</c:v>
                      </c:pt>
                      <c:pt idx="3">
                        <c:v>11.510047060403348</c:v>
                      </c:pt>
                      <c:pt idx="4">
                        <c:v>15.768248891425623</c:v>
                      </c:pt>
                      <c:pt idx="5">
                        <c:v>11.176353559300006</c:v>
                      </c:pt>
                      <c:pt idx="6">
                        <c:v>13.194846246259846</c:v>
                      </c:pt>
                      <c:pt idx="7">
                        <c:v>9.3523553454938906</c:v>
                      </c:pt>
                      <c:pt idx="8">
                        <c:v>11.917241492090291</c:v>
                      </c:pt>
                      <c:pt idx="9">
                        <c:v>8.4468037817177706</c:v>
                      </c:pt>
                      <c:pt idx="10">
                        <c:v>22.021609693119998</c:v>
                      </c:pt>
                      <c:pt idx="11">
                        <c:v>15.608663813586283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99D6-437A-8F52-F31FE78DB951}"/>
                  </c:ext>
                </c:extLst>
              </c15:ser>
            </c15:filteredBarSeries>
          </c:ext>
        </c:extLst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6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de-DE" sz="900"/>
              <a:t>Terrestrial Acidification Potential (TAP)</a:t>
            </a:r>
          </a:p>
          <a:p>
            <a:pPr>
              <a:defRPr sz="900"/>
            </a:pPr>
            <a:r>
              <a:rPr lang="de-DE" sz="900"/>
              <a:t>[kgSO2-eq/kWh</a:t>
            </a:r>
            <a:r>
              <a:rPr lang="de-DE" sz="900" baseline="-25000"/>
              <a:t>cell</a:t>
            </a:r>
            <a:r>
              <a:rPr lang="de-DE" sz="900"/>
              <a:t>]</a:t>
            </a:r>
          </a:p>
        </c:rich>
      </c:tx>
      <c:layout>
        <c:manualLayout>
          <c:xMode val="edge"/>
          <c:yMode val="edge"/>
          <c:x val="0.26342702930319839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LCIA!$CV$10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(LCIA!$CW$6:$CX$7,LCIA!$CY$6:$CZ$7,LCIA!$DA$6:$DB$7,LCIA!$DC$6:$DD$7,LCIA!$DE$6:$DF$7,LCIA!$DG$6:$DH$7,LCIA!$DI$6:$DJ$7,LCIA!$DK$6:$DL$7)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LCIA!$CW$10:$DL$10</c:f>
              <c:numCache>
                <c:formatCode>0.0</c:formatCode>
                <c:ptCount val="16"/>
                <c:pt idx="0">
                  <c:v>1.3160915638574449E-2</c:v>
                </c:pt>
                <c:pt idx="1">
                  <c:v>6.7266902152713836E-3</c:v>
                </c:pt>
                <c:pt idx="2">
                  <c:v>1.7290688628482688E-2</c:v>
                </c:pt>
                <c:pt idx="3">
                  <c:v>8.8374630767800357E-3</c:v>
                </c:pt>
                <c:pt idx="4">
                  <c:v>1.678940567154541E-2</c:v>
                </c:pt>
                <c:pt idx="5">
                  <c:v>8.5812517876787675E-3</c:v>
                </c:pt>
                <c:pt idx="6">
                  <c:v>1.4049348658023094E-2</c:v>
                </c:pt>
                <c:pt idx="7">
                  <c:v>7.1807782029895822E-3</c:v>
                </c:pt>
                <c:pt idx="8">
                  <c:v>1.2689005816319741E-2</c:v>
                </c:pt>
                <c:pt idx="9">
                  <c:v>6.4854918616745342E-3</c:v>
                </c:pt>
                <c:pt idx="10">
                  <c:v>2.3447736094480219E-2</c:v>
                </c:pt>
                <c:pt idx="11">
                  <c:v>1.1984398448289886E-2</c:v>
                </c:pt>
                <c:pt idx="12">
                  <c:v>2.6901815762363751E-2</c:v>
                </c:pt>
                <c:pt idx="13">
                  <c:v>1.3749816945208139E-2</c:v>
                </c:pt>
                <c:pt idx="14">
                  <c:v>1.2346059713175962E-2</c:v>
                </c:pt>
                <c:pt idx="15">
                  <c:v>6.3102082978454916E-3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E-47B8-84B0-67C3F72C9CF9}"/>
            </c:ext>
          </c:extLst>
        </c:ser>
        <c:ser>
          <c:idx val="2"/>
          <c:order val="2"/>
          <c:tx>
            <c:strRef>
              <c:f>LCIA!$CV$11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(LCIA!$CW$6:$CX$7,LCIA!$CY$6:$CZ$7,LCIA!$DA$6:$DB$7,LCIA!$DC$6:$DD$7,LCIA!$DE$6:$DF$7,LCIA!$DG$6:$DH$7,LCIA!$DI$6:$DJ$7,LCIA!$DK$6:$DL$7)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LCIA!$CW$11:$DL$11</c:f>
              <c:numCache>
                <c:formatCode>0.0</c:formatCode>
                <c:ptCount val="16"/>
                <c:pt idx="0">
                  <c:v>0.28197886027029134</c:v>
                </c:pt>
                <c:pt idx="1">
                  <c:v>0.28197886027029134</c:v>
                </c:pt>
                <c:pt idx="2">
                  <c:v>0.36197154506388984</c:v>
                </c:pt>
                <c:pt idx="3">
                  <c:v>0.36197154506388984</c:v>
                </c:pt>
                <c:pt idx="4">
                  <c:v>0.36965219128307109</c:v>
                </c:pt>
                <c:pt idx="5">
                  <c:v>0.36965219128307109</c:v>
                </c:pt>
                <c:pt idx="6">
                  <c:v>0.30144335445607051</c:v>
                </c:pt>
                <c:pt idx="7">
                  <c:v>0.30144335445607051</c:v>
                </c:pt>
                <c:pt idx="8">
                  <c:v>0.26809421594861649</c:v>
                </c:pt>
                <c:pt idx="9">
                  <c:v>0.26809421594861649</c:v>
                </c:pt>
                <c:pt idx="10">
                  <c:v>0.18071727292336615</c:v>
                </c:pt>
                <c:pt idx="11">
                  <c:v>0.18071727292336615</c:v>
                </c:pt>
                <c:pt idx="12">
                  <c:v>0.24013206661540301</c:v>
                </c:pt>
                <c:pt idx="13">
                  <c:v>0.24013206661540301</c:v>
                </c:pt>
                <c:pt idx="14">
                  <c:v>0.26796118145482928</c:v>
                </c:pt>
                <c:pt idx="15">
                  <c:v>0.26796118145482928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3E-47B8-84B0-67C3F72C9CF9}"/>
            </c:ext>
          </c:extLst>
        </c:ser>
        <c:ser>
          <c:idx val="34"/>
          <c:order val="25"/>
          <c:tx>
            <c:strRef>
              <c:f>LCIA!$CV$61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(LCIA!$CW$6:$CX$7,LCIA!$CY$6:$CZ$7,LCIA!$DA$6:$DB$7,LCIA!$DC$6:$DD$7,LCIA!$DE$6:$DF$7,LCIA!$DG$6:$DH$7,LCIA!$DI$6:$DJ$7,LCIA!$DK$6:$DL$7)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(LCIA!$CW$61:$DH$61,LCIA!$DI$62:$DJ$62,LCIA!$DK$63:$DL$63)</c:f>
              <c:numCache>
                <c:formatCode>0.0</c:formatCode>
                <c:ptCount val="16"/>
                <c:pt idx="0">
                  <c:v>1.7474459442238487E-2</c:v>
                </c:pt>
                <c:pt idx="1">
                  <c:v>1.1672209616062044E-2</c:v>
                </c:pt>
                <c:pt idx="2">
                  <c:v>2.0237592695727287E-2</c:v>
                </c:pt>
                <c:pt idx="3">
                  <c:v>1.3487982896926112E-2</c:v>
                </c:pt>
                <c:pt idx="4">
                  <c:v>1.99021961470295E-2</c:v>
                </c:pt>
                <c:pt idx="5">
                  <c:v>1.3267579450638996E-2</c:v>
                </c:pt>
                <c:pt idx="6">
                  <c:v>1.6169537430330314E-2</c:v>
                </c:pt>
                <c:pt idx="7">
                  <c:v>1.0773375362885657E-2</c:v>
                </c:pt>
                <c:pt idx="8">
                  <c:v>1.4047063635678604E-2</c:v>
                </c:pt>
                <c:pt idx="9">
                  <c:v>9.3522379777018026E-3</c:v>
                </c:pt>
                <c:pt idx="10">
                  <c:v>2.5440727594528686E-2</c:v>
                </c:pt>
                <c:pt idx="11">
                  <c:v>1.6930810006819483E-2</c:v>
                </c:pt>
                <c:pt idx="12">
                  <c:v>3.3587421392690463E-2</c:v>
                </c:pt>
                <c:pt idx="13">
                  <c:v>2.2458088012088196E-2</c:v>
                </c:pt>
                <c:pt idx="14">
                  <c:v>2.7495999652790339E-2</c:v>
                </c:pt>
                <c:pt idx="15">
                  <c:v>1.8330666435193561E-2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3E-47B8-84B0-67C3F72C9CF9}"/>
            </c:ext>
          </c:extLst>
        </c:ser>
        <c:ser>
          <c:idx val="33"/>
          <c:order val="26"/>
          <c:tx>
            <c:strRef>
              <c:f>LCIA!$CV$60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(LCIA!$CW$6:$CX$7,LCIA!$CY$6:$CZ$7,LCIA!$DA$6:$DB$7,LCIA!$DC$6:$DD$7,LCIA!$DE$6:$DF$7,LCIA!$DG$6:$DH$7,LCIA!$DI$6:$DJ$7,LCIA!$DK$6:$DL$7)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LCIA!$CW$60:$DL$60</c:f>
              <c:numCache>
                <c:formatCode>0.0</c:formatCode>
                <c:ptCount val="16"/>
                <c:pt idx="0">
                  <c:v>1.858737081485414E-3</c:v>
                </c:pt>
                <c:pt idx="1">
                  <c:v>9.5002117498143364E-4</c:v>
                </c:pt>
                <c:pt idx="2">
                  <c:v>2.4419914997388529E-3</c:v>
                </c:pt>
                <c:pt idx="3">
                  <c:v>1.2481289887554133E-3</c:v>
                </c:pt>
                <c:pt idx="4">
                  <c:v>2.3711945091673906E-3</c:v>
                </c:pt>
                <c:pt idx="5">
                  <c:v>1.211943860241111E-3</c:v>
                </c:pt>
                <c:pt idx="6">
                  <c:v>1.9842118921304368E-3</c:v>
                </c:pt>
                <c:pt idx="7">
                  <c:v>1.0141527448666676E-3</c:v>
                </c:pt>
                <c:pt idx="8">
                  <c:v>1.7920885055177141E-3</c:v>
                </c:pt>
                <c:pt idx="9">
                  <c:v>9.1595634726460932E-4</c:v>
                </c:pt>
                <c:pt idx="10">
                  <c:v>3.3115611217773267E-3</c:v>
                </c:pt>
                <c:pt idx="11">
                  <c:v>1.6925756844639664E-3</c:v>
                </c:pt>
                <c:pt idx="12">
                  <c:v>3.799386295755523E-3</c:v>
                </c:pt>
                <c:pt idx="13">
                  <c:v>1.9419085511639339E-3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3E-47B8-84B0-67C3F72C9CF9}"/>
            </c:ext>
          </c:extLst>
        </c:ser>
        <c:ser>
          <c:idx val="26"/>
          <c:order val="27"/>
          <c:tx>
            <c:strRef>
              <c:f>LCIA!$CV$52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(LCIA!$CW$6:$CX$7,LCIA!$CY$6:$CZ$7,LCIA!$DA$6:$DB$7,LCIA!$DC$6:$DD$7,LCIA!$DE$6:$DF$7,LCIA!$DG$6:$DH$7,LCIA!$DI$6:$DJ$7,LCIA!$DK$6:$DL$7)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LCIA!$CW$52:$DL$52</c:f>
              <c:numCache>
                <c:formatCode>0.0</c:formatCode>
                <c:ptCount val="16"/>
                <c:pt idx="0">
                  <c:v>7.3244261450945633E-2</c:v>
                </c:pt>
                <c:pt idx="1">
                  <c:v>7.3182157220597774E-2</c:v>
                </c:pt>
                <c:pt idx="2">
                  <c:v>7.3244261450945605E-2</c:v>
                </c:pt>
                <c:pt idx="3">
                  <c:v>7.3182157220597774E-2</c:v>
                </c:pt>
                <c:pt idx="4">
                  <c:v>7.3244261450945633E-2</c:v>
                </c:pt>
                <c:pt idx="5">
                  <c:v>7.3182157220597788E-2</c:v>
                </c:pt>
                <c:pt idx="6">
                  <c:v>5.5584495454801292E-2</c:v>
                </c:pt>
                <c:pt idx="7">
                  <c:v>5.5536102548036766E-2</c:v>
                </c:pt>
                <c:pt idx="8">
                  <c:v>4.4312304393432596E-2</c:v>
                </c:pt>
                <c:pt idx="9">
                  <c:v>4.4272663395338231E-2</c:v>
                </c:pt>
                <c:pt idx="10">
                  <c:v>8.2399794132313839E-2</c:v>
                </c:pt>
                <c:pt idx="11">
                  <c:v>8.2329926873172532E-2</c:v>
                </c:pt>
                <c:pt idx="12">
                  <c:v>1.7481678895643366E-2</c:v>
                </c:pt>
                <c:pt idx="13">
                  <c:v>1.7405024531328323E-2</c:v>
                </c:pt>
                <c:pt idx="14">
                  <c:v>0.35403898772739256</c:v>
                </c:pt>
                <c:pt idx="15">
                  <c:v>0.18095326039400064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3E-47B8-84B0-67C3F72C9CF9}"/>
            </c:ext>
          </c:extLst>
        </c:ser>
        <c:ser>
          <c:idx val="25"/>
          <c:order val="28"/>
          <c:tx>
            <c:strRef>
              <c:f>LCIA!$CV$50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(LCIA!$CW$6:$CX$7,LCIA!$CY$6:$CZ$7,LCIA!$DA$6:$DB$7,LCIA!$DC$6:$DD$7,LCIA!$DE$6:$DF$7,LCIA!$DG$6:$DH$7,LCIA!$DI$6:$DJ$7,LCIA!$DK$6:$DL$7)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(LCIA!$CW$50:$DH$50,LCIA!$DI$51:$DJ$51,LCIA!$DK$50:$DL$50)</c:f>
              <c:numCache>
                <c:formatCode>0.0</c:formatCode>
                <c:ptCount val="16"/>
                <c:pt idx="0">
                  <c:v>0.17721419852275677</c:v>
                </c:pt>
                <c:pt idx="1">
                  <c:v>9.0576145911631226E-2</c:v>
                </c:pt>
                <c:pt idx="2">
                  <c:v>0.232822366722123</c:v>
                </c:pt>
                <c:pt idx="3">
                  <c:v>0.11899809854686279</c:v>
                </c:pt>
                <c:pt idx="4">
                  <c:v>0.22607249764869888</c:v>
                </c:pt>
                <c:pt idx="5">
                  <c:v>0.11554816546489056</c:v>
                </c:pt>
                <c:pt idx="6">
                  <c:v>0.18917711583082625</c:v>
                </c:pt>
                <c:pt idx="7">
                  <c:v>9.6690525869088967E-2</c:v>
                </c:pt>
                <c:pt idx="8">
                  <c:v>0.17085984421926367</c:v>
                </c:pt>
                <c:pt idx="9">
                  <c:v>8.7328364823179225E-2</c:v>
                </c:pt>
                <c:pt idx="10">
                  <c:v>0.31572816612982357</c:v>
                </c:pt>
                <c:pt idx="11">
                  <c:v>0.16137217379968757</c:v>
                </c:pt>
                <c:pt idx="12">
                  <c:v>2.6901815762363751E-2</c:v>
                </c:pt>
                <c:pt idx="13">
                  <c:v>1.3749816945208139E-2</c:v>
                </c:pt>
                <c:pt idx="14">
                  <c:v>0.16624201059171601</c:v>
                </c:pt>
                <c:pt idx="15">
                  <c:v>8.4968138746877073E-2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3E-47B8-84B0-67C3F72C9CF9}"/>
            </c:ext>
          </c:extLst>
        </c:ser>
        <c:ser>
          <c:idx val="39"/>
          <c:order val="35"/>
          <c:tx>
            <c:strRef>
              <c:f>LCIA!$CV$64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(LCIA!$CW$6:$CX$7,LCIA!$CY$6:$CZ$7,LCIA!$DA$6:$DB$7,LCIA!$DC$6:$DD$7,LCIA!$DE$6:$DF$7,LCIA!$DG$6:$DH$7,LCIA!$DI$6:$DJ$7,LCIA!$DK$6:$DL$7)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LCIA!$CW$64:$DL$64</c:f>
              <c:numCache>
                <c:formatCode>0.0</c:formatCode>
                <c:ptCount val="16"/>
                <c:pt idx="0">
                  <c:v>6.0391900262353189E-4</c:v>
                </c:pt>
                <c:pt idx="1">
                  <c:v>4.9716890183667791E-4</c:v>
                </c:pt>
                <c:pt idx="2">
                  <c:v>6.8775167312730889E-4</c:v>
                </c:pt>
                <c:pt idx="3">
                  <c:v>5.6196137902495555E-4</c:v>
                </c:pt>
                <c:pt idx="4">
                  <c:v>6.915566836968066E-4</c:v>
                </c:pt>
                <c:pt idx="5">
                  <c:v>5.6574551570634426E-4</c:v>
                </c:pt>
                <c:pt idx="6">
                  <c:v>5.6323192777944623E-4</c:v>
                </c:pt>
                <c:pt idx="7">
                  <c:v>4.5990274133741934E-4</c:v>
                </c:pt>
                <c:pt idx="8">
                  <c:v>4.8886787123390851E-4</c:v>
                </c:pt>
                <c:pt idx="9">
                  <c:v>3.9817165455112414E-4</c:v>
                </c:pt>
                <c:pt idx="10">
                  <c:v>8.8866032569301823E-4</c:v>
                </c:pt>
                <c:pt idx="11">
                  <c:v>7.2259253982330778E-4</c:v>
                </c:pt>
                <c:pt idx="12">
                  <c:v>1.1786464537907018E-3</c:v>
                </c:pt>
                <c:pt idx="13">
                  <c:v>9.6471935565197668E-4</c:v>
                </c:pt>
                <c:pt idx="14">
                  <c:v>3.7341967656502367E-4</c:v>
                </c:pt>
                <c:pt idx="15">
                  <c:v>2.705669510521921E-4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2-40E1-BAE3-63A6AA07BC0C}"/>
            </c:ext>
          </c:extLst>
        </c:ser>
        <c:ser>
          <c:idx val="35"/>
          <c:order val="36"/>
          <c:tx>
            <c:strRef>
              <c:f>LCIA!$CV$65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LCIA!$CW$331:$DL$331</c:f>
                <c:numCache>
                  <c:formatCode>General</c:formatCode>
                  <c:ptCount val="16"/>
                  <c:pt idx="0">
                    <c:v>8.0972888348140981E-2</c:v>
                  </c:pt>
                  <c:pt idx="1">
                    <c:v>5.2353603308751218E-2</c:v>
                  </c:pt>
                  <c:pt idx="2">
                    <c:v>0.10127768679542948</c:v>
                  </c:pt>
                  <c:pt idx="3">
                    <c:v>6.0893882900943552E-2</c:v>
                  </c:pt>
                  <c:pt idx="4">
                    <c:v>9.9687070628017405E-2</c:v>
                  </c:pt>
                  <c:pt idx="5">
                    <c:v>6.1181918723510531E-2</c:v>
                  </c:pt>
                  <c:pt idx="6">
                    <c:v>8.4853003811352856E-2</c:v>
                  </c:pt>
                  <c:pt idx="7">
                    <c:v>5.3671394385741422E-2</c:v>
                  </c:pt>
                  <c:pt idx="8">
                    <c:v>7.7954800763813004E-2</c:v>
                  </c:pt>
                  <c:pt idx="9">
                    <c:v>5.04485590787771E-2</c:v>
                  </c:pt>
                  <c:pt idx="10">
                    <c:v>0.13140811723028523</c:v>
                  </c:pt>
                  <c:pt idx="11">
                    <c:v>7.2368527037809383E-2</c:v>
                  </c:pt>
                  <c:pt idx="12">
                    <c:v>4.1081289005161725E-2</c:v>
                  </c:pt>
                  <c:pt idx="13">
                    <c:v>3.5640903772234667E-2</c:v>
                  </c:pt>
                  <c:pt idx="14">
                    <c:v>0.14973386724752158</c:v>
                  </c:pt>
                  <c:pt idx="15">
                    <c:v>8.3439484084224524E-2</c:v>
                  </c:pt>
                </c:numCache>
              </c:numRef>
            </c:plus>
            <c:minus>
              <c:numRef>
                <c:f>LCIA!$CW$330:$DL$330</c:f>
                <c:numCache>
                  <c:formatCode>General</c:formatCode>
                  <c:ptCount val="16"/>
                  <c:pt idx="0">
                    <c:v>5.0924588391466519E-2</c:v>
                  </c:pt>
                  <c:pt idx="1">
                    <c:v>3.2114145126258486E-2</c:v>
                  </c:pt>
                  <c:pt idx="2">
                    <c:v>6.2772399054134009E-2</c:v>
                  </c:pt>
                  <c:pt idx="3">
                    <c:v>3.5189314041399244E-2</c:v>
                  </c:pt>
                  <c:pt idx="4">
                    <c:v>6.1701477980530162E-2</c:v>
                  </c:pt>
                  <c:pt idx="5">
                    <c:v>3.5634108644752915E-2</c:v>
                  </c:pt>
                  <c:pt idx="6">
                    <c:v>5.3435727510873221E-2</c:v>
                  </c:pt>
                  <c:pt idx="7">
                    <c:v>3.2646757608404353E-2</c:v>
                  </c:pt>
                  <c:pt idx="8">
                    <c:v>4.9142818876815597E-2</c:v>
                  </c:pt>
                  <c:pt idx="9">
                    <c:v>3.1005349312082875E-2</c:v>
                  </c:pt>
                  <c:pt idx="10">
                    <c:v>8.0131053656956164E-2</c:v>
                  </c:pt>
                  <c:pt idx="11">
                    <c:v>3.838761998341178E-2</c:v>
                  </c:pt>
                  <c:pt idx="12">
                    <c:v>2.0787391264353805E-2</c:v>
                  </c:pt>
                  <c:pt idx="13">
                    <c:v>1.9453161885519321E-2</c:v>
                  </c:pt>
                  <c:pt idx="14">
                    <c:v>9.3232614796338376E-2</c:v>
                  </c:pt>
                  <c:pt idx="15">
                    <c:v>5.0089383572022639E-2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(LCIA!$CW$6:$CX$7,LCIA!$CY$6:$CZ$7,LCIA!$DA$6:$DB$7,LCIA!$DC$6:$DD$7,LCIA!$DE$6:$DF$7,LCIA!$DG$6:$DH$7,LCIA!$DI$6:$DJ$7,LCIA!$DK$6:$DL$7)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LCIA!$CW$65:$DL$65</c:f>
              <c:numCache>
                <c:formatCode>0.0</c:formatCode>
                <c:ptCount val="16"/>
                <c:pt idx="0">
                  <c:v>1.7451159687107559E-2</c:v>
                </c:pt>
                <c:pt idx="1">
                  <c:v>1.5132036799739786E-2</c:v>
                </c:pt>
                <c:pt idx="2">
                  <c:v>1.9762476529042727E-2</c:v>
                </c:pt>
                <c:pt idx="3">
                  <c:v>1.6716060547487904E-2</c:v>
                </c:pt>
                <c:pt idx="4">
                  <c:v>1.9481922672020702E-2</c:v>
                </c:pt>
                <c:pt idx="5">
                  <c:v>1.6523787483067556E-2</c:v>
                </c:pt>
                <c:pt idx="6">
                  <c:v>1.7920134783414369E-2</c:v>
                </c:pt>
                <c:pt idx="7">
                  <c:v>1.544484764910534E-2</c:v>
                </c:pt>
                <c:pt idx="8">
                  <c:v>1.7140754765269571E-2</c:v>
                </c:pt>
                <c:pt idx="9">
                  <c:v>1.4905227043591729E-2</c:v>
                </c:pt>
                <c:pt idx="10">
                  <c:v>2.3224527005002563E-2</c:v>
                </c:pt>
                <c:pt idx="11">
                  <c:v>1.9093625480544225E-2</c:v>
                </c:pt>
                <c:pt idx="12">
                  <c:v>2.67159363761592E-2</c:v>
                </c:pt>
                <c:pt idx="13">
                  <c:v>2.1975773805738126E-2</c:v>
                </c:pt>
                <c:pt idx="14">
                  <c:v>1.0744994570944267E-2</c:v>
                </c:pt>
                <c:pt idx="15">
                  <c:v>7.3991990459830771E-3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3E-47B8-84B0-67C3F72C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LCIA!$AQ$9</c15:sqref>
                        </c15:formulaRef>
                      </c:ext>
                    </c:extLst>
                    <c:strCache>
                      <c:ptCount val="1"/>
                      <c:pt idx="0">
                        <c:v>Cathode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LCIA!$AR$9:$BC$9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332.10696267202263</c:v>
                      </c:pt>
                      <c:pt idx="1">
                        <c:v>327.66943612886445</c:v>
                      </c:pt>
                      <c:pt idx="2">
                        <c:v>477.73867686327486</c:v>
                      </c:pt>
                      <c:pt idx="3">
                        <c:v>471.908695739964</c:v>
                      </c:pt>
                      <c:pt idx="4">
                        <c:v>483.78945575126505</c:v>
                      </c:pt>
                      <c:pt idx="5">
                        <c:v>478.12849451138254</c:v>
                      </c:pt>
                      <c:pt idx="6">
                        <c:v>364.73486611247858</c:v>
                      </c:pt>
                      <c:pt idx="7">
                        <c:v>359.99778251615709</c:v>
                      </c:pt>
                      <c:pt idx="8">
                        <c:v>310.12100685003321</c:v>
                      </c:pt>
                      <c:pt idx="9">
                        <c:v>305.84259631519399</c:v>
                      </c:pt>
                      <c:pt idx="10">
                        <c:v>172.00425524646016</c:v>
                      </c:pt>
                      <c:pt idx="11">
                        <c:v>164.09827407055658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B3E-47B8-84B0-67C3F72C9CF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LCIA!$AQ$12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LCIA!$AR$12:$BC$12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1.3604293226602815</c:v>
                      </c:pt>
                      <c:pt idx="1">
                        <c:v>1.3604293226602815</c:v>
                      </c:pt>
                      <c:pt idx="2">
                        <c:v>1.819795067974143</c:v>
                      </c:pt>
                      <c:pt idx="3">
                        <c:v>1.8197950679741424</c:v>
                      </c:pt>
                      <c:pt idx="4">
                        <c:v>1.7737243067596078</c:v>
                      </c:pt>
                      <c:pt idx="5">
                        <c:v>1.773724306759608</c:v>
                      </c:pt>
                      <c:pt idx="6">
                        <c:v>1.4749917919369366</c:v>
                      </c:pt>
                      <c:pt idx="7">
                        <c:v>1.4749917919369366</c:v>
                      </c:pt>
                      <c:pt idx="8">
                        <c:v>1.334516383181038</c:v>
                      </c:pt>
                      <c:pt idx="9">
                        <c:v>1.3345163831810383</c:v>
                      </c:pt>
                      <c:pt idx="10">
                        <c:v>1.9704968470407518</c:v>
                      </c:pt>
                      <c:pt idx="11">
                        <c:v>1.9704968470407518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B3E-47B8-84B0-67C3F72C9CF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LCIA!$AQ$13</c15:sqref>
                        </c15:formulaRef>
                      </c:ext>
                    </c:extLst>
                    <c:strCache>
                      <c:ptCount val="1"/>
                      <c:pt idx="0">
                        <c:v>Binder (PVDF)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LCIA!$AR$13:$BC$13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2.117945455915887</c:v>
                      </c:pt>
                      <c:pt idx="1">
                        <c:v>2.1179454559158875</c:v>
                      </c:pt>
                      <c:pt idx="2">
                        <c:v>2.8330958696017716</c:v>
                      </c:pt>
                      <c:pt idx="3">
                        <c:v>2.8330958696017703</c:v>
                      </c:pt>
                      <c:pt idx="4">
                        <c:v>2.7613719235359033</c:v>
                      </c:pt>
                      <c:pt idx="5">
                        <c:v>2.7613719235359033</c:v>
                      </c:pt>
                      <c:pt idx="6">
                        <c:v>2.2962987574666989</c:v>
                      </c:pt>
                      <c:pt idx="7">
                        <c:v>2.2962987574666984</c:v>
                      </c:pt>
                      <c:pt idx="8">
                        <c:v>2.0776036377079659</c:v>
                      </c:pt>
                      <c:pt idx="9">
                        <c:v>2.0776036377079654</c:v>
                      </c:pt>
                      <c:pt idx="10">
                        <c:v>3.067711621303169</c:v>
                      </c:pt>
                      <c:pt idx="11">
                        <c:v>3.0677116213031681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B3E-47B8-84B0-67C3F72C9CF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LCIA!$AQ$14</c15:sqref>
                        </c15:formulaRef>
                      </c:ext>
                    </c:extLst>
                    <c:strCache>
                      <c:ptCount val="1"/>
                      <c:pt idx="0">
                        <c:v>Solvent (NMP)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LCIA!$AR$14:$BC$14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60.732924443960734</c:v>
                      </c:pt>
                      <c:pt idx="1">
                        <c:v>60.732924443960734</c:v>
                      </c:pt>
                      <c:pt idx="2">
                        <c:v>81.240145684778625</c:v>
                      </c:pt>
                      <c:pt idx="3">
                        <c:v>81.240145684778625</c:v>
                      </c:pt>
                      <c:pt idx="4">
                        <c:v>79.183433135796889</c:v>
                      </c:pt>
                      <c:pt idx="5">
                        <c:v>79.183433135796889</c:v>
                      </c:pt>
                      <c:pt idx="6">
                        <c:v>65.847275976083722</c:v>
                      </c:pt>
                      <c:pt idx="7">
                        <c:v>65.847275976083722</c:v>
                      </c:pt>
                      <c:pt idx="8">
                        <c:v>59.576106835504326</c:v>
                      </c:pt>
                      <c:pt idx="9">
                        <c:v>59.576106835504326</c:v>
                      </c:pt>
                      <c:pt idx="10">
                        <c:v>87.967845249299373</c:v>
                      </c:pt>
                      <c:pt idx="11">
                        <c:v>87.967845249299373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B3E-47B8-84B0-67C3F72C9CF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LCIA!$AQ$15</c15:sqref>
                        </c15:formulaRef>
                      </c:ext>
                    </c:extLst>
                    <c:strCache>
                      <c:ptCount val="1"/>
                      <c:pt idx="0">
                        <c:v>NMC/NCA/NFM active material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LCIA!$AR$15:$BC$15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258.81890461120764</c:v>
                      </c:pt>
                      <c:pt idx="1">
                        <c:v>258.81890461120764</c:v>
                      </c:pt>
                      <c:pt idx="2">
                        <c:v>379.92067885232996</c:v>
                      </c:pt>
                      <c:pt idx="3">
                        <c:v>379.92067885232996</c:v>
                      </c:pt>
                      <c:pt idx="4">
                        <c:v>388.49168748541302</c:v>
                      </c:pt>
                      <c:pt idx="5">
                        <c:v>388.49168748541302</c:v>
                      </c:pt>
                      <c:pt idx="6">
                        <c:v>285.42681041269731</c:v>
                      </c:pt>
                      <c:pt idx="7">
                        <c:v>285.42681041269731</c:v>
                      </c:pt>
                      <c:pt idx="8">
                        <c:v>238.38148571783233</c:v>
                      </c:pt>
                      <c:pt idx="9">
                        <c:v>238.38148571783233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B3E-47B8-84B0-67C3F72C9CF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LCIA!$AQ$17</c15:sqref>
                        </c15:formulaRef>
                      </c:ext>
                    </c:extLst>
                    <c:strCache>
                      <c:ptCount val="1"/>
                      <c:pt idx="0">
                        <c:v>LiOH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LCIA!$AR$17:$BC$17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18.092300568250593</c:v>
                      </c:pt>
                      <c:pt idx="1">
                        <c:v>18.092300568250593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19.498301657060082</c:v>
                      </c:pt>
                      <c:pt idx="7">
                        <c:v>19.498301657060082</c:v>
                      </c:pt>
                      <c:pt idx="8">
                        <c:v>17.609501359520774</c:v>
                      </c:pt>
                      <c:pt idx="9">
                        <c:v>17.609501359520774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B3E-47B8-84B0-67C3F72C9CF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LCIA!$AQ$20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LCIA!$AR$20:$BC$20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26.283153316055923</c:v>
                      </c:pt>
                      <c:pt idx="1">
                        <c:v>26.283153316055923</c:v>
                      </c:pt>
                      <c:pt idx="2">
                        <c:v>30.764123557791283</c:v>
                      </c:pt>
                      <c:pt idx="3">
                        <c:v>30.764123557791283</c:v>
                      </c:pt>
                      <c:pt idx="4">
                        <c:v>29.985284986707956</c:v>
                      </c:pt>
                      <c:pt idx="5">
                        <c:v>29.985284986707956</c:v>
                      </c:pt>
                      <c:pt idx="6">
                        <c:v>28.496471490039582</c:v>
                      </c:pt>
                      <c:pt idx="7">
                        <c:v>28.496471490039582</c:v>
                      </c:pt>
                      <c:pt idx="8">
                        <c:v>25.782521824321528</c:v>
                      </c:pt>
                      <c:pt idx="9">
                        <c:v>25.782521824321528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B3E-47B8-84B0-67C3F72C9CF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LCIA!$AQ$23</c15:sqref>
                        </c15:formulaRef>
                      </c:ext>
                    </c:extLst>
                    <c:strCache>
                      <c:ptCount val="1"/>
                      <c:pt idx="0">
                        <c:v>NCA(OH)2 / NMC(OH)2  / NFM(OH)2  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LCIA!$AR$23:$BC$23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B3E-47B8-84B0-67C3F72C9CF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LCIA!$AQ$24</c15:sqref>
                        </c15:formulaRef>
                      </c:ext>
                    </c:extLst>
                    <c:strCache>
                      <c:ptCount val="1"/>
                      <c:pt idx="0">
                        <c:v>NiSO4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LCIA!$AR$24:$BC$24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141.48309692033857</c:v>
                      </c:pt>
                      <c:pt idx="1">
                        <c:v>141.48309692033857</c:v>
                      </c:pt>
                      <c:pt idx="2">
                        <c:v>105.29945712851278</c:v>
                      </c:pt>
                      <c:pt idx="3">
                        <c:v>105.29945712851278</c:v>
                      </c:pt>
                      <c:pt idx="4">
                        <c:v>122.68320927543928</c:v>
                      </c:pt>
                      <c:pt idx="5">
                        <c:v>122.68320927543928</c:v>
                      </c:pt>
                      <c:pt idx="6">
                        <c:v>135.53611285744236</c:v>
                      </c:pt>
                      <c:pt idx="7">
                        <c:v>135.53611285744236</c:v>
                      </c:pt>
                      <c:pt idx="8">
                        <c:v>137.70757224429735</c:v>
                      </c:pt>
                      <c:pt idx="9">
                        <c:v>137.70757224429735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B3E-47B8-84B0-67C3F72C9CF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LCIA!$AQ$25</c15:sqref>
                        </c15:formulaRef>
                      </c:ext>
                    </c:extLst>
                    <c:strCache>
                      <c:ptCount val="1"/>
                      <c:pt idx="0">
                        <c:v>MnSO4 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LCIA!$AR$25:$BC$25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3.1405711295031846</c:v>
                      </c:pt>
                      <c:pt idx="3">
                        <c:v>3.1405711295031846</c:v>
                      </c:pt>
                      <c:pt idx="4">
                        <c:v>2.0328022133369807</c:v>
                      </c:pt>
                      <c:pt idx="5">
                        <c:v>2.0328022133369807</c:v>
                      </c:pt>
                      <c:pt idx="6">
                        <c:v>0.8421632588239728</c:v>
                      </c:pt>
                      <c:pt idx="7">
                        <c:v>0.8421632588239728</c:v>
                      </c:pt>
                      <c:pt idx="8">
                        <c:v>0.38029145594404679</c:v>
                      </c:pt>
                      <c:pt idx="9">
                        <c:v>0.38029145594404679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3B3E-47B8-84B0-67C3F72C9CF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LCIA!$AQ$26</c15:sqref>
                        </c15:formulaRef>
                      </c:ext>
                    </c:extLst>
                    <c:strCache>
                      <c:ptCount val="1"/>
                      <c:pt idx="0">
                        <c:v>CoSO4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LCIA!$AR$26:$BC$26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49.466080852204676</c:v>
                      </c:pt>
                      <c:pt idx="1">
                        <c:v>49.466080852204676</c:v>
                      </c:pt>
                      <c:pt idx="2">
                        <c:v>189.33614851938452</c:v>
                      </c:pt>
                      <c:pt idx="3">
                        <c:v>189.33614851938452</c:v>
                      </c:pt>
                      <c:pt idx="4">
                        <c:v>183.82784177019568</c:v>
                      </c:pt>
                      <c:pt idx="5">
                        <c:v>183.82784177019568</c:v>
                      </c:pt>
                      <c:pt idx="6">
                        <c:v>76.157460510449582</c:v>
                      </c:pt>
                      <c:pt idx="7">
                        <c:v>76.157460510449582</c:v>
                      </c:pt>
                      <c:pt idx="8">
                        <c:v>34.390044014700592</c:v>
                      </c:pt>
                      <c:pt idx="9">
                        <c:v>34.390044014700592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B3E-47B8-84B0-67C3F72C9CF9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LCIA!$AQ$29</c15:sqref>
                        </c15:formulaRef>
                      </c:ext>
                    </c:extLst>
                    <c:strCache>
                      <c:ptCount val="1"/>
                      <c:pt idx="0">
                        <c:v>NaOH 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LCIA!$AR$29:$BC$29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5.7011493365781689</c:v>
                      </c:pt>
                      <c:pt idx="1">
                        <c:v>5.7011493365781689</c:v>
                      </c:pt>
                      <c:pt idx="2">
                        <c:v>7.5247219141083415</c:v>
                      </c:pt>
                      <c:pt idx="3">
                        <c:v>7.5247219141083415</c:v>
                      </c:pt>
                      <c:pt idx="4">
                        <c:v>7.3058071594279452</c:v>
                      </c:pt>
                      <c:pt idx="5">
                        <c:v>7.3058071594279452</c:v>
                      </c:pt>
                      <c:pt idx="6">
                        <c:v>6.0533999081231915</c:v>
                      </c:pt>
                      <c:pt idx="7">
                        <c:v>6.0533999081231915</c:v>
                      </c:pt>
                      <c:pt idx="8">
                        <c:v>5.4670071161413567</c:v>
                      </c:pt>
                      <c:pt idx="9">
                        <c:v>5.4670071161413567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B3E-47B8-84B0-67C3F72C9CF9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LCIA!$AQ$30</c15:sqref>
                        </c15:formulaRef>
                      </c:ext>
                    </c:extLst>
                    <c:strCache>
                      <c:ptCount val="1"/>
                      <c:pt idx="0">
                        <c:v>NH4OH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LCIA!$AR$30:$BC$30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2.1555823705414752</c:v>
                      </c:pt>
                      <c:pt idx="1">
                        <c:v>2.1555823705414752</c:v>
                      </c:pt>
                      <c:pt idx="2">
                        <c:v>2.8877440841919082</c:v>
                      </c:pt>
                      <c:pt idx="3">
                        <c:v>2.8877440841919082</c:v>
                      </c:pt>
                      <c:pt idx="4">
                        <c:v>2.8037317053975017</c:v>
                      </c:pt>
                      <c:pt idx="5">
                        <c:v>2.8037317053975017</c:v>
                      </c:pt>
                      <c:pt idx="6">
                        <c:v>2.3230984444960709</c:v>
                      </c:pt>
                      <c:pt idx="7">
                        <c:v>2.3230984444960709</c:v>
                      </c:pt>
                      <c:pt idx="8">
                        <c:v>2.0980599200977941</c:v>
                      </c:pt>
                      <c:pt idx="9">
                        <c:v>2.0980599200977941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B3E-47B8-84B0-67C3F72C9CF9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LCIA!$AQ$31</c15:sqref>
                        </c15:formulaRef>
                      </c:ext>
                    </c:extLst>
                    <c:strCache>
                      <c:ptCount val="1"/>
                      <c:pt idx="0">
                        <c:v>Water loss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LCIA!$AR$31:$BC$31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1.4974966092954176E-3</c:v>
                      </c:pt>
                      <c:pt idx="1">
                        <c:v>1.4974966092954176E-3</c:v>
                      </c:pt>
                      <c:pt idx="2">
                        <c:v>2.0031448150315328E-3</c:v>
                      </c:pt>
                      <c:pt idx="3">
                        <c:v>2.0031448150315328E-3</c:v>
                      </c:pt>
                      <c:pt idx="4">
                        <c:v>1.9524322880687087E-3</c:v>
                      </c:pt>
                      <c:pt idx="5">
                        <c:v>1.9524322880687087E-3</c:v>
                      </c:pt>
                      <c:pt idx="6">
                        <c:v>1.6236015869202946E-3</c:v>
                      </c:pt>
                      <c:pt idx="7">
                        <c:v>1.6236015869202946E-3</c:v>
                      </c:pt>
                      <c:pt idx="8">
                        <c:v>1.4689728643564573E-3</c:v>
                      </c:pt>
                      <c:pt idx="9">
                        <c:v>1.4689728643564573E-3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B3E-47B8-84B0-67C3F72C9CF9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LCIA!$AQ$32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LCIA!$AR$32:$BC$32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15.235213349943471</c:v>
                      </c:pt>
                      <c:pt idx="1">
                        <c:v>15.235213349943471</c:v>
                      </c:pt>
                      <c:pt idx="2">
                        <c:v>20.379571104469839</c:v>
                      </c:pt>
                      <c:pt idx="3">
                        <c:v>20.379571104469839</c:v>
                      </c:pt>
                      <c:pt idx="4">
                        <c:v>19.863632595495915</c:v>
                      </c:pt>
                      <c:pt idx="5">
                        <c:v>19.863632595495915</c:v>
                      </c:pt>
                      <c:pt idx="6">
                        <c:v>16.518178684675554</c:v>
                      </c:pt>
                      <c:pt idx="7">
                        <c:v>16.518178684675554</c:v>
                      </c:pt>
                      <c:pt idx="8">
                        <c:v>14.945018809944548</c:v>
                      </c:pt>
                      <c:pt idx="9">
                        <c:v>14.945018809944548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B3E-47B8-84B0-67C3F72C9CF9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LCIA!$AQ$36</c15:sqref>
                        </c15:formulaRef>
                      </c:ext>
                    </c:extLst>
                    <c:strCache>
                      <c:ptCount val="1"/>
                      <c:pt idx="0">
                        <c:v>LFP/NaFP active material 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LCIA!$AR$36:$BC$36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62.826876396286842</c:v>
                      </c:pt>
                      <c:pt idx="11">
                        <c:v>62.826876396286842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B3E-47B8-84B0-67C3F72C9CF9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LCIA!$AQ$38</c15:sqref>
                        </c15:formulaRef>
                      </c:ext>
                    </c:extLst>
                    <c:strCache>
                      <c:ptCount val="1"/>
                      <c:pt idx="0">
                        <c:v>LiOH 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LCIA!$AR$38:$BC$38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B3E-47B8-84B0-67C3F72C9CF9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LCIA!$AQ$40</c15:sqref>
                        </c15:formulaRef>
                      </c:ext>
                    </c:extLst>
                    <c:strCache>
                      <c:ptCount val="1"/>
                      <c:pt idx="0">
                        <c:v>(NH4)2HPO4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LCIA!$AR$40:$BC$40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11.857378052248388</c:v>
                      </c:pt>
                      <c:pt idx="11">
                        <c:v>11.857378052248388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B3E-47B8-84B0-67C3F72C9CF9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LCIA!$AQ$41</c15:sqref>
                        </c15:formulaRef>
                      </c:ext>
                    </c:extLst>
                    <c:strCache>
                      <c:ptCount val="1"/>
                      <c:pt idx="0">
                        <c:v>Fe3O4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LCIA!$AR$41:$BC$41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4.0145742909650011</c:v>
                      </c:pt>
                      <c:pt idx="11">
                        <c:v>4.0145742909650011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B3E-47B8-84B0-67C3F72C9CF9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LCIA!$AQ$42</c15:sqref>
                        </c15:formulaRef>
                      </c:ext>
                    </c:extLst>
                    <c:strCache>
                      <c:ptCount val="1"/>
                      <c:pt idx="0">
                        <c:v>Water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LCIA!$AR$42:$BC$42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B3E-47B8-84B0-67C3F72C9CF9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LCIA!$AQ$43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LCIA!$AR$43:$BC$43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33.311777539920868</c:v>
                      </c:pt>
                      <c:pt idx="11">
                        <c:v>33.311777539920868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B3E-47B8-84B0-67C3F72C9CF9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LCIA!$AQ$44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LCIA!$AR$44:$BC$44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B3E-47B8-84B0-67C3F72C9CF9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LCIA!$AQ$49</c15:sqref>
                        </c15:formulaRef>
                      </c:ext>
                    </c:extLst>
                    <c:strCache>
                      <c:ptCount val="1"/>
                      <c:pt idx="0">
                        <c:v>Anode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LCIA!$AR$49:$BC$49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48.202980778210126</c:v>
                      </c:pt>
                      <c:pt idx="1">
                        <c:v>40.470769568325473</c:v>
                      </c:pt>
                      <c:pt idx="2">
                        <c:v>53.022252427701027</c:v>
                      </c:pt>
                      <c:pt idx="3">
                        <c:v>42.933952855843046</c:v>
                      </c:pt>
                      <c:pt idx="4">
                        <c:v>52.437276268322734</c:v>
                      </c:pt>
                      <c:pt idx="5">
                        <c:v>42.634965041049696</c:v>
                      </c:pt>
                      <c:pt idx="6">
                        <c:v>42.357207896502061</c:v>
                      </c:pt>
                      <c:pt idx="7">
                        <c:v>34.167531494157508</c:v>
                      </c:pt>
                      <c:pt idx="8">
                        <c:v>36.376636264605146</c:v>
                      </c:pt>
                      <c:pt idx="9">
                        <c:v>28.994583009132079</c:v>
                      </c:pt>
                      <c:pt idx="10">
                        <c:v>64.312861370485109</c:v>
                      </c:pt>
                      <c:pt idx="11">
                        <c:v>50.683919850698842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B3E-47B8-84B0-67C3F72C9CF9}"/>
                  </c:ext>
                </c:extLst>
              </c15:ser>
            </c15:filteredBarSeries>
            <c15:filteredBa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LCIA!$AQ$53</c15:sqref>
                        </c15:formulaRef>
                      </c:ext>
                    </c:extLst>
                    <c:strCache>
                      <c:ptCount val="1"/>
                      <c:pt idx="0">
                        <c:v>Graphite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LCIA!$AR$53:$BC$53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31.498728336765993</c:v>
                      </c:pt>
                      <c:pt idx="1">
                        <c:v>31.498728336765986</c:v>
                      </c:pt>
                      <c:pt idx="2">
                        <c:v>31.498728336765986</c:v>
                      </c:pt>
                      <c:pt idx="3">
                        <c:v>31.498728336765982</c:v>
                      </c:pt>
                      <c:pt idx="4">
                        <c:v>31.498728336766</c:v>
                      </c:pt>
                      <c:pt idx="5">
                        <c:v>31.498728336765989</c:v>
                      </c:pt>
                      <c:pt idx="6">
                        <c:v>23.317240457086506</c:v>
                      </c:pt>
                      <c:pt idx="7">
                        <c:v>23.317240457086516</c:v>
                      </c:pt>
                      <c:pt idx="8">
                        <c:v>18.095014150908128</c:v>
                      </c:pt>
                      <c:pt idx="9">
                        <c:v>18.095014150908124</c:v>
                      </c:pt>
                      <c:pt idx="10">
                        <c:v>35.436069378861738</c:v>
                      </c:pt>
                      <c:pt idx="11">
                        <c:v>35.436069378861745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B3E-47B8-84B0-67C3F72C9CF9}"/>
                  </c:ext>
                </c:extLst>
              </c15:ser>
            </c15:filteredBarSeries>
            <c15:filteredBa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LCIA!$AQ$54</c15:sqref>
                        </c15:formulaRef>
                      </c:ext>
                    </c:extLst>
                    <c:strCache>
                      <c:ptCount val="1"/>
                      <c:pt idx="0">
                        <c:v>SiO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LCIA!$AR$54:$BC$54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1.5961234664866157</c:v>
                      </c:pt>
                      <c:pt idx="7">
                        <c:v>1.5961234664866164</c:v>
                      </c:pt>
                      <c:pt idx="8">
                        <c:v>2.6149256791376483</c:v>
                      </c:pt>
                      <c:pt idx="9">
                        <c:v>2.6149256791376478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B3E-47B8-84B0-67C3F72C9CF9}"/>
                  </c:ext>
                </c:extLst>
              </c15:ser>
            </c15:filteredBarSeries>
            <c15:filteredBa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LCIA!$AQ$55</c15:sqref>
                        </c15:formulaRef>
                      </c:ext>
                    </c:extLst>
                    <c:strCache>
                      <c:ptCount val="1"/>
                      <c:pt idx="0">
                        <c:v>Hard Carbon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LCIA!$AR$55:$BC$55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B3E-47B8-84B0-67C3F72C9CF9}"/>
                  </c:ext>
                </c:extLst>
              </c15:ser>
            </c15:filteredBarSeries>
            <c15:filteredBarSeries>
              <c15:ser>
                <c:idx val="3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LCIA!$AQ$57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LCIA!$AR$57:$BC$57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0.42360247428898129</c:v>
                      </c:pt>
                      <c:pt idx="1">
                        <c:v>0.20957175043770643</c:v>
                      </c:pt>
                      <c:pt idx="2">
                        <c:v>0.42360247428898123</c:v>
                      </c:pt>
                      <c:pt idx="3">
                        <c:v>0.20957175043770643</c:v>
                      </c:pt>
                      <c:pt idx="4">
                        <c:v>0.4236024742889814</c:v>
                      </c:pt>
                      <c:pt idx="5">
                        <c:v>0.20957175043770648</c:v>
                      </c:pt>
                      <c:pt idx="6">
                        <c:v>0.33007985009530993</c:v>
                      </c:pt>
                      <c:pt idx="7">
                        <c:v>0.16330266267873234</c:v>
                      </c:pt>
                      <c:pt idx="8">
                        <c:v>0.27038455805679651</c:v>
                      </c:pt>
                      <c:pt idx="9">
                        <c:v>0.13376920240704673</c:v>
                      </c:pt>
                      <c:pt idx="10">
                        <c:v>0.47655278357510389</c:v>
                      </c:pt>
                      <c:pt idx="11">
                        <c:v>0.23576821924241984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B3E-47B8-84B0-67C3F72C9CF9}"/>
                  </c:ext>
                </c:extLst>
              </c15:ser>
            </c15:filteredBarSeries>
            <c15:filteredBarSeries>
              <c15:ser>
                <c:idx val="3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LCIA!$AQ$58</c15:sqref>
                        </c15:formulaRef>
                      </c:ext>
                    </c:extLst>
                    <c:strCache>
                      <c:ptCount val="1"/>
                      <c:pt idx="0">
                        <c:v>Binder (CMC-SBR)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LCIA!$AR$58:$BC$58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0.92084311943594255</c:v>
                      </c:pt>
                      <c:pt idx="1">
                        <c:v>0.91115003396819538</c:v>
                      </c:pt>
                      <c:pt idx="2">
                        <c:v>0.92084311943594244</c:v>
                      </c:pt>
                      <c:pt idx="3">
                        <c:v>0.91115003396819538</c:v>
                      </c:pt>
                      <c:pt idx="4">
                        <c:v>0.92084311943594277</c:v>
                      </c:pt>
                      <c:pt idx="5">
                        <c:v>0.91115003396819561</c:v>
                      </c:pt>
                      <c:pt idx="6">
                        <c:v>0.71754009306696787</c:v>
                      </c:pt>
                      <c:pt idx="7">
                        <c:v>0.70998703945573682</c:v>
                      </c:pt>
                      <c:pt idx="8">
                        <c:v>0.5877722038952824</c:v>
                      </c:pt>
                      <c:pt idx="9">
                        <c:v>0.58158512806480589</c:v>
                      </c:pt>
                      <c:pt idx="10">
                        <c:v>1.0359485093654353</c:v>
                      </c:pt>
                      <c:pt idx="11">
                        <c:v>1.0250437882142203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B3E-47B8-84B0-67C3F72C9CF9}"/>
                  </c:ext>
                </c:extLst>
              </c15:ser>
            </c15:filteredBarSeries>
            <c15:filteredBarSeries>
              <c15:ser>
                <c:idx val="32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LCIA!$AQ$59</c15:sqref>
                        </c15:formulaRef>
                      </c:ext>
                    </c:extLst>
                    <c:strCache>
                      <c:ptCount val="1"/>
                      <c:pt idx="0">
                        <c:v>Solvent (Water)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LCIA!$AR$59:$BC$59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1.5709898851325116E-3</c:v>
                      </c:pt>
                      <c:pt idx="1">
                        <c:v>1.5544531494995374E-3</c:v>
                      </c:pt>
                      <c:pt idx="2">
                        <c:v>1.570989885132511E-3</c:v>
                      </c:pt>
                      <c:pt idx="3">
                        <c:v>1.5544531494995372E-3</c:v>
                      </c:pt>
                      <c:pt idx="4">
                        <c:v>1.5709898851325118E-3</c:v>
                      </c:pt>
                      <c:pt idx="5">
                        <c:v>1.5544531494995377E-3</c:v>
                      </c:pt>
                      <c:pt idx="6">
                        <c:v>1.2241479624409176E-3</c:v>
                      </c:pt>
                      <c:pt idx="7">
                        <c:v>1.2112621944152244E-3</c:v>
                      </c:pt>
                      <c:pt idx="8">
                        <c:v>1.0027595011484118E-3</c:v>
                      </c:pt>
                      <c:pt idx="9">
                        <c:v>9.9220413797842816E-4</c:v>
                      </c:pt>
                      <c:pt idx="10">
                        <c:v>1.7673636207740752E-3</c:v>
                      </c:pt>
                      <c:pt idx="11">
                        <c:v>1.74875979318698E-3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B3E-47B8-84B0-67C3F72C9CF9}"/>
                  </c:ext>
                </c:extLst>
              </c15:ser>
            </c15:filteredBarSeries>
            <c15:filteredBa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LCIA!$AQ$66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LCIA!$AR$66:$BC$66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40.094210140883995</c:v>
                      </c:pt>
                      <c:pt idx="1">
                        <c:v>35.193180024698016</c:v>
                      </c:pt>
                      <c:pt idx="2">
                        <c:v>44.915175601951603</c:v>
                      </c:pt>
                      <c:pt idx="3">
                        <c:v>38.477292668618063</c:v>
                      </c:pt>
                      <c:pt idx="4">
                        <c:v>44.329993843166825</c:v>
                      </c:pt>
                      <c:pt idx="5">
                        <c:v>38.078658239780879</c:v>
                      </c:pt>
                      <c:pt idx="6">
                        <c:v>41.062052131551596</c:v>
                      </c:pt>
                      <c:pt idx="7">
                        <c:v>35.831130076583946</c:v>
                      </c:pt>
                      <c:pt idx="8">
                        <c:v>39.4298078919578</c:v>
                      </c:pt>
                      <c:pt idx="9">
                        <c:v>34.70558903329907</c:v>
                      </c:pt>
                      <c:pt idx="10">
                        <c:v>52.142258679525952</c:v>
                      </c:pt>
                      <c:pt idx="11">
                        <c:v>43.412677217798063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B3E-47B8-84B0-67C3F72C9CF9}"/>
                  </c:ext>
                </c:extLst>
              </c15:ser>
            </c15:filteredBarSeries>
            <c15:filteredBa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LCIA!$AQ$67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(LCIA!$CW$6:$CX$7,LCIA!$CY$6:$CZ$7,LCIA!$DA$6:$DB$7,LCIA!$DC$6:$DD$7,LCIA!$DE$6:$DF$7,LCIA!$DG$6:$DH$7,LCIA!$DI$6:$DJ$7,LCIA!$DK$6:$DL$7)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LCIA!$AR$67:$BC$67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12.360449052690958</c:v>
                      </c:pt>
                      <c:pt idx="1">
                        <c:v>8.7609442060309313</c:v>
                      </c:pt>
                      <c:pt idx="2">
                        <c:v>16.239043068697367</c:v>
                      </c:pt>
                      <c:pt idx="3">
                        <c:v>11.510047060403348</c:v>
                      </c:pt>
                      <c:pt idx="4">
                        <c:v>15.768248891425623</c:v>
                      </c:pt>
                      <c:pt idx="5">
                        <c:v>11.176353559300006</c:v>
                      </c:pt>
                      <c:pt idx="6">
                        <c:v>13.194846246259846</c:v>
                      </c:pt>
                      <c:pt idx="7">
                        <c:v>9.3523553454938906</c:v>
                      </c:pt>
                      <c:pt idx="8">
                        <c:v>11.917241492090291</c:v>
                      </c:pt>
                      <c:pt idx="9">
                        <c:v>8.4468037817177706</c:v>
                      </c:pt>
                      <c:pt idx="10">
                        <c:v>22.021609693119998</c:v>
                      </c:pt>
                      <c:pt idx="11">
                        <c:v>15.608663813586283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B3E-47B8-84B0-67C3F72C9CF9}"/>
                  </c:ext>
                </c:extLst>
              </c15:ser>
            </c15:filteredBarSeries>
          </c:ext>
        </c:extLst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de-DE" sz="900"/>
              <a:t>Surplus Ore Potential (SOP)</a:t>
            </a:r>
            <a:br>
              <a:rPr lang="de-DE" sz="900"/>
            </a:br>
            <a:r>
              <a:rPr lang="de-DE" sz="900"/>
              <a:t>[kgCu-eq/kWh</a:t>
            </a:r>
            <a:r>
              <a:rPr lang="de-DE" sz="900" baseline="-25000"/>
              <a:t>cell</a:t>
            </a:r>
            <a:r>
              <a:rPr lang="de-DE" sz="900"/>
              <a:t>] </a:t>
            </a:r>
          </a:p>
        </c:rich>
      </c:tx>
      <c:layout>
        <c:manualLayout>
          <c:xMode val="edge"/>
          <c:yMode val="edge"/>
          <c:x val="0.37620127447266938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LCIA!$DO$10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LCIA!$DP$10:$EE$10</c:f>
              <c:numCache>
                <c:formatCode>0.0</c:formatCode>
                <c:ptCount val="16"/>
                <c:pt idx="0">
                  <c:v>5.6178734862603753E-2</c:v>
                </c:pt>
                <c:pt idx="1">
                  <c:v>2.8713575596441911E-2</c:v>
                </c:pt>
                <c:pt idx="2">
                  <c:v>7.3807099652268754E-2</c:v>
                </c:pt>
                <c:pt idx="3">
                  <c:v>3.7723628711159564E-2</c:v>
                </c:pt>
                <c:pt idx="4">
                  <c:v>7.166732130383982E-2</c:v>
                </c:pt>
                <c:pt idx="5">
                  <c:v>3.6629964221962581E-2</c:v>
                </c:pt>
                <c:pt idx="6">
                  <c:v>5.9971103449520259E-2</c:v>
                </c:pt>
                <c:pt idx="7">
                  <c:v>3.0651897318643689E-2</c:v>
                </c:pt>
                <c:pt idx="8">
                  <c:v>5.416433878929397E-2</c:v>
                </c:pt>
                <c:pt idx="9">
                  <c:v>2.7683995381194693E-2</c:v>
                </c:pt>
                <c:pt idx="10">
                  <c:v>0.10008909602909592</c:v>
                </c:pt>
                <c:pt idx="11">
                  <c:v>5.11566490815379E-2</c:v>
                </c:pt>
                <c:pt idx="12">
                  <c:v>0.1148331937184386</c:v>
                </c:pt>
                <c:pt idx="13">
                  <c:v>5.8692521233868616E-2</c:v>
                </c:pt>
                <c:pt idx="14">
                  <c:v>5.2700437740934664E-2</c:v>
                </c:pt>
                <c:pt idx="15">
                  <c:v>2.693577928981105E-2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7-441A-8CF7-C4F6A823A689}"/>
            </c:ext>
          </c:extLst>
        </c:ser>
        <c:ser>
          <c:idx val="2"/>
          <c:order val="2"/>
          <c:tx>
            <c:strRef>
              <c:f>LCIA!$DO$11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LCIA!$DP$11:$EE$11</c:f>
              <c:numCache>
                <c:formatCode>0.0</c:formatCode>
                <c:ptCount val="16"/>
                <c:pt idx="0">
                  <c:v>20.83864654831671</c:v>
                </c:pt>
                <c:pt idx="1">
                  <c:v>20.83864654831671</c:v>
                </c:pt>
                <c:pt idx="2">
                  <c:v>27.888327465164274</c:v>
                </c:pt>
                <c:pt idx="3">
                  <c:v>27.888327465164274</c:v>
                </c:pt>
                <c:pt idx="4">
                  <c:v>27.658874761890907</c:v>
                </c:pt>
                <c:pt idx="5">
                  <c:v>27.658874761890907</c:v>
                </c:pt>
                <c:pt idx="6">
                  <c:v>22.597310771319108</c:v>
                </c:pt>
                <c:pt idx="7">
                  <c:v>22.597310771319108</c:v>
                </c:pt>
                <c:pt idx="8">
                  <c:v>19.911047435027111</c:v>
                </c:pt>
                <c:pt idx="9">
                  <c:v>19.911047435027111</c:v>
                </c:pt>
                <c:pt idx="10">
                  <c:v>13.28512918276394</c:v>
                </c:pt>
                <c:pt idx="11">
                  <c:v>13.28512918276394</c:v>
                </c:pt>
                <c:pt idx="12">
                  <c:v>4.4109704844826956</c:v>
                </c:pt>
                <c:pt idx="13">
                  <c:v>4.4109704844826956</c:v>
                </c:pt>
                <c:pt idx="14">
                  <c:v>19.89825258141774</c:v>
                </c:pt>
                <c:pt idx="15">
                  <c:v>19.89825258141774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37-441A-8CF7-C4F6A823A689}"/>
            </c:ext>
          </c:extLst>
        </c:ser>
        <c:ser>
          <c:idx val="34"/>
          <c:order val="25"/>
          <c:tx>
            <c:strRef>
              <c:f>LCIA!$DO$61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(LCIA!$DP$61:$EA$61,LCIA!$EB$62:$EC$62,LCIA!$ED$63:$EE$63)</c:f>
              <c:numCache>
                <c:formatCode>0.0</c:formatCode>
                <c:ptCount val="16"/>
                <c:pt idx="0">
                  <c:v>4.9495516187181625</c:v>
                </c:pt>
                <c:pt idx="1">
                  <c:v>3.3060939132430724</c:v>
                </c:pt>
                <c:pt idx="2">
                  <c:v>5.7321950368305306</c:v>
                </c:pt>
                <c:pt idx="3">
                  <c:v>3.820402445145485</c:v>
                </c:pt>
                <c:pt idx="4">
                  <c:v>5.6371956729871497</c:v>
                </c:pt>
                <c:pt idx="5">
                  <c:v>3.7579742917626926</c:v>
                </c:pt>
                <c:pt idx="6">
                  <c:v>4.5799391063717616</c:v>
                </c:pt>
                <c:pt idx="7">
                  <c:v>3.0515036898674057</c:v>
                </c:pt>
                <c:pt idx="8">
                  <c:v>3.9787592163310808</c:v>
                </c:pt>
                <c:pt idx="9">
                  <c:v>2.6489737650643881</c:v>
                </c:pt>
                <c:pt idx="10">
                  <c:v>7.2059564911346312</c:v>
                </c:pt>
                <c:pt idx="11">
                  <c:v>4.7955656855917148</c:v>
                </c:pt>
                <c:pt idx="12">
                  <c:v>9.5134660086208847</c:v>
                </c:pt>
                <c:pt idx="13">
                  <c:v>6.3611390235546397</c:v>
                </c:pt>
                <c:pt idx="14">
                  <c:v>2.0832023587762403</c:v>
                </c:pt>
                <c:pt idx="15">
                  <c:v>1.3888015725174934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37-441A-8CF7-C4F6A823A689}"/>
            </c:ext>
          </c:extLst>
        </c:ser>
        <c:ser>
          <c:idx val="33"/>
          <c:order val="26"/>
          <c:tx>
            <c:strRef>
              <c:f>LCIA!$DO$60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LCIA!$DP$60:$EE$60</c:f>
              <c:numCache>
                <c:formatCode>0.0</c:formatCode>
                <c:ptCount val="16"/>
                <c:pt idx="0">
                  <c:v>9.3167758240289625E-3</c:v>
                </c:pt>
                <c:pt idx="1">
                  <c:v>4.7619076433925807E-3</c:v>
                </c:pt>
                <c:pt idx="2">
                  <c:v>1.2240293473388539E-2</c:v>
                </c:pt>
                <c:pt idx="3">
                  <c:v>6.2561499975096963E-3</c:v>
                </c:pt>
                <c:pt idx="4">
                  <c:v>1.188542903519533E-2</c:v>
                </c:pt>
                <c:pt idx="5">
                  <c:v>6.0747748402109475E-3</c:v>
                </c:pt>
                <c:pt idx="6">
                  <c:v>9.9457086053171776E-3</c:v>
                </c:pt>
                <c:pt idx="7">
                  <c:v>5.083362176051002E-3</c:v>
                </c:pt>
                <c:pt idx="8">
                  <c:v>8.9827049931045632E-3</c:v>
                </c:pt>
                <c:pt idx="9">
                  <c:v>4.5911603298089991E-3</c:v>
                </c:pt>
                <c:pt idx="10">
                  <c:v>1.6598943931603778E-2</c:v>
                </c:pt>
                <c:pt idx="11">
                  <c:v>8.4839046761530403E-3</c:v>
                </c:pt>
                <c:pt idx="12">
                  <c:v>1.9044129876697565E-2</c:v>
                </c:pt>
                <c:pt idx="13">
                  <c:v>9.7336663814232005E-3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37-441A-8CF7-C4F6A823A689}"/>
            </c:ext>
          </c:extLst>
        </c:ser>
        <c:ser>
          <c:idx val="26"/>
          <c:order val="27"/>
          <c:tx>
            <c:strRef>
              <c:f>LCIA!$DO$52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LCIA!$DP$52:$EE$52</c:f>
              <c:numCache>
                <c:formatCode>0.0</c:formatCode>
                <c:ptCount val="16"/>
                <c:pt idx="0">
                  <c:v>5.9497594119385357E-2</c:v>
                </c:pt>
                <c:pt idx="1">
                  <c:v>5.9184900146198823E-2</c:v>
                </c:pt>
                <c:pt idx="2">
                  <c:v>5.9497594119385336E-2</c:v>
                </c:pt>
                <c:pt idx="3">
                  <c:v>5.9184900146198823E-2</c:v>
                </c:pt>
                <c:pt idx="4">
                  <c:v>5.9497594119385364E-2</c:v>
                </c:pt>
                <c:pt idx="5">
                  <c:v>5.9184900146198829E-2</c:v>
                </c:pt>
                <c:pt idx="6">
                  <c:v>4.6302138635596068E-2</c:v>
                </c:pt>
                <c:pt idx="7">
                  <c:v>4.6058480994152058E-2</c:v>
                </c:pt>
                <c:pt idx="8">
                  <c:v>3.7879507475730607E-2</c:v>
                </c:pt>
                <c:pt idx="9">
                  <c:v>3.7679915577951972E-2</c:v>
                </c:pt>
                <c:pt idx="10">
                  <c:v>6.6934793384308508E-2</c:v>
                </c:pt>
                <c:pt idx="11">
                  <c:v>6.6583012664473695E-2</c:v>
                </c:pt>
                <c:pt idx="12">
                  <c:v>2.3333601884498484E-2</c:v>
                </c:pt>
                <c:pt idx="13">
                  <c:v>2.2947648180451131E-2</c:v>
                </c:pt>
                <c:pt idx="14">
                  <c:v>141.82991277538486</c:v>
                </c:pt>
                <c:pt idx="15">
                  <c:v>72.490844307418939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37-441A-8CF7-C4F6A823A689}"/>
            </c:ext>
          </c:extLst>
        </c:ser>
        <c:ser>
          <c:idx val="25"/>
          <c:order val="28"/>
          <c:tx>
            <c:strRef>
              <c:f>LCIA!$DO$50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(LCIA!$DP$50:$EA$50,LCIA!$EB$51:$EC$51,LCIA!$ED$50:$EE$50)</c:f>
              <c:numCache>
                <c:formatCode>0.0</c:formatCode>
                <c:ptCount val="16"/>
                <c:pt idx="0">
                  <c:v>0.78532694764072453</c:v>
                </c:pt>
                <c:pt idx="1">
                  <c:v>0.40138932879414801</c:v>
                </c:pt>
                <c:pt idx="2">
                  <c:v>1.0317552437926967</c:v>
                </c:pt>
                <c:pt idx="3">
                  <c:v>0.52734156904960017</c:v>
                </c:pt>
                <c:pt idx="4">
                  <c:v>1.0018431141744484</c:v>
                </c:pt>
                <c:pt idx="5">
                  <c:v>0.51205314724471818</c:v>
                </c:pt>
                <c:pt idx="6">
                  <c:v>0.83834076601836527</c:v>
                </c:pt>
                <c:pt idx="7">
                  <c:v>0.42848528040938666</c:v>
                </c:pt>
                <c:pt idx="8">
                  <c:v>0.75716754669549435</c:v>
                </c:pt>
                <c:pt idx="9">
                  <c:v>0.38699674608880824</c:v>
                </c:pt>
                <c:pt idx="10">
                  <c:v>1.3991533356685171</c:v>
                </c:pt>
                <c:pt idx="11">
                  <c:v>0.71512281600835303</c:v>
                </c:pt>
                <c:pt idx="12">
                  <c:v>0.1148331937184386</c:v>
                </c:pt>
                <c:pt idx="13">
                  <c:v>5.8692521233868616E-2</c:v>
                </c:pt>
                <c:pt idx="14">
                  <c:v>0.73670355894696748</c:v>
                </c:pt>
                <c:pt idx="15">
                  <c:v>0.37653737457289449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37-441A-8CF7-C4F6A823A689}"/>
            </c:ext>
          </c:extLst>
        </c:ser>
        <c:ser>
          <c:idx val="39"/>
          <c:order val="35"/>
          <c:tx>
            <c:strRef>
              <c:f>LCIA!$DO$64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LCIA!$DP$64:$EE$64</c:f>
              <c:numCache>
                <c:formatCode>0.0</c:formatCode>
                <c:ptCount val="16"/>
                <c:pt idx="0">
                  <c:v>3.4888431579470705E-2</c:v>
                </c:pt>
                <c:pt idx="1">
                  <c:v>2.8721472813105439E-2</c:v>
                </c:pt>
                <c:pt idx="2">
                  <c:v>3.9731449229668037E-2</c:v>
                </c:pt>
                <c:pt idx="3">
                  <c:v>3.246453752447831E-2</c:v>
                </c:pt>
                <c:pt idx="4">
                  <c:v>3.9951264884311111E-2</c:v>
                </c:pt>
                <c:pt idx="5">
                  <c:v>3.2683147293540826E-2</c:v>
                </c:pt>
                <c:pt idx="6">
                  <c:v>3.25379371908191E-2</c:v>
                </c:pt>
                <c:pt idx="7">
                  <c:v>2.6568604820610024E-2</c:v>
                </c:pt>
                <c:pt idx="8">
                  <c:v>2.8241921851857827E-2</c:v>
                </c:pt>
                <c:pt idx="9">
                  <c:v>2.3002396788880657E-2</c:v>
                </c:pt>
                <c:pt idx="10">
                  <c:v>5.1337952334078348E-2</c:v>
                </c:pt>
                <c:pt idx="11">
                  <c:v>4.1744207875467024E-2</c:v>
                </c:pt>
                <c:pt idx="12">
                  <c:v>6.8090465742632986E-2</c:v>
                </c:pt>
                <c:pt idx="13">
                  <c:v>5.5731886373571071E-2</c:v>
                </c:pt>
                <c:pt idx="14">
                  <c:v>2.1572473758353083E-2</c:v>
                </c:pt>
                <c:pt idx="15">
                  <c:v>1.5630666560321586E-2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4-4943-AE72-3C13329A46E1}"/>
            </c:ext>
          </c:extLst>
        </c:ser>
        <c:ser>
          <c:idx val="35"/>
          <c:order val="36"/>
          <c:tx>
            <c:strRef>
              <c:f>LCIA!$DO$65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LCIA!$DP$331:$EE$331</c:f>
                <c:numCache>
                  <c:formatCode>General</c:formatCode>
                  <c:ptCount val="16"/>
                  <c:pt idx="0">
                    <c:v>4.2618210252724928</c:v>
                  </c:pt>
                  <c:pt idx="1">
                    <c:v>3.9417016248347565</c:v>
                  </c:pt>
                  <c:pt idx="2">
                    <c:v>7.7448950843983511</c:v>
                  </c:pt>
                  <c:pt idx="3">
                    <c:v>7.4618335915907679</c:v>
                  </c:pt>
                  <c:pt idx="4">
                    <c:v>7.5454851923623423</c:v>
                  </c:pt>
                  <c:pt idx="5">
                    <c:v>7.2659869837352247</c:v>
                  </c:pt>
                  <c:pt idx="6">
                    <c:v>4.4303190829633827</c:v>
                  </c:pt>
                  <c:pt idx="7">
                    <c:v>4.1525324680941509</c:v>
                  </c:pt>
                  <c:pt idx="8">
                    <c:v>3.9883242248349866</c:v>
                  </c:pt>
                  <c:pt idx="9">
                    <c:v>3.7513085035940108</c:v>
                  </c:pt>
                  <c:pt idx="10">
                    <c:v>3.475352478020941</c:v>
                  </c:pt>
                  <c:pt idx="11">
                    <c:v>2.5015053492575454</c:v>
                  </c:pt>
                  <c:pt idx="12">
                    <c:v>3.738755043027961</c:v>
                  </c:pt>
                  <c:pt idx="13">
                    <c:v>2.5583620982072617</c:v>
                  </c:pt>
                  <c:pt idx="14">
                    <c:v>47.940694833896742</c:v>
                  </c:pt>
                  <c:pt idx="15">
                    <c:v>24.872133845585736</c:v>
                  </c:pt>
                </c:numCache>
              </c:numRef>
            </c:plus>
            <c:minus>
              <c:numRef>
                <c:f>LCIA!$DP$330:$EE$330</c:f>
                <c:numCache>
                  <c:formatCode>General</c:formatCode>
                  <c:ptCount val="16"/>
                  <c:pt idx="0">
                    <c:v>2.909613224189382</c:v>
                  </c:pt>
                  <c:pt idx="1">
                    <c:v>2.789890343299966</c:v>
                  </c:pt>
                  <c:pt idx="2">
                    <c:v>5.1252802971083504</c:v>
                  </c:pt>
                  <c:pt idx="3">
                    <c:v>5.0814672602242226</c:v>
                  </c:pt>
                  <c:pt idx="4">
                    <c:v>4.9802322866251316</c:v>
                  </c:pt>
                  <c:pt idx="5">
                    <c:v>4.9352796246804971</c:v>
                  </c:pt>
                  <c:pt idx="6">
                    <c:v>3.0579486587665947</c:v>
                  </c:pt>
                  <c:pt idx="7">
                    <c:v>2.9721493477707028</c:v>
                  </c:pt>
                  <c:pt idx="8">
                    <c:v>2.7561902842847736</c:v>
                  </c:pt>
                  <c:pt idx="9">
                    <c:v>2.6876531854607535</c:v>
                  </c:pt>
                  <c:pt idx="10">
                    <c:v>1.3813957287638665</c:v>
                  </c:pt>
                  <c:pt idx="11">
                    <c:v>0.71432812402901291</c:v>
                  </c:pt>
                  <c:pt idx="12">
                    <c:v>2.6271151424329737</c:v>
                  </c:pt>
                  <c:pt idx="13">
                    <c:v>1.765732842511369</c:v>
                  </c:pt>
                  <c:pt idx="14">
                    <c:v>35.751529517710566</c:v>
                  </c:pt>
                  <c:pt idx="15">
                    <c:v>18.237656741748069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LCIA!$DP$65:$EE$65</c:f>
              <c:numCache>
                <c:formatCode>0.0</c:formatCode>
                <c:ptCount val="16"/>
                <c:pt idx="0">
                  <c:v>4.445006325681973E-2</c:v>
                </c:pt>
                <c:pt idx="1">
                  <c:v>3.6500125174765322E-2</c:v>
                </c:pt>
                <c:pt idx="2">
                  <c:v>5.2677240927944374E-2</c:v>
                </c:pt>
                <c:pt idx="3">
                  <c:v>4.2233456457033955E-2</c:v>
                </c:pt>
                <c:pt idx="4">
                  <c:v>5.1678603966467888E-2</c:v>
                </c:pt>
                <c:pt idx="5">
                  <c:v>4.1537529280092342E-2</c:v>
                </c:pt>
                <c:pt idx="6">
                  <c:v>4.6168887981376534E-2</c:v>
                </c:pt>
                <c:pt idx="7">
                  <c:v>3.7682989434262834E-2</c:v>
                </c:pt>
                <c:pt idx="8">
                  <c:v>4.3426262938322101E-2</c:v>
                </c:pt>
                <c:pt idx="9">
                  <c:v>3.5762177919156396E-2</c:v>
                </c:pt>
                <c:pt idx="10">
                  <c:v>6.4972228530029513E-2</c:v>
                </c:pt>
                <c:pt idx="11">
                  <c:v>5.0810080403406163E-2</c:v>
                </c:pt>
                <c:pt idx="12">
                  <c:v>7.4670190058261421E-2</c:v>
                </c:pt>
                <c:pt idx="13">
                  <c:v>5.8420483717029972E-2</c:v>
                </c:pt>
                <c:pt idx="14">
                  <c:v>3.9765013669320573E-2</c:v>
                </c:pt>
                <c:pt idx="15">
                  <c:v>2.8632364355810836E-2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37-441A-8CF7-C4F6A823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LCIA!$AQ$9</c15:sqref>
                        </c15:formulaRef>
                      </c:ext>
                    </c:extLst>
                    <c:strCache>
                      <c:ptCount val="1"/>
                      <c:pt idx="0">
                        <c:v>Cathode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LCIA!$AR$9:$BC$9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332.10696267202263</c:v>
                      </c:pt>
                      <c:pt idx="1">
                        <c:v>327.66943612886445</c:v>
                      </c:pt>
                      <c:pt idx="2">
                        <c:v>477.73867686327486</c:v>
                      </c:pt>
                      <c:pt idx="3">
                        <c:v>471.908695739964</c:v>
                      </c:pt>
                      <c:pt idx="4">
                        <c:v>483.78945575126505</c:v>
                      </c:pt>
                      <c:pt idx="5">
                        <c:v>478.12849451138254</c:v>
                      </c:pt>
                      <c:pt idx="6">
                        <c:v>364.73486611247858</c:v>
                      </c:pt>
                      <c:pt idx="7">
                        <c:v>359.99778251615709</c:v>
                      </c:pt>
                      <c:pt idx="8">
                        <c:v>310.12100685003321</c:v>
                      </c:pt>
                      <c:pt idx="9">
                        <c:v>305.84259631519399</c:v>
                      </c:pt>
                      <c:pt idx="10">
                        <c:v>172.00425524646016</c:v>
                      </c:pt>
                      <c:pt idx="11">
                        <c:v>164.09827407055658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ED37-441A-8CF7-C4F6A823A689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LCIA!$AQ$12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LCIA!$AR$12:$BC$12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1.3604293226602815</c:v>
                      </c:pt>
                      <c:pt idx="1">
                        <c:v>1.3604293226602815</c:v>
                      </c:pt>
                      <c:pt idx="2">
                        <c:v>1.819795067974143</c:v>
                      </c:pt>
                      <c:pt idx="3">
                        <c:v>1.8197950679741424</c:v>
                      </c:pt>
                      <c:pt idx="4">
                        <c:v>1.7737243067596078</c:v>
                      </c:pt>
                      <c:pt idx="5">
                        <c:v>1.773724306759608</c:v>
                      </c:pt>
                      <c:pt idx="6">
                        <c:v>1.4749917919369366</c:v>
                      </c:pt>
                      <c:pt idx="7">
                        <c:v>1.4749917919369366</c:v>
                      </c:pt>
                      <c:pt idx="8">
                        <c:v>1.334516383181038</c:v>
                      </c:pt>
                      <c:pt idx="9">
                        <c:v>1.3345163831810383</c:v>
                      </c:pt>
                      <c:pt idx="10">
                        <c:v>1.9704968470407518</c:v>
                      </c:pt>
                      <c:pt idx="11">
                        <c:v>1.9704968470407518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D37-441A-8CF7-C4F6A823A689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LCIA!$AQ$13</c15:sqref>
                        </c15:formulaRef>
                      </c:ext>
                    </c:extLst>
                    <c:strCache>
                      <c:ptCount val="1"/>
                      <c:pt idx="0">
                        <c:v>Binder (PVDF)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LCIA!$AR$13:$BC$13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2.117945455915887</c:v>
                      </c:pt>
                      <c:pt idx="1">
                        <c:v>2.1179454559158875</c:v>
                      </c:pt>
                      <c:pt idx="2">
                        <c:v>2.8330958696017716</c:v>
                      </c:pt>
                      <c:pt idx="3">
                        <c:v>2.8330958696017703</c:v>
                      </c:pt>
                      <c:pt idx="4">
                        <c:v>2.7613719235359033</c:v>
                      </c:pt>
                      <c:pt idx="5">
                        <c:v>2.7613719235359033</c:v>
                      </c:pt>
                      <c:pt idx="6">
                        <c:v>2.2962987574666989</c:v>
                      </c:pt>
                      <c:pt idx="7">
                        <c:v>2.2962987574666984</c:v>
                      </c:pt>
                      <c:pt idx="8">
                        <c:v>2.0776036377079659</c:v>
                      </c:pt>
                      <c:pt idx="9">
                        <c:v>2.0776036377079654</c:v>
                      </c:pt>
                      <c:pt idx="10">
                        <c:v>3.067711621303169</c:v>
                      </c:pt>
                      <c:pt idx="11">
                        <c:v>3.0677116213031681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D37-441A-8CF7-C4F6A823A689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LCIA!$AQ$14</c15:sqref>
                        </c15:formulaRef>
                      </c:ext>
                    </c:extLst>
                    <c:strCache>
                      <c:ptCount val="1"/>
                      <c:pt idx="0">
                        <c:v>Solvent (NMP)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LCIA!$AR$14:$BC$14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60.732924443960734</c:v>
                      </c:pt>
                      <c:pt idx="1">
                        <c:v>60.732924443960734</c:v>
                      </c:pt>
                      <c:pt idx="2">
                        <c:v>81.240145684778625</c:v>
                      </c:pt>
                      <c:pt idx="3">
                        <c:v>81.240145684778625</c:v>
                      </c:pt>
                      <c:pt idx="4">
                        <c:v>79.183433135796889</c:v>
                      </c:pt>
                      <c:pt idx="5">
                        <c:v>79.183433135796889</c:v>
                      </c:pt>
                      <c:pt idx="6">
                        <c:v>65.847275976083722</c:v>
                      </c:pt>
                      <c:pt idx="7">
                        <c:v>65.847275976083722</c:v>
                      </c:pt>
                      <c:pt idx="8">
                        <c:v>59.576106835504326</c:v>
                      </c:pt>
                      <c:pt idx="9">
                        <c:v>59.576106835504326</c:v>
                      </c:pt>
                      <c:pt idx="10">
                        <c:v>87.967845249299373</c:v>
                      </c:pt>
                      <c:pt idx="11">
                        <c:v>87.967845249299373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D37-441A-8CF7-C4F6A823A689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LCIA!$AQ$15</c15:sqref>
                        </c15:formulaRef>
                      </c:ext>
                    </c:extLst>
                    <c:strCache>
                      <c:ptCount val="1"/>
                      <c:pt idx="0">
                        <c:v>NMC/NCA/NFM active material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LCIA!$AR$15:$BC$15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258.81890461120764</c:v>
                      </c:pt>
                      <c:pt idx="1">
                        <c:v>258.81890461120764</c:v>
                      </c:pt>
                      <c:pt idx="2">
                        <c:v>379.92067885232996</c:v>
                      </c:pt>
                      <c:pt idx="3">
                        <c:v>379.92067885232996</c:v>
                      </c:pt>
                      <c:pt idx="4">
                        <c:v>388.49168748541302</c:v>
                      </c:pt>
                      <c:pt idx="5">
                        <c:v>388.49168748541302</c:v>
                      </c:pt>
                      <c:pt idx="6">
                        <c:v>285.42681041269731</c:v>
                      </c:pt>
                      <c:pt idx="7">
                        <c:v>285.42681041269731</c:v>
                      </c:pt>
                      <c:pt idx="8">
                        <c:v>238.38148571783233</c:v>
                      </c:pt>
                      <c:pt idx="9">
                        <c:v>238.38148571783233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D37-441A-8CF7-C4F6A823A689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LCIA!$AQ$17</c15:sqref>
                        </c15:formulaRef>
                      </c:ext>
                    </c:extLst>
                    <c:strCache>
                      <c:ptCount val="1"/>
                      <c:pt idx="0">
                        <c:v>LiOH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LCIA!$AR$17:$BC$17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18.092300568250593</c:v>
                      </c:pt>
                      <c:pt idx="1">
                        <c:v>18.092300568250593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19.498301657060082</c:v>
                      </c:pt>
                      <c:pt idx="7">
                        <c:v>19.498301657060082</c:v>
                      </c:pt>
                      <c:pt idx="8">
                        <c:v>17.609501359520774</c:v>
                      </c:pt>
                      <c:pt idx="9">
                        <c:v>17.609501359520774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D37-441A-8CF7-C4F6A823A689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LCIA!$AQ$20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LCIA!$AR$20:$BC$20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26.283153316055923</c:v>
                      </c:pt>
                      <c:pt idx="1">
                        <c:v>26.283153316055923</c:v>
                      </c:pt>
                      <c:pt idx="2">
                        <c:v>30.764123557791283</c:v>
                      </c:pt>
                      <c:pt idx="3">
                        <c:v>30.764123557791283</c:v>
                      </c:pt>
                      <c:pt idx="4">
                        <c:v>29.985284986707956</c:v>
                      </c:pt>
                      <c:pt idx="5">
                        <c:v>29.985284986707956</c:v>
                      </c:pt>
                      <c:pt idx="6">
                        <c:v>28.496471490039582</c:v>
                      </c:pt>
                      <c:pt idx="7">
                        <c:v>28.496471490039582</c:v>
                      </c:pt>
                      <c:pt idx="8">
                        <c:v>25.782521824321528</c:v>
                      </c:pt>
                      <c:pt idx="9">
                        <c:v>25.782521824321528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D37-441A-8CF7-C4F6A823A689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LCIA!$AQ$23</c15:sqref>
                        </c15:formulaRef>
                      </c:ext>
                    </c:extLst>
                    <c:strCache>
                      <c:ptCount val="1"/>
                      <c:pt idx="0">
                        <c:v>NCA(OH)2 / NMC(OH)2  / NFM(OH)2  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LCIA!$AR$23:$BC$23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D37-441A-8CF7-C4F6A823A689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LCIA!$AQ$24</c15:sqref>
                        </c15:formulaRef>
                      </c:ext>
                    </c:extLst>
                    <c:strCache>
                      <c:ptCount val="1"/>
                      <c:pt idx="0">
                        <c:v>NiSO4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LCIA!$AR$24:$BC$24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141.48309692033857</c:v>
                      </c:pt>
                      <c:pt idx="1">
                        <c:v>141.48309692033857</c:v>
                      </c:pt>
                      <c:pt idx="2">
                        <c:v>105.29945712851278</c:v>
                      </c:pt>
                      <c:pt idx="3">
                        <c:v>105.29945712851278</c:v>
                      </c:pt>
                      <c:pt idx="4">
                        <c:v>122.68320927543928</c:v>
                      </c:pt>
                      <c:pt idx="5">
                        <c:v>122.68320927543928</c:v>
                      </c:pt>
                      <c:pt idx="6">
                        <c:v>135.53611285744236</c:v>
                      </c:pt>
                      <c:pt idx="7">
                        <c:v>135.53611285744236</c:v>
                      </c:pt>
                      <c:pt idx="8">
                        <c:v>137.70757224429735</c:v>
                      </c:pt>
                      <c:pt idx="9">
                        <c:v>137.70757224429735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D37-441A-8CF7-C4F6A823A689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LCIA!$AQ$25</c15:sqref>
                        </c15:formulaRef>
                      </c:ext>
                    </c:extLst>
                    <c:strCache>
                      <c:ptCount val="1"/>
                      <c:pt idx="0">
                        <c:v>MnSO4 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LCIA!$AR$25:$BC$25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3.1405711295031846</c:v>
                      </c:pt>
                      <c:pt idx="3">
                        <c:v>3.1405711295031846</c:v>
                      </c:pt>
                      <c:pt idx="4">
                        <c:v>2.0328022133369807</c:v>
                      </c:pt>
                      <c:pt idx="5">
                        <c:v>2.0328022133369807</c:v>
                      </c:pt>
                      <c:pt idx="6">
                        <c:v>0.8421632588239728</c:v>
                      </c:pt>
                      <c:pt idx="7">
                        <c:v>0.8421632588239728</c:v>
                      </c:pt>
                      <c:pt idx="8">
                        <c:v>0.38029145594404679</c:v>
                      </c:pt>
                      <c:pt idx="9">
                        <c:v>0.38029145594404679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D37-441A-8CF7-C4F6A823A689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LCIA!$AQ$26</c15:sqref>
                        </c15:formulaRef>
                      </c:ext>
                    </c:extLst>
                    <c:strCache>
                      <c:ptCount val="1"/>
                      <c:pt idx="0">
                        <c:v>CoSO4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LCIA!$AR$26:$BC$26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49.466080852204676</c:v>
                      </c:pt>
                      <c:pt idx="1">
                        <c:v>49.466080852204676</c:v>
                      </c:pt>
                      <c:pt idx="2">
                        <c:v>189.33614851938452</c:v>
                      </c:pt>
                      <c:pt idx="3">
                        <c:v>189.33614851938452</c:v>
                      </c:pt>
                      <c:pt idx="4">
                        <c:v>183.82784177019568</c:v>
                      </c:pt>
                      <c:pt idx="5">
                        <c:v>183.82784177019568</c:v>
                      </c:pt>
                      <c:pt idx="6">
                        <c:v>76.157460510449582</c:v>
                      </c:pt>
                      <c:pt idx="7">
                        <c:v>76.157460510449582</c:v>
                      </c:pt>
                      <c:pt idx="8">
                        <c:v>34.390044014700592</c:v>
                      </c:pt>
                      <c:pt idx="9">
                        <c:v>34.390044014700592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D37-441A-8CF7-C4F6A823A689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LCIA!$AQ$29</c15:sqref>
                        </c15:formulaRef>
                      </c:ext>
                    </c:extLst>
                    <c:strCache>
                      <c:ptCount val="1"/>
                      <c:pt idx="0">
                        <c:v>NaOH 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LCIA!$AR$29:$BC$29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5.7011493365781689</c:v>
                      </c:pt>
                      <c:pt idx="1">
                        <c:v>5.7011493365781689</c:v>
                      </c:pt>
                      <c:pt idx="2">
                        <c:v>7.5247219141083415</c:v>
                      </c:pt>
                      <c:pt idx="3">
                        <c:v>7.5247219141083415</c:v>
                      </c:pt>
                      <c:pt idx="4">
                        <c:v>7.3058071594279452</c:v>
                      </c:pt>
                      <c:pt idx="5">
                        <c:v>7.3058071594279452</c:v>
                      </c:pt>
                      <c:pt idx="6">
                        <c:v>6.0533999081231915</c:v>
                      </c:pt>
                      <c:pt idx="7">
                        <c:v>6.0533999081231915</c:v>
                      </c:pt>
                      <c:pt idx="8">
                        <c:v>5.4670071161413567</c:v>
                      </c:pt>
                      <c:pt idx="9">
                        <c:v>5.4670071161413567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D37-441A-8CF7-C4F6A823A689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LCIA!$AQ$30</c15:sqref>
                        </c15:formulaRef>
                      </c:ext>
                    </c:extLst>
                    <c:strCache>
                      <c:ptCount val="1"/>
                      <c:pt idx="0">
                        <c:v>NH4OH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LCIA!$AR$30:$BC$30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2.1555823705414752</c:v>
                      </c:pt>
                      <c:pt idx="1">
                        <c:v>2.1555823705414752</c:v>
                      </c:pt>
                      <c:pt idx="2">
                        <c:v>2.8877440841919082</c:v>
                      </c:pt>
                      <c:pt idx="3">
                        <c:v>2.8877440841919082</c:v>
                      </c:pt>
                      <c:pt idx="4">
                        <c:v>2.8037317053975017</c:v>
                      </c:pt>
                      <c:pt idx="5">
                        <c:v>2.8037317053975017</c:v>
                      </c:pt>
                      <c:pt idx="6">
                        <c:v>2.3230984444960709</c:v>
                      </c:pt>
                      <c:pt idx="7">
                        <c:v>2.3230984444960709</c:v>
                      </c:pt>
                      <c:pt idx="8">
                        <c:v>2.0980599200977941</c:v>
                      </c:pt>
                      <c:pt idx="9">
                        <c:v>2.0980599200977941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D37-441A-8CF7-C4F6A823A689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LCIA!$AQ$31</c15:sqref>
                        </c15:formulaRef>
                      </c:ext>
                    </c:extLst>
                    <c:strCache>
                      <c:ptCount val="1"/>
                      <c:pt idx="0">
                        <c:v>Water loss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LCIA!$AR$31:$BC$31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1.4974966092954176E-3</c:v>
                      </c:pt>
                      <c:pt idx="1">
                        <c:v>1.4974966092954176E-3</c:v>
                      </c:pt>
                      <c:pt idx="2">
                        <c:v>2.0031448150315328E-3</c:v>
                      </c:pt>
                      <c:pt idx="3">
                        <c:v>2.0031448150315328E-3</c:v>
                      </c:pt>
                      <c:pt idx="4">
                        <c:v>1.9524322880687087E-3</c:v>
                      </c:pt>
                      <c:pt idx="5">
                        <c:v>1.9524322880687087E-3</c:v>
                      </c:pt>
                      <c:pt idx="6">
                        <c:v>1.6236015869202946E-3</c:v>
                      </c:pt>
                      <c:pt idx="7">
                        <c:v>1.6236015869202946E-3</c:v>
                      </c:pt>
                      <c:pt idx="8">
                        <c:v>1.4689728643564573E-3</c:v>
                      </c:pt>
                      <c:pt idx="9">
                        <c:v>1.4689728643564573E-3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D37-441A-8CF7-C4F6A823A689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LCIA!$AQ$32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LCIA!$AR$32:$BC$32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15.235213349943471</c:v>
                      </c:pt>
                      <c:pt idx="1">
                        <c:v>15.235213349943471</c:v>
                      </c:pt>
                      <c:pt idx="2">
                        <c:v>20.379571104469839</c:v>
                      </c:pt>
                      <c:pt idx="3">
                        <c:v>20.379571104469839</c:v>
                      </c:pt>
                      <c:pt idx="4">
                        <c:v>19.863632595495915</c:v>
                      </c:pt>
                      <c:pt idx="5">
                        <c:v>19.863632595495915</c:v>
                      </c:pt>
                      <c:pt idx="6">
                        <c:v>16.518178684675554</c:v>
                      </c:pt>
                      <c:pt idx="7">
                        <c:v>16.518178684675554</c:v>
                      </c:pt>
                      <c:pt idx="8">
                        <c:v>14.945018809944548</c:v>
                      </c:pt>
                      <c:pt idx="9">
                        <c:v>14.945018809944548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D37-441A-8CF7-C4F6A823A689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LCIA!$AQ$36</c15:sqref>
                        </c15:formulaRef>
                      </c:ext>
                    </c:extLst>
                    <c:strCache>
                      <c:ptCount val="1"/>
                      <c:pt idx="0">
                        <c:v>LFP/NaFP active material 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LCIA!$AR$36:$BC$36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62.826876396286842</c:v>
                      </c:pt>
                      <c:pt idx="11">
                        <c:v>62.826876396286842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D37-441A-8CF7-C4F6A823A689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LCIA!$AQ$38</c15:sqref>
                        </c15:formulaRef>
                      </c:ext>
                    </c:extLst>
                    <c:strCache>
                      <c:ptCount val="1"/>
                      <c:pt idx="0">
                        <c:v>LiOH 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LCIA!$AR$38:$BC$38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D37-441A-8CF7-C4F6A823A689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LCIA!$AQ$40</c15:sqref>
                        </c15:formulaRef>
                      </c:ext>
                    </c:extLst>
                    <c:strCache>
                      <c:ptCount val="1"/>
                      <c:pt idx="0">
                        <c:v>(NH4)2HPO4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LCIA!$AR$40:$BC$40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11.857378052248388</c:v>
                      </c:pt>
                      <c:pt idx="11">
                        <c:v>11.857378052248388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D37-441A-8CF7-C4F6A823A689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LCIA!$AQ$41</c15:sqref>
                        </c15:formulaRef>
                      </c:ext>
                    </c:extLst>
                    <c:strCache>
                      <c:ptCount val="1"/>
                      <c:pt idx="0">
                        <c:v>Fe3O4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LCIA!$AR$41:$BC$41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4.0145742909650011</c:v>
                      </c:pt>
                      <c:pt idx="11">
                        <c:v>4.0145742909650011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D37-441A-8CF7-C4F6A823A689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LCIA!$AQ$42</c15:sqref>
                        </c15:formulaRef>
                      </c:ext>
                    </c:extLst>
                    <c:strCache>
                      <c:ptCount val="1"/>
                      <c:pt idx="0">
                        <c:v>Water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LCIA!$AR$42:$BC$42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D37-441A-8CF7-C4F6A823A689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LCIA!$AQ$43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LCIA!$AR$43:$BC$43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33.311777539920868</c:v>
                      </c:pt>
                      <c:pt idx="11">
                        <c:v>33.311777539920868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D37-441A-8CF7-C4F6A823A689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LCIA!$AQ$44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LCIA!$AR$44:$BC$44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D37-441A-8CF7-C4F6A823A689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LCIA!$AQ$49</c15:sqref>
                        </c15:formulaRef>
                      </c:ext>
                    </c:extLst>
                    <c:strCache>
                      <c:ptCount val="1"/>
                      <c:pt idx="0">
                        <c:v>Anode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LCIA!$AR$49:$BC$49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48.202980778210126</c:v>
                      </c:pt>
                      <c:pt idx="1">
                        <c:v>40.470769568325473</c:v>
                      </c:pt>
                      <c:pt idx="2">
                        <c:v>53.022252427701027</c:v>
                      </c:pt>
                      <c:pt idx="3">
                        <c:v>42.933952855843046</c:v>
                      </c:pt>
                      <c:pt idx="4">
                        <c:v>52.437276268322734</c:v>
                      </c:pt>
                      <c:pt idx="5">
                        <c:v>42.634965041049696</c:v>
                      </c:pt>
                      <c:pt idx="6">
                        <c:v>42.357207896502061</c:v>
                      </c:pt>
                      <c:pt idx="7">
                        <c:v>34.167531494157508</c:v>
                      </c:pt>
                      <c:pt idx="8">
                        <c:v>36.376636264605146</c:v>
                      </c:pt>
                      <c:pt idx="9">
                        <c:v>28.994583009132079</c:v>
                      </c:pt>
                      <c:pt idx="10">
                        <c:v>64.312861370485109</c:v>
                      </c:pt>
                      <c:pt idx="11">
                        <c:v>50.683919850698842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ED37-441A-8CF7-C4F6A823A689}"/>
                  </c:ext>
                </c:extLst>
              </c15:ser>
            </c15:filteredBarSeries>
            <c15:filteredBa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LCIA!$AQ$53</c15:sqref>
                        </c15:formulaRef>
                      </c:ext>
                    </c:extLst>
                    <c:strCache>
                      <c:ptCount val="1"/>
                      <c:pt idx="0">
                        <c:v>Graphite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LCIA!$AR$53:$BC$53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31.498728336765993</c:v>
                      </c:pt>
                      <c:pt idx="1">
                        <c:v>31.498728336765986</c:v>
                      </c:pt>
                      <c:pt idx="2">
                        <c:v>31.498728336765986</c:v>
                      </c:pt>
                      <c:pt idx="3">
                        <c:v>31.498728336765982</c:v>
                      </c:pt>
                      <c:pt idx="4">
                        <c:v>31.498728336766</c:v>
                      </c:pt>
                      <c:pt idx="5">
                        <c:v>31.498728336765989</c:v>
                      </c:pt>
                      <c:pt idx="6">
                        <c:v>23.317240457086506</c:v>
                      </c:pt>
                      <c:pt idx="7">
                        <c:v>23.317240457086516</c:v>
                      </c:pt>
                      <c:pt idx="8">
                        <c:v>18.095014150908128</c:v>
                      </c:pt>
                      <c:pt idx="9">
                        <c:v>18.095014150908124</c:v>
                      </c:pt>
                      <c:pt idx="10">
                        <c:v>35.436069378861738</c:v>
                      </c:pt>
                      <c:pt idx="11">
                        <c:v>35.436069378861745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D37-441A-8CF7-C4F6A823A689}"/>
                  </c:ext>
                </c:extLst>
              </c15:ser>
            </c15:filteredBarSeries>
            <c15:filteredBa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LCIA!$AQ$54</c15:sqref>
                        </c15:formulaRef>
                      </c:ext>
                    </c:extLst>
                    <c:strCache>
                      <c:ptCount val="1"/>
                      <c:pt idx="0">
                        <c:v>SiO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LCIA!$AR$54:$BC$54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1.5961234664866157</c:v>
                      </c:pt>
                      <c:pt idx="7">
                        <c:v>1.5961234664866164</c:v>
                      </c:pt>
                      <c:pt idx="8">
                        <c:v>2.6149256791376483</c:v>
                      </c:pt>
                      <c:pt idx="9">
                        <c:v>2.6149256791376478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D37-441A-8CF7-C4F6A823A689}"/>
                  </c:ext>
                </c:extLst>
              </c15:ser>
            </c15:filteredBarSeries>
            <c15:filteredBa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LCIA!$AQ$55</c15:sqref>
                        </c15:formulaRef>
                      </c:ext>
                    </c:extLst>
                    <c:strCache>
                      <c:ptCount val="1"/>
                      <c:pt idx="0">
                        <c:v>Hard Carbon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LCIA!$AR$55:$BC$55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D37-441A-8CF7-C4F6A823A689}"/>
                  </c:ext>
                </c:extLst>
              </c15:ser>
            </c15:filteredBarSeries>
            <c15:filteredBarSeries>
              <c15:ser>
                <c:idx val="3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LCIA!$AQ$57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LCIA!$AR$57:$BC$57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0.42360247428898129</c:v>
                      </c:pt>
                      <c:pt idx="1">
                        <c:v>0.20957175043770643</c:v>
                      </c:pt>
                      <c:pt idx="2">
                        <c:v>0.42360247428898123</c:v>
                      </c:pt>
                      <c:pt idx="3">
                        <c:v>0.20957175043770643</c:v>
                      </c:pt>
                      <c:pt idx="4">
                        <c:v>0.4236024742889814</c:v>
                      </c:pt>
                      <c:pt idx="5">
                        <c:v>0.20957175043770648</c:v>
                      </c:pt>
                      <c:pt idx="6">
                        <c:v>0.33007985009530993</c:v>
                      </c:pt>
                      <c:pt idx="7">
                        <c:v>0.16330266267873234</c:v>
                      </c:pt>
                      <c:pt idx="8">
                        <c:v>0.27038455805679651</c:v>
                      </c:pt>
                      <c:pt idx="9">
                        <c:v>0.13376920240704673</c:v>
                      </c:pt>
                      <c:pt idx="10">
                        <c:v>0.47655278357510389</c:v>
                      </c:pt>
                      <c:pt idx="11">
                        <c:v>0.23576821924241984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D37-441A-8CF7-C4F6A823A689}"/>
                  </c:ext>
                </c:extLst>
              </c15:ser>
            </c15:filteredBarSeries>
            <c15:filteredBarSeries>
              <c15:ser>
                <c:idx val="3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LCIA!$AQ$58</c15:sqref>
                        </c15:formulaRef>
                      </c:ext>
                    </c:extLst>
                    <c:strCache>
                      <c:ptCount val="1"/>
                      <c:pt idx="0">
                        <c:v>Binder (CMC-SBR)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LCIA!$AR$58:$BC$58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0.92084311943594255</c:v>
                      </c:pt>
                      <c:pt idx="1">
                        <c:v>0.91115003396819538</c:v>
                      </c:pt>
                      <c:pt idx="2">
                        <c:v>0.92084311943594244</c:v>
                      </c:pt>
                      <c:pt idx="3">
                        <c:v>0.91115003396819538</c:v>
                      </c:pt>
                      <c:pt idx="4">
                        <c:v>0.92084311943594277</c:v>
                      </c:pt>
                      <c:pt idx="5">
                        <c:v>0.91115003396819561</c:v>
                      </c:pt>
                      <c:pt idx="6">
                        <c:v>0.71754009306696787</c:v>
                      </c:pt>
                      <c:pt idx="7">
                        <c:v>0.70998703945573682</c:v>
                      </c:pt>
                      <c:pt idx="8">
                        <c:v>0.5877722038952824</c:v>
                      </c:pt>
                      <c:pt idx="9">
                        <c:v>0.58158512806480589</c:v>
                      </c:pt>
                      <c:pt idx="10">
                        <c:v>1.0359485093654353</c:v>
                      </c:pt>
                      <c:pt idx="11">
                        <c:v>1.0250437882142203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D37-441A-8CF7-C4F6A823A689}"/>
                  </c:ext>
                </c:extLst>
              </c15:ser>
            </c15:filteredBarSeries>
            <c15:filteredBarSeries>
              <c15:ser>
                <c:idx val="32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LCIA!$AQ$59</c15:sqref>
                        </c15:formulaRef>
                      </c:ext>
                    </c:extLst>
                    <c:strCache>
                      <c:ptCount val="1"/>
                      <c:pt idx="0">
                        <c:v>Solvent (Water)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LCIA!$AR$59:$BC$59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1.5709898851325116E-3</c:v>
                      </c:pt>
                      <c:pt idx="1">
                        <c:v>1.5544531494995374E-3</c:v>
                      </c:pt>
                      <c:pt idx="2">
                        <c:v>1.570989885132511E-3</c:v>
                      </c:pt>
                      <c:pt idx="3">
                        <c:v>1.5544531494995372E-3</c:v>
                      </c:pt>
                      <c:pt idx="4">
                        <c:v>1.5709898851325118E-3</c:v>
                      </c:pt>
                      <c:pt idx="5">
                        <c:v>1.5544531494995377E-3</c:v>
                      </c:pt>
                      <c:pt idx="6">
                        <c:v>1.2241479624409176E-3</c:v>
                      </c:pt>
                      <c:pt idx="7">
                        <c:v>1.2112621944152244E-3</c:v>
                      </c:pt>
                      <c:pt idx="8">
                        <c:v>1.0027595011484118E-3</c:v>
                      </c:pt>
                      <c:pt idx="9">
                        <c:v>9.9220413797842816E-4</c:v>
                      </c:pt>
                      <c:pt idx="10">
                        <c:v>1.7673636207740752E-3</c:v>
                      </c:pt>
                      <c:pt idx="11">
                        <c:v>1.74875979318698E-3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D37-441A-8CF7-C4F6A823A689}"/>
                  </c:ext>
                </c:extLst>
              </c15:ser>
            </c15:filteredBarSeries>
            <c15:filteredBa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LCIA!$AQ$66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LCIA!$AR$66:$BC$66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40.094210140883995</c:v>
                      </c:pt>
                      <c:pt idx="1">
                        <c:v>35.193180024698016</c:v>
                      </c:pt>
                      <c:pt idx="2">
                        <c:v>44.915175601951603</c:v>
                      </c:pt>
                      <c:pt idx="3">
                        <c:v>38.477292668618063</c:v>
                      </c:pt>
                      <c:pt idx="4">
                        <c:v>44.329993843166825</c:v>
                      </c:pt>
                      <c:pt idx="5">
                        <c:v>38.078658239780879</c:v>
                      </c:pt>
                      <c:pt idx="6">
                        <c:v>41.062052131551596</c:v>
                      </c:pt>
                      <c:pt idx="7">
                        <c:v>35.831130076583946</c:v>
                      </c:pt>
                      <c:pt idx="8">
                        <c:v>39.4298078919578</c:v>
                      </c:pt>
                      <c:pt idx="9">
                        <c:v>34.70558903329907</c:v>
                      </c:pt>
                      <c:pt idx="10">
                        <c:v>52.142258679525952</c:v>
                      </c:pt>
                      <c:pt idx="11">
                        <c:v>43.412677217798063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D37-441A-8CF7-C4F6A823A689}"/>
                  </c:ext>
                </c:extLst>
              </c15:ser>
            </c15:filteredBarSeries>
            <c15:filteredBa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LCIA!$AQ$67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LCIA!$AR$67:$BC$67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12.360449052690958</c:v>
                      </c:pt>
                      <c:pt idx="1">
                        <c:v>8.7609442060309313</c:v>
                      </c:pt>
                      <c:pt idx="2">
                        <c:v>16.239043068697367</c:v>
                      </c:pt>
                      <c:pt idx="3">
                        <c:v>11.510047060403348</c:v>
                      </c:pt>
                      <c:pt idx="4">
                        <c:v>15.768248891425623</c:v>
                      </c:pt>
                      <c:pt idx="5">
                        <c:v>11.176353559300006</c:v>
                      </c:pt>
                      <c:pt idx="6">
                        <c:v>13.194846246259846</c:v>
                      </c:pt>
                      <c:pt idx="7">
                        <c:v>9.3523553454938906</c:v>
                      </c:pt>
                      <c:pt idx="8">
                        <c:v>11.917241492090291</c:v>
                      </c:pt>
                      <c:pt idx="9">
                        <c:v>8.4468037817177706</c:v>
                      </c:pt>
                      <c:pt idx="10">
                        <c:v>22.021609693119998</c:v>
                      </c:pt>
                      <c:pt idx="11">
                        <c:v>15.608663813586283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ED37-441A-8CF7-C4F6A823A689}"/>
                  </c:ext>
                </c:extLst>
              </c15:ser>
            </c15:filteredBarSeries>
          </c:ext>
        </c:extLst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ax val="2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4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de-DE" sz="900"/>
              <a:t>Water Consumption Potential (WCP)</a:t>
            </a:r>
            <a:br>
              <a:rPr lang="de-DE" sz="900"/>
            </a:br>
            <a:r>
              <a:rPr lang="de-DE" sz="900"/>
              <a:t>[m³/kWh</a:t>
            </a:r>
            <a:r>
              <a:rPr lang="de-DE" sz="900" baseline="-25000"/>
              <a:t>cell</a:t>
            </a:r>
            <a:r>
              <a:rPr lang="de-DE" sz="900"/>
              <a:t>]</a:t>
            </a:r>
          </a:p>
        </c:rich>
      </c:tx>
      <c:layout>
        <c:manualLayout>
          <c:xMode val="edge"/>
          <c:yMode val="edge"/>
          <c:x val="0.32337345445283444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LCIA!$EH$10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LCIA!$EI$10:$EX$10</c:f>
              <c:numCache>
                <c:formatCode>0.0</c:formatCode>
                <c:ptCount val="16"/>
                <c:pt idx="0">
                  <c:v>1.7190898070043249E-2</c:v>
                </c:pt>
                <c:pt idx="1">
                  <c:v>8.786459013577658E-3</c:v>
                </c:pt>
                <c:pt idx="2">
                  <c:v>2.258524208618802E-2</c:v>
                </c:pt>
                <c:pt idx="3">
                  <c:v>1.1543568177384984E-2</c:v>
                </c:pt>
                <c:pt idx="4">
                  <c:v>2.193046209567575E-2</c:v>
                </c:pt>
                <c:pt idx="5">
                  <c:v>1.1208902848900941E-2</c:v>
                </c:pt>
                <c:pt idx="6">
                  <c:v>1.8351376709890888E-2</c:v>
                </c:pt>
                <c:pt idx="7">
                  <c:v>9.3795925406108989E-3</c:v>
                </c:pt>
                <c:pt idx="8">
                  <c:v>1.6574485513696852E-2</c:v>
                </c:pt>
                <c:pt idx="9">
                  <c:v>8.4714037070006132E-3</c:v>
                </c:pt>
                <c:pt idx="10">
                  <c:v>3.0627628976819778E-2</c:v>
                </c:pt>
                <c:pt idx="11">
                  <c:v>1.5654121477041216E-2</c:v>
                </c:pt>
                <c:pt idx="12">
                  <c:v>3.5139376725005056E-2</c:v>
                </c:pt>
                <c:pt idx="13">
                  <c:v>1.7960125881669252E-2</c:v>
                </c:pt>
                <c:pt idx="14">
                  <c:v>1.6126526445759098E-2</c:v>
                </c:pt>
                <c:pt idx="15">
                  <c:v>8.2424468500546504E-3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4-410A-BCFB-801B5667C474}"/>
            </c:ext>
          </c:extLst>
        </c:ser>
        <c:ser>
          <c:idx val="2"/>
          <c:order val="2"/>
          <c:tx>
            <c:strRef>
              <c:f>LCIA!$EH$11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LCIA!$EI$11:$EX$11</c:f>
              <c:numCache>
                <c:formatCode>0.0</c:formatCode>
                <c:ptCount val="16"/>
                <c:pt idx="0">
                  <c:v>3.6414109155034122</c:v>
                </c:pt>
                <c:pt idx="1">
                  <c:v>3.6414109155034122</c:v>
                </c:pt>
                <c:pt idx="2">
                  <c:v>5.4094258641260717</c:v>
                </c:pt>
                <c:pt idx="3">
                  <c:v>5.4094258641260717</c:v>
                </c:pt>
                <c:pt idx="4">
                  <c:v>5.5893184213166487</c:v>
                </c:pt>
                <c:pt idx="5">
                  <c:v>5.5893184213166487</c:v>
                </c:pt>
                <c:pt idx="6">
                  <c:v>4.0060727001694403</c:v>
                </c:pt>
                <c:pt idx="7">
                  <c:v>4.0060727001694403</c:v>
                </c:pt>
                <c:pt idx="8">
                  <c:v>3.3306932065318033</c:v>
                </c:pt>
                <c:pt idx="9">
                  <c:v>3.3306932065318033</c:v>
                </c:pt>
                <c:pt idx="10">
                  <c:v>0.8081058456954463</c:v>
                </c:pt>
                <c:pt idx="11">
                  <c:v>0.8081058456954463</c:v>
                </c:pt>
                <c:pt idx="12">
                  <c:v>2.5437074510942046</c:v>
                </c:pt>
                <c:pt idx="13">
                  <c:v>2.5437074510942046</c:v>
                </c:pt>
                <c:pt idx="14">
                  <c:v>3.3297896945713017</c:v>
                </c:pt>
                <c:pt idx="15">
                  <c:v>3.3297896945713017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4-410A-BCFB-801B5667C474}"/>
            </c:ext>
          </c:extLst>
        </c:ser>
        <c:ser>
          <c:idx val="34"/>
          <c:order val="25"/>
          <c:tx>
            <c:strRef>
              <c:f>LCIA!$EH$61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(LCIA!$EI$61:$ET$61,LCIA!$EU$62:$EV$62,LCIA!$EW$63:$EX$63)</c:f>
              <c:numCache>
                <c:formatCode>0.0</c:formatCode>
                <c:ptCount val="16"/>
                <c:pt idx="0">
                  <c:v>3.6213986440406812E-2</c:v>
                </c:pt>
                <c:pt idx="1">
                  <c:v>2.418943156226807E-2</c:v>
                </c:pt>
                <c:pt idx="2">
                  <c:v>4.1940290621983393E-2</c:v>
                </c:pt>
                <c:pt idx="3">
                  <c:v>2.795243145301839E-2</c:v>
                </c:pt>
                <c:pt idx="4">
                  <c:v>4.1245216413430652E-2</c:v>
                </c:pt>
                <c:pt idx="5">
                  <c:v>2.7495668401683732E-2</c:v>
                </c:pt>
                <c:pt idx="6">
                  <c:v>3.3509672284009806E-2</c:v>
                </c:pt>
                <c:pt idx="7">
                  <c:v>2.2326691741085182E-2</c:v>
                </c:pt>
                <c:pt idx="8">
                  <c:v>2.9111067710649127E-2</c:v>
                </c:pt>
                <c:pt idx="9">
                  <c:v>1.9381533399156489E-2</c:v>
                </c:pt>
                <c:pt idx="10">
                  <c:v>5.27232425808489E-2</c:v>
                </c:pt>
                <c:pt idx="11">
                  <c:v>3.508732994223724E-2</c:v>
                </c:pt>
                <c:pt idx="12">
                  <c:v>6.9606411969634532E-2</c:v>
                </c:pt>
                <c:pt idx="13">
                  <c:v>4.6542034529626686E-2</c:v>
                </c:pt>
                <c:pt idx="14">
                  <c:v>9.15982841507334E-2</c:v>
                </c:pt>
                <c:pt idx="15">
                  <c:v>6.10655227671556E-2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C4-410A-BCFB-801B5667C474}"/>
            </c:ext>
          </c:extLst>
        </c:ser>
        <c:ser>
          <c:idx val="33"/>
          <c:order val="26"/>
          <c:tx>
            <c:strRef>
              <c:f>LCIA!$EH$60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LCIA!$EI$60:$EX$60</c:f>
              <c:numCache>
                <c:formatCode>0.0</c:formatCode>
                <c:ptCount val="16"/>
                <c:pt idx="0">
                  <c:v>7.957280909754675E-3</c:v>
                </c:pt>
                <c:pt idx="1">
                  <c:v>4.0670546872079438E-3</c:v>
                </c:pt>
                <c:pt idx="2">
                  <c:v>1.0454201692219077E-2</c:v>
                </c:pt>
                <c:pt idx="3">
                  <c:v>5.3432586426897487E-3</c:v>
                </c:pt>
                <c:pt idx="4">
                  <c:v>1.0151118729516155E-2</c:v>
                </c:pt>
                <c:pt idx="5">
                  <c:v>5.1883495728638138E-3</c:v>
                </c:pt>
                <c:pt idx="6">
                  <c:v>8.4944404280889296E-3</c:v>
                </c:pt>
                <c:pt idx="7">
                  <c:v>4.3416028854676748E-3</c:v>
                </c:pt>
                <c:pt idx="8">
                  <c:v>7.6719573712656867E-3</c:v>
                </c:pt>
                <c:pt idx="9">
                  <c:v>3.921222656424684E-3</c:v>
                </c:pt>
                <c:pt idx="10">
                  <c:v>1.4176842092559976E-2</c:v>
                </c:pt>
                <c:pt idx="11">
                  <c:v>7.2459415139750965E-3</c:v>
                </c:pt>
                <c:pt idx="12">
                  <c:v>1.6265228870259774E-2</c:v>
                </c:pt>
                <c:pt idx="13">
                  <c:v>8.3133392003549959E-3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C4-410A-BCFB-801B5667C474}"/>
            </c:ext>
          </c:extLst>
        </c:ser>
        <c:ser>
          <c:idx val="26"/>
          <c:order val="27"/>
          <c:tx>
            <c:strRef>
              <c:f>LCIA!$EH$52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LCIA!$EI$52:$EX$52</c:f>
              <c:numCache>
                <c:formatCode>0.0</c:formatCode>
                <c:ptCount val="16"/>
                <c:pt idx="0">
                  <c:v>1.8280125311925403E-2</c:v>
                </c:pt>
                <c:pt idx="1">
                  <c:v>1.8234520597790776E-2</c:v>
                </c:pt>
                <c:pt idx="2">
                  <c:v>1.82801253119254E-2</c:v>
                </c:pt>
                <c:pt idx="3">
                  <c:v>1.8234520597790776E-2</c:v>
                </c:pt>
                <c:pt idx="4">
                  <c:v>1.8280125311925407E-2</c:v>
                </c:pt>
                <c:pt idx="5">
                  <c:v>1.8234520597790779E-2</c:v>
                </c:pt>
                <c:pt idx="6">
                  <c:v>1.7291178092986602E-2</c:v>
                </c:pt>
                <c:pt idx="7">
                  <c:v>1.7255641952102486E-2</c:v>
                </c:pt>
                <c:pt idx="8">
                  <c:v>1.665993518728099E-2</c:v>
                </c:pt>
                <c:pt idx="9">
                  <c:v>1.6630825795280166E-2</c:v>
                </c:pt>
                <c:pt idx="10">
                  <c:v>2.0565140975916076E-2</c:v>
                </c:pt>
                <c:pt idx="11">
                  <c:v>2.0513835672514628E-2</c:v>
                </c:pt>
                <c:pt idx="12">
                  <c:v>1.0508049908814591E-2</c:v>
                </c:pt>
                <c:pt idx="13">
                  <c:v>1.0451760661654135E-2</c:v>
                </c:pt>
                <c:pt idx="14">
                  <c:v>0.64753322960392323</c:v>
                </c:pt>
                <c:pt idx="15">
                  <c:v>0.33096142846422744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410A-BCFB-801B5667C474}"/>
            </c:ext>
          </c:extLst>
        </c:ser>
        <c:ser>
          <c:idx val="25"/>
          <c:order val="28"/>
          <c:tx>
            <c:strRef>
              <c:f>LCIA!$EH$50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(LCIA!$EI$50:$ET$50,LCIA!$EU$51:$EV$51,LCIA!$EW$50:$EX$50)</c:f>
              <c:numCache>
                <c:formatCode>0.0</c:formatCode>
                <c:ptCount val="16"/>
                <c:pt idx="0">
                  <c:v>6.2743161124942479E-2</c:v>
                </c:pt>
                <c:pt idx="1">
                  <c:v>3.2068726797192817E-2</c:v>
                </c:pt>
                <c:pt idx="2">
                  <c:v>8.2431381856012717E-2</c:v>
                </c:pt>
                <c:pt idx="3">
                  <c:v>4.2131595170850918E-2</c:v>
                </c:pt>
                <c:pt idx="4">
                  <c:v>8.0041572651239942E-2</c:v>
                </c:pt>
                <c:pt idx="5">
                  <c:v>4.0910137132855975E-2</c:v>
                </c:pt>
                <c:pt idx="6">
                  <c:v>6.6978664004742366E-2</c:v>
                </c:pt>
                <c:pt idx="7">
                  <c:v>3.4233539380201655E-2</c:v>
                </c:pt>
                <c:pt idx="8">
                  <c:v>6.0493384982666605E-2</c:v>
                </c:pt>
                <c:pt idx="9">
                  <c:v>3.0918841213362934E-2</c:v>
                </c:pt>
                <c:pt idx="10">
                  <c:v>0.11178440195141742</c:v>
                </c:pt>
                <c:pt idx="11">
                  <c:v>5.7134249886280006E-2</c:v>
                </c:pt>
                <c:pt idx="12">
                  <c:v>3.5139376725005056E-2</c:v>
                </c:pt>
                <c:pt idx="13">
                  <c:v>1.7960125881669252E-2</c:v>
                </c:pt>
                <c:pt idx="14">
                  <c:v>5.8858428631783727E-2</c:v>
                </c:pt>
                <c:pt idx="15">
                  <c:v>3.0083196856245012E-2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C4-410A-BCFB-801B5667C474}"/>
            </c:ext>
          </c:extLst>
        </c:ser>
        <c:ser>
          <c:idx val="39"/>
          <c:order val="35"/>
          <c:tx>
            <c:strRef>
              <c:f>LCIA!$EH$64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LCIA!$EI$64:$EX$64</c:f>
              <c:numCache>
                <c:formatCode>0.0</c:formatCode>
                <c:ptCount val="16"/>
                <c:pt idx="0">
                  <c:v>4.0937700921466081E-3</c:v>
                </c:pt>
                <c:pt idx="1">
                  <c:v>3.3701459504381871E-3</c:v>
                </c:pt>
                <c:pt idx="2">
                  <c:v>4.6620444431146315E-3</c:v>
                </c:pt>
                <c:pt idx="3">
                  <c:v>3.8093530364169174E-3</c:v>
                </c:pt>
                <c:pt idx="4">
                  <c:v>4.6878373696528641E-3</c:v>
                </c:pt>
                <c:pt idx="5">
                  <c:v>3.8350044656707853E-3</c:v>
                </c:pt>
                <c:pt idx="6">
                  <c:v>3.8179656723319202E-3</c:v>
                </c:pt>
                <c:pt idx="7">
                  <c:v>3.1175307940376497E-3</c:v>
                </c:pt>
                <c:pt idx="8">
                  <c:v>3.3138759694175783E-3</c:v>
                </c:pt>
                <c:pt idx="9">
                  <c:v>2.6990758758389972E-3</c:v>
                </c:pt>
                <c:pt idx="10">
                  <c:v>6.0239387195887969E-3</c:v>
                </c:pt>
                <c:pt idx="11">
                  <c:v>4.8982193232640133E-3</c:v>
                </c:pt>
                <c:pt idx="12">
                  <c:v>7.9896601709532333E-3</c:v>
                </c:pt>
                <c:pt idx="13">
                  <c:v>6.5395180948544006E-3</c:v>
                </c:pt>
                <c:pt idx="14">
                  <c:v>2.5312902841275616E-3</c:v>
                </c:pt>
                <c:pt idx="15">
                  <c:v>1.8340851791862458E-3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1-4DEC-BD2B-9E7326733663}"/>
            </c:ext>
          </c:extLst>
        </c:ser>
        <c:ser>
          <c:idx val="35"/>
          <c:order val="36"/>
          <c:tx>
            <c:strRef>
              <c:f>LCIA!$EH$65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LCIA!$EI$331:$EX$331</c:f>
                <c:numCache>
                  <c:formatCode>General</c:formatCode>
                  <c:ptCount val="16"/>
                  <c:pt idx="0">
                    <c:v>0.4387151971097234</c:v>
                  </c:pt>
                  <c:pt idx="1">
                    <c:v>0.4350921136425443</c:v>
                  </c:pt>
                  <c:pt idx="2">
                    <c:v>0.40534157835151952</c:v>
                  </c:pt>
                  <c:pt idx="3">
                    <c:v>0.40036074223104556</c:v>
                  </c:pt>
                  <c:pt idx="4">
                    <c:v>0.44216437104672135</c:v>
                  </c:pt>
                  <c:pt idx="5">
                    <c:v>0.43744335106709009</c:v>
                  </c:pt>
                  <c:pt idx="6">
                    <c:v>0.43009178171103635</c:v>
                  </c:pt>
                  <c:pt idx="7">
                    <c:v>0.4262770372439233</c:v>
                  </c:pt>
                  <c:pt idx="8">
                    <c:v>0.42538919891266636</c:v>
                  </c:pt>
                  <c:pt idx="9">
                    <c:v>0.42202205146759253</c:v>
                  </c:pt>
                  <c:pt idx="10">
                    <c:v>0.1703941096515087</c:v>
                  </c:pt>
                  <c:pt idx="11">
                    <c:v>0.1598387584672285</c:v>
                  </c:pt>
                  <c:pt idx="12">
                    <c:v>0.36401532930082814</c:v>
                  </c:pt>
                  <c:pt idx="13">
                    <c:v>0.35901670476321268</c:v>
                  </c:pt>
                  <c:pt idx="14">
                    <c:v>0.49824600469491109</c:v>
                  </c:pt>
                  <c:pt idx="15">
                    <c:v>0.44795898954871483</c:v>
                  </c:pt>
                </c:numCache>
              </c:numRef>
            </c:plus>
            <c:minus>
              <c:numRef>
                <c:f>LCIA!$EI$330:$EX$330</c:f>
                <c:numCache>
                  <c:formatCode>General</c:formatCode>
                  <c:ptCount val="16"/>
                  <c:pt idx="0">
                    <c:v>0.33630501311074257</c:v>
                  </c:pt>
                  <c:pt idx="1">
                    <c:v>0.33863279084041231</c:v>
                  </c:pt>
                  <c:pt idx="2">
                    <c:v>0.29570691686090989</c:v>
                  </c:pt>
                  <c:pt idx="3">
                    <c:v>0.29835938583897459</c:v>
                  </c:pt>
                  <c:pt idx="4">
                    <c:v>0.32712777803651871</c:v>
                  </c:pt>
                  <c:pt idx="5">
                    <c:v>0.32983737407786151</c:v>
                  </c:pt>
                  <c:pt idx="6">
                    <c:v>0.32607667732219525</c:v>
                  </c:pt>
                  <c:pt idx="7">
                    <c:v>0.32844731672421812</c:v>
                  </c:pt>
                  <c:pt idx="8">
                    <c:v>0.32660755409546338</c:v>
                  </c:pt>
                  <c:pt idx="9">
                    <c:v>0.32878924108494312</c:v>
                  </c:pt>
                  <c:pt idx="10">
                    <c:v>9.9417129417377126E-2</c:v>
                  </c:pt>
                  <c:pt idx="11">
                    <c:v>9.9081098628106323E-2</c:v>
                  </c:pt>
                  <c:pt idx="12">
                    <c:v>0.25730653171427909</c:v>
                  </c:pt>
                  <c:pt idx="13">
                    <c:v>0.25991496154267413</c:v>
                  </c:pt>
                  <c:pt idx="14">
                    <c:v>0.34604305363123133</c:v>
                  </c:pt>
                  <c:pt idx="15">
                    <c:v>0.32801439109588237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(LCIA!$DP$6:$DQ$7,LCIA!$DR$6:$DS$7,LCIA!$DT$6:$DU$7,LCIA!$DV$6:$DW$7,LCIA!$DX$6:$DY$7,LCIA!$DZ$6:$EA$7,LCIA!$EB$6:$EC$7,LCIA!$ED$6:$EE$7)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LCIA!$EI$65:$EX$65</c:f>
              <c:numCache>
                <c:formatCode>0.0</c:formatCode>
                <c:ptCount val="16"/>
                <c:pt idx="0">
                  <c:v>7.2256656751001028E-2</c:v>
                </c:pt>
                <c:pt idx="1">
                  <c:v>6.3097337330594319E-2</c:v>
                </c:pt>
                <c:pt idx="2">
                  <c:v>8.1319219891835229E-2</c:v>
                </c:pt>
                <c:pt idx="3">
                  <c:v>6.9287623818461028E-2</c:v>
                </c:pt>
                <c:pt idx="4">
                  <c:v>8.021918159438661E-2</c:v>
                </c:pt>
                <c:pt idx="5">
                  <c:v>6.8536230189196287E-2</c:v>
                </c:pt>
                <c:pt idx="6">
                  <c:v>7.4084751245560174E-2</c:v>
                </c:pt>
                <c:pt idx="7">
                  <c:v>6.4308801653103889E-2</c:v>
                </c:pt>
                <c:pt idx="8">
                  <c:v>7.1021987861751068E-2</c:v>
                </c:pt>
                <c:pt idx="9">
                  <c:v>6.2192979622176806E-2</c:v>
                </c:pt>
                <c:pt idx="10">
                  <c:v>9.4899880957491231E-2</c:v>
                </c:pt>
                <c:pt idx="11">
                  <c:v>7.8585299200759018E-2</c:v>
                </c:pt>
                <c:pt idx="12">
                  <c:v>0.10918152250586885</c:v>
                </c:pt>
                <c:pt idx="13">
                  <c:v>9.0460465532560347E-2</c:v>
                </c:pt>
                <c:pt idx="14">
                  <c:v>4.1801412415958618E-2</c:v>
                </c:pt>
                <c:pt idx="15">
                  <c:v>2.8514252704397679E-2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C4-410A-BCFB-801B5667C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LCIA!$AQ$9</c15:sqref>
                        </c15:formulaRef>
                      </c:ext>
                    </c:extLst>
                    <c:strCache>
                      <c:ptCount val="1"/>
                      <c:pt idx="0">
                        <c:v>Cathode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LCIA!$AR$9:$BC$9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332.10696267202263</c:v>
                      </c:pt>
                      <c:pt idx="1">
                        <c:v>327.66943612886445</c:v>
                      </c:pt>
                      <c:pt idx="2">
                        <c:v>477.73867686327486</c:v>
                      </c:pt>
                      <c:pt idx="3">
                        <c:v>471.908695739964</c:v>
                      </c:pt>
                      <c:pt idx="4">
                        <c:v>483.78945575126505</c:v>
                      </c:pt>
                      <c:pt idx="5">
                        <c:v>478.12849451138254</c:v>
                      </c:pt>
                      <c:pt idx="6">
                        <c:v>364.73486611247858</c:v>
                      </c:pt>
                      <c:pt idx="7">
                        <c:v>359.99778251615709</c:v>
                      </c:pt>
                      <c:pt idx="8">
                        <c:v>310.12100685003321</c:v>
                      </c:pt>
                      <c:pt idx="9">
                        <c:v>305.84259631519399</c:v>
                      </c:pt>
                      <c:pt idx="10">
                        <c:v>172.00425524646016</c:v>
                      </c:pt>
                      <c:pt idx="11">
                        <c:v>164.09827407055658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2C4-410A-BCFB-801B5667C474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LCIA!$AQ$12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LCIA!$AR$12:$BC$12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1.3604293226602815</c:v>
                      </c:pt>
                      <c:pt idx="1">
                        <c:v>1.3604293226602815</c:v>
                      </c:pt>
                      <c:pt idx="2">
                        <c:v>1.819795067974143</c:v>
                      </c:pt>
                      <c:pt idx="3">
                        <c:v>1.8197950679741424</c:v>
                      </c:pt>
                      <c:pt idx="4">
                        <c:v>1.7737243067596078</c:v>
                      </c:pt>
                      <c:pt idx="5">
                        <c:v>1.773724306759608</c:v>
                      </c:pt>
                      <c:pt idx="6">
                        <c:v>1.4749917919369366</c:v>
                      </c:pt>
                      <c:pt idx="7">
                        <c:v>1.4749917919369366</c:v>
                      </c:pt>
                      <c:pt idx="8">
                        <c:v>1.334516383181038</c:v>
                      </c:pt>
                      <c:pt idx="9">
                        <c:v>1.3345163831810383</c:v>
                      </c:pt>
                      <c:pt idx="10">
                        <c:v>1.9704968470407518</c:v>
                      </c:pt>
                      <c:pt idx="11">
                        <c:v>1.9704968470407518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2C4-410A-BCFB-801B5667C474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LCIA!$AQ$13</c15:sqref>
                        </c15:formulaRef>
                      </c:ext>
                    </c:extLst>
                    <c:strCache>
                      <c:ptCount val="1"/>
                      <c:pt idx="0">
                        <c:v>Binder (PVDF)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LCIA!$AR$13:$BC$13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2.117945455915887</c:v>
                      </c:pt>
                      <c:pt idx="1">
                        <c:v>2.1179454559158875</c:v>
                      </c:pt>
                      <c:pt idx="2">
                        <c:v>2.8330958696017716</c:v>
                      </c:pt>
                      <c:pt idx="3">
                        <c:v>2.8330958696017703</c:v>
                      </c:pt>
                      <c:pt idx="4">
                        <c:v>2.7613719235359033</c:v>
                      </c:pt>
                      <c:pt idx="5">
                        <c:v>2.7613719235359033</c:v>
                      </c:pt>
                      <c:pt idx="6">
                        <c:v>2.2962987574666989</c:v>
                      </c:pt>
                      <c:pt idx="7">
                        <c:v>2.2962987574666984</c:v>
                      </c:pt>
                      <c:pt idx="8">
                        <c:v>2.0776036377079659</c:v>
                      </c:pt>
                      <c:pt idx="9">
                        <c:v>2.0776036377079654</c:v>
                      </c:pt>
                      <c:pt idx="10">
                        <c:v>3.067711621303169</c:v>
                      </c:pt>
                      <c:pt idx="11">
                        <c:v>3.0677116213031681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2C4-410A-BCFB-801B5667C474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LCIA!$AQ$14</c15:sqref>
                        </c15:formulaRef>
                      </c:ext>
                    </c:extLst>
                    <c:strCache>
                      <c:ptCount val="1"/>
                      <c:pt idx="0">
                        <c:v>Solvent (NMP)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LCIA!$AR$14:$BC$14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60.732924443960734</c:v>
                      </c:pt>
                      <c:pt idx="1">
                        <c:v>60.732924443960734</c:v>
                      </c:pt>
                      <c:pt idx="2">
                        <c:v>81.240145684778625</c:v>
                      </c:pt>
                      <c:pt idx="3">
                        <c:v>81.240145684778625</c:v>
                      </c:pt>
                      <c:pt idx="4">
                        <c:v>79.183433135796889</c:v>
                      </c:pt>
                      <c:pt idx="5">
                        <c:v>79.183433135796889</c:v>
                      </c:pt>
                      <c:pt idx="6">
                        <c:v>65.847275976083722</c:v>
                      </c:pt>
                      <c:pt idx="7">
                        <c:v>65.847275976083722</c:v>
                      </c:pt>
                      <c:pt idx="8">
                        <c:v>59.576106835504326</c:v>
                      </c:pt>
                      <c:pt idx="9">
                        <c:v>59.576106835504326</c:v>
                      </c:pt>
                      <c:pt idx="10">
                        <c:v>87.967845249299373</c:v>
                      </c:pt>
                      <c:pt idx="11">
                        <c:v>87.967845249299373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2C4-410A-BCFB-801B5667C474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LCIA!$AQ$15</c15:sqref>
                        </c15:formulaRef>
                      </c:ext>
                    </c:extLst>
                    <c:strCache>
                      <c:ptCount val="1"/>
                      <c:pt idx="0">
                        <c:v>NMC/NCA/NFM active material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LCIA!$AR$15:$BC$15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258.81890461120764</c:v>
                      </c:pt>
                      <c:pt idx="1">
                        <c:v>258.81890461120764</c:v>
                      </c:pt>
                      <c:pt idx="2">
                        <c:v>379.92067885232996</c:v>
                      </c:pt>
                      <c:pt idx="3">
                        <c:v>379.92067885232996</c:v>
                      </c:pt>
                      <c:pt idx="4">
                        <c:v>388.49168748541302</c:v>
                      </c:pt>
                      <c:pt idx="5">
                        <c:v>388.49168748541302</c:v>
                      </c:pt>
                      <c:pt idx="6">
                        <c:v>285.42681041269731</c:v>
                      </c:pt>
                      <c:pt idx="7">
                        <c:v>285.42681041269731</c:v>
                      </c:pt>
                      <c:pt idx="8">
                        <c:v>238.38148571783233</c:v>
                      </c:pt>
                      <c:pt idx="9">
                        <c:v>238.38148571783233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2C4-410A-BCFB-801B5667C474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LCIA!$AQ$17</c15:sqref>
                        </c15:formulaRef>
                      </c:ext>
                    </c:extLst>
                    <c:strCache>
                      <c:ptCount val="1"/>
                      <c:pt idx="0">
                        <c:v>LiOH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LCIA!$AR$17:$BC$17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18.092300568250593</c:v>
                      </c:pt>
                      <c:pt idx="1">
                        <c:v>18.092300568250593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19.498301657060082</c:v>
                      </c:pt>
                      <c:pt idx="7">
                        <c:v>19.498301657060082</c:v>
                      </c:pt>
                      <c:pt idx="8">
                        <c:v>17.609501359520774</c:v>
                      </c:pt>
                      <c:pt idx="9">
                        <c:v>17.609501359520774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2C4-410A-BCFB-801B5667C474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LCIA!$AQ$20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LCIA!$AR$20:$BC$20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26.283153316055923</c:v>
                      </c:pt>
                      <c:pt idx="1">
                        <c:v>26.283153316055923</c:v>
                      </c:pt>
                      <c:pt idx="2">
                        <c:v>30.764123557791283</c:v>
                      </c:pt>
                      <c:pt idx="3">
                        <c:v>30.764123557791283</c:v>
                      </c:pt>
                      <c:pt idx="4">
                        <c:v>29.985284986707956</c:v>
                      </c:pt>
                      <c:pt idx="5">
                        <c:v>29.985284986707956</c:v>
                      </c:pt>
                      <c:pt idx="6">
                        <c:v>28.496471490039582</c:v>
                      </c:pt>
                      <c:pt idx="7">
                        <c:v>28.496471490039582</c:v>
                      </c:pt>
                      <c:pt idx="8">
                        <c:v>25.782521824321528</c:v>
                      </c:pt>
                      <c:pt idx="9">
                        <c:v>25.782521824321528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2C4-410A-BCFB-801B5667C474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LCIA!$AQ$23</c15:sqref>
                        </c15:formulaRef>
                      </c:ext>
                    </c:extLst>
                    <c:strCache>
                      <c:ptCount val="1"/>
                      <c:pt idx="0">
                        <c:v>NCA(OH)2 / NMC(OH)2  / NFM(OH)2  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LCIA!$AR$23:$BC$23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2C4-410A-BCFB-801B5667C474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LCIA!$AQ$24</c15:sqref>
                        </c15:formulaRef>
                      </c:ext>
                    </c:extLst>
                    <c:strCache>
                      <c:ptCount val="1"/>
                      <c:pt idx="0">
                        <c:v>NiSO4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LCIA!$AR$24:$BC$24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141.48309692033857</c:v>
                      </c:pt>
                      <c:pt idx="1">
                        <c:v>141.48309692033857</c:v>
                      </c:pt>
                      <c:pt idx="2">
                        <c:v>105.29945712851278</c:v>
                      </c:pt>
                      <c:pt idx="3">
                        <c:v>105.29945712851278</c:v>
                      </c:pt>
                      <c:pt idx="4">
                        <c:v>122.68320927543928</c:v>
                      </c:pt>
                      <c:pt idx="5">
                        <c:v>122.68320927543928</c:v>
                      </c:pt>
                      <c:pt idx="6">
                        <c:v>135.53611285744236</c:v>
                      </c:pt>
                      <c:pt idx="7">
                        <c:v>135.53611285744236</c:v>
                      </c:pt>
                      <c:pt idx="8">
                        <c:v>137.70757224429735</c:v>
                      </c:pt>
                      <c:pt idx="9">
                        <c:v>137.70757224429735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2C4-410A-BCFB-801B5667C474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LCIA!$AQ$25</c15:sqref>
                        </c15:formulaRef>
                      </c:ext>
                    </c:extLst>
                    <c:strCache>
                      <c:ptCount val="1"/>
                      <c:pt idx="0">
                        <c:v>MnSO4 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LCIA!$AR$25:$BC$25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3.1405711295031846</c:v>
                      </c:pt>
                      <c:pt idx="3">
                        <c:v>3.1405711295031846</c:v>
                      </c:pt>
                      <c:pt idx="4">
                        <c:v>2.0328022133369807</c:v>
                      </c:pt>
                      <c:pt idx="5">
                        <c:v>2.0328022133369807</c:v>
                      </c:pt>
                      <c:pt idx="6">
                        <c:v>0.8421632588239728</c:v>
                      </c:pt>
                      <c:pt idx="7">
                        <c:v>0.8421632588239728</c:v>
                      </c:pt>
                      <c:pt idx="8">
                        <c:v>0.38029145594404679</c:v>
                      </c:pt>
                      <c:pt idx="9">
                        <c:v>0.38029145594404679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2C4-410A-BCFB-801B5667C474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LCIA!$AQ$26</c15:sqref>
                        </c15:formulaRef>
                      </c:ext>
                    </c:extLst>
                    <c:strCache>
                      <c:ptCount val="1"/>
                      <c:pt idx="0">
                        <c:v>CoSO4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LCIA!$AR$26:$BC$26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49.466080852204676</c:v>
                      </c:pt>
                      <c:pt idx="1">
                        <c:v>49.466080852204676</c:v>
                      </c:pt>
                      <c:pt idx="2">
                        <c:v>189.33614851938452</c:v>
                      </c:pt>
                      <c:pt idx="3">
                        <c:v>189.33614851938452</c:v>
                      </c:pt>
                      <c:pt idx="4">
                        <c:v>183.82784177019568</c:v>
                      </c:pt>
                      <c:pt idx="5">
                        <c:v>183.82784177019568</c:v>
                      </c:pt>
                      <c:pt idx="6">
                        <c:v>76.157460510449582</c:v>
                      </c:pt>
                      <c:pt idx="7">
                        <c:v>76.157460510449582</c:v>
                      </c:pt>
                      <c:pt idx="8">
                        <c:v>34.390044014700592</c:v>
                      </c:pt>
                      <c:pt idx="9">
                        <c:v>34.390044014700592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2C4-410A-BCFB-801B5667C474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LCIA!$AQ$29</c15:sqref>
                        </c15:formulaRef>
                      </c:ext>
                    </c:extLst>
                    <c:strCache>
                      <c:ptCount val="1"/>
                      <c:pt idx="0">
                        <c:v>NaOH 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LCIA!$AR$29:$BC$29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5.7011493365781689</c:v>
                      </c:pt>
                      <c:pt idx="1">
                        <c:v>5.7011493365781689</c:v>
                      </c:pt>
                      <c:pt idx="2">
                        <c:v>7.5247219141083415</c:v>
                      </c:pt>
                      <c:pt idx="3">
                        <c:v>7.5247219141083415</c:v>
                      </c:pt>
                      <c:pt idx="4">
                        <c:v>7.3058071594279452</c:v>
                      </c:pt>
                      <c:pt idx="5">
                        <c:v>7.3058071594279452</c:v>
                      </c:pt>
                      <c:pt idx="6">
                        <c:v>6.0533999081231915</c:v>
                      </c:pt>
                      <c:pt idx="7">
                        <c:v>6.0533999081231915</c:v>
                      </c:pt>
                      <c:pt idx="8">
                        <c:v>5.4670071161413567</c:v>
                      </c:pt>
                      <c:pt idx="9">
                        <c:v>5.4670071161413567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2C4-410A-BCFB-801B5667C474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LCIA!$AQ$30</c15:sqref>
                        </c15:formulaRef>
                      </c:ext>
                    </c:extLst>
                    <c:strCache>
                      <c:ptCount val="1"/>
                      <c:pt idx="0">
                        <c:v>NH4OH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LCIA!$AR$30:$BC$30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2.1555823705414752</c:v>
                      </c:pt>
                      <c:pt idx="1">
                        <c:v>2.1555823705414752</c:v>
                      </c:pt>
                      <c:pt idx="2">
                        <c:v>2.8877440841919082</c:v>
                      </c:pt>
                      <c:pt idx="3">
                        <c:v>2.8877440841919082</c:v>
                      </c:pt>
                      <c:pt idx="4">
                        <c:v>2.8037317053975017</c:v>
                      </c:pt>
                      <c:pt idx="5">
                        <c:v>2.8037317053975017</c:v>
                      </c:pt>
                      <c:pt idx="6">
                        <c:v>2.3230984444960709</c:v>
                      </c:pt>
                      <c:pt idx="7">
                        <c:v>2.3230984444960709</c:v>
                      </c:pt>
                      <c:pt idx="8">
                        <c:v>2.0980599200977941</c:v>
                      </c:pt>
                      <c:pt idx="9">
                        <c:v>2.0980599200977941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52C4-410A-BCFB-801B5667C474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LCIA!$AQ$31</c15:sqref>
                        </c15:formulaRef>
                      </c:ext>
                    </c:extLst>
                    <c:strCache>
                      <c:ptCount val="1"/>
                      <c:pt idx="0">
                        <c:v>Water loss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LCIA!$AR$31:$BC$31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1.4974966092954176E-3</c:v>
                      </c:pt>
                      <c:pt idx="1">
                        <c:v>1.4974966092954176E-3</c:v>
                      </c:pt>
                      <c:pt idx="2">
                        <c:v>2.0031448150315328E-3</c:v>
                      </c:pt>
                      <c:pt idx="3">
                        <c:v>2.0031448150315328E-3</c:v>
                      </c:pt>
                      <c:pt idx="4">
                        <c:v>1.9524322880687087E-3</c:v>
                      </c:pt>
                      <c:pt idx="5">
                        <c:v>1.9524322880687087E-3</c:v>
                      </c:pt>
                      <c:pt idx="6">
                        <c:v>1.6236015869202946E-3</c:v>
                      </c:pt>
                      <c:pt idx="7">
                        <c:v>1.6236015869202946E-3</c:v>
                      </c:pt>
                      <c:pt idx="8">
                        <c:v>1.4689728643564573E-3</c:v>
                      </c:pt>
                      <c:pt idx="9">
                        <c:v>1.4689728643564573E-3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52C4-410A-BCFB-801B5667C474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LCIA!$AQ$32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LCIA!$AR$32:$BC$32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15.235213349943471</c:v>
                      </c:pt>
                      <c:pt idx="1">
                        <c:v>15.235213349943471</c:v>
                      </c:pt>
                      <c:pt idx="2">
                        <c:v>20.379571104469839</c:v>
                      </c:pt>
                      <c:pt idx="3">
                        <c:v>20.379571104469839</c:v>
                      </c:pt>
                      <c:pt idx="4">
                        <c:v>19.863632595495915</c:v>
                      </c:pt>
                      <c:pt idx="5">
                        <c:v>19.863632595495915</c:v>
                      </c:pt>
                      <c:pt idx="6">
                        <c:v>16.518178684675554</c:v>
                      </c:pt>
                      <c:pt idx="7">
                        <c:v>16.518178684675554</c:v>
                      </c:pt>
                      <c:pt idx="8">
                        <c:v>14.945018809944548</c:v>
                      </c:pt>
                      <c:pt idx="9">
                        <c:v>14.945018809944548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2C4-410A-BCFB-801B5667C474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LCIA!$AQ$36</c15:sqref>
                        </c15:formulaRef>
                      </c:ext>
                    </c:extLst>
                    <c:strCache>
                      <c:ptCount val="1"/>
                      <c:pt idx="0">
                        <c:v>LFP/NaFP active material 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LCIA!$AR$36:$BC$36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62.826876396286842</c:v>
                      </c:pt>
                      <c:pt idx="11">
                        <c:v>62.826876396286842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2C4-410A-BCFB-801B5667C474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LCIA!$AQ$38</c15:sqref>
                        </c15:formulaRef>
                      </c:ext>
                    </c:extLst>
                    <c:strCache>
                      <c:ptCount val="1"/>
                      <c:pt idx="0">
                        <c:v>LiOH 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LCIA!$AR$38:$BC$38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52C4-410A-BCFB-801B5667C474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LCIA!$AQ$40</c15:sqref>
                        </c15:formulaRef>
                      </c:ext>
                    </c:extLst>
                    <c:strCache>
                      <c:ptCount val="1"/>
                      <c:pt idx="0">
                        <c:v>(NH4)2HPO4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LCIA!$AR$40:$BC$40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11.857378052248388</c:v>
                      </c:pt>
                      <c:pt idx="11">
                        <c:v>11.857378052248388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52C4-410A-BCFB-801B5667C474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LCIA!$AQ$41</c15:sqref>
                        </c15:formulaRef>
                      </c:ext>
                    </c:extLst>
                    <c:strCache>
                      <c:ptCount val="1"/>
                      <c:pt idx="0">
                        <c:v>Fe3O4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LCIA!$AR$41:$BC$41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4.0145742909650011</c:v>
                      </c:pt>
                      <c:pt idx="11">
                        <c:v>4.0145742909650011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52C4-410A-BCFB-801B5667C474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LCIA!$AQ$42</c15:sqref>
                        </c15:formulaRef>
                      </c:ext>
                    </c:extLst>
                    <c:strCache>
                      <c:ptCount val="1"/>
                      <c:pt idx="0">
                        <c:v>Water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LCIA!$AR$42:$BC$42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52C4-410A-BCFB-801B5667C474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LCIA!$AQ$43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LCIA!$AR$43:$BC$43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33.311777539920868</c:v>
                      </c:pt>
                      <c:pt idx="11">
                        <c:v>33.311777539920868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52C4-410A-BCFB-801B5667C474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LCIA!$AQ$44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LCIA!$AR$44:$BC$44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52C4-410A-BCFB-801B5667C474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LCIA!$AQ$49</c15:sqref>
                        </c15:formulaRef>
                      </c:ext>
                    </c:extLst>
                    <c:strCache>
                      <c:ptCount val="1"/>
                      <c:pt idx="0">
                        <c:v>Anode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LCIA!$AR$49:$BC$49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48.202980778210126</c:v>
                      </c:pt>
                      <c:pt idx="1">
                        <c:v>40.470769568325473</c:v>
                      </c:pt>
                      <c:pt idx="2">
                        <c:v>53.022252427701027</c:v>
                      </c:pt>
                      <c:pt idx="3">
                        <c:v>42.933952855843046</c:v>
                      </c:pt>
                      <c:pt idx="4">
                        <c:v>52.437276268322734</c:v>
                      </c:pt>
                      <c:pt idx="5">
                        <c:v>42.634965041049696</c:v>
                      </c:pt>
                      <c:pt idx="6">
                        <c:v>42.357207896502061</c:v>
                      </c:pt>
                      <c:pt idx="7">
                        <c:v>34.167531494157508</c:v>
                      </c:pt>
                      <c:pt idx="8">
                        <c:v>36.376636264605146</c:v>
                      </c:pt>
                      <c:pt idx="9">
                        <c:v>28.994583009132079</c:v>
                      </c:pt>
                      <c:pt idx="10">
                        <c:v>64.312861370485109</c:v>
                      </c:pt>
                      <c:pt idx="11">
                        <c:v>50.683919850698842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52C4-410A-BCFB-801B5667C474}"/>
                  </c:ext>
                </c:extLst>
              </c15:ser>
            </c15:filteredBarSeries>
            <c15:filteredBa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LCIA!$AQ$53</c15:sqref>
                        </c15:formulaRef>
                      </c:ext>
                    </c:extLst>
                    <c:strCache>
                      <c:ptCount val="1"/>
                      <c:pt idx="0">
                        <c:v>Graphite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LCIA!$AR$53:$BC$53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31.498728336765993</c:v>
                      </c:pt>
                      <c:pt idx="1">
                        <c:v>31.498728336765986</c:v>
                      </c:pt>
                      <c:pt idx="2">
                        <c:v>31.498728336765986</c:v>
                      </c:pt>
                      <c:pt idx="3">
                        <c:v>31.498728336765982</c:v>
                      </c:pt>
                      <c:pt idx="4">
                        <c:v>31.498728336766</c:v>
                      </c:pt>
                      <c:pt idx="5">
                        <c:v>31.498728336765989</c:v>
                      </c:pt>
                      <c:pt idx="6">
                        <c:v>23.317240457086506</c:v>
                      </c:pt>
                      <c:pt idx="7">
                        <c:v>23.317240457086516</c:v>
                      </c:pt>
                      <c:pt idx="8">
                        <c:v>18.095014150908128</c:v>
                      </c:pt>
                      <c:pt idx="9">
                        <c:v>18.095014150908124</c:v>
                      </c:pt>
                      <c:pt idx="10">
                        <c:v>35.436069378861738</c:v>
                      </c:pt>
                      <c:pt idx="11">
                        <c:v>35.436069378861745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52C4-410A-BCFB-801B5667C474}"/>
                  </c:ext>
                </c:extLst>
              </c15:ser>
            </c15:filteredBarSeries>
            <c15:filteredBa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LCIA!$AQ$54</c15:sqref>
                        </c15:formulaRef>
                      </c:ext>
                    </c:extLst>
                    <c:strCache>
                      <c:ptCount val="1"/>
                      <c:pt idx="0">
                        <c:v>SiO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LCIA!$AR$54:$BC$54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1.5961234664866157</c:v>
                      </c:pt>
                      <c:pt idx="7">
                        <c:v>1.5961234664866164</c:v>
                      </c:pt>
                      <c:pt idx="8">
                        <c:v>2.6149256791376483</c:v>
                      </c:pt>
                      <c:pt idx="9">
                        <c:v>2.6149256791376478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52C4-410A-BCFB-801B5667C474}"/>
                  </c:ext>
                </c:extLst>
              </c15:ser>
            </c15:filteredBarSeries>
            <c15:filteredBa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LCIA!$AQ$55</c15:sqref>
                        </c15:formulaRef>
                      </c:ext>
                    </c:extLst>
                    <c:strCache>
                      <c:ptCount val="1"/>
                      <c:pt idx="0">
                        <c:v>Hard Carbon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LCIA!$AR$55:$BC$55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52C4-410A-BCFB-801B5667C474}"/>
                  </c:ext>
                </c:extLst>
              </c15:ser>
            </c15:filteredBarSeries>
            <c15:filteredBarSeries>
              <c15:ser>
                <c:idx val="3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LCIA!$AQ$57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LCIA!$AR$57:$BC$57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0.42360247428898129</c:v>
                      </c:pt>
                      <c:pt idx="1">
                        <c:v>0.20957175043770643</c:v>
                      </c:pt>
                      <c:pt idx="2">
                        <c:v>0.42360247428898123</c:v>
                      </c:pt>
                      <c:pt idx="3">
                        <c:v>0.20957175043770643</c:v>
                      </c:pt>
                      <c:pt idx="4">
                        <c:v>0.4236024742889814</c:v>
                      </c:pt>
                      <c:pt idx="5">
                        <c:v>0.20957175043770648</c:v>
                      </c:pt>
                      <c:pt idx="6">
                        <c:v>0.33007985009530993</c:v>
                      </c:pt>
                      <c:pt idx="7">
                        <c:v>0.16330266267873234</c:v>
                      </c:pt>
                      <c:pt idx="8">
                        <c:v>0.27038455805679651</c:v>
                      </c:pt>
                      <c:pt idx="9">
                        <c:v>0.13376920240704673</c:v>
                      </c:pt>
                      <c:pt idx="10">
                        <c:v>0.47655278357510389</c:v>
                      </c:pt>
                      <c:pt idx="11">
                        <c:v>0.23576821924241984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52C4-410A-BCFB-801B5667C474}"/>
                  </c:ext>
                </c:extLst>
              </c15:ser>
            </c15:filteredBarSeries>
            <c15:filteredBarSeries>
              <c15:ser>
                <c:idx val="3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LCIA!$AQ$58</c15:sqref>
                        </c15:formulaRef>
                      </c:ext>
                    </c:extLst>
                    <c:strCache>
                      <c:ptCount val="1"/>
                      <c:pt idx="0">
                        <c:v>Binder (CMC-SBR)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LCIA!$AR$58:$BC$58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0.92084311943594255</c:v>
                      </c:pt>
                      <c:pt idx="1">
                        <c:v>0.91115003396819538</c:v>
                      </c:pt>
                      <c:pt idx="2">
                        <c:v>0.92084311943594244</c:v>
                      </c:pt>
                      <c:pt idx="3">
                        <c:v>0.91115003396819538</c:v>
                      </c:pt>
                      <c:pt idx="4">
                        <c:v>0.92084311943594277</c:v>
                      </c:pt>
                      <c:pt idx="5">
                        <c:v>0.91115003396819561</c:v>
                      </c:pt>
                      <c:pt idx="6">
                        <c:v>0.71754009306696787</c:v>
                      </c:pt>
                      <c:pt idx="7">
                        <c:v>0.70998703945573682</c:v>
                      </c:pt>
                      <c:pt idx="8">
                        <c:v>0.5877722038952824</c:v>
                      </c:pt>
                      <c:pt idx="9">
                        <c:v>0.58158512806480589</c:v>
                      </c:pt>
                      <c:pt idx="10">
                        <c:v>1.0359485093654353</c:v>
                      </c:pt>
                      <c:pt idx="11">
                        <c:v>1.0250437882142203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52C4-410A-BCFB-801B5667C474}"/>
                  </c:ext>
                </c:extLst>
              </c15:ser>
            </c15:filteredBarSeries>
            <c15:filteredBarSeries>
              <c15:ser>
                <c:idx val="32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LCIA!$AQ$59</c15:sqref>
                        </c15:formulaRef>
                      </c:ext>
                    </c:extLst>
                    <c:strCache>
                      <c:ptCount val="1"/>
                      <c:pt idx="0">
                        <c:v>Solvent (Water)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LCIA!$AR$59:$BC$59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1.5709898851325116E-3</c:v>
                      </c:pt>
                      <c:pt idx="1">
                        <c:v>1.5544531494995374E-3</c:v>
                      </c:pt>
                      <c:pt idx="2">
                        <c:v>1.570989885132511E-3</c:v>
                      </c:pt>
                      <c:pt idx="3">
                        <c:v>1.5544531494995372E-3</c:v>
                      </c:pt>
                      <c:pt idx="4">
                        <c:v>1.5709898851325118E-3</c:v>
                      </c:pt>
                      <c:pt idx="5">
                        <c:v>1.5544531494995377E-3</c:v>
                      </c:pt>
                      <c:pt idx="6">
                        <c:v>1.2241479624409176E-3</c:v>
                      </c:pt>
                      <c:pt idx="7">
                        <c:v>1.2112621944152244E-3</c:v>
                      </c:pt>
                      <c:pt idx="8">
                        <c:v>1.0027595011484118E-3</c:v>
                      </c:pt>
                      <c:pt idx="9">
                        <c:v>9.9220413797842816E-4</c:v>
                      </c:pt>
                      <c:pt idx="10">
                        <c:v>1.7673636207740752E-3</c:v>
                      </c:pt>
                      <c:pt idx="11">
                        <c:v>1.74875979318698E-3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52C4-410A-BCFB-801B5667C474}"/>
                  </c:ext>
                </c:extLst>
              </c15:ser>
            </c15:filteredBarSeries>
            <c15:filteredBa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LCIA!$AQ$66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LCIA!$AR$66:$BC$66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40.094210140883995</c:v>
                      </c:pt>
                      <c:pt idx="1">
                        <c:v>35.193180024698016</c:v>
                      </c:pt>
                      <c:pt idx="2">
                        <c:v>44.915175601951603</c:v>
                      </c:pt>
                      <c:pt idx="3">
                        <c:v>38.477292668618063</c:v>
                      </c:pt>
                      <c:pt idx="4">
                        <c:v>44.329993843166825</c:v>
                      </c:pt>
                      <c:pt idx="5">
                        <c:v>38.078658239780879</c:v>
                      </c:pt>
                      <c:pt idx="6">
                        <c:v>41.062052131551596</c:v>
                      </c:pt>
                      <c:pt idx="7">
                        <c:v>35.831130076583946</c:v>
                      </c:pt>
                      <c:pt idx="8">
                        <c:v>39.4298078919578</c:v>
                      </c:pt>
                      <c:pt idx="9">
                        <c:v>34.70558903329907</c:v>
                      </c:pt>
                      <c:pt idx="10">
                        <c:v>52.142258679525952</c:v>
                      </c:pt>
                      <c:pt idx="11">
                        <c:v>43.412677217798063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52C4-410A-BCFB-801B5667C474}"/>
                  </c:ext>
                </c:extLst>
              </c15:ser>
            </c15:filteredBarSeries>
            <c15:filteredBa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LCIA!$AQ$67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(LCIA!$DP$6:$DQ$7,LCIA!$DR$6:$DS$7,LCIA!$DT$6:$DU$7,LCIA!$DV$6:$DW$7,LCIA!$DX$6:$DY$7,LCIA!$DZ$6:$EA$7,LCIA!$EB$6:$EC$7,LCIA!$ED$6:$EE$7)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LCIA!$AR$67:$BC$67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12.360449052690958</c:v>
                      </c:pt>
                      <c:pt idx="1">
                        <c:v>8.7609442060309313</c:v>
                      </c:pt>
                      <c:pt idx="2">
                        <c:v>16.239043068697367</c:v>
                      </c:pt>
                      <c:pt idx="3">
                        <c:v>11.510047060403348</c:v>
                      </c:pt>
                      <c:pt idx="4">
                        <c:v>15.768248891425623</c:v>
                      </c:pt>
                      <c:pt idx="5">
                        <c:v>11.176353559300006</c:v>
                      </c:pt>
                      <c:pt idx="6">
                        <c:v>13.194846246259846</c:v>
                      </c:pt>
                      <c:pt idx="7">
                        <c:v>9.3523553454938906</c:v>
                      </c:pt>
                      <c:pt idx="8">
                        <c:v>11.917241492090291</c:v>
                      </c:pt>
                      <c:pt idx="9">
                        <c:v>8.4468037817177706</c:v>
                      </c:pt>
                      <c:pt idx="10">
                        <c:v>22.021609693119998</c:v>
                      </c:pt>
                      <c:pt idx="11">
                        <c:v>15.608663813586283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52C4-410A-BCFB-801B5667C474}"/>
                  </c:ext>
                </c:extLst>
              </c15:ser>
            </c15:filteredBarSeries>
          </c:ext>
        </c:extLst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ax val="7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1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de-DE" sz="900"/>
              <a:t>Freshwater Eutrophication Potential (FEP)</a:t>
            </a:r>
          </a:p>
          <a:p>
            <a:pPr>
              <a:defRPr sz="900"/>
            </a:pPr>
            <a:r>
              <a:rPr lang="de-DE" sz="900"/>
              <a:t>[kg P-eq/kWh</a:t>
            </a:r>
            <a:r>
              <a:rPr lang="de-DE" sz="900" baseline="-25000"/>
              <a:t>cell</a:t>
            </a:r>
            <a:r>
              <a:rPr lang="de-DE" sz="900"/>
              <a:t>]</a:t>
            </a:r>
          </a:p>
        </c:rich>
      </c:tx>
      <c:layout>
        <c:manualLayout>
          <c:xMode val="edge"/>
          <c:yMode val="edge"/>
          <c:x val="0.23885776409303125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LCIA!$FA$10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(LCIA!$FB$6:$FC$7,LCIA!$FD$6:$FE$7,LCIA!$FF$6:$FG$7,LCIA!$FH$6:$FI$7,LCIA!$FJ$6:$FK$7,LCIA!$FL$6:$FM$7,LCIA!$FN$6:$FO$7,LCIA!$FP$6:$FQ$7)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LCIA!$FB$10:$FQ$10</c:f>
              <c:numCache>
                <c:formatCode>0.000</c:formatCode>
                <c:ptCount val="16"/>
                <c:pt idx="0">
                  <c:v>9.0967950418064411E-4</c:v>
                </c:pt>
                <c:pt idx="1">
                  <c:v>4.6494730213677356E-4</c:v>
                </c:pt>
                <c:pt idx="2">
                  <c:v>1.1951284766539047E-3</c:v>
                </c:pt>
                <c:pt idx="3">
                  <c:v>6.1084344362310659E-4</c:v>
                </c:pt>
                <c:pt idx="4">
                  <c:v>1.1604799123561169E-3</c:v>
                </c:pt>
                <c:pt idx="5">
                  <c:v>5.9313417742645985E-4</c:v>
                </c:pt>
                <c:pt idx="6">
                  <c:v>9.7108779299764447E-4</c:v>
                </c:pt>
                <c:pt idx="7">
                  <c:v>4.9633376086546282E-4</c:v>
                </c:pt>
                <c:pt idx="8">
                  <c:v>8.7706120429059654E-4</c:v>
                </c:pt>
                <c:pt idx="9">
                  <c:v>4.4827572663741602E-4</c:v>
                </c:pt>
                <c:pt idx="10">
                  <c:v>1.6207022011498701E-3</c:v>
                </c:pt>
                <c:pt idx="11">
                  <c:v>8.2835890280993343E-4</c:v>
                </c:pt>
                <c:pt idx="12">
                  <c:v>1.8594474044449413E-3</c:v>
                </c:pt>
                <c:pt idx="13">
                  <c:v>9.5038422893852555E-4</c:v>
                </c:pt>
                <c:pt idx="14">
                  <c:v>8.5335684741787762E-4</c:v>
                </c:pt>
                <c:pt idx="15">
                  <c:v>4.3616016645802634E-4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9-4A4B-BE73-0B14D15CC9CF}"/>
            </c:ext>
          </c:extLst>
        </c:ser>
        <c:ser>
          <c:idx val="2"/>
          <c:order val="2"/>
          <c:tx>
            <c:strRef>
              <c:f>LCIA!$FA$11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(LCIA!$FB$6:$FC$7,LCIA!$FD$6:$FE$7,LCIA!$FF$6:$FG$7,LCIA!$FH$6:$FI$7,LCIA!$FJ$6:$FK$7,LCIA!$FL$6:$FM$7,LCIA!$FN$6:$FO$7,LCIA!$FP$6:$FQ$7)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LCIA!$FB$11:$FQ$11</c:f>
              <c:numCache>
                <c:formatCode>0.000</c:formatCode>
                <c:ptCount val="16"/>
                <c:pt idx="0">
                  <c:v>1.6806844299257242E-2</c:v>
                </c:pt>
                <c:pt idx="1">
                  <c:v>1.6806844299257242E-2</c:v>
                </c:pt>
                <c:pt idx="2">
                  <c:v>2.3518382976240471E-2</c:v>
                </c:pt>
                <c:pt idx="3">
                  <c:v>2.3518382976240471E-2</c:v>
                </c:pt>
                <c:pt idx="4">
                  <c:v>2.3497494715883738E-2</c:v>
                </c:pt>
                <c:pt idx="5">
                  <c:v>2.3497494715883738E-2</c:v>
                </c:pt>
                <c:pt idx="6">
                  <c:v>1.8418680882657412E-2</c:v>
                </c:pt>
                <c:pt idx="7">
                  <c:v>1.8418680882657412E-2</c:v>
                </c:pt>
                <c:pt idx="8">
                  <c:v>1.5873752578862945E-2</c:v>
                </c:pt>
                <c:pt idx="9">
                  <c:v>1.5873752578862945E-2</c:v>
                </c:pt>
                <c:pt idx="10">
                  <c:v>1.1955122938392553E-2</c:v>
                </c:pt>
                <c:pt idx="11">
                  <c:v>1.1955122938392553E-2</c:v>
                </c:pt>
                <c:pt idx="12">
                  <c:v>1.7237050077680584E-2</c:v>
                </c:pt>
                <c:pt idx="13">
                  <c:v>1.7237050077680584E-2</c:v>
                </c:pt>
                <c:pt idx="14">
                  <c:v>1.5862244542408671E-2</c:v>
                </c:pt>
                <c:pt idx="15">
                  <c:v>1.5862244542408671E-2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B9-4A4B-BE73-0B14D15CC9CF}"/>
            </c:ext>
          </c:extLst>
        </c:ser>
        <c:ser>
          <c:idx val="34"/>
          <c:order val="25"/>
          <c:tx>
            <c:strRef>
              <c:f>LCIA!$FA$61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(LCIA!$FB$6:$FC$7,LCIA!$FD$6:$FE$7,LCIA!$FF$6:$FG$7,LCIA!$FH$6:$FI$7,LCIA!$FJ$6:$FK$7,LCIA!$FL$6:$FM$7,LCIA!$FN$6:$FO$7,LCIA!$FP$6:$FQ$7)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(LCIA!$FB$61:$FM$61,LCIA!$FN$62:$FO$62,LCIA!$FP$63:$FQ$63)</c:f>
              <c:numCache>
                <c:formatCode>0.000</c:formatCode>
                <c:ptCount val="16"/>
                <c:pt idx="0">
                  <c:v>1.2818634608147265E-3</c:v>
                </c:pt>
                <c:pt idx="1">
                  <c:v>8.5623129363500124E-4</c:v>
                </c:pt>
                <c:pt idx="2">
                  <c:v>1.4845569728353582E-3</c:v>
                </c:pt>
                <c:pt idx="3">
                  <c:v>9.8942988724855913E-4</c:v>
                </c:pt>
                <c:pt idx="4">
                  <c:v>1.4599534889862473E-3</c:v>
                </c:pt>
                <c:pt idx="5">
                  <c:v>9.7326188357628636E-4</c:v>
                </c:pt>
                <c:pt idx="6">
                  <c:v>1.1861390779342655E-3</c:v>
                </c:pt>
                <c:pt idx="7">
                  <c:v>7.9029604738123165E-4</c:v>
                </c:pt>
                <c:pt idx="8">
                  <c:v>1.0304420383265966E-3</c:v>
                </c:pt>
                <c:pt idx="9">
                  <c:v>6.860465229317586E-4</c:v>
                </c:pt>
                <c:pt idx="10">
                  <c:v>1.866240224927364E-3</c:v>
                </c:pt>
                <c:pt idx="11">
                  <c:v>1.2419832946178998E-3</c:v>
                </c:pt>
                <c:pt idx="12">
                  <c:v>2.4638523651385395E-3</c:v>
                </c:pt>
                <c:pt idx="13">
                  <c:v>1.6474445185338054E-3</c:v>
                </c:pt>
                <c:pt idx="14">
                  <c:v>2.2866622441482382E-3</c:v>
                </c:pt>
                <c:pt idx="15">
                  <c:v>1.5244414960988253E-3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B9-4A4B-BE73-0B14D15CC9CF}"/>
            </c:ext>
          </c:extLst>
        </c:ser>
        <c:ser>
          <c:idx val="33"/>
          <c:order val="26"/>
          <c:tx>
            <c:strRef>
              <c:f>LCIA!$FA$60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(LCIA!$FB$6:$FC$7,LCIA!$FD$6:$FE$7,LCIA!$FF$6:$FG$7,LCIA!$FH$6:$FI$7,LCIA!$FJ$6:$FK$7,LCIA!$FL$6:$FM$7,LCIA!$FN$6:$FO$7,LCIA!$FP$6:$FQ$7)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LCIA!$FB$60:$FQ$60</c:f>
              <c:numCache>
                <c:formatCode>0.000</c:formatCode>
                <c:ptCount val="16"/>
                <c:pt idx="0">
                  <c:v>1.7510785322661751E-4</c:v>
                </c:pt>
                <c:pt idx="1">
                  <c:v>8.9499569426937831E-5</c:v>
                </c:pt>
                <c:pt idx="2">
                  <c:v>2.3005506985161755E-4</c:v>
                </c:pt>
                <c:pt idx="3">
                  <c:v>1.175837023686045E-4</c:v>
                </c:pt>
                <c:pt idx="4">
                  <c:v>2.2338542885862316E-4</c:v>
                </c:pt>
                <c:pt idx="5">
                  <c:v>1.1417477474996298E-4</c:v>
                </c:pt>
                <c:pt idx="6">
                  <c:v>1.8692858082974234E-4</c:v>
                </c:pt>
                <c:pt idx="7">
                  <c:v>9.5541274646312744E-5</c:v>
                </c:pt>
                <c:pt idx="8">
                  <c:v>1.6882902596558906E-4</c:v>
                </c:pt>
                <c:pt idx="9">
                  <c:v>8.6290391049078849E-5</c:v>
                </c:pt>
                <c:pt idx="10">
                  <c:v>3.1197546153205501E-4</c:v>
                </c:pt>
                <c:pt idx="11">
                  <c:v>1.594541247830503E-4</c:v>
                </c:pt>
                <c:pt idx="12">
                  <c:v>3.5793248246637559E-4</c:v>
                </c:pt>
                <c:pt idx="13">
                  <c:v>1.8294326881614754E-4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B9-4A4B-BE73-0B14D15CC9CF}"/>
            </c:ext>
          </c:extLst>
        </c:ser>
        <c:ser>
          <c:idx val="26"/>
          <c:order val="27"/>
          <c:tx>
            <c:strRef>
              <c:f>LCIA!$FA$52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(LCIA!$FB$6:$FC$7,LCIA!$FD$6:$FE$7,LCIA!$FF$6:$FG$7,LCIA!$FH$6:$FI$7,LCIA!$FJ$6:$FK$7,LCIA!$FL$6:$FM$7,LCIA!$FN$6:$FO$7,LCIA!$FP$6:$FQ$7)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LCIA!$FB$52:$FQ$52</c:f>
              <c:numCache>
                <c:formatCode>0.000</c:formatCode>
                <c:ptCount val="16"/>
                <c:pt idx="0">
                  <c:v>1.1862194887706857E-3</c:v>
                </c:pt>
                <c:pt idx="1">
                  <c:v>1.1846664961013644E-3</c:v>
                </c:pt>
                <c:pt idx="2">
                  <c:v>1.1862194887706855E-3</c:v>
                </c:pt>
                <c:pt idx="3">
                  <c:v>1.1846664961013642E-3</c:v>
                </c:pt>
                <c:pt idx="4">
                  <c:v>1.1862194887706859E-3</c:v>
                </c:pt>
                <c:pt idx="5">
                  <c:v>1.1846664961013647E-3</c:v>
                </c:pt>
                <c:pt idx="6">
                  <c:v>9.9193269447258757E-4</c:v>
                </c:pt>
                <c:pt idx="7">
                  <c:v>9.9072257031467556E-4</c:v>
                </c:pt>
                <c:pt idx="8">
                  <c:v>8.679198470482707E-4</c:v>
                </c:pt>
                <c:pt idx="9">
                  <c:v>8.6692857513168283E-4</c:v>
                </c:pt>
                <c:pt idx="10">
                  <c:v>1.3344969248670216E-3</c:v>
                </c:pt>
                <c:pt idx="11">
                  <c:v>1.3327498081140354E-3</c:v>
                </c:pt>
                <c:pt idx="12">
                  <c:v>1.4612004356636275E-3</c:v>
                </c:pt>
                <c:pt idx="13">
                  <c:v>1.4592835989974938E-3</c:v>
                </c:pt>
                <c:pt idx="14">
                  <c:v>3.6216231931457649E-2</c:v>
                </c:pt>
                <c:pt idx="15">
                  <c:v>1.8510518542745019E-2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B9-4A4B-BE73-0B14D15CC9CF}"/>
            </c:ext>
          </c:extLst>
        </c:ser>
        <c:ser>
          <c:idx val="25"/>
          <c:order val="28"/>
          <c:tx>
            <c:strRef>
              <c:f>LCIA!$FA$50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(LCIA!$FB$6:$FC$7,LCIA!$FD$6:$FE$7,LCIA!$FF$6:$FG$7,LCIA!$FH$6:$FI$7,LCIA!$FJ$6:$FK$7,LCIA!$FL$6:$FM$7,LCIA!$FN$6:$FO$7,LCIA!$FP$6:$FQ$7)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(LCIA!$FB$50:$FM$50,LCIA!$FN$51:$FO$51,LCIA!$FP$50:$FQ$50)</c:f>
              <c:numCache>
                <c:formatCode>0.000</c:formatCode>
                <c:ptCount val="16"/>
                <c:pt idx="0">
                  <c:v>1.9011946138003163E-2</c:v>
                </c:pt>
                <c:pt idx="1">
                  <c:v>9.7172169149793933E-3</c:v>
                </c:pt>
                <c:pt idx="2">
                  <c:v>2.4977718110295831E-2</c:v>
                </c:pt>
                <c:pt idx="3">
                  <c:v>1.2766389256373417E-2</c:v>
                </c:pt>
                <c:pt idx="4">
                  <c:v>2.425357665700233E-2</c:v>
                </c:pt>
                <c:pt idx="5">
                  <c:v>1.2396272513578969E-2</c:v>
                </c:pt>
                <c:pt idx="6">
                  <c:v>2.0295355376147232E-2</c:v>
                </c:pt>
                <c:pt idx="7">
                  <c:v>1.0373181636697473E-2</c:v>
                </c:pt>
                <c:pt idx="8">
                  <c:v>1.833023641741164E-2</c:v>
                </c:pt>
                <c:pt idx="9">
                  <c:v>9.3687875022326166E-3</c:v>
                </c:pt>
                <c:pt idx="10">
                  <c:v>3.387204263963027E-2</c:v>
                </c:pt>
                <c:pt idx="11">
                  <c:v>1.7312377349144356E-2</c:v>
                </c:pt>
                <c:pt idx="12">
                  <c:v>1.8594474044449413E-3</c:v>
                </c:pt>
                <c:pt idx="13">
                  <c:v>9.5038422893852555E-4</c:v>
                </c:pt>
                <c:pt idx="14">
                  <c:v>1.7834824622346462E-2</c:v>
                </c:pt>
                <c:pt idx="15">
                  <c:v>9.1155770291993024E-3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B9-4A4B-BE73-0B14D15CC9CF}"/>
            </c:ext>
          </c:extLst>
        </c:ser>
        <c:ser>
          <c:idx val="39"/>
          <c:order val="35"/>
          <c:tx>
            <c:strRef>
              <c:f>LCIA!$FA$64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(LCIA!$FB$6:$FC$7,LCIA!$FD$6:$FE$7,LCIA!$FF$6:$FG$7,LCIA!$FH$6:$FI$7,LCIA!$FJ$6:$FK$7,LCIA!$FL$6:$FM$7,LCIA!$FN$6:$FO$7,LCIA!$FP$6:$FQ$7)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LCIA!$FB$64:$FQ$64</c:f>
              <c:numCache>
                <c:formatCode>0.000</c:formatCode>
                <c:ptCount val="16"/>
                <c:pt idx="0">
                  <c:v>7.7487539715386504E-5</c:v>
                </c:pt>
                <c:pt idx="1">
                  <c:v>6.3790665402095034E-5</c:v>
                </c:pt>
                <c:pt idx="2">
                  <c:v>8.8243928166302282E-5</c:v>
                </c:pt>
                <c:pt idx="3">
                  <c:v>7.2104047871556192E-5</c:v>
                </c:pt>
                <c:pt idx="4">
                  <c:v>8.8732140834459061E-5</c:v>
                </c:pt>
                <c:pt idx="5">
                  <c:v>7.2589582256322603E-5</c:v>
                </c:pt>
                <c:pt idx="6">
                  <c:v>7.2267069231450885E-5</c:v>
                </c:pt>
                <c:pt idx="7">
                  <c:v>5.9009125031313946E-5</c:v>
                </c:pt>
                <c:pt idx="8">
                  <c:v>6.2725578137550535E-5</c:v>
                </c:pt>
                <c:pt idx="9">
                  <c:v>5.1088542936286109E-5</c:v>
                </c:pt>
                <c:pt idx="10">
                  <c:v>1.1402208240092709E-4</c:v>
                </c:pt>
                <c:pt idx="11">
                  <c:v>9.2714284340055008E-5</c:v>
                </c:pt>
                <c:pt idx="12">
                  <c:v>1.512295746644018E-4</c:v>
                </c:pt>
                <c:pt idx="13">
                  <c:v>1.2378105186381134E-4</c:v>
                </c:pt>
                <c:pt idx="14">
                  <c:v>4.7912670230012031E-5</c:v>
                </c:pt>
                <c:pt idx="15">
                  <c:v>3.4715859700141258E-5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5-4B56-8CBD-F847BEB65DF3}"/>
            </c:ext>
          </c:extLst>
        </c:ser>
        <c:ser>
          <c:idx val="35"/>
          <c:order val="36"/>
          <c:tx>
            <c:strRef>
              <c:f>LCIA!$FA$65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LCIA!$FB$331:$FQ$331</c:f>
                <c:numCache>
                  <c:formatCode>General</c:formatCode>
                  <c:ptCount val="16"/>
                  <c:pt idx="0">
                    <c:v>8.0525862164658665E-3</c:v>
                  </c:pt>
                  <c:pt idx="1">
                    <c:v>4.6477406667283713E-3</c:v>
                  </c:pt>
                  <c:pt idx="2">
                    <c:v>1.0539337139712973E-2</c:v>
                  </c:pt>
                  <c:pt idx="3">
                    <c:v>6.0442834314095861E-3</c:v>
                  </c:pt>
                  <c:pt idx="4">
                    <c:v>1.0259061406885477E-2</c:v>
                  </c:pt>
                  <c:pt idx="5">
                    <c:v>5.903129728096819E-3</c:v>
                  </c:pt>
                  <c:pt idx="6">
                    <c:v>8.5645329490115635E-3</c:v>
                  </c:pt>
                  <c:pt idx="7">
                    <c:v>4.9243116191686961E-3</c:v>
                  </c:pt>
                  <c:pt idx="8">
                    <c:v>7.7679656016092155E-3</c:v>
                  </c:pt>
                  <c:pt idx="9">
                    <c:v>4.4941868503903561E-3</c:v>
                  </c:pt>
                  <c:pt idx="10">
                    <c:v>1.3729299271181584E-2</c:v>
                  </c:pt>
                  <c:pt idx="11">
                    <c:v>7.4254231464246853E-3</c:v>
                  </c:pt>
                  <c:pt idx="12">
                    <c:v>3.8705347349030084E-3</c:v>
                  </c:pt>
                  <c:pt idx="13">
                    <c:v>3.3807730788869665E-3</c:v>
                  </c:pt>
                  <c:pt idx="14">
                    <c:v>1.5126159963755992E-2</c:v>
                  </c:pt>
                  <c:pt idx="15">
                    <c:v>8.0459585728910321E-3</c:v>
                  </c:pt>
                </c:numCache>
              </c:numRef>
            </c:plus>
            <c:minus>
              <c:numRef>
                <c:f>LCIA!$FB$330:$FQ$330</c:f>
                <c:numCache>
                  <c:formatCode>General</c:formatCode>
                  <c:ptCount val="16"/>
                  <c:pt idx="0">
                    <c:v>5.0548836182391851E-3</c:v>
                  </c:pt>
                  <c:pt idx="1">
                    <c:v>2.6760326368893486E-3</c:v>
                  </c:pt>
                  <c:pt idx="2">
                    <c:v>6.5894692834788798E-3</c:v>
                  </c:pt>
                  <c:pt idx="3">
                    <c:v>3.4359671329402819E-3</c:v>
                  </c:pt>
                  <c:pt idx="4">
                    <c:v>6.3984569757452106E-3</c:v>
                  </c:pt>
                  <c:pt idx="5">
                    <c:v>3.3458026676844235E-3</c:v>
                  </c:pt>
                  <c:pt idx="6">
                    <c:v>5.3932009558303184E-3</c:v>
                  </c:pt>
                  <c:pt idx="7">
                    <c:v>2.8424287567009668E-3</c:v>
                  </c:pt>
                  <c:pt idx="8">
                    <c:v>4.8758971357531142E-3</c:v>
                  </c:pt>
                  <c:pt idx="9">
                    <c:v>2.5847758855596752E-3</c:v>
                  </c:pt>
                  <c:pt idx="10">
                    <c:v>8.9786690761237131E-3</c:v>
                  </c:pt>
                  <c:pt idx="11">
                    <c:v>4.4894279318236849E-3</c:v>
                  </c:pt>
                  <c:pt idx="12">
                    <c:v>1.8856642376320308E-3</c:v>
                  </c:pt>
                  <c:pt idx="13">
                    <c:v>1.73642901453629E-3</c:v>
                  </c:pt>
                  <c:pt idx="14">
                    <c:v>9.4660241603513884E-3</c:v>
                  </c:pt>
                  <c:pt idx="15">
                    <c:v>4.78373567775979E-3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(LCIA!$FB$6:$FC$7,LCIA!$FD$6:$FE$7,LCIA!$FF$6:$FG$7,LCIA!$FH$6:$FI$7,LCIA!$FJ$6:$FK$7,LCIA!$FL$6:$FM$7,LCIA!$FN$6:$FO$7,LCIA!$FP$6:$FQ$7)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LCIA!$FB$65:$FQ$65</c:f>
              <c:numCache>
                <c:formatCode>0.000</c:formatCode>
                <c:ptCount val="16"/>
                <c:pt idx="0">
                  <c:v>4.2312655498053442E-3</c:v>
                </c:pt>
                <c:pt idx="1">
                  <c:v>3.7068901081128932E-3</c:v>
                </c:pt>
                <c:pt idx="2">
                  <c:v>4.7482321164288646E-3</c:v>
                </c:pt>
                <c:pt idx="3">
                  <c:v>4.059421700980578E-3</c:v>
                </c:pt>
                <c:pt idx="4">
                  <c:v>4.6854813236400106E-3</c:v>
                </c:pt>
                <c:pt idx="5">
                  <c:v>4.0166304677291724E-3</c:v>
                </c:pt>
                <c:pt idx="6">
                  <c:v>4.3352410966574885E-3</c:v>
                </c:pt>
                <c:pt idx="7">
                  <c:v>3.7755671582001909E-3</c:v>
                </c:pt>
                <c:pt idx="8">
                  <c:v>4.1603325359086431E-3</c:v>
                </c:pt>
                <c:pt idx="9">
                  <c:v>3.654871938331479E-3</c:v>
                </c:pt>
                <c:pt idx="10">
                  <c:v>5.523104905705822E-3</c:v>
                </c:pt>
                <c:pt idx="11">
                  <c:v>4.5890961389887502E-3</c:v>
                </c:pt>
                <c:pt idx="12">
                  <c:v>6.3546992894562377E-3</c:v>
                </c:pt>
                <c:pt idx="13">
                  <c:v>5.2829126037859013E-3</c:v>
                </c:pt>
                <c:pt idx="14">
                  <c:v>2.3751244027163335E-3</c:v>
                </c:pt>
                <c:pt idx="15">
                  <c:v>1.6123573834378141E-3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B9-4A4B-BE73-0B14D15CC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LCIA!$AQ$9</c15:sqref>
                        </c15:formulaRef>
                      </c:ext>
                    </c:extLst>
                    <c:strCache>
                      <c:ptCount val="1"/>
                      <c:pt idx="0">
                        <c:v>Cathode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LCIA!$AR$9:$BC$9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332.10696267202263</c:v>
                      </c:pt>
                      <c:pt idx="1">
                        <c:v>327.66943612886445</c:v>
                      </c:pt>
                      <c:pt idx="2">
                        <c:v>477.73867686327486</c:v>
                      </c:pt>
                      <c:pt idx="3">
                        <c:v>471.908695739964</c:v>
                      </c:pt>
                      <c:pt idx="4">
                        <c:v>483.78945575126505</c:v>
                      </c:pt>
                      <c:pt idx="5">
                        <c:v>478.12849451138254</c:v>
                      </c:pt>
                      <c:pt idx="6">
                        <c:v>364.73486611247858</c:v>
                      </c:pt>
                      <c:pt idx="7">
                        <c:v>359.99778251615709</c:v>
                      </c:pt>
                      <c:pt idx="8">
                        <c:v>310.12100685003321</c:v>
                      </c:pt>
                      <c:pt idx="9">
                        <c:v>305.84259631519399</c:v>
                      </c:pt>
                      <c:pt idx="10">
                        <c:v>172.00425524646016</c:v>
                      </c:pt>
                      <c:pt idx="11">
                        <c:v>164.09827407055658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88B9-4A4B-BE73-0B14D15CC9C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LCIA!$AQ$12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LCIA!$AR$12:$BC$12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1.3604293226602815</c:v>
                      </c:pt>
                      <c:pt idx="1">
                        <c:v>1.3604293226602815</c:v>
                      </c:pt>
                      <c:pt idx="2">
                        <c:v>1.819795067974143</c:v>
                      </c:pt>
                      <c:pt idx="3">
                        <c:v>1.8197950679741424</c:v>
                      </c:pt>
                      <c:pt idx="4">
                        <c:v>1.7737243067596078</c:v>
                      </c:pt>
                      <c:pt idx="5">
                        <c:v>1.773724306759608</c:v>
                      </c:pt>
                      <c:pt idx="6">
                        <c:v>1.4749917919369366</c:v>
                      </c:pt>
                      <c:pt idx="7">
                        <c:v>1.4749917919369366</c:v>
                      </c:pt>
                      <c:pt idx="8">
                        <c:v>1.334516383181038</c:v>
                      </c:pt>
                      <c:pt idx="9">
                        <c:v>1.3345163831810383</c:v>
                      </c:pt>
                      <c:pt idx="10">
                        <c:v>1.9704968470407518</c:v>
                      </c:pt>
                      <c:pt idx="11">
                        <c:v>1.9704968470407518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8B9-4A4B-BE73-0B14D15CC9C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LCIA!$AQ$13</c15:sqref>
                        </c15:formulaRef>
                      </c:ext>
                    </c:extLst>
                    <c:strCache>
                      <c:ptCount val="1"/>
                      <c:pt idx="0">
                        <c:v>Binder (PVDF)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LCIA!$AR$13:$BC$13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2.117945455915887</c:v>
                      </c:pt>
                      <c:pt idx="1">
                        <c:v>2.1179454559158875</c:v>
                      </c:pt>
                      <c:pt idx="2">
                        <c:v>2.8330958696017716</c:v>
                      </c:pt>
                      <c:pt idx="3">
                        <c:v>2.8330958696017703</c:v>
                      </c:pt>
                      <c:pt idx="4">
                        <c:v>2.7613719235359033</c:v>
                      </c:pt>
                      <c:pt idx="5">
                        <c:v>2.7613719235359033</c:v>
                      </c:pt>
                      <c:pt idx="6">
                        <c:v>2.2962987574666989</c:v>
                      </c:pt>
                      <c:pt idx="7">
                        <c:v>2.2962987574666984</c:v>
                      </c:pt>
                      <c:pt idx="8">
                        <c:v>2.0776036377079659</c:v>
                      </c:pt>
                      <c:pt idx="9">
                        <c:v>2.0776036377079654</c:v>
                      </c:pt>
                      <c:pt idx="10">
                        <c:v>3.067711621303169</c:v>
                      </c:pt>
                      <c:pt idx="11">
                        <c:v>3.0677116213031681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8B9-4A4B-BE73-0B14D15CC9C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LCIA!$AQ$14</c15:sqref>
                        </c15:formulaRef>
                      </c:ext>
                    </c:extLst>
                    <c:strCache>
                      <c:ptCount val="1"/>
                      <c:pt idx="0">
                        <c:v>Solvent (NMP)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LCIA!$AR$14:$BC$14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60.732924443960734</c:v>
                      </c:pt>
                      <c:pt idx="1">
                        <c:v>60.732924443960734</c:v>
                      </c:pt>
                      <c:pt idx="2">
                        <c:v>81.240145684778625</c:v>
                      </c:pt>
                      <c:pt idx="3">
                        <c:v>81.240145684778625</c:v>
                      </c:pt>
                      <c:pt idx="4">
                        <c:v>79.183433135796889</c:v>
                      </c:pt>
                      <c:pt idx="5">
                        <c:v>79.183433135796889</c:v>
                      </c:pt>
                      <c:pt idx="6">
                        <c:v>65.847275976083722</c:v>
                      </c:pt>
                      <c:pt idx="7">
                        <c:v>65.847275976083722</c:v>
                      </c:pt>
                      <c:pt idx="8">
                        <c:v>59.576106835504326</c:v>
                      </c:pt>
                      <c:pt idx="9">
                        <c:v>59.576106835504326</c:v>
                      </c:pt>
                      <c:pt idx="10">
                        <c:v>87.967845249299373</c:v>
                      </c:pt>
                      <c:pt idx="11">
                        <c:v>87.967845249299373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8B9-4A4B-BE73-0B14D15CC9C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LCIA!$AQ$15</c15:sqref>
                        </c15:formulaRef>
                      </c:ext>
                    </c:extLst>
                    <c:strCache>
                      <c:ptCount val="1"/>
                      <c:pt idx="0">
                        <c:v>NMC/NCA/NFM active material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LCIA!$AR$15:$BC$15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258.81890461120764</c:v>
                      </c:pt>
                      <c:pt idx="1">
                        <c:v>258.81890461120764</c:v>
                      </c:pt>
                      <c:pt idx="2">
                        <c:v>379.92067885232996</c:v>
                      </c:pt>
                      <c:pt idx="3">
                        <c:v>379.92067885232996</c:v>
                      </c:pt>
                      <c:pt idx="4">
                        <c:v>388.49168748541302</c:v>
                      </c:pt>
                      <c:pt idx="5">
                        <c:v>388.49168748541302</c:v>
                      </c:pt>
                      <c:pt idx="6">
                        <c:v>285.42681041269731</c:v>
                      </c:pt>
                      <c:pt idx="7">
                        <c:v>285.42681041269731</c:v>
                      </c:pt>
                      <c:pt idx="8">
                        <c:v>238.38148571783233</c:v>
                      </c:pt>
                      <c:pt idx="9">
                        <c:v>238.38148571783233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8B9-4A4B-BE73-0B14D15CC9C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LCIA!$AQ$17</c15:sqref>
                        </c15:formulaRef>
                      </c:ext>
                    </c:extLst>
                    <c:strCache>
                      <c:ptCount val="1"/>
                      <c:pt idx="0">
                        <c:v>LiOH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LCIA!$AR$17:$BC$17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18.092300568250593</c:v>
                      </c:pt>
                      <c:pt idx="1">
                        <c:v>18.092300568250593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19.498301657060082</c:v>
                      </c:pt>
                      <c:pt idx="7">
                        <c:v>19.498301657060082</c:v>
                      </c:pt>
                      <c:pt idx="8">
                        <c:v>17.609501359520774</c:v>
                      </c:pt>
                      <c:pt idx="9">
                        <c:v>17.609501359520774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8B9-4A4B-BE73-0B14D15CC9CF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LCIA!$AQ$20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LCIA!$AR$20:$BC$20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26.283153316055923</c:v>
                      </c:pt>
                      <c:pt idx="1">
                        <c:v>26.283153316055923</c:v>
                      </c:pt>
                      <c:pt idx="2">
                        <c:v>30.764123557791283</c:v>
                      </c:pt>
                      <c:pt idx="3">
                        <c:v>30.764123557791283</c:v>
                      </c:pt>
                      <c:pt idx="4">
                        <c:v>29.985284986707956</c:v>
                      </c:pt>
                      <c:pt idx="5">
                        <c:v>29.985284986707956</c:v>
                      </c:pt>
                      <c:pt idx="6">
                        <c:v>28.496471490039582</c:v>
                      </c:pt>
                      <c:pt idx="7">
                        <c:v>28.496471490039582</c:v>
                      </c:pt>
                      <c:pt idx="8">
                        <c:v>25.782521824321528</c:v>
                      </c:pt>
                      <c:pt idx="9">
                        <c:v>25.782521824321528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8B9-4A4B-BE73-0B14D15CC9CF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LCIA!$AQ$23</c15:sqref>
                        </c15:formulaRef>
                      </c:ext>
                    </c:extLst>
                    <c:strCache>
                      <c:ptCount val="1"/>
                      <c:pt idx="0">
                        <c:v>NCA(OH)2 / NMC(OH)2  / NFM(OH)2  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LCIA!$AR$23:$BC$23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8B9-4A4B-BE73-0B14D15CC9CF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LCIA!$AQ$24</c15:sqref>
                        </c15:formulaRef>
                      </c:ext>
                    </c:extLst>
                    <c:strCache>
                      <c:ptCount val="1"/>
                      <c:pt idx="0">
                        <c:v>NiSO4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LCIA!$AR$24:$BC$24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141.48309692033857</c:v>
                      </c:pt>
                      <c:pt idx="1">
                        <c:v>141.48309692033857</c:v>
                      </c:pt>
                      <c:pt idx="2">
                        <c:v>105.29945712851278</c:v>
                      </c:pt>
                      <c:pt idx="3">
                        <c:v>105.29945712851278</c:v>
                      </c:pt>
                      <c:pt idx="4">
                        <c:v>122.68320927543928</c:v>
                      </c:pt>
                      <c:pt idx="5">
                        <c:v>122.68320927543928</c:v>
                      </c:pt>
                      <c:pt idx="6">
                        <c:v>135.53611285744236</c:v>
                      </c:pt>
                      <c:pt idx="7">
                        <c:v>135.53611285744236</c:v>
                      </c:pt>
                      <c:pt idx="8">
                        <c:v>137.70757224429735</c:v>
                      </c:pt>
                      <c:pt idx="9">
                        <c:v>137.70757224429735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8B9-4A4B-BE73-0B14D15CC9CF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LCIA!$AQ$25</c15:sqref>
                        </c15:formulaRef>
                      </c:ext>
                    </c:extLst>
                    <c:strCache>
                      <c:ptCount val="1"/>
                      <c:pt idx="0">
                        <c:v>MnSO4 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LCIA!$AR$25:$BC$25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3.1405711295031846</c:v>
                      </c:pt>
                      <c:pt idx="3">
                        <c:v>3.1405711295031846</c:v>
                      </c:pt>
                      <c:pt idx="4">
                        <c:v>2.0328022133369807</c:v>
                      </c:pt>
                      <c:pt idx="5">
                        <c:v>2.0328022133369807</c:v>
                      </c:pt>
                      <c:pt idx="6">
                        <c:v>0.8421632588239728</c:v>
                      </c:pt>
                      <c:pt idx="7">
                        <c:v>0.8421632588239728</c:v>
                      </c:pt>
                      <c:pt idx="8">
                        <c:v>0.38029145594404679</c:v>
                      </c:pt>
                      <c:pt idx="9">
                        <c:v>0.38029145594404679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8B9-4A4B-BE73-0B14D15CC9CF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LCIA!$AQ$26</c15:sqref>
                        </c15:formulaRef>
                      </c:ext>
                    </c:extLst>
                    <c:strCache>
                      <c:ptCount val="1"/>
                      <c:pt idx="0">
                        <c:v>CoSO4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LCIA!$AR$26:$BC$26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49.466080852204676</c:v>
                      </c:pt>
                      <c:pt idx="1">
                        <c:v>49.466080852204676</c:v>
                      </c:pt>
                      <c:pt idx="2">
                        <c:v>189.33614851938452</c:v>
                      </c:pt>
                      <c:pt idx="3">
                        <c:v>189.33614851938452</c:v>
                      </c:pt>
                      <c:pt idx="4">
                        <c:v>183.82784177019568</c:v>
                      </c:pt>
                      <c:pt idx="5">
                        <c:v>183.82784177019568</c:v>
                      </c:pt>
                      <c:pt idx="6">
                        <c:v>76.157460510449582</c:v>
                      </c:pt>
                      <c:pt idx="7">
                        <c:v>76.157460510449582</c:v>
                      </c:pt>
                      <c:pt idx="8">
                        <c:v>34.390044014700592</c:v>
                      </c:pt>
                      <c:pt idx="9">
                        <c:v>34.390044014700592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8B9-4A4B-BE73-0B14D15CC9CF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LCIA!$AQ$29</c15:sqref>
                        </c15:formulaRef>
                      </c:ext>
                    </c:extLst>
                    <c:strCache>
                      <c:ptCount val="1"/>
                      <c:pt idx="0">
                        <c:v>NaOH 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LCIA!$AR$29:$BC$29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5.7011493365781689</c:v>
                      </c:pt>
                      <c:pt idx="1">
                        <c:v>5.7011493365781689</c:v>
                      </c:pt>
                      <c:pt idx="2">
                        <c:v>7.5247219141083415</c:v>
                      </c:pt>
                      <c:pt idx="3">
                        <c:v>7.5247219141083415</c:v>
                      </c:pt>
                      <c:pt idx="4">
                        <c:v>7.3058071594279452</c:v>
                      </c:pt>
                      <c:pt idx="5">
                        <c:v>7.3058071594279452</c:v>
                      </c:pt>
                      <c:pt idx="6">
                        <c:v>6.0533999081231915</c:v>
                      </c:pt>
                      <c:pt idx="7">
                        <c:v>6.0533999081231915</c:v>
                      </c:pt>
                      <c:pt idx="8">
                        <c:v>5.4670071161413567</c:v>
                      </c:pt>
                      <c:pt idx="9">
                        <c:v>5.4670071161413567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8B9-4A4B-BE73-0B14D15CC9CF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LCIA!$AQ$30</c15:sqref>
                        </c15:formulaRef>
                      </c:ext>
                    </c:extLst>
                    <c:strCache>
                      <c:ptCount val="1"/>
                      <c:pt idx="0">
                        <c:v>NH4OH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LCIA!$AR$30:$BC$30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2.1555823705414752</c:v>
                      </c:pt>
                      <c:pt idx="1">
                        <c:v>2.1555823705414752</c:v>
                      </c:pt>
                      <c:pt idx="2">
                        <c:v>2.8877440841919082</c:v>
                      </c:pt>
                      <c:pt idx="3">
                        <c:v>2.8877440841919082</c:v>
                      </c:pt>
                      <c:pt idx="4">
                        <c:v>2.8037317053975017</c:v>
                      </c:pt>
                      <c:pt idx="5">
                        <c:v>2.8037317053975017</c:v>
                      </c:pt>
                      <c:pt idx="6">
                        <c:v>2.3230984444960709</c:v>
                      </c:pt>
                      <c:pt idx="7">
                        <c:v>2.3230984444960709</c:v>
                      </c:pt>
                      <c:pt idx="8">
                        <c:v>2.0980599200977941</c:v>
                      </c:pt>
                      <c:pt idx="9">
                        <c:v>2.0980599200977941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8B9-4A4B-BE73-0B14D15CC9CF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LCIA!$AQ$31</c15:sqref>
                        </c15:formulaRef>
                      </c:ext>
                    </c:extLst>
                    <c:strCache>
                      <c:ptCount val="1"/>
                      <c:pt idx="0">
                        <c:v>Water loss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LCIA!$AR$31:$BC$31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1.4974966092954176E-3</c:v>
                      </c:pt>
                      <c:pt idx="1">
                        <c:v>1.4974966092954176E-3</c:v>
                      </c:pt>
                      <c:pt idx="2">
                        <c:v>2.0031448150315328E-3</c:v>
                      </c:pt>
                      <c:pt idx="3">
                        <c:v>2.0031448150315328E-3</c:v>
                      </c:pt>
                      <c:pt idx="4">
                        <c:v>1.9524322880687087E-3</c:v>
                      </c:pt>
                      <c:pt idx="5">
                        <c:v>1.9524322880687087E-3</c:v>
                      </c:pt>
                      <c:pt idx="6">
                        <c:v>1.6236015869202946E-3</c:v>
                      </c:pt>
                      <c:pt idx="7">
                        <c:v>1.6236015869202946E-3</c:v>
                      </c:pt>
                      <c:pt idx="8">
                        <c:v>1.4689728643564573E-3</c:v>
                      </c:pt>
                      <c:pt idx="9">
                        <c:v>1.4689728643564573E-3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8B9-4A4B-BE73-0B14D15CC9CF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LCIA!$AQ$32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LCIA!$AR$32:$BC$32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15.235213349943471</c:v>
                      </c:pt>
                      <c:pt idx="1">
                        <c:v>15.235213349943471</c:v>
                      </c:pt>
                      <c:pt idx="2">
                        <c:v>20.379571104469839</c:v>
                      </c:pt>
                      <c:pt idx="3">
                        <c:v>20.379571104469839</c:v>
                      </c:pt>
                      <c:pt idx="4">
                        <c:v>19.863632595495915</c:v>
                      </c:pt>
                      <c:pt idx="5">
                        <c:v>19.863632595495915</c:v>
                      </c:pt>
                      <c:pt idx="6">
                        <c:v>16.518178684675554</c:v>
                      </c:pt>
                      <c:pt idx="7">
                        <c:v>16.518178684675554</c:v>
                      </c:pt>
                      <c:pt idx="8">
                        <c:v>14.945018809944548</c:v>
                      </c:pt>
                      <c:pt idx="9">
                        <c:v>14.945018809944548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8B9-4A4B-BE73-0B14D15CC9CF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LCIA!$AQ$36</c15:sqref>
                        </c15:formulaRef>
                      </c:ext>
                    </c:extLst>
                    <c:strCache>
                      <c:ptCount val="1"/>
                      <c:pt idx="0">
                        <c:v>LFP/NaFP active material 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LCIA!$AR$36:$BC$36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62.826876396286842</c:v>
                      </c:pt>
                      <c:pt idx="11">
                        <c:v>62.826876396286842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8B9-4A4B-BE73-0B14D15CC9CF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LCIA!$AQ$38</c15:sqref>
                        </c15:formulaRef>
                      </c:ext>
                    </c:extLst>
                    <c:strCache>
                      <c:ptCount val="1"/>
                      <c:pt idx="0">
                        <c:v>LiOH 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LCIA!$AR$38:$BC$38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8B9-4A4B-BE73-0B14D15CC9CF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LCIA!$AQ$40</c15:sqref>
                        </c15:formulaRef>
                      </c:ext>
                    </c:extLst>
                    <c:strCache>
                      <c:ptCount val="1"/>
                      <c:pt idx="0">
                        <c:v>(NH4)2HPO4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LCIA!$AR$40:$BC$40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11.857378052248388</c:v>
                      </c:pt>
                      <c:pt idx="11">
                        <c:v>11.857378052248388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8B9-4A4B-BE73-0B14D15CC9CF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LCIA!$AQ$41</c15:sqref>
                        </c15:formulaRef>
                      </c:ext>
                    </c:extLst>
                    <c:strCache>
                      <c:ptCount val="1"/>
                      <c:pt idx="0">
                        <c:v>Fe3O4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LCIA!$AR$41:$BC$41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4.0145742909650011</c:v>
                      </c:pt>
                      <c:pt idx="11">
                        <c:v>4.0145742909650011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8B9-4A4B-BE73-0B14D15CC9CF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LCIA!$AQ$42</c15:sqref>
                        </c15:formulaRef>
                      </c:ext>
                    </c:extLst>
                    <c:strCache>
                      <c:ptCount val="1"/>
                      <c:pt idx="0">
                        <c:v>Water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LCIA!$AR$42:$BC$42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8B9-4A4B-BE73-0B14D15CC9CF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LCIA!$AQ$43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LCIA!$AR$43:$BC$43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33.311777539920868</c:v>
                      </c:pt>
                      <c:pt idx="11">
                        <c:v>33.311777539920868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8B9-4A4B-BE73-0B14D15CC9CF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LCIA!$AQ$44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LCIA!$AR$44:$BC$44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8B9-4A4B-BE73-0B14D15CC9CF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LCIA!$AQ$49</c15:sqref>
                        </c15:formulaRef>
                      </c:ext>
                    </c:extLst>
                    <c:strCache>
                      <c:ptCount val="1"/>
                      <c:pt idx="0">
                        <c:v>Anode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LCIA!$AR$49:$BC$49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48.202980778210126</c:v>
                      </c:pt>
                      <c:pt idx="1">
                        <c:v>40.470769568325473</c:v>
                      </c:pt>
                      <c:pt idx="2">
                        <c:v>53.022252427701027</c:v>
                      </c:pt>
                      <c:pt idx="3">
                        <c:v>42.933952855843046</c:v>
                      </c:pt>
                      <c:pt idx="4">
                        <c:v>52.437276268322734</c:v>
                      </c:pt>
                      <c:pt idx="5">
                        <c:v>42.634965041049696</c:v>
                      </c:pt>
                      <c:pt idx="6">
                        <c:v>42.357207896502061</c:v>
                      </c:pt>
                      <c:pt idx="7">
                        <c:v>34.167531494157508</c:v>
                      </c:pt>
                      <c:pt idx="8">
                        <c:v>36.376636264605146</c:v>
                      </c:pt>
                      <c:pt idx="9">
                        <c:v>28.994583009132079</c:v>
                      </c:pt>
                      <c:pt idx="10">
                        <c:v>64.312861370485109</c:v>
                      </c:pt>
                      <c:pt idx="11">
                        <c:v>50.683919850698842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8B9-4A4B-BE73-0B14D15CC9CF}"/>
                  </c:ext>
                </c:extLst>
              </c15:ser>
            </c15:filteredBarSeries>
            <c15:filteredBa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LCIA!$AQ$53</c15:sqref>
                        </c15:formulaRef>
                      </c:ext>
                    </c:extLst>
                    <c:strCache>
                      <c:ptCount val="1"/>
                      <c:pt idx="0">
                        <c:v>Graphite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LCIA!$AR$53:$BC$53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31.498728336765993</c:v>
                      </c:pt>
                      <c:pt idx="1">
                        <c:v>31.498728336765986</c:v>
                      </c:pt>
                      <c:pt idx="2">
                        <c:v>31.498728336765986</c:v>
                      </c:pt>
                      <c:pt idx="3">
                        <c:v>31.498728336765982</c:v>
                      </c:pt>
                      <c:pt idx="4">
                        <c:v>31.498728336766</c:v>
                      </c:pt>
                      <c:pt idx="5">
                        <c:v>31.498728336765989</c:v>
                      </c:pt>
                      <c:pt idx="6">
                        <c:v>23.317240457086506</c:v>
                      </c:pt>
                      <c:pt idx="7">
                        <c:v>23.317240457086516</c:v>
                      </c:pt>
                      <c:pt idx="8">
                        <c:v>18.095014150908128</c:v>
                      </c:pt>
                      <c:pt idx="9">
                        <c:v>18.095014150908124</c:v>
                      </c:pt>
                      <c:pt idx="10">
                        <c:v>35.436069378861738</c:v>
                      </c:pt>
                      <c:pt idx="11">
                        <c:v>35.436069378861745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8B9-4A4B-BE73-0B14D15CC9CF}"/>
                  </c:ext>
                </c:extLst>
              </c15:ser>
            </c15:filteredBarSeries>
            <c15:filteredBa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LCIA!$AQ$54</c15:sqref>
                        </c15:formulaRef>
                      </c:ext>
                    </c:extLst>
                    <c:strCache>
                      <c:ptCount val="1"/>
                      <c:pt idx="0">
                        <c:v>SiO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LCIA!$AR$54:$BC$54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1.5961234664866157</c:v>
                      </c:pt>
                      <c:pt idx="7">
                        <c:v>1.5961234664866164</c:v>
                      </c:pt>
                      <c:pt idx="8">
                        <c:v>2.6149256791376483</c:v>
                      </c:pt>
                      <c:pt idx="9">
                        <c:v>2.6149256791376478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8B9-4A4B-BE73-0B14D15CC9CF}"/>
                  </c:ext>
                </c:extLst>
              </c15:ser>
            </c15:filteredBarSeries>
            <c15:filteredBa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LCIA!$AQ$55</c15:sqref>
                        </c15:formulaRef>
                      </c:ext>
                    </c:extLst>
                    <c:strCache>
                      <c:ptCount val="1"/>
                      <c:pt idx="0">
                        <c:v>Hard Carbon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LCIA!$AR$55:$BC$55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8B9-4A4B-BE73-0B14D15CC9CF}"/>
                  </c:ext>
                </c:extLst>
              </c15:ser>
            </c15:filteredBarSeries>
            <c15:filteredBarSeries>
              <c15:ser>
                <c:idx val="3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LCIA!$AQ$57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LCIA!$AR$57:$BC$57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0.42360247428898129</c:v>
                      </c:pt>
                      <c:pt idx="1">
                        <c:v>0.20957175043770643</c:v>
                      </c:pt>
                      <c:pt idx="2">
                        <c:v>0.42360247428898123</c:v>
                      </c:pt>
                      <c:pt idx="3">
                        <c:v>0.20957175043770643</c:v>
                      </c:pt>
                      <c:pt idx="4">
                        <c:v>0.4236024742889814</c:v>
                      </c:pt>
                      <c:pt idx="5">
                        <c:v>0.20957175043770648</c:v>
                      </c:pt>
                      <c:pt idx="6">
                        <c:v>0.33007985009530993</c:v>
                      </c:pt>
                      <c:pt idx="7">
                        <c:v>0.16330266267873234</c:v>
                      </c:pt>
                      <c:pt idx="8">
                        <c:v>0.27038455805679651</c:v>
                      </c:pt>
                      <c:pt idx="9">
                        <c:v>0.13376920240704673</c:v>
                      </c:pt>
                      <c:pt idx="10">
                        <c:v>0.47655278357510389</c:v>
                      </c:pt>
                      <c:pt idx="11">
                        <c:v>0.23576821924241984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8B9-4A4B-BE73-0B14D15CC9CF}"/>
                  </c:ext>
                </c:extLst>
              </c15:ser>
            </c15:filteredBarSeries>
            <c15:filteredBarSeries>
              <c15:ser>
                <c:idx val="3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LCIA!$AQ$58</c15:sqref>
                        </c15:formulaRef>
                      </c:ext>
                    </c:extLst>
                    <c:strCache>
                      <c:ptCount val="1"/>
                      <c:pt idx="0">
                        <c:v>Binder (CMC-SBR)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LCIA!$AR$58:$BC$58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0.92084311943594255</c:v>
                      </c:pt>
                      <c:pt idx="1">
                        <c:v>0.91115003396819538</c:v>
                      </c:pt>
                      <c:pt idx="2">
                        <c:v>0.92084311943594244</c:v>
                      </c:pt>
                      <c:pt idx="3">
                        <c:v>0.91115003396819538</c:v>
                      </c:pt>
                      <c:pt idx="4">
                        <c:v>0.92084311943594277</c:v>
                      </c:pt>
                      <c:pt idx="5">
                        <c:v>0.91115003396819561</c:v>
                      </c:pt>
                      <c:pt idx="6">
                        <c:v>0.71754009306696787</c:v>
                      </c:pt>
                      <c:pt idx="7">
                        <c:v>0.70998703945573682</c:v>
                      </c:pt>
                      <c:pt idx="8">
                        <c:v>0.5877722038952824</c:v>
                      </c:pt>
                      <c:pt idx="9">
                        <c:v>0.58158512806480589</c:v>
                      </c:pt>
                      <c:pt idx="10">
                        <c:v>1.0359485093654353</c:v>
                      </c:pt>
                      <c:pt idx="11">
                        <c:v>1.0250437882142203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8B9-4A4B-BE73-0B14D15CC9CF}"/>
                  </c:ext>
                </c:extLst>
              </c15:ser>
            </c15:filteredBarSeries>
            <c15:filteredBarSeries>
              <c15:ser>
                <c:idx val="32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LCIA!$AQ$59</c15:sqref>
                        </c15:formulaRef>
                      </c:ext>
                    </c:extLst>
                    <c:strCache>
                      <c:ptCount val="1"/>
                      <c:pt idx="0">
                        <c:v>Solvent (Water)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LCIA!$AR$59:$BC$59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1.5709898851325116E-3</c:v>
                      </c:pt>
                      <c:pt idx="1">
                        <c:v>1.5544531494995374E-3</c:v>
                      </c:pt>
                      <c:pt idx="2">
                        <c:v>1.570989885132511E-3</c:v>
                      </c:pt>
                      <c:pt idx="3">
                        <c:v>1.5544531494995372E-3</c:v>
                      </c:pt>
                      <c:pt idx="4">
                        <c:v>1.5709898851325118E-3</c:v>
                      </c:pt>
                      <c:pt idx="5">
                        <c:v>1.5544531494995377E-3</c:v>
                      </c:pt>
                      <c:pt idx="6">
                        <c:v>1.2241479624409176E-3</c:v>
                      </c:pt>
                      <c:pt idx="7">
                        <c:v>1.2112621944152244E-3</c:v>
                      </c:pt>
                      <c:pt idx="8">
                        <c:v>1.0027595011484118E-3</c:v>
                      </c:pt>
                      <c:pt idx="9">
                        <c:v>9.9220413797842816E-4</c:v>
                      </c:pt>
                      <c:pt idx="10">
                        <c:v>1.7673636207740752E-3</c:v>
                      </c:pt>
                      <c:pt idx="11">
                        <c:v>1.74875979318698E-3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8B9-4A4B-BE73-0B14D15CC9CF}"/>
                  </c:ext>
                </c:extLst>
              </c15:ser>
            </c15:filteredBarSeries>
            <c15:filteredBa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LCIA!$AQ$66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LCIA!$AR$66:$BC$66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40.094210140883995</c:v>
                      </c:pt>
                      <c:pt idx="1">
                        <c:v>35.193180024698016</c:v>
                      </c:pt>
                      <c:pt idx="2">
                        <c:v>44.915175601951603</c:v>
                      </c:pt>
                      <c:pt idx="3">
                        <c:v>38.477292668618063</c:v>
                      </c:pt>
                      <c:pt idx="4">
                        <c:v>44.329993843166825</c:v>
                      </c:pt>
                      <c:pt idx="5">
                        <c:v>38.078658239780879</c:v>
                      </c:pt>
                      <c:pt idx="6">
                        <c:v>41.062052131551596</c:v>
                      </c:pt>
                      <c:pt idx="7">
                        <c:v>35.831130076583946</c:v>
                      </c:pt>
                      <c:pt idx="8">
                        <c:v>39.4298078919578</c:v>
                      </c:pt>
                      <c:pt idx="9">
                        <c:v>34.70558903329907</c:v>
                      </c:pt>
                      <c:pt idx="10">
                        <c:v>52.142258679525952</c:v>
                      </c:pt>
                      <c:pt idx="11">
                        <c:v>43.412677217798063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8B9-4A4B-BE73-0B14D15CC9CF}"/>
                  </c:ext>
                </c:extLst>
              </c15:ser>
            </c15:filteredBarSeries>
            <c15:filteredBa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LCIA!$AQ$67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(LCIA!$FB$6:$FC$7,LCIA!$FD$6:$FE$7,LCIA!$FF$6:$FG$7,LCIA!$FH$6:$FI$7,LCIA!$FJ$6:$FK$7,LCIA!$FL$6:$FM$7,LCIA!$FN$6:$FO$7,LCIA!$FP$6:$FQ$7)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LCIA!$AR$67:$BC$67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12.360449052690958</c:v>
                      </c:pt>
                      <c:pt idx="1">
                        <c:v>8.7609442060309313</c:v>
                      </c:pt>
                      <c:pt idx="2">
                        <c:v>16.239043068697367</c:v>
                      </c:pt>
                      <c:pt idx="3">
                        <c:v>11.510047060403348</c:v>
                      </c:pt>
                      <c:pt idx="4">
                        <c:v>15.768248891425623</c:v>
                      </c:pt>
                      <c:pt idx="5">
                        <c:v>11.176353559300006</c:v>
                      </c:pt>
                      <c:pt idx="6">
                        <c:v>13.194846246259846</c:v>
                      </c:pt>
                      <c:pt idx="7">
                        <c:v>9.3523553454938906</c:v>
                      </c:pt>
                      <c:pt idx="8">
                        <c:v>11.917241492090291</c:v>
                      </c:pt>
                      <c:pt idx="9">
                        <c:v>8.4468037817177706</c:v>
                      </c:pt>
                      <c:pt idx="10">
                        <c:v>22.021609693119998</c:v>
                      </c:pt>
                      <c:pt idx="11">
                        <c:v>15.608663813586283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8B9-4A4B-BE73-0B14D15CC9CF}"/>
                  </c:ext>
                </c:extLst>
              </c15:ser>
            </c15:filteredBarSeries>
          </c:ext>
        </c:extLst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ax val="9.600000000000003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1.6000000000000004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Freshwater Ecotoxicity Potential (FETP)</a:t>
            </a:r>
          </a:p>
          <a:p>
            <a:pPr>
              <a:defRPr sz="900"/>
            </a:pPr>
            <a:r>
              <a:rPr lang="en-US" sz="900"/>
              <a:t>[kg1.4DCB-eq/kWh</a:t>
            </a:r>
            <a:r>
              <a:rPr lang="en-US" sz="900" baseline="-25000"/>
              <a:t>cell</a:t>
            </a:r>
            <a:r>
              <a:rPr lang="en-US" sz="900"/>
              <a:t>]</a:t>
            </a:r>
          </a:p>
        </c:rich>
      </c:tx>
      <c:layout>
        <c:manualLayout>
          <c:xMode val="edge"/>
          <c:yMode val="edge"/>
          <c:x val="0.2770136765432209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LCIA!$FT$10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(LCIA!$FU$6:$FV$7,LCIA!$FW$6:$FX$7,LCIA!$FY$6:$FZ$7,LCIA!$GA$6:$GB$7,LCIA!$GC$6:$GD$7,LCIA!$GE$6:$GF$7,LCIA!$GG$6:$GH$7,LCIA!$GI$6:$GJ$7)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LCIA!$FU$10:$GJ$10</c:f>
              <c:numCache>
                <c:formatCode>0.0</c:formatCode>
                <c:ptCount val="16"/>
                <c:pt idx="0">
                  <c:v>0.26390853797152758</c:v>
                </c:pt>
                <c:pt idx="1">
                  <c:v>0.13488658607433632</c:v>
                </c:pt>
                <c:pt idx="2">
                  <c:v>0.34672058402146644</c:v>
                </c:pt>
                <c:pt idx="3">
                  <c:v>0.17721274294430497</c:v>
                </c:pt>
                <c:pt idx="4">
                  <c:v>0.33666863506074124</c:v>
                </c:pt>
                <c:pt idx="5">
                  <c:v>0.17207508014215664</c:v>
                </c:pt>
                <c:pt idx="6">
                  <c:v>0.2817237922963185</c:v>
                </c:pt>
                <c:pt idx="7">
                  <c:v>0.14399216050700725</c:v>
                </c:pt>
                <c:pt idx="8">
                  <c:v>0.25444559218068796</c:v>
                </c:pt>
                <c:pt idx="9">
                  <c:v>0.13004996933679608</c:v>
                </c:pt>
                <c:pt idx="10">
                  <c:v>0.47018444015394989</c:v>
                </c:pt>
                <c:pt idx="11">
                  <c:v>0.24031649163424099</c:v>
                </c:pt>
                <c:pt idx="12">
                  <c:v>0.53944718297683913</c:v>
                </c:pt>
                <c:pt idx="13">
                  <c:v>0.27571744907705109</c:v>
                </c:pt>
                <c:pt idx="14">
                  <c:v>0.2475686842839126</c:v>
                </c:pt>
                <c:pt idx="15">
                  <c:v>0.12653510530066645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9-490E-A862-DA87DDFB9222}"/>
            </c:ext>
          </c:extLst>
        </c:ser>
        <c:ser>
          <c:idx val="2"/>
          <c:order val="2"/>
          <c:tx>
            <c:strRef>
              <c:f>LCIA!$FT$11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(LCIA!$FU$6:$FV$7,LCIA!$FW$6:$FX$7,LCIA!$FY$6:$FZ$7,LCIA!$GA$6:$GB$7,LCIA!$GC$6:$GD$7,LCIA!$GE$6:$GF$7,LCIA!$GG$6:$GH$7,LCIA!$GI$6:$GJ$7)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LCIA!$FU$11:$GJ$11</c:f>
              <c:numCache>
                <c:formatCode>0.0</c:formatCode>
                <c:ptCount val="16"/>
                <c:pt idx="0">
                  <c:v>4.4985481253318511</c:v>
                </c:pt>
                <c:pt idx="1">
                  <c:v>4.4985481253318511</c:v>
                </c:pt>
                <c:pt idx="2">
                  <c:v>6.3191229190832798</c:v>
                </c:pt>
                <c:pt idx="3">
                  <c:v>6.3191229190832798</c:v>
                </c:pt>
                <c:pt idx="4">
                  <c:v>6.4949802054903092</c:v>
                </c:pt>
                <c:pt idx="5">
                  <c:v>6.4949802054903092</c:v>
                </c:pt>
                <c:pt idx="6">
                  <c:v>4.8921636840814307</c:v>
                </c:pt>
                <c:pt idx="7">
                  <c:v>4.8921636840814307</c:v>
                </c:pt>
                <c:pt idx="8">
                  <c:v>4.1675664225672682</c:v>
                </c:pt>
                <c:pt idx="9">
                  <c:v>4.1675664225672682</c:v>
                </c:pt>
                <c:pt idx="10">
                  <c:v>1.0705777414369935</c:v>
                </c:pt>
                <c:pt idx="11">
                  <c:v>1.0705777414369935</c:v>
                </c:pt>
                <c:pt idx="12">
                  <c:v>3.245967353774704</c:v>
                </c:pt>
                <c:pt idx="13">
                  <c:v>3.245967353774704</c:v>
                </c:pt>
                <c:pt idx="14">
                  <c:v>4.1658188770186477</c:v>
                </c:pt>
                <c:pt idx="15">
                  <c:v>4.1658188770186477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39-490E-A862-DA87DDFB9222}"/>
            </c:ext>
          </c:extLst>
        </c:ser>
        <c:ser>
          <c:idx val="34"/>
          <c:order val="25"/>
          <c:tx>
            <c:strRef>
              <c:f>LCIA!$FT$61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(LCIA!$FU$6:$FV$7,LCIA!$FW$6:$FX$7,LCIA!$FY$6:$FZ$7,LCIA!$GA$6:$GB$7,LCIA!$GC$6:$GD$7,LCIA!$GE$6:$GF$7,LCIA!$GG$6:$GH$7,LCIA!$GI$6:$GJ$7)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(LCIA!$FU$61:$GF$61,LCIA!$GG$62:$GH$62,LCIA!$GI$63:$GJ$63)</c:f>
              <c:numCache>
                <c:formatCode>0.0</c:formatCode>
                <c:ptCount val="16"/>
                <c:pt idx="0">
                  <c:v>0.34381889135563126</c:v>
                </c:pt>
                <c:pt idx="1">
                  <c:v>0.229656670246671</c:v>
                </c:pt>
                <c:pt idx="2">
                  <c:v>0.39818494571185686</c:v>
                </c:pt>
                <c:pt idx="3">
                  <c:v>0.26538293453790496</c:v>
                </c:pt>
                <c:pt idx="4">
                  <c:v>0.3915858477587012</c:v>
                </c:pt>
                <c:pt idx="5">
                  <c:v>0.26104638445440265</c:v>
                </c:pt>
                <c:pt idx="6">
                  <c:v>0.31814388601867905</c:v>
                </c:pt>
                <c:pt idx="7">
                  <c:v>0.21197164843177102</c:v>
                </c:pt>
                <c:pt idx="8">
                  <c:v>0.27638313287946492</c:v>
                </c:pt>
                <c:pt idx="9">
                  <c:v>0.18401004642324778</c:v>
                </c:pt>
                <c:pt idx="10">
                  <c:v>0.50055927542391399</c:v>
                </c:pt>
                <c:pt idx="11">
                  <c:v>0.33312231176816376</c:v>
                </c:pt>
                <c:pt idx="12">
                  <c:v>0.66084962598705388</c:v>
                </c:pt>
                <c:pt idx="13">
                  <c:v>0.44187432222476952</c:v>
                </c:pt>
                <c:pt idx="14">
                  <c:v>0.3308686270691546</c:v>
                </c:pt>
                <c:pt idx="15">
                  <c:v>0.22057908471276971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9-490E-A862-DA87DDFB9222}"/>
            </c:ext>
          </c:extLst>
        </c:ser>
        <c:ser>
          <c:idx val="33"/>
          <c:order val="26"/>
          <c:tx>
            <c:strRef>
              <c:f>LCIA!$FT$60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(LCIA!$FU$6:$FV$7,LCIA!$FW$6:$FX$7,LCIA!$FY$6:$FZ$7,LCIA!$GA$6:$GB$7,LCIA!$GC$6:$GD$7,LCIA!$GE$6:$GF$7,LCIA!$GG$6:$GH$7,LCIA!$GI$6:$GJ$7)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LCIA!$FU$60:$GJ$60</c:f>
              <c:numCache>
                <c:formatCode>0.0</c:formatCode>
                <c:ptCount val="16"/>
                <c:pt idx="0">
                  <c:v>2.9356749408970415E-2</c:v>
                </c:pt>
                <c:pt idx="1">
                  <c:v>1.5004560809029319E-2</c:v>
                </c:pt>
                <c:pt idx="2">
                  <c:v>3.8568624487428295E-2</c:v>
                </c:pt>
                <c:pt idx="3">
                  <c:v>1.9712852515796679E-2</c:v>
                </c:pt>
                <c:pt idx="4">
                  <c:v>3.7450462305257413E-2</c:v>
                </c:pt>
                <c:pt idx="5">
                  <c:v>1.9141347400464907E-2</c:v>
                </c:pt>
                <c:pt idx="6">
                  <c:v>3.1338488843737723E-2</c:v>
                </c:pt>
                <c:pt idx="7">
                  <c:v>1.6017449853465947E-2</c:v>
                </c:pt>
                <c:pt idx="8">
                  <c:v>2.8304106965540553E-2</c:v>
                </c:pt>
                <c:pt idx="9">
                  <c:v>1.446654356016517E-2</c:v>
                </c:pt>
                <c:pt idx="10">
                  <c:v>5.2302539704440078E-2</c:v>
                </c:pt>
                <c:pt idx="11">
                  <c:v>2.6732409182269365E-2</c:v>
                </c:pt>
                <c:pt idx="12">
                  <c:v>6.0007212694780737E-2</c:v>
                </c:pt>
                <c:pt idx="13">
                  <c:v>3.0670353155110155E-2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39-490E-A862-DA87DDFB9222}"/>
            </c:ext>
          </c:extLst>
        </c:ser>
        <c:ser>
          <c:idx val="26"/>
          <c:order val="27"/>
          <c:tx>
            <c:strRef>
              <c:f>LCIA!$FT$52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(LCIA!$FU$6:$FV$7,LCIA!$FW$6:$FX$7,LCIA!$FY$6:$FZ$7,LCIA!$GA$6:$GB$7,LCIA!$GC$6:$GD$7,LCIA!$GE$6:$GF$7,LCIA!$GG$6:$GH$7,LCIA!$GI$6:$GJ$7)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LCIA!$FU$52:$GJ$52</c:f>
              <c:numCache>
                <c:formatCode>0.0</c:formatCode>
                <c:ptCount val="16"/>
                <c:pt idx="0">
                  <c:v>0.16685701027712113</c:v>
                </c:pt>
                <c:pt idx="1">
                  <c:v>0.16638898408057176</c:v>
                </c:pt>
                <c:pt idx="2">
                  <c:v>0.16685701027712108</c:v>
                </c:pt>
                <c:pt idx="3">
                  <c:v>0.16638898408057173</c:v>
                </c:pt>
                <c:pt idx="4">
                  <c:v>0.16685701027712113</c:v>
                </c:pt>
                <c:pt idx="5">
                  <c:v>0.16638898408057179</c:v>
                </c:pt>
                <c:pt idx="6">
                  <c:v>0.13127605538669365</c:v>
                </c:pt>
                <c:pt idx="7">
                  <c:v>0.13091135964912282</c:v>
                </c:pt>
                <c:pt idx="8">
                  <c:v>0.10856480758429324</c:v>
                </c:pt>
                <c:pt idx="9">
                  <c:v>0.10826606745883623</c:v>
                </c:pt>
                <c:pt idx="10">
                  <c:v>0.18771413656176125</c:v>
                </c:pt>
                <c:pt idx="11">
                  <c:v>0.18718760709064333</c:v>
                </c:pt>
                <c:pt idx="12">
                  <c:v>7.1723033637284717E-2</c:v>
                </c:pt>
                <c:pt idx="13">
                  <c:v>7.114535558897242E-2</c:v>
                </c:pt>
                <c:pt idx="14">
                  <c:v>5.0234164024618249</c:v>
                </c:pt>
                <c:pt idx="15">
                  <c:v>2.5675239390360436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39-490E-A862-DA87DDFB9222}"/>
            </c:ext>
          </c:extLst>
        </c:ser>
        <c:ser>
          <c:idx val="25"/>
          <c:order val="28"/>
          <c:tx>
            <c:strRef>
              <c:f>LCIA!$FT$50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(LCIA!$FU$6:$FV$7,LCIA!$FW$6:$FX$7,LCIA!$FY$6:$FZ$7,LCIA!$GA$6:$GB$7,LCIA!$GC$6:$GD$7,LCIA!$GE$6:$GF$7,LCIA!$GG$6:$GH$7,LCIA!$GI$6:$GJ$7)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(LCIA!$FU$50:$GF$50,LCIA!$GG$51:$GH$51,LCIA!$GI$50:$GJ$50)</c:f>
              <c:numCache>
                <c:formatCode>0.0</c:formatCode>
                <c:ptCount val="16"/>
                <c:pt idx="0">
                  <c:v>15.753377538160855</c:v>
                </c:pt>
                <c:pt idx="1">
                  <c:v>8.0517262972822135</c:v>
                </c:pt>
                <c:pt idx="2">
                  <c:v>20.69664097389326</c:v>
                </c:pt>
                <c:pt idx="3">
                  <c:v>10.578283164434325</c:v>
                </c:pt>
                <c:pt idx="4">
                  <c:v>20.09661435789301</c:v>
                </c:pt>
                <c:pt idx="5">
                  <c:v>10.271602894034206</c:v>
                </c:pt>
                <c:pt idx="6">
                  <c:v>16.8168157636686</c:v>
                </c:pt>
                <c:pt idx="7">
                  <c:v>8.5952613903195054</c:v>
                </c:pt>
                <c:pt idx="8">
                  <c:v>15.188510032122341</c:v>
                </c:pt>
                <c:pt idx="9">
                  <c:v>7.7630162386403079</c:v>
                </c:pt>
                <c:pt idx="10">
                  <c:v>28.066515222455941</c:v>
                </c:pt>
                <c:pt idx="11">
                  <c:v>14.345107780366366</c:v>
                </c:pt>
                <c:pt idx="12">
                  <c:v>0.53944718297683913</c:v>
                </c:pt>
                <c:pt idx="13">
                  <c:v>0.27571744907705109</c:v>
                </c:pt>
                <c:pt idx="14">
                  <c:v>14.778009760983899</c:v>
                </c:pt>
                <c:pt idx="15">
                  <c:v>7.5532049889473258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39-490E-A862-DA87DDFB9222}"/>
            </c:ext>
          </c:extLst>
        </c:ser>
        <c:ser>
          <c:idx val="39"/>
          <c:order val="35"/>
          <c:tx>
            <c:strRef>
              <c:f>LCIA!$FT$64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accent1"/>
            </a:solidFill>
            <a:ln w="15875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(LCIA!$FU$6:$FV$7,LCIA!$FW$6:$FX$7,LCIA!$FY$6:$FZ$7,LCIA!$GA$6:$GB$7,LCIA!$GC$6:$GD$7,LCIA!$GE$6:$GF$7,LCIA!$GG$6:$GH$7,LCIA!$GI$6:$GJ$7)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LCIA!$FU$64:$GJ$64</c:f>
              <c:numCache>
                <c:formatCode>0.0</c:formatCode>
                <c:ptCount val="16"/>
                <c:pt idx="0">
                  <c:v>2.6270056642633634E-2</c:v>
                </c:pt>
                <c:pt idx="1">
                  <c:v>2.1626501493524252E-2</c:v>
                </c:pt>
                <c:pt idx="2">
                  <c:v>2.9916719511446054E-2</c:v>
                </c:pt>
                <c:pt idx="3">
                  <c:v>2.4444929193858843E-2</c:v>
                </c:pt>
                <c:pt idx="4">
                  <c:v>3.0082234825175691E-2</c:v>
                </c:pt>
                <c:pt idx="5">
                  <c:v>2.4609536507971659E-2</c:v>
                </c:pt>
                <c:pt idx="6">
                  <c:v>2.4500197181126511E-2</c:v>
                </c:pt>
                <c:pt idx="7">
                  <c:v>2.0005449427078062E-2</c:v>
                </c:pt>
                <c:pt idx="8">
                  <c:v>2.1265412434925898E-2</c:v>
                </c:pt>
                <c:pt idx="9">
                  <c:v>1.7320190080307312E-2</c:v>
                </c:pt>
                <c:pt idx="10">
                  <c:v>3.8656106184109647E-2</c:v>
                </c:pt>
                <c:pt idx="11">
                  <c:v>3.1432272984024713E-2</c:v>
                </c:pt>
                <c:pt idx="12">
                  <c:v>5.1270301097020847E-2</c:v>
                </c:pt>
                <c:pt idx="13">
                  <c:v>4.1964621095092101E-2</c:v>
                </c:pt>
                <c:pt idx="14">
                  <c:v>1.6243496250692182E-2</c:v>
                </c:pt>
                <c:pt idx="15">
                  <c:v>1.1769474215727899E-2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F-474C-8AB1-57CD6133F4EE}"/>
            </c:ext>
          </c:extLst>
        </c:ser>
        <c:ser>
          <c:idx val="35"/>
          <c:order val="36"/>
          <c:tx>
            <c:strRef>
              <c:f>LCIA!$FT$65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LCIA!$FU$331:$GJ$331</c:f>
                <c:numCache>
                  <c:formatCode>General</c:formatCode>
                  <c:ptCount val="16"/>
                  <c:pt idx="0">
                    <c:v>6.0838250887780703</c:v>
                  </c:pt>
                  <c:pt idx="1">
                    <c:v>3.1724795517990856</c:v>
                  </c:pt>
                  <c:pt idx="2">
                    <c:v>7.9721593219723594</c:v>
                  </c:pt>
                  <c:pt idx="3">
                    <c:v>4.1364879521404632</c:v>
                  </c:pt>
                  <c:pt idx="4">
                    <c:v>7.7491675801643858</c:v>
                  </c:pt>
                  <c:pt idx="5">
                    <c:v>4.0275081647198547</c:v>
                  </c:pt>
                  <c:pt idx="6">
                    <c:v>6.4852287615557209</c:v>
                  </c:pt>
                  <c:pt idx="7">
                    <c:v>3.3750975936532051</c:v>
                  </c:pt>
                  <c:pt idx="8">
                    <c:v>5.8630197843449672</c:v>
                  </c:pt>
                  <c:pt idx="9">
                    <c:v>3.0572444352801487</c:v>
                  </c:pt>
                  <c:pt idx="10">
                    <c:v>11.055629170729929</c:v>
                  </c:pt>
                  <c:pt idx="11">
                    <c:v>5.8395618189622702</c:v>
                  </c:pt>
                  <c:pt idx="12">
                    <c:v>0.64715690652588176</c:v>
                  </c:pt>
                  <c:pt idx="13">
                    <c:v>0.52403294220565133</c:v>
                  </c:pt>
                  <c:pt idx="14">
                    <c:v>6.1216702415796753</c:v>
                  </c:pt>
                  <c:pt idx="15">
                    <c:v>3.1875729612734478</c:v>
                  </c:pt>
                </c:numCache>
              </c:numRef>
            </c:plus>
            <c:minus>
              <c:numRef>
                <c:f>LCIA!$FU$330:$GJ$330</c:f>
                <c:numCache>
                  <c:formatCode>General</c:formatCode>
                  <c:ptCount val="16"/>
                  <c:pt idx="0">
                    <c:v>4.3600027554935323</c:v>
                  </c:pt>
                  <c:pt idx="1">
                    <c:v>2.221014632959049</c:v>
                  </c:pt>
                  <c:pt idx="2">
                    <c:v>5.7232714038750672</c:v>
                  </c:pt>
                  <c:pt idx="3">
                    <c:v>2.9005907454734814</c:v>
                  </c:pt>
                  <c:pt idx="4">
                    <c:v>5.5554135442311221</c:v>
                  </c:pt>
                  <c:pt idx="5">
                    <c:v>2.8175459444681241</c:v>
                  </c:pt>
                  <c:pt idx="6">
                    <c:v>4.6563894667675605</c:v>
                  </c:pt>
                  <c:pt idx="7">
                    <c:v>2.3691888688660789</c:v>
                  </c:pt>
                  <c:pt idx="8">
                    <c:v>4.2061359840273091</c:v>
                  </c:pt>
                  <c:pt idx="9">
                    <c:v>2.1432581771856345</c:v>
                  </c:pt>
                  <c:pt idx="10">
                    <c:v>7.4841218949084123</c:v>
                  </c:pt>
                  <c:pt idx="11">
                    <c:v>3.6405167224019817</c:v>
                  </c:pt>
                  <c:pt idx="12">
                    <c:v>0.32872564063919629</c:v>
                  </c:pt>
                  <c:pt idx="13">
                    <c:v>0.28430978755474268</c:v>
                  </c:pt>
                  <c:pt idx="14">
                    <c:v>4.1139862287144275</c:v>
                  </c:pt>
                  <c:pt idx="15">
                    <c:v>2.0971082233732385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(LCIA!$FU$6:$FV$7,LCIA!$FW$6:$FX$7,LCIA!$FY$6:$FZ$7,LCIA!$GA$6:$GB$7,LCIA!$GC$6:$GD$7,LCIA!$GE$6:$GF$7,LCIA!$GG$6:$GH$7,LCIA!$GI$6:$GJ$7)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LCIA!$FU$65:$GJ$65</c:f>
              <c:numCache>
                <c:formatCode>0.0</c:formatCode>
                <c:ptCount val="16"/>
                <c:pt idx="0">
                  <c:v>0.16828009370246294</c:v>
                </c:pt>
                <c:pt idx="1">
                  <c:v>0.14614674172343931</c:v>
                </c:pt>
                <c:pt idx="2">
                  <c:v>0.1903047557030714</c:v>
                </c:pt>
                <c:pt idx="3">
                  <c:v>0.16123030799694565</c:v>
                </c:pt>
                <c:pt idx="4">
                  <c:v>0.18763134297065531</c:v>
                </c:pt>
                <c:pt idx="5">
                  <c:v>0.15939942413935365</c:v>
                </c:pt>
                <c:pt idx="6">
                  <c:v>0.17274341547570304</c:v>
                </c:pt>
                <c:pt idx="7">
                  <c:v>0.14911972685945532</c:v>
                </c:pt>
                <c:pt idx="8">
                  <c:v>0.16531310826588061</c:v>
                </c:pt>
                <c:pt idx="9">
                  <c:v>0.14397765560705608</c:v>
                </c:pt>
                <c:pt idx="10">
                  <c:v>0.22329799727207578</c:v>
                </c:pt>
                <c:pt idx="11">
                  <c:v>0.1838734712573647</c:v>
                </c:pt>
                <c:pt idx="12">
                  <c:v>0.25687483838757358</c:v>
                </c:pt>
                <c:pt idx="13">
                  <c:v>0.21163550795730107</c:v>
                </c:pt>
                <c:pt idx="14">
                  <c:v>0.10221890224585564</c:v>
                </c:pt>
                <c:pt idx="15">
                  <c:v>7.0249274658025787E-2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39-490E-A862-DA87DDFB9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LCIA!$AQ$9</c15:sqref>
                        </c15:formulaRef>
                      </c:ext>
                    </c:extLst>
                    <c:strCache>
                      <c:ptCount val="1"/>
                      <c:pt idx="0">
                        <c:v>Cathode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LCIA!$AR$9:$BC$9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332.10696267202263</c:v>
                      </c:pt>
                      <c:pt idx="1">
                        <c:v>327.66943612886445</c:v>
                      </c:pt>
                      <c:pt idx="2">
                        <c:v>477.73867686327486</c:v>
                      </c:pt>
                      <c:pt idx="3">
                        <c:v>471.908695739964</c:v>
                      </c:pt>
                      <c:pt idx="4">
                        <c:v>483.78945575126505</c:v>
                      </c:pt>
                      <c:pt idx="5">
                        <c:v>478.12849451138254</c:v>
                      </c:pt>
                      <c:pt idx="6">
                        <c:v>364.73486611247858</c:v>
                      </c:pt>
                      <c:pt idx="7">
                        <c:v>359.99778251615709</c:v>
                      </c:pt>
                      <c:pt idx="8">
                        <c:v>310.12100685003321</c:v>
                      </c:pt>
                      <c:pt idx="9">
                        <c:v>305.84259631519399</c:v>
                      </c:pt>
                      <c:pt idx="10">
                        <c:v>172.00425524646016</c:v>
                      </c:pt>
                      <c:pt idx="11">
                        <c:v>164.09827407055658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2C39-490E-A862-DA87DDFB922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LCIA!$AQ$12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LCIA!$AR$12:$BC$12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1.3604293226602815</c:v>
                      </c:pt>
                      <c:pt idx="1">
                        <c:v>1.3604293226602815</c:v>
                      </c:pt>
                      <c:pt idx="2">
                        <c:v>1.819795067974143</c:v>
                      </c:pt>
                      <c:pt idx="3">
                        <c:v>1.8197950679741424</c:v>
                      </c:pt>
                      <c:pt idx="4">
                        <c:v>1.7737243067596078</c:v>
                      </c:pt>
                      <c:pt idx="5">
                        <c:v>1.773724306759608</c:v>
                      </c:pt>
                      <c:pt idx="6">
                        <c:v>1.4749917919369366</c:v>
                      </c:pt>
                      <c:pt idx="7">
                        <c:v>1.4749917919369366</c:v>
                      </c:pt>
                      <c:pt idx="8">
                        <c:v>1.334516383181038</c:v>
                      </c:pt>
                      <c:pt idx="9">
                        <c:v>1.3345163831810383</c:v>
                      </c:pt>
                      <c:pt idx="10">
                        <c:v>1.9704968470407518</c:v>
                      </c:pt>
                      <c:pt idx="11">
                        <c:v>1.9704968470407518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C39-490E-A862-DA87DDFB922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LCIA!$AQ$13</c15:sqref>
                        </c15:formulaRef>
                      </c:ext>
                    </c:extLst>
                    <c:strCache>
                      <c:ptCount val="1"/>
                      <c:pt idx="0">
                        <c:v>Binder (PVDF)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LCIA!$AR$13:$BC$13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2.117945455915887</c:v>
                      </c:pt>
                      <c:pt idx="1">
                        <c:v>2.1179454559158875</c:v>
                      </c:pt>
                      <c:pt idx="2">
                        <c:v>2.8330958696017716</c:v>
                      </c:pt>
                      <c:pt idx="3">
                        <c:v>2.8330958696017703</c:v>
                      </c:pt>
                      <c:pt idx="4">
                        <c:v>2.7613719235359033</c:v>
                      </c:pt>
                      <c:pt idx="5">
                        <c:v>2.7613719235359033</c:v>
                      </c:pt>
                      <c:pt idx="6">
                        <c:v>2.2962987574666989</c:v>
                      </c:pt>
                      <c:pt idx="7">
                        <c:v>2.2962987574666984</c:v>
                      </c:pt>
                      <c:pt idx="8">
                        <c:v>2.0776036377079659</c:v>
                      </c:pt>
                      <c:pt idx="9">
                        <c:v>2.0776036377079654</c:v>
                      </c:pt>
                      <c:pt idx="10">
                        <c:v>3.067711621303169</c:v>
                      </c:pt>
                      <c:pt idx="11">
                        <c:v>3.0677116213031681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C39-490E-A862-DA87DDFB922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LCIA!$AQ$14</c15:sqref>
                        </c15:formulaRef>
                      </c:ext>
                    </c:extLst>
                    <c:strCache>
                      <c:ptCount val="1"/>
                      <c:pt idx="0">
                        <c:v>Solvent (NMP)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LCIA!$AR$14:$BC$14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60.732924443960734</c:v>
                      </c:pt>
                      <c:pt idx="1">
                        <c:v>60.732924443960734</c:v>
                      </c:pt>
                      <c:pt idx="2">
                        <c:v>81.240145684778625</c:v>
                      </c:pt>
                      <c:pt idx="3">
                        <c:v>81.240145684778625</c:v>
                      </c:pt>
                      <c:pt idx="4">
                        <c:v>79.183433135796889</c:v>
                      </c:pt>
                      <c:pt idx="5">
                        <c:v>79.183433135796889</c:v>
                      </c:pt>
                      <c:pt idx="6">
                        <c:v>65.847275976083722</c:v>
                      </c:pt>
                      <c:pt idx="7">
                        <c:v>65.847275976083722</c:v>
                      </c:pt>
                      <c:pt idx="8">
                        <c:v>59.576106835504326</c:v>
                      </c:pt>
                      <c:pt idx="9">
                        <c:v>59.576106835504326</c:v>
                      </c:pt>
                      <c:pt idx="10">
                        <c:v>87.967845249299373</c:v>
                      </c:pt>
                      <c:pt idx="11">
                        <c:v>87.967845249299373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C39-490E-A862-DA87DDFB922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LCIA!$AQ$15</c15:sqref>
                        </c15:formulaRef>
                      </c:ext>
                    </c:extLst>
                    <c:strCache>
                      <c:ptCount val="1"/>
                      <c:pt idx="0">
                        <c:v>NMC/NCA/NFM active material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LCIA!$AR$15:$BC$15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258.81890461120764</c:v>
                      </c:pt>
                      <c:pt idx="1">
                        <c:v>258.81890461120764</c:v>
                      </c:pt>
                      <c:pt idx="2">
                        <c:v>379.92067885232996</c:v>
                      </c:pt>
                      <c:pt idx="3">
                        <c:v>379.92067885232996</c:v>
                      </c:pt>
                      <c:pt idx="4">
                        <c:v>388.49168748541302</c:v>
                      </c:pt>
                      <c:pt idx="5">
                        <c:v>388.49168748541302</c:v>
                      </c:pt>
                      <c:pt idx="6">
                        <c:v>285.42681041269731</c:v>
                      </c:pt>
                      <c:pt idx="7">
                        <c:v>285.42681041269731</c:v>
                      </c:pt>
                      <c:pt idx="8">
                        <c:v>238.38148571783233</c:v>
                      </c:pt>
                      <c:pt idx="9">
                        <c:v>238.38148571783233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C39-490E-A862-DA87DDFB922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LCIA!$AQ$17</c15:sqref>
                        </c15:formulaRef>
                      </c:ext>
                    </c:extLst>
                    <c:strCache>
                      <c:ptCount val="1"/>
                      <c:pt idx="0">
                        <c:v>LiOH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LCIA!$AR$17:$BC$17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18.092300568250593</c:v>
                      </c:pt>
                      <c:pt idx="1">
                        <c:v>18.092300568250593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19.498301657060082</c:v>
                      </c:pt>
                      <c:pt idx="7">
                        <c:v>19.498301657060082</c:v>
                      </c:pt>
                      <c:pt idx="8">
                        <c:v>17.609501359520774</c:v>
                      </c:pt>
                      <c:pt idx="9">
                        <c:v>17.609501359520774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C39-490E-A862-DA87DDFB9222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LCIA!$AQ$20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LCIA!$AR$20:$BC$20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26.283153316055923</c:v>
                      </c:pt>
                      <c:pt idx="1">
                        <c:v>26.283153316055923</c:v>
                      </c:pt>
                      <c:pt idx="2">
                        <c:v>30.764123557791283</c:v>
                      </c:pt>
                      <c:pt idx="3">
                        <c:v>30.764123557791283</c:v>
                      </c:pt>
                      <c:pt idx="4">
                        <c:v>29.985284986707956</c:v>
                      </c:pt>
                      <c:pt idx="5">
                        <c:v>29.985284986707956</c:v>
                      </c:pt>
                      <c:pt idx="6">
                        <c:v>28.496471490039582</c:v>
                      </c:pt>
                      <c:pt idx="7">
                        <c:v>28.496471490039582</c:v>
                      </c:pt>
                      <c:pt idx="8">
                        <c:v>25.782521824321528</c:v>
                      </c:pt>
                      <c:pt idx="9">
                        <c:v>25.782521824321528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C39-490E-A862-DA87DDFB9222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LCIA!$AQ$23</c15:sqref>
                        </c15:formulaRef>
                      </c:ext>
                    </c:extLst>
                    <c:strCache>
                      <c:ptCount val="1"/>
                      <c:pt idx="0">
                        <c:v>NCA(OH)2 / NMC(OH)2  / NFM(OH)2  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LCIA!$AR$23:$BC$23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C39-490E-A862-DA87DDFB9222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LCIA!$AQ$24</c15:sqref>
                        </c15:formulaRef>
                      </c:ext>
                    </c:extLst>
                    <c:strCache>
                      <c:ptCount val="1"/>
                      <c:pt idx="0">
                        <c:v>NiSO4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LCIA!$AR$24:$BC$24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141.48309692033857</c:v>
                      </c:pt>
                      <c:pt idx="1">
                        <c:v>141.48309692033857</c:v>
                      </c:pt>
                      <c:pt idx="2">
                        <c:v>105.29945712851278</c:v>
                      </c:pt>
                      <c:pt idx="3">
                        <c:v>105.29945712851278</c:v>
                      </c:pt>
                      <c:pt idx="4">
                        <c:v>122.68320927543928</c:v>
                      </c:pt>
                      <c:pt idx="5">
                        <c:v>122.68320927543928</c:v>
                      </c:pt>
                      <c:pt idx="6">
                        <c:v>135.53611285744236</c:v>
                      </c:pt>
                      <c:pt idx="7">
                        <c:v>135.53611285744236</c:v>
                      </c:pt>
                      <c:pt idx="8">
                        <c:v>137.70757224429735</c:v>
                      </c:pt>
                      <c:pt idx="9">
                        <c:v>137.70757224429735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C39-490E-A862-DA87DDFB9222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LCIA!$AQ$25</c15:sqref>
                        </c15:formulaRef>
                      </c:ext>
                    </c:extLst>
                    <c:strCache>
                      <c:ptCount val="1"/>
                      <c:pt idx="0">
                        <c:v>MnSO4 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LCIA!$AR$25:$BC$25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3.1405711295031846</c:v>
                      </c:pt>
                      <c:pt idx="3">
                        <c:v>3.1405711295031846</c:v>
                      </c:pt>
                      <c:pt idx="4">
                        <c:v>2.0328022133369807</c:v>
                      </c:pt>
                      <c:pt idx="5">
                        <c:v>2.0328022133369807</c:v>
                      </c:pt>
                      <c:pt idx="6">
                        <c:v>0.8421632588239728</c:v>
                      </c:pt>
                      <c:pt idx="7">
                        <c:v>0.8421632588239728</c:v>
                      </c:pt>
                      <c:pt idx="8">
                        <c:v>0.38029145594404679</c:v>
                      </c:pt>
                      <c:pt idx="9">
                        <c:v>0.38029145594404679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C39-490E-A862-DA87DDFB9222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LCIA!$AQ$26</c15:sqref>
                        </c15:formulaRef>
                      </c:ext>
                    </c:extLst>
                    <c:strCache>
                      <c:ptCount val="1"/>
                      <c:pt idx="0">
                        <c:v>CoSO4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LCIA!$AR$26:$BC$26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49.466080852204676</c:v>
                      </c:pt>
                      <c:pt idx="1">
                        <c:v>49.466080852204676</c:v>
                      </c:pt>
                      <c:pt idx="2">
                        <c:v>189.33614851938452</c:v>
                      </c:pt>
                      <c:pt idx="3">
                        <c:v>189.33614851938452</c:v>
                      </c:pt>
                      <c:pt idx="4">
                        <c:v>183.82784177019568</c:v>
                      </c:pt>
                      <c:pt idx="5">
                        <c:v>183.82784177019568</c:v>
                      </c:pt>
                      <c:pt idx="6">
                        <c:v>76.157460510449582</c:v>
                      </c:pt>
                      <c:pt idx="7">
                        <c:v>76.157460510449582</c:v>
                      </c:pt>
                      <c:pt idx="8">
                        <c:v>34.390044014700592</c:v>
                      </c:pt>
                      <c:pt idx="9">
                        <c:v>34.390044014700592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C39-490E-A862-DA87DDFB9222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LCIA!$AQ$29</c15:sqref>
                        </c15:formulaRef>
                      </c:ext>
                    </c:extLst>
                    <c:strCache>
                      <c:ptCount val="1"/>
                      <c:pt idx="0">
                        <c:v>NaOH 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LCIA!$AR$29:$BC$29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5.7011493365781689</c:v>
                      </c:pt>
                      <c:pt idx="1">
                        <c:v>5.7011493365781689</c:v>
                      </c:pt>
                      <c:pt idx="2">
                        <c:v>7.5247219141083415</c:v>
                      </c:pt>
                      <c:pt idx="3">
                        <c:v>7.5247219141083415</c:v>
                      </c:pt>
                      <c:pt idx="4">
                        <c:v>7.3058071594279452</c:v>
                      </c:pt>
                      <c:pt idx="5">
                        <c:v>7.3058071594279452</c:v>
                      </c:pt>
                      <c:pt idx="6">
                        <c:v>6.0533999081231915</c:v>
                      </c:pt>
                      <c:pt idx="7">
                        <c:v>6.0533999081231915</c:v>
                      </c:pt>
                      <c:pt idx="8">
                        <c:v>5.4670071161413567</c:v>
                      </c:pt>
                      <c:pt idx="9">
                        <c:v>5.4670071161413567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C39-490E-A862-DA87DDFB9222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LCIA!$AQ$30</c15:sqref>
                        </c15:formulaRef>
                      </c:ext>
                    </c:extLst>
                    <c:strCache>
                      <c:ptCount val="1"/>
                      <c:pt idx="0">
                        <c:v>NH4OH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LCIA!$AR$30:$BC$30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2.1555823705414752</c:v>
                      </c:pt>
                      <c:pt idx="1">
                        <c:v>2.1555823705414752</c:v>
                      </c:pt>
                      <c:pt idx="2">
                        <c:v>2.8877440841919082</c:v>
                      </c:pt>
                      <c:pt idx="3">
                        <c:v>2.8877440841919082</c:v>
                      </c:pt>
                      <c:pt idx="4">
                        <c:v>2.8037317053975017</c:v>
                      </c:pt>
                      <c:pt idx="5">
                        <c:v>2.8037317053975017</c:v>
                      </c:pt>
                      <c:pt idx="6">
                        <c:v>2.3230984444960709</c:v>
                      </c:pt>
                      <c:pt idx="7">
                        <c:v>2.3230984444960709</c:v>
                      </c:pt>
                      <c:pt idx="8">
                        <c:v>2.0980599200977941</c:v>
                      </c:pt>
                      <c:pt idx="9">
                        <c:v>2.0980599200977941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C39-490E-A862-DA87DDFB9222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LCIA!$AQ$31</c15:sqref>
                        </c15:formulaRef>
                      </c:ext>
                    </c:extLst>
                    <c:strCache>
                      <c:ptCount val="1"/>
                      <c:pt idx="0">
                        <c:v>Water loss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LCIA!$AR$31:$BC$31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1.4974966092954176E-3</c:v>
                      </c:pt>
                      <c:pt idx="1">
                        <c:v>1.4974966092954176E-3</c:v>
                      </c:pt>
                      <c:pt idx="2">
                        <c:v>2.0031448150315328E-3</c:v>
                      </c:pt>
                      <c:pt idx="3">
                        <c:v>2.0031448150315328E-3</c:v>
                      </c:pt>
                      <c:pt idx="4">
                        <c:v>1.9524322880687087E-3</c:v>
                      </c:pt>
                      <c:pt idx="5">
                        <c:v>1.9524322880687087E-3</c:v>
                      </c:pt>
                      <c:pt idx="6">
                        <c:v>1.6236015869202946E-3</c:v>
                      </c:pt>
                      <c:pt idx="7">
                        <c:v>1.6236015869202946E-3</c:v>
                      </c:pt>
                      <c:pt idx="8">
                        <c:v>1.4689728643564573E-3</c:v>
                      </c:pt>
                      <c:pt idx="9">
                        <c:v>1.4689728643564573E-3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C39-490E-A862-DA87DDFB9222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LCIA!$AQ$32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LCIA!$AR$32:$BC$32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15.235213349943471</c:v>
                      </c:pt>
                      <c:pt idx="1">
                        <c:v>15.235213349943471</c:v>
                      </c:pt>
                      <c:pt idx="2">
                        <c:v>20.379571104469839</c:v>
                      </c:pt>
                      <c:pt idx="3">
                        <c:v>20.379571104469839</c:v>
                      </c:pt>
                      <c:pt idx="4">
                        <c:v>19.863632595495915</c:v>
                      </c:pt>
                      <c:pt idx="5">
                        <c:v>19.863632595495915</c:v>
                      </c:pt>
                      <c:pt idx="6">
                        <c:v>16.518178684675554</c:v>
                      </c:pt>
                      <c:pt idx="7">
                        <c:v>16.518178684675554</c:v>
                      </c:pt>
                      <c:pt idx="8">
                        <c:v>14.945018809944548</c:v>
                      </c:pt>
                      <c:pt idx="9">
                        <c:v>14.945018809944548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C39-490E-A862-DA87DDFB9222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LCIA!$AQ$36</c15:sqref>
                        </c15:formulaRef>
                      </c:ext>
                    </c:extLst>
                    <c:strCache>
                      <c:ptCount val="1"/>
                      <c:pt idx="0">
                        <c:v>LFP/NaFP active material 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LCIA!$AR$36:$BC$36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62.826876396286842</c:v>
                      </c:pt>
                      <c:pt idx="11">
                        <c:v>62.826876396286842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C39-490E-A862-DA87DDFB9222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LCIA!$AQ$38</c15:sqref>
                        </c15:formulaRef>
                      </c:ext>
                    </c:extLst>
                    <c:strCache>
                      <c:ptCount val="1"/>
                      <c:pt idx="0">
                        <c:v>LiOH 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LCIA!$AR$38:$BC$38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C39-490E-A862-DA87DDFB9222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LCIA!$AQ$40</c15:sqref>
                        </c15:formulaRef>
                      </c:ext>
                    </c:extLst>
                    <c:strCache>
                      <c:ptCount val="1"/>
                      <c:pt idx="0">
                        <c:v>(NH4)2HPO4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LCIA!$AR$40:$BC$40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11.857378052248388</c:v>
                      </c:pt>
                      <c:pt idx="11">
                        <c:v>11.857378052248388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C39-490E-A862-DA87DDFB9222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LCIA!$AQ$41</c15:sqref>
                        </c15:formulaRef>
                      </c:ext>
                    </c:extLst>
                    <c:strCache>
                      <c:ptCount val="1"/>
                      <c:pt idx="0">
                        <c:v>Fe3O4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LCIA!$AR$41:$BC$41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4.0145742909650011</c:v>
                      </c:pt>
                      <c:pt idx="11">
                        <c:v>4.0145742909650011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C39-490E-A862-DA87DDFB9222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LCIA!$AQ$42</c15:sqref>
                        </c15:formulaRef>
                      </c:ext>
                    </c:extLst>
                    <c:strCache>
                      <c:ptCount val="1"/>
                      <c:pt idx="0">
                        <c:v>Water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LCIA!$AR$42:$BC$42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C39-490E-A862-DA87DDFB9222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LCIA!$AQ$43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LCIA!$AR$43:$BC$43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33.311777539920868</c:v>
                      </c:pt>
                      <c:pt idx="11">
                        <c:v>33.311777539920868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C39-490E-A862-DA87DDFB9222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LCIA!$AQ$44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LCIA!$AR$44:$BC$44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C39-490E-A862-DA87DDFB9222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LCIA!$AQ$49</c15:sqref>
                        </c15:formulaRef>
                      </c:ext>
                    </c:extLst>
                    <c:strCache>
                      <c:ptCount val="1"/>
                      <c:pt idx="0">
                        <c:v>Anode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LCIA!$AR$49:$BC$49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48.202980778210126</c:v>
                      </c:pt>
                      <c:pt idx="1">
                        <c:v>40.470769568325473</c:v>
                      </c:pt>
                      <c:pt idx="2">
                        <c:v>53.022252427701027</c:v>
                      </c:pt>
                      <c:pt idx="3">
                        <c:v>42.933952855843046</c:v>
                      </c:pt>
                      <c:pt idx="4">
                        <c:v>52.437276268322734</c:v>
                      </c:pt>
                      <c:pt idx="5">
                        <c:v>42.634965041049696</c:v>
                      </c:pt>
                      <c:pt idx="6">
                        <c:v>42.357207896502061</c:v>
                      </c:pt>
                      <c:pt idx="7">
                        <c:v>34.167531494157508</c:v>
                      </c:pt>
                      <c:pt idx="8">
                        <c:v>36.376636264605146</c:v>
                      </c:pt>
                      <c:pt idx="9">
                        <c:v>28.994583009132079</c:v>
                      </c:pt>
                      <c:pt idx="10">
                        <c:v>64.312861370485109</c:v>
                      </c:pt>
                      <c:pt idx="11">
                        <c:v>50.683919850698842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C39-490E-A862-DA87DDFB9222}"/>
                  </c:ext>
                </c:extLst>
              </c15:ser>
            </c15:filteredBarSeries>
            <c15:filteredBa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LCIA!$AQ$53</c15:sqref>
                        </c15:formulaRef>
                      </c:ext>
                    </c:extLst>
                    <c:strCache>
                      <c:ptCount val="1"/>
                      <c:pt idx="0">
                        <c:v>Graphite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LCIA!$AR$53:$BC$53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31.498728336765993</c:v>
                      </c:pt>
                      <c:pt idx="1">
                        <c:v>31.498728336765986</c:v>
                      </c:pt>
                      <c:pt idx="2">
                        <c:v>31.498728336765986</c:v>
                      </c:pt>
                      <c:pt idx="3">
                        <c:v>31.498728336765982</c:v>
                      </c:pt>
                      <c:pt idx="4">
                        <c:v>31.498728336766</c:v>
                      </c:pt>
                      <c:pt idx="5">
                        <c:v>31.498728336765989</c:v>
                      </c:pt>
                      <c:pt idx="6">
                        <c:v>23.317240457086506</c:v>
                      </c:pt>
                      <c:pt idx="7">
                        <c:v>23.317240457086516</c:v>
                      </c:pt>
                      <c:pt idx="8">
                        <c:v>18.095014150908128</c:v>
                      </c:pt>
                      <c:pt idx="9">
                        <c:v>18.095014150908124</c:v>
                      </c:pt>
                      <c:pt idx="10">
                        <c:v>35.436069378861738</c:v>
                      </c:pt>
                      <c:pt idx="11">
                        <c:v>35.436069378861745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C39-490E-A862-DA87DDFB9222}"/>
                  </c:ext>
                </c:extLst>
              </c15:ser>
            </c15:filteredBarSeries>
            <c15:filteredBa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LCIA!$AQ$54</c15:sqref>
                        </c15:formulaRef>
                      </c:ext>
                    </c:extLst>
                    <c:strCache>
                      <c:ptCount val="1"/>
                      <c:pt idx="0">
                        <c:v>SiO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LCIA!$AR$54:$BC$54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1.5961234664866157</c:v>
                      </c:pt>
                      <c:pt idx="7">
                        <c:v>1.5961234664866164</c:v>
                      </c:pt>
                      <c:pt idx="8">
                        <c:v>2.6149256791376483</c:v>
                      </c:pt>
                      <c:pt idx="9">
                        <c:v>2.6149256791376478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C39-490E-A862-DA87DDFB9222}"/>
                  </c:ext>
                </c:extLst>
              </c15:ser>
            </c15:filteredBarSeries>
            <c15:filteredBa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LCIA!$AQ$55</c15:sqref>
                        </c15:formulaRef>
                      </c:ext>
                    </c:extLst>
                    <c:strCache>
                      <c:ptCount val="1"/>
                      <c:pt idx="0">
                        <c:v>Hard Carbon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LCIA!$AR$55:$BC$55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C39-490E-A862-DA87DDFB9222}"/>
                  </c:ext>
                </c:extLst>
              </c15:ser>
            </c15:filteredBarSeries>
            <c15:filteredBarSeries>
              <c15:ser>
                <c:idx val="3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LCIA!$AQ$57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LCIA!$AR$57:$BC$57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0.42360247428898129</c:v>
                      </c:pt>
                      <c:pt idx="1">
                        <c:v>0.20957175043770643</c:v>
                      </c:pt>
                      <c:pt idx="2">
                        <c:v>0.42360247428898123</c:v>
                      </c:pt>
                      <c:pt idx="3">
                        <c:v>0.20957175043770643</c:v>
                      </c:pt>
                      <c:pt idx="4">
                        <c:v>0.4236024742889814</c:v>
                      </c:pt>
                      <c:pt idx="5">
                        <c:v>0.20957175043770648</c:v>
                      </c:pt>
                      <c:pt idx="6">
                        <c:v>0.33007985009530993</c:v>
                      </c:pt>
                      <c:pt idx="7">
                        <c:v>0.16330266267873234</c:v>
                      </c:pt>
                      <c:pt idx="8">
                        <c:v>0.27038455805679651</c:v>
                      </c:pt>
                      <c:pt idx="9">
                        <c:v>0.13376920240704673</c:v>
                      </c:pt>
                      <c:pt idx="10">
                        <c:v>0.47655278357510389</c:v>
                      </c:pt>
                      <c:pt idx="11">
                        <c:v>0.23576821924241984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C39-490E-A862-DA87DDFB9222}"/>
                  </c:ext>
                </c:extLst>
              </c15:ser>
            </c15:filteredBarSeries>
            <c15:filteredBarSeries>
              <c15:ser>
                <c:idx val="3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LCIA!$AQ$58</c15:sqref>
                        </c15:formulaRef>
                      </c:ext>
                    </c:extLst>
                    <c:strCache>
                      <c:ptCount val="1"/>
                      <c:pt idx="0">
                        <c:v>Binder (CMC-SBR)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LCIA!$AR$58:$BC$58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0.92084311943594255</c:v>
                      </c:pt>
                      <c:pt idx="1">
                        <c:v>0.91115003396819538</c:v>
                      </c:pt>
                      <c:pt idx="2">
                        <c:v>0.92084311943594244</c:v>
                      </c:pt>
                      <c:pt idx="3">
                        <c:v>0.91115003396819538</c:v>
                      </c:pt>
                      <c:pt idx="4">
                        <c:v>0.92084311943594277</c:v>
                      </c:pt>
                      <c:pt idx="5">
                        <c:v>0.91115003396819561</c:v>
                      </c:pt>
                      <c:pt idx="6">
                        <c:v>0.71754009306696787</c:v>
                      </c:pt>
                      <c:pt idx="7">
                        <c:v>0.70998703945573682</c:v>
                      </c:pt>
                      <c:pt idx="8">
                        <c:v>0.5877722038952824</c:v>
                      </c:pt>
                      <c:pt idx="9">
                        <c:v>0.58158512806480589</c:v>
                      </c:pt>
                      <c:pt idx="10">
                        <c:v>1.0359485093654353</c:v>
                      </c:pt>
                      <c:pt idx="11">
                        <c:v>1.0250437882142203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C39-490E-A862-DA87DDFB9222}"/>
                  </c:ext>
                </c:extLst>
              </c15:ser>
            </c15:filteredBarSeries>
            <c15:filteredBarSeries>
              <c15:ser>
                <c:idx val="32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LCIA!$AQ$59</c15:sqref>
                        </c15:formulaRef>
                      </c:ext>
                    </c:extLst>
                    <c:strCache>
                      <c:ptCount val="1"/>
                      <c:pt idx="0">
                        <c:v>Solvent (Water)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LCIA!$AR$59:$BC$59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1.5709898851325116E-3</c:v>
                      </c:pt>
                      <c:pt idx="1">
                        <c:v>1.5544531494995374E-3</c:v>
                      </c:pt>
                      <c:pt idx="2">
                        <c:v>1.570989885132511E-3</c:v>
                      </c:pt>
                      <c:pt idx="3">
                        <c:v>1.5544531494995372E-3</c:v>
                      </c:pt>
                      <c:pt idx="4">
                        <c:v>1.5709898851325118E-3</c:v>
                      </c:pt>
                      <c:pt idx="5">
                        <c:v>1.5544531494995377E-3</c:v>
                      </c:pt>
                      <c:pt idx="6">
                        <c:v>1.2241479624409176E-3</c:v>
                      </c:pt>
                      <c:pt idx="7">
                        <c:v>1.2112621944152244E-3</c:v>
                      </c:pt>
                      <c:pt idx="8">
                        <c:v>1.0027595011484118E-3</c:v>
                      </c:pt>
                      <c:pt idx="9">
                        <c:v>9.9220413797842816E-4</c:v>
                      </c:pt>
                      <c:pt idx="10">
                        <c:v>1.7673636207740752E-3</c:v>
                      </c:pt>
                      <c:pt idx="11">
                        <c:v>1.74875979318698E-3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C39-490E-A862-DA87DDFB9222}"/>
                  </c:ext>
                </c:extLst>
              </c15:ser>
            </c15:filteredBarSeries>
            <c15:filteredBa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LCIA!$AQ$66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LCIA!$AR$66:$BC$66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40.094210140883995</c:v>
                      </c:pt>
                      <c:pt idx="1">
                        <c:v>35.193180024698016</c:v>
                      </c:pt>
                      <c:pt idx="2">
                        <c:v>44.915175601951603</c:v>
                      </c:pt>
                      <c:pt idx="3">
                        <c:v>38.477292668618063</c:v>
                      </c:pt>
                      <c:pt idx="4">
                        <c:v>44.329993843166825</c:v>
                      </c:pt>
                      <c:pt idx="5">
                        <c:v>38.078658239780879</c:v>
                      </c:pt>
                      <c:pt idx="6">
                        <c:v>41.062052131551596</c:v>
                      </c:pt>
                      <c:pt idx="7">
                        <c:v>35.831130076583946</c:v>
                      </c:pt>
                      <c:pt idx="8">
                        <c:v>39.4298078919578</c:v>
                      </c:pt>
                      <c:pt idx="9">
                        <c:v>34.70558903329907</c:v>
                      </c:pt>
                      <c:pt idx="10">
                        <c:v>52.142258679525952</c:v>
                      </c:pt>
                      <c:pt idx="11">
                        <c:v>43.412677217798063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C39-490E-A862-DA87DDFB9222}"/>
                  </c:ext>
                </c:extLst>
              </c15:ser>
            </c15:filteredBarSeries>
            <c15:filteredBa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LCIA!$AQ$67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(LCIA!$FU$6:$FV$7,LCIA!$FW$6:$FX$7,LCIA!$FY$6:$FZ$7,LCIA!$GA$6:$GB$7,LCIA!$GC$6:$GD$7,LCIA!$GE$6:$GF$7,LCIA!$GG$6:$GH$7,LCIA!$GI$6:$GJ$7)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LCIA!$AR$67:$BC$67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12.360449052690958</c:v>
                      </c:pt>
                      <c:pt idx="1">
                        <c:v>8.7609442060309313</c:v>
                      </c:pt>
                      <c:pt idx="2">
                        <c:v>16.239043068697367</c:v>
                      </c:pt>
                      <c:pt idx="3">
                        <c:v>11.510047060403348</c:v>
                      </c:pt>
                      <c:pt idx="4">
                        <c:v>15.768248891425623</c:v>
                      </c:pt>
                      <c:pt idx="5">
                        <c:v>11.176353559300006</c:v>
                      </c:pt>
                      <c:pt idx="6">
                        <c:v>13.194846246259846</c:v>
                      </c:pt>
                      <c:pt idx="7">
                        <c:v>9.3523553454938906</c:v>
                      </c:pt>
                      <c:pt idx="8">
                        <c:v>11.917241492090291</c:v>
                      </c:pt>
                      <c:pt idx="9">
                        <c:v>8.4468037817177706</c:v>
                      </c:pt>
                      <c:pt idx="10">
                        <c:v>22.021609693119998</c:v>
                      </c:pt>
                      <c:pt idx="11">
                        <c:v>15.608663813586283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C39-490E-A862-DA87DDFB9222}"/>
                  </c:ext>
                </c:extLst>
              </c15:ser>
            </c15:filteredBarSeries>
          </c:ext>
        </c:extLst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8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Human toxicity, non-cancer (HTPnc)</a:t>
            </a:r>
          </a:p>
          <a:p>
            <a:pPr>
              <a:defRPr sz="900"/>
            </a:pPr>
            <a:r>
              <a:rPr lang="en-US" sz="900"/>
              <a:t>[kg1.4DCB-eq/kWh</a:t>
            </a:r>
            <a:r>
              <a:rPr lang="en-US" sz="900" baseline="-25000"/>
              <a:t>cell</a:t>
            </a:r>
            <a:r>
              <a:rPr lang="en-US" sz="900"/>
              <a:t>] </a:t>
            </a:r>
          </a:p>
        </c:rich>
      </c:tx>
      <c:layout>
        <c:manualLayout>
          <c:xMode val="edge"/>
          <c:yMode val="edge"/>
          <c:x val="0.33309615163717143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LCIA!$HF$10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LCIA!$HG$10:$HV$10</c:f>
              <c:numCache>
                <c:formatCode>0.0</c:formatCode>
                <c:ptCount val="16"/>
                <c:pt idx="0">
                  <c:v>3.5848804511195627</c:v>
                </c:pt>
                <c:pt idx="1">
                  <c:v>1.8322722305722206</c:v>
                </c:pt>
                <c:pt idx="2">
                  <c:v>4.7097826133742275</c:v>
                </c:pt>
                <c:pt idx="3">
                  <c:v>2.4072222246134931</c:v>
                </c:pt>
                <c:pt idx="4">
                  <c:v>4.5732389622974932</c:v>
                </c:pt>
                <c:pt idx="5">
                  <c:v>2.3374332473964969</c:v>
                </c:pt>
                <c:pt idx="6">
                  <c:v>3.82687927939376</c:v>
                </c:pt>
                <c:pt idx="7">
                  <c:v>1.9559605205790331</c:v>
                </c:pt>
                <c:pt idx="8">
                  <c:v>3.4563377005275187</c:v>
                </c:pt>
                <c:pt idx="9">
                  <c:v>1.7665726024918427</c:v>
                </c:pt>
                <c:pt idx="10">
                  <c:v>6.3868907799805292</c:v>
                </c:pt>
                <c:pt idx="11">
                  <c:v>3.2644108431011585</c:v>
                </c:pt>
                <c:pt idx="12">
                  <c:v>7.3277419348737656</c:v>
                </c:pt>
                <c:pt idx="13">
                  <c:v>3.7452903222688136</c:v>
                </c:pt>
                <c:pt idx="14">
                  <c:v>3.3629231680808287</c:v>
                </c:pt>
                <c:pt idx="15">
                  <c:v>1.7188273970190902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0-40E0-B179-8F6B307217A2}"/>
            </c:ext>
          </c:extLst>
        </c:ser>
        <c:ser>
          <c:idx val="2"/>
          <c:order val="2"/>
          <c:tx>
            <c:strRef>
              <c:f>LCIA!$HF$11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LCIA!$HG$11:$HV$11</c:f>
              <c:numCache>
                <c:formatCode>0.0</c:formatCode>
                <c:ptCount val="16"/>
                <c:pt idx="0">
                  <c:v>113.66436770957898</c:v>
                </c:pt>
                <c:pt idx="1">
                  <c:v>113.66436770957898</c:v>
                </c:pt>
                <c:pt idx="2">
                  <c:v>163.79868564876998</c:v>
                </c:pt>
                <c:pt idx="3">
                  <c:v>163.79868564876998</c:v>
                </c:pt>
                <c:pt idx="4">
                  <c:v>168.1037693080518</c:v>
                </c:pt>
                <c:pt idx="5">
                  <c:v>168.1037693080518</c:v>
                </c:pt>
                <c:pt idx="6">
                  <c:v>124.43330137529401</c:v>
                </c:pt>
                <c:pt idx="7">
                  <c:v>124.43330137529401</c:v>
                </c:pt>
                <c:pt idx="8">
                  <c:v>104.91479778384866</c:v>
                </c:pt>
                <c:pt idx="9">
                  <c:v>104.91479778384866</c:v>
                </c:pt>
                <c:pt idx="10">
                  <c:v>33.872711065545701</c:v>
                </c:pt>
                <c:pt idx="11">
                  <c:v>33.872711065545694</c:v>
                </c:pt>
                <c:pt idx="12">
                  <c:v>81.100803007548279</c:v>
                </c:pt>
                <c:pt idx="13">
                  <c:v>81.100803007548279</c:v>
                </c:pt>
                <c:pt idx="14">
                  <c:v>104.87364218124144</c:v>
                </c:pt>
                <c:pt idx="15">
                  <c:v>104.87364218124144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C0-40E0-B179-8F6B307217A2}"/>
            </c:ext>
          </c:extLst>
        </c:ser>
        <c:ser>
          <c:idx val="34"/>
          <c:order val="25"/>
          <c:tx>
            <c:strRef>
              <c:f>LCIA!$HF$61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(LCIA!$HG$61:$HR$61,LCIA!$HS$62:$HT$62,LCIA!$HU$63:$HV$63)</c:f>
              <c:numCache>
                <c:formatCode>0.0</c:formatCode>
                <c:ptCount val="16"/>
                <c:pt idx="0">
                  <c:v>7.0005331560217243</c:v>
                </c:pt>
                <c:pt idx="1">
                  <c:v>4.6760639830590742</c:v>
                </c:pt>
                <c:pt idx="2">
                  <c:v>8.1074861933671034</c:v>
                </c:pt>
                <c:pt idx="3">
                  <c:v>5.4034902647431799</c:v>
                </c:pt>
                <c:pt idx="4">
                  <c:v>7.9731212553651449</c:v>
                </c:pt>
                <c:pt idx="5">
                  <c:v>5.3151933054847502</c:v>
                </c:pt>
                <c:pt idx="6">
                  <c:v>6.4777616310665858</c:v>
                </c:pt>
                <c:pt idx="7">
                  <c:v>4.3159773656773766</c:v>
                </c:pt>
                <c:pt idx="8">
                  <c:v>5.6274664776536349</c:v>
                </c:pt>
                <c:pt idx="9">
                  <c:v>3.7466482017552014</c:v>
                </c:pt>
                <c:pt idx="10">
                  <c:v>10.191940851018414</c:v>
                </c:pt>
                <c:pt idx="11">
                  <c:v>6.7827389569803547</c:v>
                </c:pt>
                <c:pt idx="12">
                  <c:v>13.455629792842547</c:v>
                </c:pt>
                <c:pt idx="13">
                  <c:v>8.9970502532087266</c:v>
                </c:pt>
                <c:pt idx="14">
                  <c:v>7.3571067426499033</c:v>
                </c:pt>
                <c:pt idx="15">
                  <c:v>4.9047378284332686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C0-40E0-B179-8F6B307217A2}"/>
            </c:ext>
          </c:extLst>
        </c:ser>
        <c:ser>
          <c:idx val="33"/>
          <c:order val="26"/>
          <c:tx>
            <c:strRef>
              <c:f>LCIA!$HF$60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LCIA!$HG$60:$HV$60</c:f>
              <c:numCache>
                <c:formatCode>0.0</c:formatCode>
                <c:ptCount val="16"/>
                <c:pt idx="0">
                  <c:v>0.64558441885775464</c:v>
                </c:pt>
                <c:pt idx="1">
                  <c:v>0.32996536963840789</c:v>
                </c:pt>
                <c:pt idx="2">
                  <c:v>0.84816280845627257</c:v>
                </c:pt>
                <c:pt idx="3">
                  <c:v>0.4335054354332058</c:v>
                </c:pt>
                <c:pt idx="4">
                  <c:v>0.82357329847650174</c:v>
                </c:pt>
                <c:pt idx="5">
                  <c:v>0.42093746366576767</c:v>
                </c:pt>
                <c:pt idx="6">
                  <c:v>0.68916486039433766</c:v>
                </c:pt>
                <c:pt idx="7">
                  <c:v>0.35223981753488365</c:v>
                </c:pt>
                <c:pt idx="8">
                  <c:v>0.62243575377091021</c:v>
                </c:pt>
                <c:pt idx="9">
                  <c:v>0.31813382970513188</c:v>
                </c:pt>
                <c:pt idx="10">
                  <c:v>1.1501854047082594</c:v>
                </c:pt>
                <c:pt idx="11">
                  <c:v>0.5878725401842213</c:v>
                </c:pt>
                <c:pt idx="12">
                  <c:v>1.319618905865517</c:v>
                </c:pt>
                <c:pt idx="13">
                  <c:v>0.67447188522015311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C0-40E0-B179-8F6B307217A2}"/>
            </c:ext>
          </c:extLst>
        </c:ser>
        <c:ser>
          <c:idx val="26"/>
          <c:order val="27"/>
          <c:tx>
            <c:strRef>
              <c:f>LCIA!$HF$52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LCIA!$HG$52:$HV$52</c:f>
              <c:numCache>
                <c:formatCode>0.0</c:formatCode>
                <c:ptCount val="16"/>
                <c:pt idx="0">
                  <c:v>4.909533401464409</c:v>
                </c:pt>
                <c:pt idx="1">
                  <c:v>4.9011877769655614</c:v>
                </c:pt>
                <c:pt idx="2">
                  <c:v>4.9095334014644072</c:v>
                </c:pt>
                <c:pt idx="3">
                  <c:v>4.9011877769655614</c:v>
                </c:pt>
                <c:pt idx="4">
                  <c:v>4.909533401464409</c:v>
                </c:pt>
                <c:pt idx="5">
                  <c:v>4.9011877769655623</c:v>
                </c:pt>
                <c:pt idx="6">
                  <c:v>3.8655939083080031</c:v>
                </c:pt>
                <c:pt idx="7">
                  <c:v>3.85909082428293</c:v>
                </c:pt>
                <c:pt idx="8">
                  <c:v>3.1992495509741299</c:v>
                </c:pt>
                <c:pt idx="9">
                  <c:v>3.1939225566131646</c:v>
                </c:pt>
                <c:pt idx="10">
                  <c:v>5.5232250766474591</c:v>
                </c:pt>
                <c:pt idx="11">
                  <c:v>5.5138362490862596</c:v>
                </c:pt>
                <c:pt idx="12">
                  <c:v>3.0649383698074986</c:v>
                </c:pt>
                <c:pt idx="13">
                  <c:v>3.0546374847117801</c:v>
                </c:pt>
                <c:pt idx="14">
                  <c:v>116.4920316970624</c:v>
                </c:pt>
                <c:pt idx="15">
                  <c:v>59.540371756276343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C0-40E0-B179-8F6B307217A2}"/>
            </c:ext>
          </c:extLst>
        </c:ser>
        <c:ser>
          <c:idx val="25"/>
          <c:order val="28"/>
          <c:tx>
            <c:strRef>
              <c:f>LCIA!$HF$50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(LCIA!$HG$50:$HR$50,LCIA!$HS$51:$HT$51,LCIA!$HU$50:$HV$50)</c:f>
              <c:numCache>
                <c:formatCode>0.0</c:formatCode>
                <c:ptCount val="16"/>
                <c:pt idx="0">
                  <c:v>240.07651043498387</c:v>
                </c:pt>
                <c:pt idx="1">
                  <c:v>122.70577200010285</c:v>
                </c:pt>
                <c:pt idx="2">
                  <c:v>315.41028777490243</c:v>
                </c:pt>
                <c:pt idx="3">
                  <c:v>161.20970264050561</c:v>
                </c:pt>
                <c:pt idx="4">
                  <c:v>306.26607119096673</c:v>
                </c:pt>
                <c:pt idx="5">
                  <c:v>156.53599194204966</c:v>
                </c:pt>
                <c:pt idx="6">
                  <c:v>256.28297394572104</c:v>
                </c:pt>
                <c:pt idx="7">
                  <c:v>130.98907557225743</c:v>
                </c:pt>
                <c:pt idx="8">
                  <c:v>231.46810760966375</c:v>
                </c:pt>
                <c:pt idx="9">
                  <c:v>118.30592166716148</c:v>
                </c:pt>
                <c:pt idx="10">
                  <c:v>427.72484937628337</c:v>
                </c:pt>
                <c:pt idx="11">
                  <c:v>218.61492301454479</c:v>
                </c:pt>
                <c:pt idx="12">
                  <c:v>7.3277419348737656</c:v>
                </c:pt>
                <c:pt idx="13">
                  <c:v>3.7452903222688136</c:v>
                </c:pt>
                <c:pt idx="14">
                  <c:v>225.21221280940256</c:v>
                </c:pt>
                <c:pt idx="15">
                  <c:v>115.10846432480575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C0-40E0-B179-8F6B307217A2}"/>
            </c:ext>
          </c:extLst>
        </c:ser>
        <c:ser>
          <c:idx val="39"/>
          <c:order val="35"/>
          <c:tx>
            <c:strRef>
              <c:f>LCIA!$HF$64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LCIA!$HG$64:$HV$64</c:f>
              <c:numCache>
                <c:formatCode>0.0</c:formatCode>
                <c:ptCount val="16"/>
                <c:pt idx="0">
                  <c:v>0.20561244188533581</c:v>
                </c:pt>
                <c:pt idx="1">
                  <c:v>0.16926791753862749</c:v>
                </c:pt>
                <c:pt idx="2">
                  <c:v>0.2341544152578735</c:v>
                </c:pt>
                <c:pt idx="3">
                  <c:v>0.19132739801963231</c:v>
                </c:pt>
                <c:pt idx="4">
                  <c:v>0.23544988288051036</c:v>
                </c:pt>
                <c:pt idx="5">
                  <c:v>0.19261575884303436</c:v>
                </c:pt>
                <c:pt idx="6">
                  <c:v>0.19175997363127945</c:v>
                </c:pt>
                <c:pt idx="7">
                  <c:v>0.15658014612117477</c:v>
                </c:pt>
                <c:pt idx="8">
                  <c:v>0.16644171871894192</c:v>
                </c:pt>
                <c:pt idx="9">
                  <c:v>0.13556295765843976</c:v>
                </c:pt>
                <c:pt idx="10">
                  <c:v>0.30255649976005505</c:v>
                </c:pt>
                <c:pt idx="11">
                  <c:v>0.24601646239936983</c:v>
                </c:pt>
                <c:pt idx="12">
                  <c:v>0.40128622287195903</c:v>
                </c:pt>
                <c:pt idx="13">
                  <c:v>0.32845183143425988</c:v>
                </c:pt>
                <c:pt idx="14">
                  <c:v>0.12713580995633847</c:v>
                </c:pt>
                <c:pt idx="15">
                  <c:v>9.2118200052716204E-2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D-4899-B704-D8A1275D82EA}"/>
            </c:ext>
          </c:extLst>
        </c:ser>
        <c:ser>
          <c:idx val="35"/>
          <c:order val="36"/>
          <c:tx>
            <c:strRef>
              <c:f>LCIA!$HF$65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LCIA!$HG$331:$HV$331</c:f>
                <c:numCache>
                  <c:formatCode>General</c:formatCode>
                  <c:ptCount val="16"/>
                  <c:pt idx="0">
                    <c:v>93.980210339515679</c:v>
                  </c:pt>
                  <c:pt idx="1">
                    <c:v>50.031241020142346</c:v>
                  </c:pt>
                  <c:pt idx="2">
                    <c:v>122.73294755823315</c:v>
                  </c:pt>
                  <c:pt idx="3">
                    <c:v>64.548026618130848</c:v>
                  </c:pt>
                  <c:pt idx="4">
                    <c:v>119.42763135329966</c:v>
                  </c:pt>
                  <c:pt idx="5">
                    <c:v>63.04483727071937</c:v>
                  </c:pt>
                  <c:pt idx="6">
                    <c:v>100.05723333538009</c:v>
                  </c:pt>
                  <c:pt idx="7">
                    <c:v>53.037124743395964</c:v>
                  </c:pt>
                  <c:pt idx="8">
                    <c:v>90.568432905107954</c:v>
                  </c:pt>
                  <c:pt idx="9">
                    <c:v>48.223809578183847</c:v>
                  </c:pt>
                  <c:pt idx="10">
                    <c:v>164.24482422067609</c:v>
                  </c:pt>
                  <c:pt idx="11">
                    <c:v>84.730393907794564</c:v>
                  </c:pt>
                  <c:pt idx="12">
                    <c:v>11.002358527035952</c:v>
                  </c:pt>
                  <c:pt idx="13">
                    <c:v>9.3173550685902455</c:v>
                  </c:pt>
                  <c:pt idx="14">
                    <c:v>100.19825816413055</c:v>
                  </c:pt>
                  <c:pt idx="15">
                    <c:v>53.023839969612254</c:v>
                  </c:pt>
                </c:numCache>
              </c:numRef>
            </c:plus>
            <c:minus>
              <c:numRef>
                <c:f>LCIA!$HG$330:$HV$330</c:f>
                <c:numCache>
                  <c:formatCode>General</c:formatCode>
                  <c:ptCount val="16"/>
                  <c:pt idx="0">
                    <c:v>66.200727712612888</c:v>
                  </c:pt>
                  <c:pt idx="1">
                    <c:v>34.088330846685949</c:v>
                  </c:pt>
                  <c:pt idx="2">
                    <c:v>86.677306256050372</c:v>
                  </c:pt>
                  <c:pt idx="3">
                    <c:v>44.008796135841976</c:v>
                  </c:pt>
                  <c:pt idx="4">
                    <c:v>84.166205352515249</c:v>
                  </c:pt>
                  <c:pt idx="5">
                    <c:v>42.853230277984096</c:v>
                  </c:pt>
                  <c:pt idx="6">
                    <c:v>70.651561717863331</c:v>
                  </c:pt>
                  <c:pt idx="7">
                    <c:v>36.235748731774322</c:v>
                  </c:pt>
                  <c:pt idx="8">
                    <c:v>63.870504658625293</c:v>
                  </c:pt>
                  <c:pt idx="9">
                    <c:v>32.902725654937541</c:v>
                  </c:pt>
                  <c:pt idx="10">
                    <c:v>118.39338929225516</c:v>
                  </c:pt>
                  <c:pt idx="11">
                    <c:v>59.895505907160697</c:v>
                  </c:pt>
                  <c:pt idx="12">
                    <c:v>10.331545280489593</c:v>
                  </c:pt>
                  <c:pt idx="13">
                    <c:v>9.9318344012020248</c:v>
                  </c:pt>
                  <c:pt idx="14">
                    <c:v>65.050991644482224</c:v>
                  </c:pt>
                  <c:pt idx="15">
                    <c:v>33.476259241044232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LCIA!$HG$65:$HV$65</c:f>
              <c:numCache>
                <c:formatCode>0.0</c:formatCode>
                <c:ptCount val="16"/>
                <c:pt idx="0">
                  <c:v>5.75558351898359</c:v>
                </c:pt>
                <c:pt idx="1">
                  <c:v>5.0289581036140696</c:v>
                </c:pt>
                <c:pt idx="2">
                  <c:v>6.4740716797880449</c:v>
                </c:pt>
                <c:pt idx="3">
                  <c:v>5.5195843980400472</c:v>
                </c:pt>
                <c:pt idx="4">
                  <c:v>6.3868596536905828</c:v>
                </c:pt>
                <c:pt idx="5">
                  <c:v>5.4600308583607413</c:v>
                </c:pt>
                <c:pt idx="6">
                  <c:v>5.9004408208606476</c:v>
                </c:pt>
                <c:pt idx="7">
                  <c:v>5.1248979728813699</c:v>
                </c:pt>
                <c:pt idx="8">
                  <c:v>5.6575738829968421</c:v>
                </c:pt>
                <c:pt idx="9">
                  <c:v>4.9571537310162404</c:v>
                </c:pt>
                <c:pt idx="10">
                  <c:v>7.5508018974611346</c:v>
                </c:pt>
                <c:pt idx="11">
                  <c:v>6.25653874132444</c:v>
                </c:pt>
                <c:pt idx="12">
                  <c:v>8.687236638047187</c:v>
                </c:pt>
                <c:pt idx="13">
                  <c:v>7.202061945560791</c:v>
                </c:pt>
                <c:pt idx="14">
                  <c:v>3.3117328472373173</c:v>
                </c:pt>
                <c:pt idx="15">
                  <c:v>2.2571273168116388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C0-40E0-B179-8F6B30721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LCIA!$AQ$9</c15:sqref>
                        </c15:formulaRef>
                      </c:ext>
                    </c:extLst>
                    <c:strCache>
                      <c:ptCount val="1"/>
                      <c:pt idx="0">
                        <c:v>Cathode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LCIA!$AR$9:$BC$9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332.10696267202263</c:v>
                      </c:pt>
                      <c:pt idx="1">
                        <c:v>327.66943612886445</c:v>
                      </c:pt>
                      <c:pt idx="2">
                        <c:v>477.73867686327486</c:v>
                      </c:pt>
                      <c:pt idx="3">
                        <c:v>471.908695739964</c:v>
                      </c:pt>
                      <c:pt idx="4">
                        <c:v>483.78945575126505</c:v>
                      </c:pt>
                      <c:pt idx="5">
                        <c:v>478.12849451138254</c:v>
                      </c:pt>
                      <c:pt idx="6">
                        <c:v>364.73486611247858</c:v>
                      </c:pt>
                      <c:pt idx="7">
                        <c:v>359.99778251615709</c:v>
                      </c:pt>
                      <c:pt idx="8">
                        <c:v>310.12100685003321</c:v>
                      </c:pt>
                      <c:pt idx="9">
                        <c:v>305.84259631519399</c:v>
                      </c:pt>
                      <c:pt idx="10">
                        <c:v>172.00425524646016</c:v>
                      </c:pt>
                      <c:pt idx="11">
                        <c:v>164.09827407055658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BEC0-40E0-B179-8F6B307217A2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LCIA!$AQ$12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LCIA!$AR$12:$BC$12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1.3604293226602815</c:v>
                      </c:pt>
                      <c:pt idx="1">
                        <c:v>1.3604293226602815</c:v>
                      </c:pt>
                      <c:pt idx="2">
                        <c:v>1.819795067974143</c:v>
                      </c:pt>
                      <c:pt idx="3">
                        <c:v>1.8197950679741424</c:v>
                      </c:pt>
                      <c:pt idx="4">
                        <c:v>1.7737243067596078</c:v>
                      </c:pt>
                      <c:pt idx="5">
                        <c:v>1.773724306759608</c:v>
                      </c:pt>
                      <c:pt idx="6">
                        <c:v>1.4749917919369366</c:v>
                      </c:pt>
                      <c:pt idx="7">
                        <c:v>1.4749917919369366</c:v>
                      </c:pt>
                      <c:pt idx="8">
                        <c:v>1.334516383181038</c:v>
                      </c:pt>
                      <c:pt idx="9">
                        <c:v>1.3345163831810383</c:v>
                      </c:pt>
                      <c:pt idx="10">
                        <c:v>1.9704968470407518</c:v>
                      </c:pt>
                      <c:pt idx="11">
                        <c:v>1.9704968470407518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C0-40E0-B179-8F6B307217A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LCIA!$AQ$13</c15:sqref>
                        </c15:formulaRef>
                      </c:ext>
                    </c:extLst>
                    <c:strCache>
                      <c:ptCount val="1"/>
                      <c:pt idx="0">
                        <c:v>Binder (PVDF)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LCIA!$AR$13:$BC$13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2.117945455915887</c:v>
                      </c:pt>
                      <c:pt idx="1">
                        <c:v>2.1179454559158875</c:v>
                      </c:pt>
                      <c:pt idx="2">
                        <c:v>2.8330958696017716</c:v>
                      </c:pt>
                      <c:pt idx="3">
                        <c:v>2.8330958696017703</c:v>
                      </c:pt>
                      <c:pt idx="4">
                        <c:v>2.7613719235359033</c:v>
                      </c:pt>
                      <c:pt idx="5">
                        <c:v>2.7613719235359033</c:v>
                      </c:pt>
                      <c:pt idx="6">
                        <c:v>2.2962987574666989</c:v>
                      </c:pt>
                      <c:pt idx="7">
                        <c:v>2.2962987574666984</c:v>
                      </c:pt>
                      <c:pt idx="8">
                        <c:v>2.0776036377079659</c:v>
                      </c:pt>
                      <c:pt idx="9">
                        <c:v>2.0776036377079654</c:v>
                      </c:pt>
                      <c:pt idx="10">
                        <c:v>3.067711621303169</c:v>
                      </c:pt>
                      <c:pt idx="11">
                        <c:v>3.0677116213031681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C0-40E0-B179-8F6B307217A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LCIA!$AQ$14</c15:sqref>
                        </c15:formulaRef>
                      </c:ext>
                    </c:extLst>
                    <c:strCache>
                      <c:ptCount val="1"/>
                      <c:pt idx="0">
                        <c:v>Solvent (NMP)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LCIA!$AR$14:$BC$14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60.732924443960734</c:v>
                      </c:pt>
                      <c:pt idx="1">
                        <c:v>60.732924443960734</c:v>
                      </c:pt>
                      <c:pt idx="2">
                        <c:v>81.240145684778625</c:v>
                      </c:pt>
                      <c:pt idx="3">
                        <c:v>81.240145684778625</c:v>
                      </c:pt>
                      <c:pt idx="4">
                        <c:v>79.183433135796889</c:v>
                      </c:pt>
                      <c:pt idx="5">
                        <c:v>79.183433135796889</c:v>
                      </c:pt>
                      <c:pt idx="6">
                        <c:v>65.847275976083722</c:v>
                      </c:pt>
                      <c:pt idx="7">
                        <c:v>65.847275976083722</c:v>
                      </c:pt>
                      <c:pt idx="8">
                        <c:v>59.576106835504326</c:v>
                      </c:pt>
                      <c:pt idx="9">
                        <c:v>59.576106835504326</c:v>
                      </c:pt>
                      <c:pt idx="10">
                        <c:v>87.967845249299373</c:v>
                      </c:pt>
                      <c:pt idx="11">
                        <c:v>87.967845249299373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EC0-40E0-B179-8F6B307217A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LCIA!$AQ$15</c15:sqref>
                        </c15:formulaRef>
                      </c:ext>
                    </c:extLst>
                    <c:strCache>
                      <c:ptCount val="1"/>
                      <c:pt idx="0">
                        <c:v>NMC/NCA/NFM active material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LCIA!$AR$15:$BC$15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258.81890461120764</c:v>
                      </c:pt>
                      <c:pt idx="1">
                        <c:v>258.81890461120764</c:v>
                      </c:pt>
                      <c:pt idx="2">
                        <c:v>379.92067885232996</c:v>
                      </c:pt>
                      <c:pt idx="3">
                        <c:v>379.92067885232996</c:v>
                      </c:pt>
                      <c:pt idx="4">
                        <c:v>388.49168748541302</c:v>
                      </c:pt>
                      <c:pt idx="5">
                        <c:v>388.49168748541302</c:v>
                      </c:pt>
                      <c:pt idx="6">
                        <c:v>285.42681041269731</c:v>
                      </c:pt>
                      <c:pt idx="7">
                        <c:v>285.42681041269731</c:v>
                      </c:pt>
                      <c:pt idx="8">
                        <c:v>238.38148571783233</c:v>
                      </c:pt>
                      <c:pt idx="9">
                        <c:v>238.38148571783233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EC0-40E0-B179-8F6B307217A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LCIA!$AQ$17</c15:sqref>
                        </c15:formulaRef>
                      </c:ext>
                    </c:extLst>
                    <c:strCache>
                      <c:ptCount val="1"/>
                      <c:pt idx="0">
                        <c:v>LiOH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LCIA!$AR$17:$BC$17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18.092300568250593</c:v>
                      </c:pt>
                      <c:pt idx="1">
                        <c:v>18.092300568250593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19.498301657060082</c:v>
                      </c:pt>
                      <c:pt idx="7">
                        <c:v>19.498301657060082</c:v>
                      </c:pt>
                      <c:pt idx="8">
                        <c:v>17.609501359520774</c:v>
                      </c:pt>
                      <c:pt idx="9">
                        <c:v>17.609501359520774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EC0-40E0-B179-8F6B307217A2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LCIA!$AQ$20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LCIA!$AR$20:$BC$20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26.283153316055923</c:v>
                      </c:pt>
                      <c:pt idx="1">
                        <c:v>26.283153316055923</c:v>
                      </c:pt>
                      <c:pt idx="2">
                        <c:v>30.764123557791283</c:v>
                      </c:pt>
                      <c:pt idx="3">
                        <c:v>30.764123557791283</c:v>
                      </c:pt>
                      <c:pt idx="4">
                        <c:v>29.985284986707956</c:v>
                      </c:pt>
                      <c:pt idx="5">
                        <c:v>29.985284986707956</c:v>
                      </c:pt>
                      <c:pt idx="6">
                        <c:v>28.496471490039582</c:v>
                      </c:pt>
                      <c:pt idx="7">
                        <c:v>28.496471490039582</c:v>
                      </c:pt>
                      <c:pt idx="8">
                        <c:v>25.782521824321528</c:v>
                      </c:pt>
                      <c:pt idx="9">
                        <c:v>25.782521824321528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EC0-40E0-B179-8F6B307217A2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LCIA!$AQ$23</c15:sqref>
                        </c15:formulaRef>
                      </c:ext>
                    </c:extLst>
                    <c:strCache>
                      <c:ptCount val="1"/>
                      <c:pt idx="0">
                        <c:v>NCA(OH)2 / NMC(OH)2  / NFM(OH)2  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LCIA!$AR$23:$BC$23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EC0-40E0-B179-8F6B307217A2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LCIA!$AQ$24</c15:sqref>
                        </c15:formulaRef>
                      </c:ext>
                    </c:extLst>
                    <c:strCache>
                      <c:ptCount val="1"/>
                      <c:pt idx="0">
                        <c:v>NiSO4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LCIA!$AR$24:$BC$24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141.48309692033857</c:v>
                      </c:pt>
                      <c:pt idx="1">
                        <c:v>141.48309692033857</c:v>
                      </c:pt>
                      <c:pt idx="2">
                        <c:v>105.29945712851278</c:v>
                      </c:pt>
                      <c:pt idx="3">
                        <c:v>105.29945712851278</c:v>
                      </c:pt>
                      <c:pt idx="4">
                        <c:v>122.68320927543928</c:v>
                      </c:pt>
                      <c:pt idx="5">
                        <c:v>122.68320927543928</c:v>
                      </c:pt>
                      <c:pt idx="6">
                        <c:v>135.53611285744236</c:v>
                      </c:pt>
                      <c:pt idx="7">
                        <c:v>135.53611285744236</c:v>
                      </c:pt>
                      <c:pt idx="8">
                        <c:v>137.70757224429735</c:v>
                      </c:pt>
                      <c:pt idx="9">
                        <c:v>137.70757224429735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EC0-40E0-B179-8F6B307217A2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LCIA!$AQ$25</c15:sqref>
                        </c15:formulaRef>
                      </c:ext>
                    </c:extLst>
                    <c:strCache>
                      <c:ptCount val="1"/>
                      <c:pt idx="0">
                        <c:v>MnSO4 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LCIA!$AR$25:$BC$25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3.1405711295031846</c:v>
                      </c:pt>
                      <c:pt idx="3">
                        <c:v>3.1405711295031846</c:v>
                      </c:pt>
                      <c:pt idx="4">
                        <c:v>2.0328022133369807</c:v>
                      </c:pt>
                      <c:pt idx="5">
                        <c:v>2.0328022133369807</c:v>
                      </c:pt>
                      <c:pt idx="6">
                        <c:v>0.8421632588239728</c:v>
                      </c:pt>
                      <c:pt idx="7">
                        <c:v>0.8421632588239728</c:v>
                      </c:pt>
                      <c:pt idx="8">
                        <c:v>0.38029145594404679</c:v>
                      </c:pt>
                      <c:pt idx="9">
                        <c:v>0.38029145594404679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EC0-40E0-B179-8F6B307217A2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LCIA!$AQ$26</c15:sqref>
                        </c15:formulaRef>
                      </c:ext>
                    </c:extLst>
                    <c:strCache>
                      <c:ptCount val="1"/>
                      <c:pt idx="0">
                        <c:v>CoSO4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LCIA!$AR$26:$BC$26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49.466080852204676</c:v>
                      </c:pt>
                      <c:pt idx="1">
                        <c:v>49.466080852204676</c:v>
                      </c:pt>
                      <c:pt idx="2">
                        <c:v>189.33614851938452</c:v>
                      </c:pt>
                      <c:pt idx="3">
                        <c:v>189.33614851938452</c:v>
                      </c:pt>
                      <c:pt idx="4">
                        <c:v>183.82784177019568</c:v>
                      </c:pt>
                      <c:pt idx="5">
                        <c:v>183.82784177019568</c:v>
                      </c:pt>
                      <c:pt idx="6">
                        <c:v>76.157460510449582</c:v>
                      </c:pt>
                      <c:pt idx="7">
                        <c:v>76.157460510449582</c:v>
                      </c:pt>
                      <c:pt idx="8">
                        <c:v>34.390044014700592</c:v>
                      </c:pt>
                      <c:pt idx="9">
                        <c:v>34.390044014700592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EC0-40E0-B179-8F6B307217A2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LCIA!$AQ$29</c15:sqref>
                        </c15:formulaRef>
                      </c:ext>
                    </c:extLst>
                    <c:strCache>
                      <c:ptCount val="1"/>
                      <c:pt idx="0">
                        <c:v>NaOH 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LCIA!$AR$29:$BC$29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5.7011493365781689</c:v>
                      </c:pt>
                      <c:pt idx="1">
                        <c:v>5.7011493365781689</c:v>
                      </c:pt>
                      <c:pt idx="2">
                        <c:v>7.5247219141083415</c:v>
                      </c:pt>
                      <c:pt idx="3">
                        <c:v>7.5247219141083415</c:v>
                      </c:pt>
                      <c:pt idx="4">
                        <c:v>7.3058071594279452</c:v>
                      </c:pt>
                      <c:pt idx="5">
                        <c:v>7.3058071594279452</c:v>
                      </c:pt>
                      <c:pt idx="6">
                        <c:v>6.0533999081231915</c:v>
                      </c:pt>
                      <c:pt idx="7">
                        <c:v>6.0533999081231915</c:v>
                      </c:pt>
                      <c:pt idx="8">
                        <c:v>5.4670071161413567</c:v>
                      </c:pt>
                      <c:pt idx="9">
                        <c:v>5.4670071161413567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EC0-40E0-B179-8F6B307217A2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LCIA!$AQ$30</c15:sqref>
                        </c15:formulaRef>
                      </c:ext>
                    </c:extLst>
                    <c:strCache>
                      <c:ptCount val="1"/>
                      <c:pt idx="0">
                        <c:v>NH4OH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LCIA!$AR$30:$BC$30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2.1555823705414752</c:v>
                      </c:pt>
                      <c:pt idx="1">
                        <c:v>2.1555823705414752</c:v>
                      </c:pt>
                      <c:pt idx="2">
                        <c:v>2.8877440841919082</c:v>
                      </c:pt>
                      <c:pt idx="3">
                        <c:v>2.8877440841919082</c:v>
                      </c:pt>
                      <c:pt idx="4">
                        <c:v>2.8037317053975017</c:v>
                      </c:pt>
                      <c:pt idx="5">
                        <c:v>2.8037317053975017</c:v>
                      </c:pt>
                      <c:pt idx="6">
                        <c:v>2.3230984444960709</c:v>
                      </c:pt>
                      <c:pt idx="7">
                        <c:v>2.3230984444960709</c:v>
                      </c:pt>
                      <c:pt idx="8">
                        <c:v>2.0980599200977941</c:v>
                      </c:pt>
                      <c:pt idx="9">
                        <c:v>2.0980599200977941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EC0-40E0-B179-8F6B307217A2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LCIA!$AQ$31</c15:sqref>
                        </c15:formulaRef>
                      </c:ext>
                    </c:extLst>
                    <c:strCache>
                      <c:ptCount val="1"/>
                      <c:pt idx="0">
                        <c:v>Water loss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LCIA!$AR$31:$BC$31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1.4974966092954176E-3</c:v>
                      </c:pt>
                      <c:pt idx="1">
                        <c:v>1.4974966092954176E-3</c:v>
                      </c:pt>
                      <c:pt idx="2">
                        <c:v>2.0031448150315328E-3</c:v>
                      </c:pt>
                      <c:pt idx="3">
                        <c:v>2.0031448150315328E-3</c:v>
                      </c:pt>
                      <c:pt idx="4">
                        <c:v>1.9524322880687087E-3</c:v>
                      </c:pt>
                      <c:pt idx="5">
                        <c:v>1.9524322880687087E-3</c:v>
                      </c:pt>
                      <c:pt idx="6">
                        <c:v>1.6236015869202946E-3</c:v>
                      </c:pt>
                      <c:pt idx="7">
                        <c:v>1.6236015869202946E-3</c:v>
                      </c:pt>
                      <c:pt idx="8">
                        <c:v>1.4689728643564573E-3</c:v>
                      </c:pt>
                      <c:pt idx="9">
                        <c:v>1.4689728643564573E-3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EC0-40E0-B179-8F6B307217A2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LCIA!$AQ$32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LCIA!$AR$32:$BC$32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15.235213349943471</c:v>
                      </c:pt>
                      <c:pt idx="1">
                        <c:v>15.235213349943471</c:v>
                      </c:pt>
                      <c:pt idx="2">
                        <c:v>20.379571104469839</c:v>
                      </c:pt>
                      <c:pt idx="3">
                        <c:v>20.379571104469839</c:v>
                      </c:pt>
                      <c:pt idx="4">
                        <c:v>19.863632595495915</c:v>
                      </c:pt>
                      <c:pt idx="5">
                        <c:v>19.863632595495915</c:v>
                      </c:pt>
                      <c:pt idx="6">
                        <c:v>16.518178684675554</c:v>
                      </c:pt>
                      <c:pt idx="7">
                        <c:v>16.518178684675554</c:v>
                      </c:pt>
                      <c:pt idx="8">
                        <c:v>14.945018809944548</c:v>
                      </c:pt>
                      <c:pt idx="9">
                        <c:v>14.945018809944548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EC0-40E0-B179-8F6B307217A2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LCIA!$AQ$36</c15:sqref>
                        </c15:formulaRef>
                      </c:ext>
                    </c:extLst>
                    <c:strCache>
                      <c:ptCount val="1"/>
                      <c:pt idx="0">
                        <c:v>LFP/NaFP active material 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LCIA!$AR$36:$BC$36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62.826876396286842</c:v>
                      </c:pt>
                      <c:pt idx="11">
                        <c:v>62.826876396286842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EC0-40E0-B179-8F6B307217A2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LCIA!$AQ$38</c15:sqref>
                        </c15:formulaRef>
                      </c:ext>
                    </c:extLst>
                    <c:strCache>
                      <c:ptCount val="1"/>
                      <c:pt idx="0">
                        <c:v>LiOH 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LCIA!$AR$38:$BC$38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EC0-40E0-B179-8F6B307217A2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LCIA!$AQ$40</c15:sqref>
                        </c15:formulaRef>
                      </c:ext>
                    </c:extLst>
                    <c:strCache>
                      <c:ptCount val="1"/>
                      <c:pt idx="0">
                        <c:v>(NH4)2HPO4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LCIA!$AR$40:$BC$40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11.857378052248388</c:v>
                      </c:pt>
                      <c:pt idx="11">
                        <c:v>11.857378052248388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EC0-40E0-B179-8F6B307217A2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LCIA!$AQ$41</c15:sqref>
                        </c15:formulaRef>
                      </c:ext>
                    </c:extLst>
                    <c:strCache>
                      <c:ptCount val="1"/>
                      <c:pt idx="0">
                        <c:v>Fe3O4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LCIA!$AR$41:$BC$41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4.0145742909650011</c:v>
                      </c:pt>
                      <c:pt idx="11">
                        <c:v>4.0145742909650011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BEC0-40E0-B179-8F6B307217A2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LCIA!$AQ$42</c15:sqref>
                        </c15:formulaRef>
                      </c:ext>
                    </c:extLst>
                    <c:strCache>
                      <c:ptCount val="1"/>
                      <c:pt idx="0">
                        <c:v>Water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LCIA!$AR$42:$BC$42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BEC0-40E0-B179-8F6B307217A2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LCIA!$AQ$43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LCIA!$AR$43:$BC$43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33.311777539920868</c:v>
                      </c:pt>
                      <c:pt idx="11">
                        <c:v>33.311777539920868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BEC0-40E0-B179-8F6B307217A2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LCIA!$AQ$44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LCIA!$AR$44:$BC$44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EC0-40E0-B179-8F6B307217A2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LCIA!$AQ$49</c15:sqref>
                        </c15:formulaRef>
                      </c:ext>
                    </c:extLst>
                    <c:strCache>
                      <c:ptCount val="1"/>
                      <c:pt idx="0">
                        <c:v>Anode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LCIA!$AR$49:$BC$49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48.202980778210126</c:v>
                      </c:pt>
                      <c:pt idx="1">
                        <c:v>40.470769568325473</c:v>
                      </c:pt>
                      <c:pt idx="2">
                        <c:v>53.022252427701027</c:v>
                      </c:pt>
                      <c:pt idx="3">
                        <c:v>42.933952855843046</c:v>
                      </c:pt>
                      <c:pt idx="4">
                        <c:v>52.437276268322734</c:v>
                      </c:pt>
                      <c:pt idx="5">
                        <c:v>42.634965041049696</c:v>
                      </c:pt>
                      <c:pt idx="6">
                        <c:v>42.357207896502061</c:v>
                      </c:pt>
                      <c:pt idx="7">
                        <c:v>34.167531494157508</c:v>
                      </c:pt>
                      <c:pt idx="8">
                        <c:v>36.376636264605146</c:v>
                      </c:pt>
                      <c:pt idx="9">
                        <c:v>28.994583009132079</c:v>
                      </c:pt>
                      <c:pt idx="10">
                        <c:v>64.312861370485109</c:v>
                      </c:pt>
                      <c:pt idx="11">
                        <c:v>50.683919850698842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BEC0-40E0-B179-8F6B307217A2}"/>
                  </c:ext>
                </c:extLst>
              </c15:ser>
            </c15:filteredBarSeries>
            <c15:filteredBa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LCIA!$AQ$53</c15:sqref>
                        </c15:formulaRef>
                      </c:ext>
                    </c:extLst>
                    <c:strCache>
                      <c:ptCount val="1"/>
                      <c:pt idx="0">
                        <c:v>Graphite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LCIA!$AR$53:$BC$53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31.498728336765993</c:v>
                      </c:pt>
                      <c:pt idx="1">
                        <c:v>31.498728336765986</c:v>
                      </c:pt>
                      <c:pt idx="2">
                        <c:v>31.498728336765986</c:v>
                      </c:pt>
                      <c:pt idx="3">
                        <c:v>31.498728336765982</c:v>
                      </c:pt>
                      <c:pt idx="4">
                        <c:v>31.498728336766</c:v>
                      </c:pt>
                      <c:pt idx="5">
                        <c:v>31.498728336765989</c:v>
                      </c:pt>
                      <c:pt idx="6">
                        <c:v>23.317240457086506</c:v>
                      </c:pt>
                      <c:pt idx="7">
                        <c:v>23.317240457086516</c:v>
                      </c:pt>
                      <c:pt idx="8">
                        <c:v>18.095014150908128</c:v>
                      </c:pt>
                      <c:pt idx="9">
                        <c:v>18.095014150908124</c:v>
                      </c:pt>
                      <c:pt idx="10">
                        <c:v>35.436069378861738</c:v>
                      </c:pt>
                      <c:pt idx="11">
                        <c:v>35.436069378861745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BEC0-40E0-B179-8F6B307217A2}"/>
                  </c:ext>
                </c:extLst>
              </c15:ser>
            </c15:filteredBarSeries>
            <c15:filteredBa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LCIA!$AQ$54</c15:sqref>
                        </c15:formulaRef>
                      </c:ext>
                    </c:extLst>
                    <c:strCache>
                      <c:ptCount val="1"/>
                      <c:pt idx="0">
                        <c:v>SiO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LCIA!$AR$54:$BC$54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1.5961234664866157</c:v>
                      </c:pt>
                      <c:pt idx="7">
                        <c:v>1.5961234664866164</c:v>
                      </c:pt>
                      <c:pt idx="8">
                        <c:v>2.6149256791376483</c:v>
                      </c:pt>
                      <c:pt idx="9">
                        <c:v>2.6149256791376478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BEC0-40E0-B179-8F6B307217A2}"/>
                  </c:ext>
                </c:extLst>
              </c15:ser>
            </c15:filteredBarSeries>
            <c15:filteredBa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LCIA!$AQ$55</c15:sqref>
                        </c15:formulaRef>
                      </c:ext>
                    </c:extLst>
                    <c:strCache>
                      <c:ptCount val="1"/>
                      <c:pt idx="0">
                        <c:v>Hard Carbon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LCIA!$AR$55:$BC$55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BEC0-40E0-B179-8F6B307217A2}"/>
                  </c:ext>
                </c:extLst>
              </c15:ser>
            </c15:filteredBarSeries>
            <c15:filteredBarSeries>
              <c15:ser>
                <c:idx val="3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LCIA!$AQ$57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LCIA!$AR$57:$BC$57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0.42360247428898129</c:v>
                      </c:pt>
                      <c:pt idx="1">
                        <c:v>0.20957175043770643</c:v>
                      </c:pt>
                      <c:pt idx="2">
                        <c:v>0.42360247428898123</c:v>
                      </c:pt>
                      <c:pt idx="3">
                        <c:v>0.20957175043770643</c:v>
                      </c:pt>
                      <c:pt idx="4">
                        <c:v>0.4236024742889814</c:v>
                      </c:pt>
                      <c:pt idx="5">
                        <c:v>0.20957175043770648</c:v>
                      </c:pt>
                      <c:pt idx="6">
                        <c:v>0.33007985009530993</c:v>
                      </c:pt>
                      <c:pt idx="7">
                        <c:v>0.16330266267873234</c:v>
                      </c:pt>
                      <c:pt idx="8">
                        <c:v>0.27038455805679651</c:v>
                      </c:pt>
                      <c:pt idx="9">
                        <c:v>0.13376920240704673</c:v>
                      </c:pt>
                      <c:pt idx="10">
                        <c:v>0.47655278357510389</c:v>
                      </c:pt>
                      <c:pt idx="11">
                        <c:v>0.23576821924241984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BEC0-40E0-B179-8F6B307217A2}"/>
                  </c:ext>
                </c:extLst>
              </c15:ser>
            </c15:filteredBarSeries>
            <c15:filteredBarSeries>
              <c15:ser>
                <c:idx val="3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LCIA!$AQ$58</c15:sqref>
                        </c15:formulaRef>
                      </c:ext>
                    </c:extLst>
                    <c:strCache>
                      <c:ptCount val="1"/>
                      <c:pt idx="0">
                        <c:v>Binder (CMC-SBR)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LCIA!$AR$58:$BC$58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0.92084311943594255</c:v>
                      </c:pt>
                      <c:pt idx="1">
                        <c:v>0.91115003396819538</c:v>
                      </c:pt>
                      <c:pt idx="2">
                        <c:v>0.92084311943594244</c:v>
                      </c:pt>
                      <c:pt idx="3">
                        <c:v>0.91115003396819538</c:v>
                      </c:pt>
                      <c:pt idx="4">
                        <c:v>0.92084311943594277</c:v>
                      </c:pt>
                      <c:pt idx="5">
                        <c:v>0.91115003396819561</c:v>
                      </c:pt>
                      <c:pt idx="6">
                        <c:v>0.71754009306696787</c:v>
                      </c:pt>
                      <c:pt idx="7">
                        <c:v>0.70998703945573682</c:v>
                      </c:pt>
                      <c:pt idx="8">
                        <c:v>0.5877722038952824</c:v>
                      </c:pt>
                      <c:pt idx="9">
                        <c:v>0.58158512806480589</c:v>
                      </c:pt>
                      <c:pt idx="10">
                        <c:v>1.0359485093654353</c:v>
                      </c:pt>
                      <c:pt idx="11">
                        <c:v>1.0250437882142203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BEC0-40E0-B179-8F6B307217A2}"/>
                  </c:ext>
                </c:extLst>
              </c15:ser>
            </c15:filteredBarSeries>
            <c15:filteredBarSeries>
              <c15:ser>
                <c:idx val="32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LCIA!$AQ$59</c15:sqref>
                        </c15:formulaRef>
                      </c:ext>
                    </c:extLst>
                    <c:strCache>
                      <c:ptCount val="1"/>
                      <c:pt idx="0">
                        <c:v>Solvent (Water)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LCIA!$AR$59:$BC$59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1.5709898851325116E-3</c:v>
                      </c:pt>
                      <c:pt idx="1">
                        <c:v>1.5544531494995374E-3</c:v>
                      </c:pt>
                      <c:pt idx="2">
                        <c:v>1.570989885132511E-3</c:v>
                      </c:pt>
                      <c:pt idx="3">
                        <c:v>1.5544531494995372E-3</c:v>
                      </c:pt>
                      <c:pt idx="4">
                        <c:v>1.5709898851325118E-3</c:v>
                      </c:pt>
                      <c:pt idx="5">
                        <c:v>1.5544531494995377E-3</c:v>
                      </c:pt>
                      <c:pt idx="6">
                        <c:v>1.2241479624409176E-3</c:v>
                      </c:pt>
                      <c:pt idx="7">
                        <c:v>1.2112621944152244E-3</c:v>
                      </c:pt>
                      <c:pt idx="8">
                        <c:v>1.0027595011484118E-3</c:v>
                      </c:pt>
                      <c:pt idx="9">
                        <c:v>9.9220413797842816E-4</c:v>
                      </c:pt>
                      <c:pt idx="10">
                        <c:v>1.7673636207740752E-3</c:v>
                      </c:pt>
                      <c:pt idx="11">
                        <c:v>1.74875979318698E-3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BEC0-40E0-B179-8F6B307217A2}"/>
                  </c:ext>
                </c:extLst>
              </c15:ser>
            </c15:filteredBarSeries>
            <c15:filteredBa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LCIA!$AQ$66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LCIA!$AR$66:$BC$66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40.094210140883995</c:v>
                      </c:pt>
                      <c:pt idx="1">
                        <c:v>35.193180024698016</c:v>
                      </c:pt>
                      <c:pt idx="2">
                        <c:v>44.915175601951603</c:v>
                      </c:pt>
                      <c:pt idx="3">
                        <c:v>38.477292668618063</c:v>
                      </c:pt>
                      <c:pt idx="4">
                        <c:v>44.329993843166825</c:v>
                      </c:pt>
                      <c:pt idx="5">
                        <c:v>38.078658239780879</c:v>
                      </c:pt>
                      <c:pt idx="6">
                        <c:v>41.062052131551596</c:v>
                      </c:pt>
                      <c:pt idx="7">
                        <c:v>35.831130076583946</c:v>
                      </c:pt>
                      <c:pt idx="8">
                        <c:v>39.4298078919578</c:v>
                      </c:pt>
                      <c:pt idx="9">
                        <c:v>34.70558903329907</c:v>
                      </c:pt>
                      <c:pt idx="10">
                        <c:v>52.142258679525952</c:v>
                      </c:pt>
                      <c:pt idx="11">
                        <c:v>43.412677217798063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BEC0-40E0-B179-8F6B307217A2}"/>
                  </c:ext>
                </c:extLst>
              </c15:ser>
            </c15:filteredBarSeries>
            <c15:filteredBa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LCIA!$AQ$67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(LCIA!$BK$6:$BV$7,LCIA!$BW$6:$BX$7,LCIA!$BY$6:$BZ$7)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
532</c:v>
                        </c:pt>
                        <c:pt idx="4">
                          <c:v>NMC
622</c:v>
                        </c:pt>
                        <c:pt idx="6">
                          <c:v>NMC
811</c:v>
                        </c:pt>
                        <c:pt idx="8">
                          <c:v>NMC
900</c:v>
                        </c:pt>
                        <c:pt idx="10">
                          <c:v>LFP</c:v>
                        </c:pt>
                        <c:pt idx="12">
                          <c:v>NaNFM
422 
(SIB)</c:v>
                        </c:pt>
                        <c:pt idx="14">
                          <c:v>NMC
900|Li 
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LCIA!$AR$67:$BC$67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12.360449052690958</c:v>
                      </c:pt>
                      <c:pt idx="1">
                        <c:v>8.7609442060309313</c:v>
                      </c:pt>
                      <c:pt idx="2">
                        <c:v>16.239043068697367</c:v>
                      </c:pt>
                      <c:pt idx="3">
                        <c:v>11.510047060403348</c:v>
                      </c:pt>
                      <c:pt idx="4">
                        <c:v>15.768248891425623</c:v>
                      </c:pt>
                      <c:pt idx="5">
                        <c:v>11.176353559300006</c:v>
                      </c:pt>
                      <c:pt idx="6">
                        <c:v>13.194846246259846</c:v>
                      </c:pt>
                      <c:pt idx="7">
                        <c:v>9.3523553454938906</c:v>
                      </c:pt>
                      <c:pt idx="8">
                        <c:v>11.917241492090291</c:v>
                      </c:pt>
                      <c:pt idx="9">
                        <c:v>8.4468037817177706</c:v>
                      </c:pt>
                      <c:pt idx="10">
                        <c:v>22.021609693119998</c:v>
                      </c:pt>
                      <c:pt idx="11">
                        <c:v>15.608663813586283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BEC0-40E0-B179-8F6B307217A2}"/>
                  </c:ext>
                </c:extLst>
              </c15:ser>
            </c15:filteredBarSeries>
          </c:ext>
        </c:extLst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1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Human toxicity, cancer (HTPc)</a:t>
            </a:r>
          </a:p>
          <a:p>
            <a:pPr>
              <a:defRPr sz="900"/>
            </a:pPr>
            <a:r>
              <a:rPr lang="en-US" sz="900"/>
              <a:t>[kg1.4DCB-eq/kWh</a:t>
            </a:r>
            <a:r>
              <a:rPr lang="en-US" sz="900" baseline="-25000"/>
              <a:t>cell</a:t>
            </a:r>
            <a:r>
              <a:rPr lang="en-US" sz="900"/>
              <a:t>] </a:t>
            </a:r>
          </a:p>
        </c:rich>
      </c:tx>
      <c:layout>
        <c:manualLayout>
          <c:xMode val="edge"/>
          <c:yMode val="edge"/>
          <c:x val="0.38458026331111078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LCIA!$GM$10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(LCIA!$GN$6:$GO$7,LCIA!$GP$6:$GQ$7,LCIA!$GR$6:$GS$7,LCIA!$GT$6:$GU$7,LCIA!$GV$6:$GW$7,LCIA!$GX$6:$GY$7,LCIA!$GZ$6:$HA$7,LCIA!$HB$6:$HC$7)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LCIA!$GN$10:$HC$10</c:f>
              <c:numCache>
                <c:formatCode>0.0</c:formatCode>
                <c:ptCount val="16"/>
                <c:pt idx="0">
                  <c:v>1.7673309520664844</c:v>
                </c:pt>
                <c:pt idx="1">
                  <c:v>0.90330248661175849</c:v>
                </c:pt>
                <c:pt idx="2">
                  <c:v>2.3219029765752248</c:v>
                </c:pt>
                <c:pt idx="3">
                  <c:v>1.186750410249559</c:v>
                </c:pt>
                <c:pt idx="4">
                  <c:v>2.2545875321283355</c:v>
                </c:pt>
                <c:pt idx="5">
                  <c:v>1.1523447386433716</c:v>
                </c:pt>
                <c:pt idx="6">
                  <c:v>1.886635354376258</c:v>
                </c:pt>
                <c:pt idx="7">
                  <c:v>0.96428029223675404</c:v>
                </c:pt>
                <c:pt idx="8">
                  <c:v>1.7039599178346079</c:v>
                </c:pt>
                <c:pt idx="9">
                  <c:v>0.87091284689324411</c:v>
                </c:pt>
                <c:pt idx="10">
                  <c:v>3.1487102336711006</c:v>
                </c:pt>
                <c:pt idx="11">
                  <c:v>1.609340786098562</c:v>
                </c:pt>
                <c:pt idx="12">
                  <c:v>3.6125458873289573</c:v>
                </c:pt>
                <c:pt idx="13">
                  <c:v>1.8464123424125782</c:v>
                </c:pt>
                <c:pt idx="14">
                  <c:v>1.6579069470823211</c:v>
                </c:pt>
                <c:pt idx="15">
                  <c:v>0.84737466184207522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6-496F-BB9A-AD3C67FC051A}"/>
            </c:ext>
          </c:extLst>
        </c:ser>
        <c:ser>
          <c:idx val="2"/>
          <c:order val="2"/>
          <c:tx>
            <c:strRef>
              <c:f>LCIA!$GM$11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(LCIA!$GN$6:$GO$7,LCIA!$GP$6:$GQ$7,LCIA!$GR$6:$GS$7,LCIA!$GT$6:$GU$7,LCIA!$GV$6:$GW$7,LCIA!$GX$6:$GY$7,LCIA!$GZ$6:$HA$7,LCIA!$HB$6:$HC$7)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LCIA!$GN$11:$HC$11</c:f>
              <c:numCache>
                <c:formatCode>0.0</c:formatCode>
                <c:ptCount val="16"/>
                <c:pt idx="0">
                  <c:v>7.9089028407274782</c:v>
                </c:pt>
                <c:pt idx="1">
                  <c:v>7.9089028407274782</c:v>
                </c:pt>
                <c:pt idx="2">
                  <c:v>11.494596488939578</c:v>
                </c:pt>
                <c:pt idx="3">
                  <c:v>11.494596488939578</c:v>
                </c:pt>
                <c:pt idx="4">
                  <c:v>11.520832427394469</c:v>
                </c:pt>
                <c:pt idx="5">
                  <c:v>11.520832427394469</c:v>
                </c:pt>
                <c:pt idx="6">
                  <c:v>8.6103521098660654</c:v>
                </c:pt>
                <c:pt idx="7">
                  <c:v>8.6103521098660636</c:v>
                </c:pt>
                <c:pt idx="8">
                  <c:v>7.2653587375804278</c:v>
                </c:pt>
                <c:pt idx="9">
                  <c:v>7.2653587375804278</c:v>
                </c:pt>
                <c:pt idx="10">
                  <c:v>4.7248776380946609</c:v>
                </c:pt>
                <c:pt idx="11">
                  <c:v>4.7248776380946609</c:v>
                </c:pt>
                <c:pt idx="12">
                  <c:v>7.3765959353765602</c:v>
                </c:pt>
                <c:pt idx="13">
                  <c:v>7.3765959353765602</c:v>
                </c:pt>
                <c:pt idx="14">
                  <c:v>7.2597446749771182</c:v>
                </c:pt>
                <c:pt idx="15">
                  <c:v>7.2597446749771182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6-496F-BB9A-AD3C67FC051A}"/>
            </c:ext>
          </c:extLst>
        </c:ser>
        <c:ser>
          <c:idx val="34"/>
          <c:order val="25"/>
          <c:tx>
            <c:strRef>
              <c:f>LCIA!$GM$61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(LCIA!$GN$6:$GO$7,LCIA!$GP$6:$GQ$7,LCIA!$GR$6:$GS$7,LCIA!$GT$6:$GU$7,LCIA!$GV$6:$GW$7,LCIA!$GX$6:$GY$7,LCIA!$GZ$6:$HA$7,LCIA!$HB$6:$HC$7)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(LCIA!$GN$61:$GY$61,LCIA!$GZ$62:$HA$62,LCIA!$HB$63:$HC$63)</c:f>
              <c:numCache>
                <c:formatCode>0.0</c:formatCode>
                <c:ptCount val="16"/>
                <c:pt idx="0">
                  <c:v>0.75762967754757182</c:v>
                </c:pt>
                <c:pt idx="1">
                  <c:v>0.5060650051531399</c:v>
                </c:pt>
                <c:pt idx="2">
                  <c:v>0.87742919196353952</c:v>
                </c:pt>
                <c:pt idx="3">
                  <c:v>0.58479040034077578</c:v>
                </c:pt>
                <c:pt idx="4">
                  <c:v>0.86288760457536207</c:v>
                </c:pt>
                <c:pt idx="5">
                  <c:v>0.5752345000571164</c:v>
                </c:pt>
                <c:pt idx="6">
                  <c:v>0.70105295502435594</c:v>
                </c:pt>
                <c:pt idx="7">
                  <c:v>0.46709478649466191</c:v>
                </c:pt>
                <c:pt idx="8">
                  <c:v>0.60903012925623834</c:v>
                </c:pt>
                <c:pt idx="9">
                  <c:v>0.40547938360070446</c:v>
                </c:pt>
                <c:pt idx="10">
                  <c:v>1.1030183970915033</c:v>
                </c:pt>
                <c:pt idx="11">
                  <c:v>0.73405899441331524</c:v>
                </c:pt>
                <c:pt idx="12">
                  <c:v>1.4562297233578254</c:v>
                </c:pt>
                <c:pt idx="13">
                  <c:v>0.9737018781711595</c:v>
                </c:pt>
                <c:pt idx="14">
                  <c:v>2.4231199650748687</c:v>
                </c:pt>
                <c:pt idx="15">
                  <c:v>1.6154133100499124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6-496F-BB9A-AD3C67FC051A}"/>
            </c:ext>
          </c:extLst>
        </c:ser>
        <c:ser>
          <c:idx val="33"/>
          <c:order val="26"/>
          <c:tx>
            <c:strRef>
              <c:f>LCIA!$GM$60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(LCIA!$GN$6:$GO$7,LCIA!$GP$6:$GQ$7,LCIA!$GR$6:$GS$7,LCIA!$GT$6:$GU$7,LCIA!$GV$6:$GW$7,LCIA!$GX$6:$GY$7,LCIA!$GZ$6:$HA$7,LCIA!$HB$6:$HC$7)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LCIA!$GN$60:$HC$60</c:f>
              <c:numCache>
                <c:formatCode>0.0</c:formatCode>
                <c:ptCount val="16"/>
                <c:pt idx="0">
                  <c:v>0.1456684011585434</c:v>
                </c:pt>
                <c:pt idx="1">
                  <c:v>7.4452738369922167E-2</c:v>
                </c:pt>
                <c:pt idx="2">
                  <c:v>0.19137779137942251</c:v>
                </c:pt>
                <c:pt idx="3">
                  <c:v>9.7815315593927032E-2</c:v>
                </c:pt>
                <c:pt idx="4">
                  <c:v>0.1858294626103317</c:v>
                </c:pt>
                <c:pt idx="5">
                  <c:v>9.4979503111947347E-2</c:v>
                </c:pt>
                <c:pt idx="6">
                  <c:v>0.15550180644990649</c:v>
                </c:pt>
                <c:pt idx="7">
                  <c:v>7.947870107439664E-2</c:v>
                </c:pt>
                <c:pt idx="8">
                  <c:v>0.14044518180309268</c:v>
                </c:pt>
                <c:pt idx="9">
                  <c:v>7.1783092921580693E-2</c:v>
                </c:pt>
                <c:pt idx="10">
                  <c:v>0.25952557720675196</c:v>
                </c:pt>
                <c:pt idx="11">
                  <c:v>0.13264640612789541</c:v>
                </c:pt>
                <c:pt idx="12">
                  <c:v>0.29775621985444894</c:v>
                </c:pt>
                <c:pt idx="13">
                  <c:v>0.15218651237005168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6-496F-BB9A-AD3C67FC051A}"/>
            </c:ext>
          </c:extLst>
        </c:ser>
        <c:ser>
          <c:idx val="26"/>
          <c:order val="27"/>
          <c:tx>
            <c:strRef>
              <c:f>LCIA!$GM$52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(LCIA!$GN$6:$GO$7,LCIA!$GP$6:$GQ$7,LCIA!$GR$6:$GS$7,LCIA!$GT$6:$GU$7,LCIA!$GV$6:$GW$7,LCIA!$GX$6:$GY$7,LCIA!$GZ$6:$HA$7,LCIA!$HB$6:$HC$7)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LCIA!$GN$52:$HC$52</c:f>
              <c:numCache>
                <c:formatCode>0.0</c:formatCode>
                <c:ptCount val="16"/>
                <c:pt idx="0">
                  <c:v>0.85932589621092736</c:v>
                </c:pt>
                <c:pt idx="1">
                  <c:v>0.85666173635477572</c:v>
                </c:pt>
                <c:pt idx="2">
                  <c:v>0.85932589621092714</c:v>
                </c:pt>
                <c:pt idx="3">
                  <c:v>0.8566617363547756</c:v>
                </c:pt>
                <c:pt idx="4">
                  <c:v>0.85932589621092748</c:v>
                </c:pt>
                <c:pt idx="5">
                  <c:v>0.85666173635477583</c:v>
                </c:pt>
                <c:pt idx="6">
                  <c:v>0.66750108915906781</c:v>
                </c:pt>
                <c:pt idx="7">
                  <c:v>0.66542512043998903</c:v>
                </c:pt>
                <c:pt idx="8">
                  <c:v>0.54505972295575345</c:v>
                </c:pt>
                <c:pt idx="9">
                  <c:v>0.54335919538799715</c:v>
                </c:pt>
                <c:pt idx="10">
                  <c:v>0.96674163323729312</c:v>
                </c:pt>
                <c:pt idx="11">
                  <c:v>0.96374445339912307</c:v>
                </c:pt>
                <c:pt idx="12">
                  <c:v>0.34021653475177305</c:v>
                </c:pt>
                <c:pt idx="13">
                  <c:v>0.33692820030075193</c:v>
                </c:pt>
                <c:pt idx="14">
                  <c:v>13.348189329323633</c:v>
                </c:pt>
                <c:pt idx="15">
                  <c:v>6.8224078794320793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6-496F-BB9A-AD3C67FC051A}"/>
            </c:ext>
          </c:extLst>
        </c:ser>
        <c:ser>
          <c:idx val="25"/>
          <c:order val="28"/>
          <c:tx>
            <c:strRef>
              <c:f>LCIA!$GM$50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(LCIA!$GN$6:$GO$7,LCIA!$GP$6:$GQ$7,LCIA!$GR$6:$GS$7,LCIA!$GT$6:$GU$7,LCIA!$GV$6:$GW$7,LCIA!$GX$6:$GY$7,LCIA!$GZ$6:$HA$7,LCIA!$HB$6:$HC$7)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(LCIA!$GN$50:$GY$50,LCIA!$GZ$51:$HA$51,LCIA!$HB$50:$HC$50)</c:f>
              <c:numCache>
                <c:formatCode>0.0</c:formatCode>
                <c:ptCount val="16"/>
                <c:pt idx="0">
                  <c:v>4.0766825572254879</c:v>
                </c:pt>
                <c:pt idx="1">
                  <c:v>2.0836377514708047</c:v>
                </c:pt>
                <c:pt idx="2">
                  <c:v>5.3559076488227975</c:v>
                </c:pt>
                <c:pt idx="3">
                  <c:v>2.7374639093983171</c:v>
                </c:pt>
                <c:pt idx="4">
                  <c:v>5.2006318653665966</c:v>
                </c:pt>
                <c:pt idx="5">
                  <c:v>2.6581007311873717</c:v>
                </c:pt>
                <c:pt idx="6">
                  <c:v>4.3518806888079018</c:v>
                </c:pt>
                <c:pt idx="7">
                  <c:v>2.2242945742795945</c:v>
                </c:pt>
                <c:pt idx="8">
                  <c:v>3.9305053007335116</c:v>
                </c:pt>
                <c:pt idx="9">
                  <c:v>2.0089249314860171</c:v>
                </c:pt>
                <c:pt idx="10">
                  <c:v>7.2630947092027629</c:v>
                </c:pt>
                <c:pt idx="11">
                  <c:v>3.7122484069258559</c:v>
                </c:pt>
                <c:pt idx="12">
                  <c:v>3.6125458873289573</c:v>
                </c:pt>
                <c:pt idx="13">
                  <c:v>1.8464123424125782</c:v>
                </c:pt>
                <c:pt idx="14">
                  <c:v>3.8242754277407141</c:v>
                </c:pt>
                <c:pt idx="15">
                  <c:v>1.954629663067476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6-496F-BB9A-AD3C67FC051A}"/>
            </c:ext>
          </c:extLst>
        </c:ser>
        <c:ser>
          <c:idx val="39"/>
          <c:order val="35"/>
          <c:tx>
            <c:strRef>
              <c:f>LCIA!$GM$64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(LCIA!$GN$6:$GO$7,LCIA!$GP$6:$GQ$7,LCIA!$GR$6:$GS$7,LCIA!$GT$6:$GU$7,LCIA!$GV$6:$GW$7,LCIA!$GX$6:$GY$7,LCIA!$GZ$6:$HA$7,LCIA!$HB$6:$HC$7)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LCIA!$GN$64:$HC$64</c:f>
              <c:numCache>
                <c:formatCode>0.0</c:formatCode>
                <c:ptCount val="16"/>
                <c:pt idx="0">
                  <c:v>0.46913615243207696</c:v>
                </c:pt>
                <c:pt idx="1">
                  <c:v>0.38621057576149165</c:v>
                </c:pt>
                <c:pt idx="2">
                  <c:v>0.5342590187724241</c:v>
                </c:pt>
                <c:pt idx="3">
                  <c:v>0.4365426456625941</c:v>
                </c:pt>
                <c:pt idx="4">
                  <c:v>0.53721482577763979</c:v>
                </c:pt>
                <c:pt idx="5">
                  <c:v>0.43948223742121023</c:v>
                </c:pt>
                <c:pt idx="6">
                  <c:v>0.43752963291017161</c:v>
                </c:pt>
                <c:pt idx="7">
                  <c:v>0.35726148974732486</c:v>
                </c:pt>
                <c:pt idx="8">
                  <c:v>0.37976217201647522</c:v>
                </c:pt>
                <c:pt idx="9">
                  <c:v>0.30930756808802207</c:v>
                </c:pt>
                <c:pt idx="10">
                  <c:v>0.69032880933297225</c:v>
                </c:pt>
                <c:pt idx="11">
                  <c:v>0.56132408888638585</c:v>
                </c:pt>
                <c:pt idx="12">
                  <c:v>0.91559573387654147</c:v>
                </c:pt>
                <c:pt idx="13">
                  <c:v>0.74941295889218917</c:v>
                </c:pt>
                <c:pt idx="14">
                  <c:v>0.29007974504049772</c:v>
                </c:pt>
                <c:pt idx="15">
                  <c:v>0.21018172609320959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4-406C-8087-76462E8FEC04}"/>
            </c:ext>
          </c:extLst>
        </c:ser>
        <c:ser>
          <c:idx val="35"/>
          <c:order val="36"/>
          <c:tx>
            <c:strRef>
              <c:f>LCIA!$GM$65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LCIA!$GN$331:$HC$331</c:f>
                <c:numCache>
                  <c:formatCode>General</c:formatCode>
                  <c:ptCount val="16"/>
                  <c:pt idx="0">
                    <c:v>2.1516652570715209</c:v>
                  </c:pt>
                  <c:pt idx="1">
                    <c:v>1.3759002380391756</c:v>
                  </c:pt>
                  <c:pt idx="2">
                    <c:v>2.7778065726715901</c:v>
                  </c:pt>
                  <c:pt idx="3">
                    <c:v>1.7438220515237646</c:v>
                  </c:pt>
                  <c:pt idx="4">
                    <c:v>2.7175245074314311</c:v>
                  </c:pt>
                  <c:pt idx="5">
                    <c:v>1.7208970829696817</c:v>
                  </c:pt>
                  <c:pt idx="6">
                    <c:v>2.2603805523808234</c:v>
                  </c:pt>
                  <c:pt idx="7">
                    <c:v>1.4283441356975928</c:v>
                  </c:pt>
                  <c:pt idx="8">
                    <c:v>2.0549032483732503</c:v>
                  </c:pt>
                  <c:pt idx="9">
                    <c:v>1.3114174502827414</c:v>
                  </c:pt>
                  <c:pt idx="10">
                    <c:v>3.4966719384137335</c:v>
                  </c:pt>
                  <c:pt idx="11">
                    <c:v>1.9862764811286961</c:v>
                  </c:pt>
                  <c:pt idx="12">
                    <c:v>2.6570752302387035</c:v>
                  </c:pt>
                  <c:pt idx="13">
                    <c:v>1.7345350672591398</c:v>
                  </c:pt>
                  <c:pt idx="14">
                    <c:v>5.3490070746700447</c:v>
                  </c:pt>
                  <c:pt idx="15">
                    <c:v>2.9130309217385388</c:v>
                  </c:pt>
                </c:numCache>
              </c:numRef>
            </c:plus>
            <c:minus>
              <c:numRef>
                <c:f>LCIA!$GN$330:$HC$330</c:f>
                <c:numCache>
                  <c:formatCode>General</c:formatCode>
                  <c:ptCount val="16"/>
                  <c:pt idx="0">
                    <c:v>1.1310324379821708</c:v>
                  </c:pt>
                  <c:pt idx="1">
                    <c:v>0.67749701582833666</c:v>
                  </c:pt>
                  <c:pt idx="2">
                    <c:v>1.4576764275055076</c:v>
                  </c:pt>
                  <c:pt idx="3">
                    <c:v>0.84227706838184702</c:v>
                  </c:pt>
                  <c:pt idx="4">
                    <c:v>1.4219884012293598</c:v>
                  </c:pt>
                  <c:pt idx="5">
                    <c:v>0.8324256314901568</c:v>
                  </c:pt>
                  <c:pt idx="6">
                    <c:v>1.2063011449622394</c:v>
                  </c:pt>
                  <c:pt idx="7">
                    <c:v>0.71409501899408312</c:v>
                  </c:pt>
                  <c:pt idx="8">
                    <c:v>1.0977310920268337</c:v>
                  </c:pt>
                  <c:pt idx="9">
                    <c:v>0.66022197447036568</c:v>
                  </c:pt>
                  <c:pt idx="10">
                    <c:v>1.9306924318206526</c:v>
                  </c:pt>
                  <c:pt idx="11">
                    <c:v>0.98489408607366435</c:v>
                  </c:pt>
                  <c:pt idx="12">
                    <c:v>1.2839996928390036</c:v>
                  </c:pt>
                  <c:pt idx="13">
                    <c:v>0.79328772473932041</c:v>
                  </c:pt>
                  <c:pt idx="14">
                    <c:v>3.2237080666329305</c:v>
                  </c:pt>
                  <c:pt idx="15">
                    <c:v>1.6550175913038387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multiLvlStrRef>
              <c:f>(LCIA!$GN$6:$GO$7,LCIA!$GP$6:$GQ$7,LCIA!$GR$6:$GS$7,LCIA!$GT$6:$GU$7,LCIA!$GV$6:$GW$7,LCIA!$GX$6:$GY$7,LCIA!$GZ$6:$HA$7,LCIA!$HB$6:$HC$7)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NMC811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 (SIB)</c:v>
                  </c:pt>
                  <c:pt idx="14">
                    <c:v>NMC900|Li (SSB)</c:v>
                  </c:pt>
                </c:lvl>
              </c:multiLvlStrCache>
            </c:multiLvlStrRef>
          </c:cat>
          <c:val>
            <c:numRef>
              <c:f>LCIA!$GN$65:$HC$65</c:f>
              <c:numCache>
                <c:formatCode>0.0</c:formatCode>
                <c:ptCount val="16"/>
                <c:pt idx="0">
                  <c:v>0.74585361756253943</c:v>
                </c:pt>
                <c:pt idx="1">
                  <c:v>0.6317423961478823</c:v>
                </c:pt>
                <c:pt idx="2">
                  <c:v>0.86181186169453505</c:v>
                </c:pt>
                <c:pt idx="3">
                  <c:v>0.71190949910399892</c:v>
                </c:pt>
                <c:pt idx="4">
                  <c:v>0.84773653802861326</c:v>
                </c:pt>
                <c:pt idx="5">
                  <c:v>0.702178600452393</c:v>
                </c:pt>
                <c:pt idx="6">
                  <c:v>0.76974527416964744</c:v>
                </c:pt>
                <c:pt idx="7">
                  <c:v>0.64794544614949345</c:v>
                </c:pt>
                <c:pt idx="8">
                  <c:v>0.73087582597189804</c:v>
                </c:pt>
                <c:pt idx="9">
                  <c:v>0.62087264531250197</c:v>
                </c:pt>
                <c:pt idx="10">
                  <c:v>1.0352948264188433</c:v>
                </c:pt>
                <c:pt idx="11">
                  <c:v>0.83202538725457587</c:v>
                </c:pt>
                <c:pt idx="12">
                  <c:v>1.1904235820120326</c:v>
                </c:pt>
                <c:pt idx="13">
                  <c:v>0.95718300033030157</c:v>
                </c:pt>
                <c:pt idx="14">
                  <c:v>0.55021485786045354</c:v>
                </c:pt>
                <c:pt idx="15">
                  <c:v>0.38805798346872444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6-496F-BB9A-AD3C67FC0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LCIA!$AQ$9</c15:sqref>
                        </c15:formulaRef>
                      </c:ext>
                    </c:extLst>
                    <c:strCache>
                      <c:ptCount val="1"/>
                      <c:pt idx="0">
                        <c:v>Cathode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LCIA!$AR$9:$BC$9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332.10696267202263</c:v>
                      </c:pt>
                      <c:pt idx="1">
                        <c:v>327.66943612886445</c:v>
                      </c:pt>
                      <c:pt idx="2">
                        <c:v>477.73867686327486</c:v>
                      </c:pt>
                      <c:pt idx="3">
                        <c:v>471.908695739964</c:v>
                      </c:pt>
                      <c:pt idx="4">
                        <c:v>483.78945575126505</c:v>
                      </c:pt>
                      <c:pt idx="5">
                        <c:v>478.12849451138254</c:v>
                      </c:pt>
                      <c:pt idx="6">
                        <c:v>364.73486611247858</c:v>
                      </c:pt>
                      <c:pt idx="7">
                        <c:v>359.99778251615709</c:v>
                      </c:pt>
                      <c:pt idx="8">
                        <c:v>310.12100685003321</c:v>
                      </c:pt>
                      <c:pt idx="9">
                        <c:v>305.84259631519399</c:v>
                      </c:pt>
                      <c:pt idx="10">
                        <c:v>172.00425524646016</c:v>
                      </c:pt>
                      <c:pt idx="11">
                        <c:v>164.09827407055658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7906-496F-BB9A-AD3C67FC051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LCIA!$AQ$12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LCIA!$AR$12:$BC$12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1.3604293226602815</c:v>
                      </c:pt>
                      <c:pt idx="1">
                        <c:v>1.3604293226602815</c:v>
                      </c:pt>
                      <c:pt idx="2">
                        <c:v>1.819795067974143</c:v>
                      </c:pt>
                      <c:pt idx="3">
                        <c:v>1.8197950679741424</c:v>
                      </c:pt>
                      <c:pt idx="4">
                        <c:v>1.7737243067596078</c:v>
                      </c:pt>
                      <c:pt idx="5">
                        <c:v>1.773724306759608</c:v>
                      </c:pt>
                      <c:pt idx="6">
                        <c:v>1.4749917919369366</c:v>
                      </c:pt>
                      <c:pt idx="7">
                        <c:v>1.4749917919369366</c:v>
                      </c:pt>
                      <c:pt idx="8">
                        <c:v>1.334516383181038</c:v>
                      </c:pt>
                      <c:pt idx="9">
                        <c:v>1.3345163831810383</c:v>
                      </c:pt>
                      <c:pt idx="10">
                        <c:v>1.9704968470407518</c:v>
                      </c:pt>
                      <c:pt idx="11">
                        <c:v>1.9704968470407518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906-496F-BB9A-AD3C67FC051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LCIA!$AQ$13</c15:sqref>
                        </c15:formulaRef>
                      </c:ext>
                    </c:extLst>
                    <c:strCache>
                      <c:ptCount val="1"/>
                      <c:pt idx="0">
                        <c:v>Binder (PVDF)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LCIA!$AR$13:$BC$13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2.117945455915887</c:v>
                      </c:pt>
                      <c:pt idx="1">
                        <c:v>2.1179454559158875</c:v>
                      </c:pt>
                      <c:pt idx="2">
                        <c:v>2.8330958696017716</c:v>
                      </c:pt>
                      <c:pt idx="3">
                        <c:v>2.8330958696017703</c:v>
                      </c:pt>
                      <c:pt idx="4">
                        <c:v>2.7613719235359033</c:v>
                      </c:pt>
                      <c:pt idx="5">
                        <c:v>2.7613719235359033</c:v>
                      </c:pt>
                      <c:pt idx="6">
                        <c:v>2.2962987574666989</c:v>
                      </c:pt>
                      <c:pt idx="7">
                        <c:v>2.2962987574666984</c:v>
                      </c:pt>
                      <c:pt idx="8">
                        <c:v>2.0776036377079659</c:v>
                      </c:pt>
                      <c:pt idx="9">
                        <c:v>2.0776036377079654</c:v>
                      </c:pt>
                      <c:pt idx="10">
                        <c:v>3.067711621303169</c:v>
                      </c:pt>
                      <c:pt idx="11">
                        <c:v>3.0677116213031681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906-496F-BB9A-AD3C67FC051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LCIA!$AQ$14</c15:sqref>
                        </c15:formulaRef>
                      </c:ext>
                    </c:extLst>
                    <c:strCache>
                      <c:ptCount val="1"/>
                      <c:pt idx="0">
                        <c:v>Solvent (NMP)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LCIA!$AR$14:$BC$14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60.732924443960734</c:v>
                      </c:pt>
                      <c:pt idx="1">
                        <c:v>60.732924443960734</c:v>
                      </c:pt>
                      <c:pt idx="2">
                        <c:v>81.240145684778625</c:v>
                      </c:pt>
                      <c:pt idx="3">
                        <c:v>81.240145684778625</c:v>
                      </c:pt>
                      <c:pt idx="4">
                        <c:v>79.183433135796889</c:v>
                      </c:pt>
                      <c:pt idx="5">
                        <c:v>79.183433135796889</c:v>
                      </c:pt>
                      <c:pt idx="6">
                        <c:v>65.847275976083722</c:v>
                      </c:pt>
                      <c:pt idx="7">
                        <c:v>65.847275976083722</c:v>
                      </c:pt>
                      <c:pt idx="8">
                        <c:v>59.576106835504326</c:v>
                      </c:pt>
                      <c:pt idx="9">
                        <c:v>59.576106835504326</c:v>
                      </c:pt>
                      <c:pt idx="10">
                        <c:v>87.967845249299373</c:v>
                      </c:pt>
                      <c:pt idx="11">
                        <c:v>87.967845249299373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906-496F-BB9A-AD3C67FC051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LCIA!$AQ$15</c15:sqref>
                        </c15:formulaRef>
                      </c:ext>
                    </c:extLst>
                    <c:strCache>
                      <c:ptCount val="1"/>
                      <c:pt idx="0">
                        <c:v>NMC/NCA/NFM active material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LCIA!$AR$15:$BC$15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258.81890461120764</c:v>
                      </c:pt>
                      <c:pt idx="1">
                        <c:v>258.81890461120764</c:v>
                      </c:pt>
                      <c:pt idx="2">
                        <c:v>379.92067885232996</c:v>
                      </c:pt>
                      <c:pt idx="3">
                        <c:v>379.92067885232996</c:v>
                      </c:pt>
                      <c:pt idx="4">
                        <c:v>388.49168748541302</c:v>
                      </c:pt>
                      <c:pt idx="5">
                        <c:v>388.49168748541302</c:v>
                      </c:pt>
                      <c:pt idx="6">
                        <c:v>285.42681041269731</c:v>
                      </c:pt>
                      <c:pt idx="7">
                        <c:v>285.42681041269731</c:v>
                      </c:pt>
                      <c:pt idx="8">
                        <c:v>238.38148571783233</c:v>
                      </c:pt>
                      <c:pt idx="9">
                        <c:v>238.38148571783233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906-496F-BB9A-AD3C67FC051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LCIA!$AQ$17</c15:sqref>
                        </c15:formulaRef>
                      </c:ext>
                    </c:extLst>
                    <c:strCache>
                      <c:ptCount val="1"/>
                      <c:pt idx="0">
                        <c:v>LiOH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LCIA!$AR$17:$BC$17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18.092300568250593</c:v>
                      </c:pt>
                      <c:pt idx="1">
                        <c:v>18.092300568250593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19.498301657060082</c:v>
                      </c:pt>
                      <c:pt idx="7">
                        <c:v>19.498301657060082</c:v>
                      </c:pt>
                      <c:pt idx="8">
                        <c:v>17.609501359520774</c:v>
                      </c:pt>
                      <c:pt idx="9">
                        <c:v>17.609501359520774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906-496F-BB9A-AD3C67FC051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LCIA!$AQ$20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LCIA!$AR$20:$BC$20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26.283153316055923</c:v>
                      </c:pt>
                      <c:pt idx="1">
                        <c:v>26.283153316055923</c:v>
                      </c:pt>
                      <c:pt idx="2">
                        <c:v>30.764123557791283</c:v>
                      </c:pt>
                      <c:pt idx="3">
                        <c:v>30.764123557791283</c:v>
                      </c:pt>
                      <c:pt idx="4">
                        <c:v>29.985284986707956</c:v>
                      </c:pt>
                      <c:pt idx="5">
                        <c:v>29.985284986707956</c:v>
                      </c:pt>
                      <c:pt idx="6">
                        <c:v>28.496471490039582</c:v>
                      </c:pt>
                      <c:pt idx="7">
                        <c:v>28.496471490039582</c:v>
                      </c:pt>
                      <c:pt idx="8">
                        <c:v>25.782521824321528</c:v>
                      </c:pt>
                      <c:pt idx="9">
                        <c:v>25.782521824321528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906-496F-BB9A-AD3C67FC051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LCIA!$AQ$23</c15:sqref>
                        </c15:formulaRef>
                      </c:ext>
                    </c:extLst>
                    <c:strCache>
                      <c:ptCount val="1"/>
                      <c:pt idx="0">
                        <c:v>NCA(OH)2 / NMC(OH)2  / NFM(OH)2  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LCIA!$AR$23:$BC$23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906-496F-BB9A-AD3C67FC051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LCIA!$AQ$24</c15:sqref>
                        </c15:formulaRef>
                      </c:ext>
                    </c:extLst>
                    <c:strCache>
                      <c:ptCount val="1"/>
                      <c:pt idx="0">
                        <c:v>NiSO4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LCIA!$AR$24:$BC$24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141.48309692033857</c:v>
                      </c:pt>
                      <c:pt idx="1">
                        <c:v>141.48309692033857</c:v>
                      </c:pt>
                      <c:pt idx="2">
                        <c:v>105.29945712851278</c:v>
                      </c:pt>
                      <c:pt idx="3">
                        <c:v>105.29945712851278</c:v>
                      </c:pt>
                      <c:pt idx="4">
                        <c:v>122.68320927543928</c:v>
                      </c:pt>
                      <c:pt idx="5">
                        <c:v>122.68320927543928</c:v>
                      </c:pt>
                      <c:pt idx="6">
                        <c:v>135.53611285744236</c:v>
                      </c:pt>
                      <c:pt idx="7">
                        <c:v>135.53611285744236</c:v>
                      </c:pt>
                      <c:pt idx="8">
                        <c:v>137.70757224429735</c:v>
                      </c:pt>
                      <c:pt idx="9">
                        <c:v>137.70757224429735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906-496F-BB9A-AD3C67FC051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LCIA!$AQ$25</c15:sqref>
                        </c15:formulaRef>
                      </c:ext>
                    </c:extLst>
                    <c:strCache>
                      <c:ptCount val="1"/>
                      <c:pt idx="0">
                        <c:v>MnSO4 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LCIA!$AR$25:$BC$25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3.1405711295031846</c:v>
                      </c:pt>
                      <c:pt idx="3">
                        <c:v>3.1405711295031846</c:v>
                      </c:pt>
                      <c:pt idx="4">
                        <c:v>2.0328022133369807</c:v>
                      </c:pt>
                      <c:pt idx="5">
                        <c:v>2.0328022133369807</c:v>
                      </c:pt>
                      <c:pt idx="6">
                        <c:v>0.8421632588239728</c:v>
                      </c:pt>
                      <c:pt idx="7">
                        <c:v>0.8421632588239728</c:v>
                      </c:pt>
                      <c:pt idx="8">
                        <c:v>0.38029145594404679</c:v>
                      </c:pt>
                      <c:pt idx="9">
                        <c:v>0.38029145594404679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906-496F-BB9A-AD3C67FC051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LCIA!$AQ$26</c15:sqref>
                        </c15:formulaRef>
                      </c:ext>
                    </c:extLst>
                    <c:strCache>
                      <c:ptCount val="1"/>
                      <c:pt idx="0">
                        <c:v>CoSO4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LCIA!$AR$26:$BC$26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49.466080852204676</c:v>
                      </c:pt>
                      <c:pt idx="1">
                        <c:v>49.466080852204676</c:v>
                      </c:pt>
                      <c:pt idx="2">
                        <c:v>189.33614851938452</c:v>
                      </c:pt>
                      <c:pt idx="3">
                        <c:v>189.33614851938452</c:v>
                      </c:pt>
                      <c:pt idx="4">
                        <c:v>183.82784177019568</c:v>
                      </c:pt>
                      <c:pt idx="5">
                        <c:v>183.82784177019568</c:v>
                      </c:pt>
                      <c:pt idx="6">
                        <c:v>76.157460510449582</c:v>
                      </c:pt>
                      <c:pt idx="7">
                        <c:v>76.157460510449582</c:v>
                      </c:pt>
                      <c:pt idx="8">
                        <c:v>34.390044014700592</c:v>
                      </c:pt>
                      <c:pt idx="9">
                        <c:v>34.390044014700592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906-496F-BB9A-AD3C67FC051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LCIA!$AQ$29</c15:sqref>
                        </c15:formulaRef>
                      </c:ext>
                    </c:extLst>
                    <c:strCache>
                      <c:ptCount val="1"/>
                      <c:pt idx="0">
                        <c:v>NaOH 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LCIA!$AR$29:$BC$29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5.7011493365781689</c:v>
                      </c:pt>
                      <c:pt idx="1">
                        <c:v>5.7011493365781689</c:v>
                      </c:pt>
                      <c:pt idx="2">
                        <c:v>7.5247219141083415</c:v>
                      </c:pt>
                      <c:pt idx="3">
                        <c:v>7.5247219141083415</c:v>
                      </c:pt>
                      <c:pt idx="4">
                        <c:v>7.3058071594279452</c:v>
                      </c:pt>
                      <c:pt idx="5">
                        <c:v>7.3058071594279452</c:v>
                      </c:pt>
                      <c:pt idx="6">
                        <c:v>6.0533999081231915</c:v>
                      </c:pt>
                      <c:pt idx="7">
                        <c:v>6.0533999081231915</c:v>
                      </c:pt>
                      <c:pt idx="8">
                        <c:v>5.4670071161413567</c:v>
                      </c:pt>
                      <c:pt idx="9">
                        <c:v>5.4670071161413567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906-496F-BB9A-AD3C67FC051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LCIA!$AQ$30</c15:sqref>
                        </c15:formulaRef>
                      </c:ext>
                    </c:extLst>
                    <c:strCache>
                      <c:ptCount val="1"/>
                      <c:pt idx="0">
                        <c:v>NH4OH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LCIA!$AR$30:$BC$30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2.1555823705414752</c:v>
                      </c:pt>
                      <c:pt idx="1">
                        <c:v>2.1555823705414752</c:v>
                      </c:pt>
                      <c:pt idx="2">
                        <c:v>2.8877440841919082</c:v>
                      </c:pt>
                      <c:pt idx="3">
                        <c:v>2.8877440841919082</c:v>
                      </c:pt>
                      <c:pt idx="4">
                        <c:v>2.8037317053975017</c:v>
                      </c:pt>
                      <c:pt idx="5">
                        <c:v>2.8037317053975017</c:v>
                      </c:pt>
                      <c:pt idx="6">
                        <c:v>2.3230984444960709</c:v>
                      </c:pt>
                      <c:pt idx="7">
                        <c:v>2.3230984444960709</c:v>
                      </c:pt>
                      <c:pt idx="8">
                        <c:v>2.0980599200977941</c:v>
                      </c:pt>
                      <c:pt idx="9">
                        <c:v>2.0980599200977941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906-496F-BB9A-AD3C67FC051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LCIA!$AQ$31</c15:sqref>
                        </c15:formulaRef>
                      </c:ext>
                    </c:extLst>
                    <c:strCache>
                      <c:ptCount val="1"/>
                      <c:pt idx="0">
                        <c:v>Water loss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LCIA!$AR$31:$BC$31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1.4974966092954176E-3</c:v>
                      </c:pt>
                      <c:pt idx="1">
                        <c:v>1.4974966092954176E-3</c:v>
                      </c:pt>
                      <c:pt idx="2">
                        <c:v>2.0031448150315328E-3</c:v>
                      </c:pt>
                      <c:pt idx="3">
                        <c:v>2.0031448150315328E-3</c:v>
                      </c:pt>
                      <c:pt idx="4">
                        <c:v>1.9524322880687087E-3</c:v>
                      </c:pt>
                      <c:pt idx="5">
                        <c:v>1.9524322880687087E-3</c:v>
                      </c:pt>
                      <c:pt idx="6">
                        <c:v>1.6236015869202946E-3</c:v>
                      </c:pt>
                      <c:pt idx="7">
                        <c:v>1.6236015869202946E-3</c:v>
                      </c:pt>
                      <c:pt idx="8">
                        <c:v>1.4689728643564573E-3</c:v>
                      </c:pt>
                      <c:pt idx="9">
                        <c:v>1.4689728643564573E-3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06-496F-BB9A-AD3C67FC051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LCIA!$AQ$32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LCIA!$AR$32:$BC$32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15.235213349943471</c:v>
                      </c:pt>
                      <c:pt idx="1">
                        <c:v>15.235213349943471</c:v>
                      </c:pt>
                      <c:pt idx="2">
                        <c:v>20.379571104469839</c:v>
                      </c:pt>
                      <c:pt idx="3">
                        <c:v>20.379571104469839</c:v>
                      </c:pt>
                      <c:pt idx="4">
                        <c:v>19.863632595495915</c:v>
                      </c:pt>
                      <c:pt idx="5">
                        <c:v>19.863632595495915</c:v>
                      </c:pt>
                      <c:pt idx="6">
                        <c:v>16.518178684675554</c:v>
                      </c:pt>
                      <c:pt idx="7">
                        <c:v>16.518178684675554</c:v>
                      </c:pt>
                      <c:pt idx="8">
                        <c:v>14.945018809944548</c:v>
                      </c:pt>
                      <c:pt idx="9">
                        <c:v>14.945018809944548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06-496F-BB9A-AD3C67FC051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LCIA!$AQ$36</c15:sqref>
                        </c15:formulaRef>
                      </c:ext>
                    </c:extLst>
                    <c:strCache>
                      <c:ptCount val="1"/>
                      <c:pt idx="0">
                        <c:v>LFP/NaFP active material 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LCIA!$AR$36:$BC$36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62.826876396286842</c:v>
                      </c:pt>
                      <c:pt idx="11">
                        <c:v>62.826876396286842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06-496F-BB9A-AD3C67FC051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LCIA!$AQ$38</c15:sqref>
                        </c15:formulaRef>
                      </c:ext>
                    </c:extLst>
                    <c:strCache>
                      <c:ptCount val="1"/>
                      <c:pt idx="0">
                        <c:v>LiOH 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LCIA!$AR$38:$BC$38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06-496F-BB9A-AD3C67FC051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LCIA!$AQ$40</c15:sqref>
                        </c15:formulaRef>
                      </c:ext>
                    </c:extLst>
                    <c:strCache>
                      <c:ptCount val="1"/>
                      <c:pt idx="0">
                        <c:v>(NH4)2HPO4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LCIA!$AR$40:$BC$40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11.857378052248388</c:v>
                      </c:pt>
                      <c:pt idx="11">
                        <c:v>11.857378052248388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06-496F-BB9A-AD3C67FC051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LCIA!$AQ$41</c15:sqref>
                        </c15:formulaRef>
                      </c:ext>
                    </c:extLst>
                    <c:strCache>
                      <c:ptCount val="1"/>
                      <c:pt idx="0">
                        <c:v>Fe3O4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LCIA!$AR$41:$BC$41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4.0145742909650011</c:v>
                      </c:pt>
                      <c:pt idx="11">
                        <c:v>4.0145742909650011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06-496F-BB9A-AD3C67FC051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LCIA!$AQ$42</c15:sqref>
                        </c15:formulaRef>
                      </c:ext>
                    </c:extLst>
                    <c:strCache>
                      <c:ptCount val="1"/>
                      <c:pt idx="0">
                        <c:v>Water [l]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LCIA!$AR$42:$BC$42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906-496F-BB9A-AD3C67FC051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LCIA!$AQ$43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LCIA!$AR$43:$BC$43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33.311777539920868</c:v>
                      </c:pt>
                      <c:pt idx="11">
                        <c:v>33.311777539920868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906-496F-BB9A-AD3C67FC051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LCIA!$AQ$44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LCIA!$AR$44:$BC$44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06-496F-BB9A-AD3C67FC051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LCIA!$AQ$49</c15:sqref>
                        </c15:formulaRef>
                      </c:ext>
                    </c:extLst>
                    <c:strCache>
                      <c:ptCount val="1"/>
                      <c:pt idx="0">
                        <c:v>Anode 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LCIA!$AR$49:$BC$49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48.202980778210126</c:v>
                      </c:pt>
                      <c:pt idx="1">
                        <c:v>40.470769568325473</c:v>
                      </c:pt>
                      <c:pt idx="2">
                        <c:v>53.022252427701027</c:v>
                      </c:pt>
                      <c:pt idx="3">
                        <c:v>42.933952855843046</c:v>
                      </c:pt>
                      <c:pt idx="4">
                        <c:v>52.437276268322734</c:v>
                      </c:pt>
                      <c:pt idx="5">
                        <c:v>42.634965041049696</c:v>
                      </c:pt>
                      <c:pt idx="6">
                        <c:v>42.357207896502061</c:v>
                      </c:pt>
                      <c:pt idx="7">
                        <c:v>34.167531494157508</c:v>
                      </c:pt>
                      <c:pt idx="8">
                        <c:v>36.376636264605146</c:v>
                      </c:pt>
                      <c:pt idx="9">
                        <c:v>28.994583009132079</c:v>
                      </c:pt>
                      <c:pt idx="10">
                        <c:v>64.312861370485109</c:v>
                      </c:pt>
                      <c:pt idx="11">
                        <c:v>50.683919850698842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906-496F-BB9A-AD3C67FC051A}"/>
                  </c:ext>
                </c:extLst>
              </c15:ser>
            </c15:filteredBarSeries>
            <c15:filteredBa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LCIA!$AQ$53</c15:sqref>
                        </c15:formulaRef>
                      </c:ext>
                    </c:extLst>
                    <c:strCache>
                      <c:ptCount val="1"/>
                      <c:pt idx="0">
                        <c:v>Graphite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LCIA!$AR$53:$BC$53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31.498728336765993</c:v>
                      </c:pt>
                      <c:pt idx="1">
                        <c:v>31.498728336765986</c:v>
                      </c:pt>
                      <c:pt idx="2">
                        <c:v>31.498728336765986</c:v>
                      </c:pt>
                      <c:pt idx="3">
                        <c:v>31.498728336765982</c:v>
                      </c:pt>
                      <c:pt idx="4">
                        <c:v>31.498728336766</c:v>
                      </c:pt>
                      <c:pt idx="5">
                        <c:v>31.498728336765989</c:v>
                      </c:pt>
                      <c:pt idx="6">
                        <c:v>23.317240457086506</c:v>
                      </c:pt>
                      <c:pt idx="7">
                        <c:v>23.317240457086516</c:v>
                      </c:pt>
                      <c:pt idx="8">
                        <c:v>18.095014150908128</c:v>
                      </c:pt>
                      <c:pt idx="9">
                        <c:v>18.095014150908124</c:v>
                      </c:pt>
                      <c:pt idx="10">
                        <c:v>35.436069378861738</c:v>
                      </c:pt>
                      <c:pt idx="11">
                        <c:v>35.436069378861745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906-496F-BB9A-AD3C67FC051A}"/>
                  </c:ext>
                </c:extLst>
              </c15:ser>
            </c15:filteredBarSeries>
            <c15:filteredBa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LCIA!$AQ$54</c15:sqref>
                        </c15:formulaRef>
                      </c:ext>
                    </c:extLst>
                    <c:strCache>
                      <c:ptCount val="1"/>
                      <c:pt idx="0">
                        <c:v>SiO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LCIA!$AR$54:$BC$54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1.5961234664866157</c:v>
                      </c:pt>
                      <c:pt idx="7">
                        <c:v>1.5961234664866164</c:v>
                      </c:pt>
                      <c:pt idx="8">
                        <c:v>2.6149256791376483</c:v>
                      </c:pt>
                      <c:pt idx="9">
                        <c:v>2.6149256791376478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906-496F-BB9A-AD3C67FC051A}"/>
                  </c:ext>
                </c:extLst>
              </c15:ser>
            </c15:filteredBarSeries>
            <c15:filteredBa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LCIA!$AQ$55</c15:sqref>
                        </c15:formulaRef>
                      </c:ext>
                    </c:extLst>
                    <c:strCache>
                      <c:ptCount val="1"/>
                      <c:pt idx="0">
                        <c:v>Hard Carbon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LCIA!$AR$55:$BC$55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906-496F-BB9A-AD3C67FC051A}"/>
                  </c:ext>
                </c:extLst>
              </c15:ser>
            </c15:filteredBarSeries>
            <c15:filteredBarSeries>
              <c15:ser>
                <c:idx val="3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LCIA!$AQ$57</c15:sqref>
                        </c15:formulaRef>
                      </c:ext>
                    </c:extLst>
                    <c:strCache>
                      <c:ptCount val="1"/>
                      <c:pt idx="0">
                        <c:v>Carbon black 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LCIA!$AR$57:$BC$57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0.42360247428898129</c:v>
                      </c:pt>
                      <c:pt idx="1">
                        <c:v>0.20957175043770643</c:v>
                      </c:pt>
                      <c:pt idx="2">
                        <c:v>0.42360247428898123</c:v>
                      </c:pt>
                      <c:pt idx="3">
                        <c:v>0.20957175043770643</c:v>
                      </c:pt>
                      <c:pt idx="4">
                        <c:v>0.4236024742889814</c:v>
                      </c:pt>
                      <c:pt idx="5">
                        <c:v>0.20957175043770648</c:v>
                      </c:pt>
                      <c:pt idx="6">
                        <c:v>0.33007985009530993</c:v>
                      </c:pt>
                      <c:pt idx="7">
                        <c:v>0.16330266267873234</c:v>
                      </c:pt>
                      <c:pt idx="8">
                        <c:v>0.27038455805679651</c:v>
                      </c:pt>
                      <c:pt idx="9">
                        <c:v>0.13376920240704673</c:v>
                      </c:pt>
                      <c:pt idx="10">
                        <c:v>0.47655278357510389</c:v>
                      </c:pt>
                      <c:pt idx="11">
                        <c:v>0.23576821924241984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906-496F-BB9A-AD3C67FC051A}"/>
                  </c:ext>
                </c:extLst>
              </c15:ser>
            </c15:filteredBarSeries>
            <c15:filteredBarSeries>
              <c15:ser>
                <c:idx val="3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LCIA!$AQ$58</c15:sqref>
                        </c15:formulaRef>
                      </c:ext>
                    </c:extLst>
                    <c:strCache>
                      <c:ptCount val="1"/>
                      <c:pt idx="0">
                        <c:v>Binder (CMC-SBR)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LCIA!$AR$58:$BC$58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0.92084311943594255</c:v>
                      </c:pt>
                      <c:pt idx="1">
                        <c:v>0.91115003396819538</c:v>
                      </c:pt>
                      <c:pt idx="2">
                        <c:v>0.92084311943594244</c:v>
                      </c:pt>
                      <c:pt idx="3">
                        <c:v>0.91115003396819538</c:v>
                      </c:pt>
                      <c:pt idx="4">
                        <c:v>0.92084311943594277</c:v>
                      </c:pt>
                      <c:pt idx="5">
                        <c:v>0.91115003396819561</c:v>
                      </c:pt>
                      <c:pt idx="6">
                        <c:v>0.71754009306696787</c:v>
                      </c:pt>
                      <c:pt idx="7">
                        <c:v>0.70998703945573682</c:v>
                      </c:pt>
                      <c:pt idx="8">
                        <c:v>0.5877722038952824</c:v>
                      </c:pt>
                      <c:pt idx="9">
                        <c:v>0.58158512806480589</c:v>
                      </c:pt>
                      <c:pt idx="10">
                        <c:v>1.0359485093654353</c:v>
                      </c:pt>
                      <c:pt idx="11">
                        <c:v>1.0250437882142203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906-496F-BB9A-AD3C67FC051A}"/>
                  </c:ext>
                </c:extLst>
              </c15:ser>
            </c15:filteredBarSeries>
            <c15:filteredBarSeries>
              <c15:ser>
                <c:idx val="32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LCIA!$AQ$59</c15:sqref>
                        </c15:formulaRef>
                      </c:ext>
                    </c:extLst>
                    <c:strCache>
                      <c:ptCount val="1"/>
                      <c:pt idx="0">
                        <c:v>Solvent (Water)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LCIA!$AR$59:$BC$59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1.5709898851325116E-3</c:v>
                      </c:pt>
                      <c:pt idx="1">
                        <c:v>1.5544531494995374E-3</c:v>
                      </c:pt>
                      <c:pt idx="2">
                        <c:v>1.570989885132511E-3</c:v>
                      </c:pt>
                      <c:pt idx="3">
                        <c:v>1.5544531494995372E-3</c:v>
                      </c:pt>
                      <c:pt idx="4">
                        <c:v>1.5709898851325118E-3</c:v>
                      </c:pt>
                      <c:pt idx="5">
                        <c:v>1.5544531494995377E-3</c:v>
                      </c:pt>
                      <c:pt idx="6">
                        <c:v>1.2241479624409176E-3</c:v>
                      </c:pt>
                      <c:pt idx="7">
                        <c:v>1.2112621944152244E-3</c:v>
                      </c:pt>
                      <c:pt idx="8">
                        <c:v>1.0027595011484118E-3</c:v>
                      </c:pt>
                      <c:pt idx="9">
                        <c:v>9.9220413797842816E-4</c:v>
                      </c:pt>
                      <c:pt idx="10">
                        <c:v>1.7673636207740752E-3</c:v>
                      </c:pt>
                      <c:pt idx="11">
                        <c:v>1.74875979318698E-3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906-496F-BB9A-AD3C67FC051A}"/>
                  </c:ext>
                </c:extLst>
              </c15:ser>
            </c15:filteredBarSeries>
            <c15:filteredBa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LCIA!$AQ$66</c15:sqref>
                        </c15:formulaRef>
                      </c:ext>
                    </c:extLst>
                    <c:strCache>
                      <c:ptCount val="1"/>
                      <c:pt idx="0">
                        <c:v>Electricity [kWh]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LCIA!$AR$66:$BC$66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40.094210140883995</c:v>
                      </c:pt>
                      <c:pt idx="1">
                        <c:v>35.193180024698016</c:v>
                      </c:pt>
                      <c:pt idx="2">
                        <c:v>44.915175601951603</c:v>
                      </c:pt>
                      <c:pt idx="3">
                        <c:v>38.477292668618063</c:v>
                      </c:pt>
                      <c:pt idx="4">
                        <c:v>44.329993843166825</c:v>
                      </c:pt>
                      <c:pt idx="5">
                        <c:v>38.078658239780879</c:v>
                      </c:pt>
                      <c:pt idx="6">
                        <c:v>41.062052131551596</c:v>
                      </c:pt>
                      <c:pt idx="7">
                        <c:v>35.831130076583946</c:v>
                      </c:pt>
                      <c:pt idx="8">
                        <c:v>39.4298078919578</c:v>
                      </c:pt>
                      <c:pt idx="9">
                        <c:v>34.70558903329907</c:v>
                      </c:pt>
                      <c:pt idx="10">
                        <c:v>52.142258679525952</c:v>
                      </c:pt>
                      <c:pt idx="11">
                        <c:v>43.412677217798063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906-496F-BB9A-AD3C67FC051A}"/>
                  </c:ext>
                </c:extLst>
              </c15:ser>
            </c15:filteredBarSeries>
            <c15:filteredBa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LCIA!$AQ$67</c15:sqref>
                        </c15:formulaRef>
                      </c:ext>
                    </c:extLst>
                    <c:strCache>
                      <c:ptCount val="1"/>
                      <c:pt idx="0">
                        <c:v>Natural gas [kWh]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(LCIA!$GN$6:$GO$7,LCIA!$GP$6:$GQ$7,LCIA!$GR$6:$GS$7,LCIA!$GT$6:$GU$7,LCIA!$GV$6:$GW$7,LCIA!$GX$6:$GY$7,LCIA!$GZ$6:$HA$7,LCIA!$HB$6:$HC$7)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HP</c:v>
                        </c:pt>
                        <c:pt idx="1">
                          <c:v>HE</c:v>
                        </c:pt>
                        <c:pt idx="2">
                          <c:v>HP</c:v>
                        </c:pt>
                        <c:pt idx="3">
                          <c:v>HE</c:v>
                        </c:pt>
                        <c:pt idx="4">
                          <c:v>HP</c:v>
                        </c:pt>
                        <c:pt idx="5">
                          <c:v>HE</c:v>
                        </c:pt>
                        <c:pt idx="6">
                          <c:v>HP</c:v>
                        </c:pt>
                        <c:pt idx="7">
                          <c:v>HE</c:v>
                        </c:pt>
                        <c:pt idx="8">
                          <c:v>HP</c:v>
                        </c:pt>
                        <c:pt idx="9">
                          <c:v>HE</c:v>
                        </c:pt>
                        <c:pt idx="10">
                          <c:v>HP</c:v>
                        </c:pt>
                        <c:pt idx="11">
                          <c:v>HE</c:v>
                        </c:pt>
                        <c:pt idx="12">
                          <c:v>HP</c:v>
                        </c:pt>
                        <c:pt idx="13">
                          <c:v>HE</c:v>
                        </c:pt>
                        <c:pt idx="14">
                          <c:v>HP</c:v>
                        </c:pt>
                        <c:pt idx="15">
                          <c:v>HE</c:v>
                        </c:pt>
                      </c:lvl>
                      <c:lvl>
                        <c:pt idx="0">
                          <c:v>NCA</c:v>
                        </c:pt>
                        <c:pt idx="2">
                          <c:v>NMC532</c:v>
                        </c:pt>
                        <c:pt idx="4">
                          <c:v>NMC622</c:v>
                        </c:pt>
                        <c:pt idx="6">
                          <c:v>NMC811</c:v>
                        </c:pt>
                        <c:pt idx="8">
                          <c:v>NMC900</c:v>
                        </c:pt>
                        <c:pt idx="10">
                          <c:v>LFP</c:v>
                        </c:pt>
                        <c:pt idx="12">
                          <c:v>NaNFM422 (SIB)</c:v>
                        </c:pt>
                        <c:pt idx="14">
                          <c:v>NMC900|Li (SSB)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LCIA!$AR$67:$BC$67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12.360449052690958</c:v>
                      </c:pt>
                      <c:pt idx="1">
                        <c:v>8.7609442060309313</c:v>
                      </c:pt>
                      <c:pt idx="2">
                        <c:v>16.239043068697367</c:v>
                      </c:pt>
                      <c:pt idx="3">
                        <c:v>11.510047060403348</c:v>
                      </c:pt>
                      <c:pt idx="4">
                        <c:v>15.768248891425623</c:v>
                      </c:pt>
                      <c:pt idx="5">
                        <c:v>11.176353559300006</c:v>
                      </c:pt>
                      <c:pt idx="6">
                        <c:v>13.194846246259846</c:v>
                      </c:pt>
                      <c:pt idx="7">
                        <c:v>9.3523553454938906</c:v>
                      </c:pt>
                      <c:pt idx="8">
                        <c:v>11.917241492090291</c:v>
                      </c:pt>
                      <c:pt idx="9">
                        <c:v>8.4468037817177706</c:v>
                      </c:pt>
                      <c:pt idx="10">
                        <c:v>22.021609693119998</c:v>
                      </c:pt>
                      <c:pt idx="11">
                        <c:v>15.608663813586283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906-496F-BB9A-AD3C67FC051A}"/>
                  </c:ext>
                </c:extLst>
              </c15:ser>
            </c15:filteredBarSeries>
          </c:ext>
        </c:extLst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ax val="3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6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de-DE" sz="1400" b="0" i="0" baseline="0">
                <a:effectLst/>
              </a:rPr>
              <a:t>Primary Energy Demand (PED) [kWh</a:t>
            </a:r>
            <a:r>
              <a:rPr lang="de-DE" sz="1400" b="0" i="0" baseline="-25000">
                <a:effectLst/>
              </a:rPr>
              <a:t>PED</a:t>
            </a:r>
            <a:r>
              <a:rPr lang="de-DE" sz="1400" b="0" i="0" baseline="0">
                <a:effectLst/>
              </a:rPr>
              <a:t>/kWh</a:t>
            </a:r>
            <a:r>
              <a:rPr lang="de-DE" sz="1400" b="0" i="0" baseline="-25000">
                <a:effectLst/>
              </a:rPr>
              <a:t>cell</a:t>
            </a:r>
            <a:r>
              <a:rPr lang="de-DE" sz="1400" b="0" i="0" baseline="0">
                <a:effectLst/>
              </a:rPr>
              <a:t>]</a:t>
            </a:r>
            <a:endParaRPr lang="de-DE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LCIA!$AQ$121</c:f>
              <c:strCache>
                <c:ptCount val="1"/>
                <c:pt idx="0">
                  <c:v>Carbon black </c:v>
                </c:pt>
              </c:strCache>
            </c:strRef>
          </c:tx>
          <c:spPr>
            <a:pattFill prst="pct80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(LCIA!$AS$121,LCIA!$AU$121,LCIA!$AW$121,LCIA!$AY$121,LCIA!$BA$121,LCIA!$BC$121,LCIA!$BE$121,LCIA!$BG$121)</c:f>
              <c:numCache>
                <c:formatCode>0.0</c:formatCode>
                <c:ptCount val="8"/>
                <c:pt idx="0">
                  <c:v>1.3604293226602815</c:v>
                </c:pt>
                <c:pt idx="1">
                  <c:v>1.8197950679741424</c:v>
                </c:pt>
                <c:pt idx="2">
                  <c:v>1.773724306759608</c:v>
                </c:pt>
                <c:pt idx="3">
                  <c:v>1.4749917919369366</c:v>
                </c:pt>
                <c:pt idx="4">
                  <c:v>1.3345163831810383</c:v>
                </c:pt>
                <c:pt idx="5">
                  <c:v>1.9704968470407518</c:v>
                </c:pt>
                <c:pt idx="6">
                  <c:v>2.4910972486046052</c:v>
                </c:pt>
                <c:pt idx="7">
                  <c:v>1.298448372824794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2403-4001-AA99-E5304CC29A44}"/>
            </c:ext>
          </c:extLst>
        </c:ser>
        <c:ser>
          <c:idx val="4"/>
          <c:order val="1"/>
          <c:tx>
            <c:strRef>
              <c:f>LCIA!$AQ$122</c:f>
              <c:strCache>
                <c:ptCount val="1"/>
                <c:pt idx="0">
                  <c:v>Binder (PVDF)</c:v>
                </c:pt>
              </c:strCache>
            </c:strRef>
          </c:tx>
          <c:spPr>
            <a:pattFill prst="horzBrick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(LCIA!$AS$122,LCIA!$AU$122,LCIA!$AW$122,LCIA!$AY$122,LCIA!$BA$122,LCIA!$BC$122,LCIA!$BE$122,LCIA!$BG$122)</c:f>
              <c:numCache>
                <c:formatCode>0.0</c:formatCode>
                <c:ptCount val="8"/>
                <c:pt idx="0">
                  <c:v>2.1179454559158875</c:v>
                </c:pt>
                <c:pt idx="1">
                  <c:v>2.8330958696017703</c:v>
                </c:pt>
                <c:pt idx="2">
                  <c:v>2.7613719235359033</c:v>
                </c:pt>
                <c:pt idx="3">
                  <c:v>2.2962987574666984</c:v>
                </c:pt>
                <c:pt idx="4">
                  <c:v>2.0776036377079654</c:v>
                </c:pt>
                <c:pt idx="5">
                  <c:v>3.0677116213031681</c:v>
                </c:pt>
                <c:pt idx="6">
                  <c:v>3.87819345705487</c:v>
                </c:pt>
                <c:pt idx="7">
                  <c:v>2.021452188040183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403-4001-AA99-E5304CC29A44}"/>
            </c:ext>
          </c:extLst>
        </c:ser>
        <c:ser>
          <c:idx val="5"/>
          <c:order val="2"/>
          <c:tx>
            <c:strRef>
              <c:f>LCIA!$AQ$123</c:f>
              <c:strCache>
                <c:ptCount val="1"/>
                <c:pt idx="0">
                  <c:v>Solvent (NMP)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(LCIA!$AS$123,LCIA!$AU$123,LCIA!$AW$123,LCIA!$AY$123,LCIA!$BA$123,LCIA!$BC$123,LCIA!$BE$123,LCIA!$BG$123)</c:f>
              <c:numCache>
                <c:formatCode>0.0</c:formatCode>
                <c:ptCount val="8"/>
                <c:pt idx="0">
                  <c:v>60.732924443960734</c:v>
                </c:pt>
                <c:pt idx="1">
                  <c:v>81.240145684778625</c:v>
                </c:pt>
                <c:pt idx="2">
                  <c:v>79.183433135796889</c:v>
                </c:pt>
                <c:pt idx="3">
                  <c:v>65.847275976083722</c:v>
                </c:pt>
                <c:pt idx="4">
                  <c:v>59.576106835504326</c:v>
                </c:pt>
                <c:pt idx="5">
                  <c:v>87.967845249299373</c:v>
                </c:pt>
                <c:pt idx="6">
                  <c:v>111.2087327596081</c:v>
                </c:pt>
                <c:pt idx="7">
                  <c:v>59.463395282031755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403-4001-AA99-E5304CC29A44}"/>
            </c:ext>
          </c:extLst>
        </c:ser>
        <c:ser>
          <c:idx val="18"/>
          <c:order val="3"/>
          <c:tx>
            <c:strRef>
              <c:f>LCIA!$AQ$109</c:f>
              <c:strCache>
                <c:ptCount val="1"/>
                <c:pt idx="0">
                  <c:v>Li2CO3</c:v>
                </c:pt>
              </c:strCache>
            </c:strRef>
          </c:tx>
          <c:spPr>
            <a:pattFill prst="narVert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(LCIA!$AS$109,LCIA!$AU$109,LCIA!$AW$109,LCIA!$AY$109,LCIA!$BA$109,LCIA!$BC$109,LCIA!$BE$111,LCIA!$BG$109)</c:f>
              <c:numCache>
                <c:formatCode>0.0</c:formatCode>
                <c:ptCount val="8"/>
                <c:pt idx="0">
                  <c:v>0</c:v>
                </c:pt>
                <c:pt idx="1">
                  <c:v>20.586338269553039</c:v>
                </c:pt>
                <c:pt idx="2">
                  <c:v>19.987425347123679</c:v>
                </c:pt>
                <c:pt idx="3">
                  <c:v>0</c:v>
                </c:pt>
                <c:pt idx="4">
                  <c:v>0</c:v>
                </c:pt>
                <c:pt idx="5">
                  <c:v>13.643146513152585</c:v>
                </c:pt>
                <c:pt idx="6">
                  <c:v>1.6169844290371862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03-4001-AA99-E5304CC29A44}"/>
            </c:ext>
          </c:extLst>
        </c:ser>
        <c:ser>
          <c:idx val="7"/>
          <c:order val="4"/>
          <c:tx>
            <c:strRef>
              <c:f>LCIA!$AQ$110</c:f>
              <c:strCache>
                <c:ptCount val="1"/>
                <c:pt idx="0">
                  <c:v>LiOH</c:v>
                </c:pt>
              </c:strCache>
            </c:strRef>
          </c:tx>
          <c:spPr>
            <a:pattFill prst="narHorz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(LCIA!$AS$110,LCIA!$AU$110,LCIA!$AW$110,LCIA!$AY$110,LCIA!$BA$110,LCIA!$BC$110,LCIA!$BE$110,LCIA!$BG$110)</c:f>
              <c:numCache>
                <c:formatCode>0.0</c:formatCode>
                <c:ptCount val="8"/>
                <c:pt idx="0">
                  <c:v>18.092300568250593</c:v>
                </c:pt>
                <c:pt idx="1">
                  <c:v>0</c:v>
                </c:pt>
                <c:pt idx="2">
                  <c:v>0</c:v>
                </c:pt>
                <c:pt idx="3">
                  <c:v>19.498301657060082</c:v>
                </c:pt>
                <c:pt idx="4">
                  <c:v>17.609501359520774</c:v>
                </c:pt>
                <c:pt idx="5">
                  <c:v>0</c:v>
                </c:pt>
                <c:pt idx="6">
                  <c:v>0</c:v>
                </c:pt>
                <c:pt idx="7">
                  <c:v>17.609501359520774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03-4001-AA99-E5304CC29A44}"/>
            </c:ext>
          </c:extLst>
        </c:ser>
        <c:ser>
          <c:idx val="10"/>
          <c:order val="5"/>
          <c:tx>
            <c:strRef>
              <c:f>LCIA!$AQ$112</c:f>
              <c:strCache>
                <c:ptCount val="1"/>
                <c:pt idx="0">
                  <c:v>NiSO4</c:v>
                </c:pt>
              </c:strCache>
            </c:strRef>
          </c:tx>
          <c:spPr>
            <a:pattFill prst="weave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(LCIA!$AS$112,LCIA!$AU$112,LCIA!$AW$112,LCIA!$AY$112,LCIA!$BA$112,LCIA!$BC$112,LCIA!$BE$112,LCIA!$BG$112)</c:f>
              <c:numCache>
                <c:formatCode>0.0</c:formatCode>
                <c:ptCount val="8"/>
                <c:pt idx="0">
                  <c:v>141.48309692033857</c:v>
                </c:pt>
                <c:pt idx="1">
                  <c:v>105.29945712851278</c:v>
                </c:pt>
                <c:pt idx="2">
                  <c:v>122.68320927543928</c:v>
                </c:pt>
                <c:pt idx="3">
                  <c:v>135.53611285744236</c:v>
                </c:pt>
                <c:pt idx="4">
                  <c:v>137.70757224429735</c:v>
                </c:pt>
                <c:pt idx="5">
                  <c:v>0</c:v>
                </c:pt>
                <c:pt idx="6">
                  <c:v>99.596260149346961</c:v>
                </c:pt>
                <c:pt idx="7">
                  <c:v>137.70757224429735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03-4001-AA99-E5304CC29A44}"/>
            </c:ext>
          </c:extLst>
        </c:ser>
        <c:ser>
          <c:idx val="11"/>
          <c:order val="6"/>
          <c:tx>
            <c:strRef>
              <c:f>LCIA!$AQ$113</c:f>
              <c:strCache>
                <c:ptCount val="1"/>
                <c:pt idx="0">
                  <c:v>MnSO4 </c:v>
                </c:pt>
              </c:strCache>
            </c:strRef>
          </c:tx>
          <c:spPr>
            <a:pattFill prst="dashDnDiag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(LCIA!$AS$113,LCIA!$AU$113,LCIA!$AW$113,LCIA!$AY$113,LCIA!$BA$113,LCIA!$BC$113,LCIA!$BE$113,LCIA!$BG$113)</c:f>
              <c:numCache>
                <c:formatCode>0.0</c:formatCode>
                <c:ptCount val="8"/>
                <c:pt idx="0">
                  <c:v>0</c:v>
                </c:pt>
                <c:pt idx="1">
                  <c:v>3.1405711295031846</c:v>
                </c:pt>
                <c:pt idx="2">
                  <c:v>2.0328022133369807</c:v>
                </c:pt>
                <c:pt idx="3">
                  <c:v>0.8421632588239728</c:v>
                </c:pt>
                <c:pt idx="4">
                  <c:v>0.38029145594404679</c:v>
                </c:pt>
                <c:pt idx="5">
                  <c:v>0</c:v>
                </c:pt>
                <c:pt idx="6">
                  <c:v>2.4753937307402576</c:v>
                </c:pt>
                <c:pt idx="7">
                  <c:v>0.38029145594404679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03-4001-AA99-E5304CC29A44}"/>
            </c:ext>
          </c:extLst>
        </c:ser>
        <c:ser>
          <c:idx val="12"/>
          <c:order val="7"/>
          <c:tx>
            <c:strRef>
              <c:f>LCIA!$AQ$114</c:f>
              <c:strCache>
                <c:ptCount val="1"/>
                <c:pt idx="0">
                  <c:v>CoSO4</c:v>
                </c:pt>
              </c:strCache>
            </c:strRef>
          </c:tx>
          <c:spPr>
            <a:pattFill prst="openDmnd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(LCIA!$AS$114,LCIA!$AU$114,LCIA!$AW$114,LCIA!$AY$114,LCIA!$BA$114,LCIA!$BC$114,LCIA!$BE$114,LCIA!$BG$114)</c:f>
              <c:numCache>
                <c:formatCode>0.0</c:formatCode>
                <c:ptCount val="8"/>
                <c:pt idx="0">
                  <c:v>49.466080852204676</c:v>
                </c:pt>
                <c:pt idx="1">
                  <c:v>189.33614851938452</c:v>
                </c:pt>
                <c:pt idx="2">
                  <c:v>183.82784177019568</c:v>
                </c:pt>
                <c:pt idx="3">
                  <c:v>76.157460510449582</c:v>
                </c:pt>
                <c:pt idx="4">
                  <c:v>34.390044014700592</c:v>
                </c:pt>
                <c:pt idx="5">
                  <c:v>0</c:v>
                </c:pt>
                <c:pt idx="6">
                  <c:v>0</c:v>
                </c:pt>
                <c:pt idx="7">
                  <c:v>34.390044014700592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03-4001-AA99-E5304CC29A44}"/>
            </c:ext>
          </c:extLst>
        </c:ser>
        <c:ser>
          <c:idx val="38"/>
          <c:order val="8"/>
          <c:tx>
            <c:strRef>
              <c:f>LCIA!$AQ$115</c:f>
              <c:strCache>
                <c:ptCount val="1"/>
                <c:pt idx="0">
                  <c:v>Al2(SO4)3</c:v>
                </c:pt>
              </c:strCache>
            </c:strRef>
          </c:tx>
          <c:spPr>
            <a:pattFill prst="lgConfetti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(LCIA!$AS$115,LCIA!$AU$115,LCIA!$AW$115,LCIA!$AY$115,LCIA!$BA$115,LCIA!$BC$115,LCIA!$BE$115,LCIA!$BG$115)</c:f>
              <c:numCache>
                <c:formatCode>0.0</c:formatCode>
                <c:ptCount val="8"/>
                <c:pt idx="0">
                  <c:v>0.40083040068550102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03-4001-AA99-E5304CC29A44}"/>
            </c:ext>
          </c:extLst>
        </c:ser>
        <c:ser>
          <c:idx val="13"/>
          <c:order val="9"/>
          <c:tx>
            <c:strRef>
              <c:f>LCIA!$AQ$117</c:f>
              <c:strCache>
                <c:ptCount val="1"/>
                <c:pt idx="0">
                  <c:v>NaOH </c:v>
                </c:pt>
              </c:strCache>
            </c:strRef>
          </c:tx>
          <c:spPr>
            <a:pattFill prst="divot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(LCIA!$AS$117,LCIA!$AU$117,LCIA!$AW$117,LCIA!$AY$117,LCIA!$BA$117,LCIA!$BC$117,LCIA!$BE$117,LCIA!$BG$117)</c:f>
              <c:numCache>
                <c:formatCode>0.0</c:formatCode>
                <c:ptCount val="8"/>
                <c:pt idx="0">
                  <c:v>5.7011493365781689</c:v>
                </c:pt>
                <c:pt idx="1">
                  <c:v>7.5247219141083415</c:v>
                </c:pt>
                <c:pt idx="2">
                  <c:v>7.3058071594279452</c:v>
                </c:pt>
                <c:pt idx="3">
                  <c:v>6.0533999081231915</c:v>
                </c:pt>
                <c:pt idx="4">
                  <c:v>5.4670071161413567</c:v>
                </c:pt>
                <c:pt idx="5">
                  <c:v>0</c:v>
                </c:pt>
                <c:pt idx="6">
                  <c:v>8.8964627851117406</c:v>
                </c:pt>
                <c:pt idx="7">
                  <c:v>5.4670071161413567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03-4001-AA99-E5304CC29A44}"/>
            </c:ext>
          </c:extLst>
        </c:ser>
        <c:ser>
          <c:idx val="14"/>
          <c:order val="10"/>
          <c:tx>
            <c:strRef>
              <c:f>LCIA!$AQ$118</c:f>
              <c:strCache>
                <c:ptCount val="1"/>
                <c:pt idx="0">
                  <c:v>NH4OH</c:v>
                </c:pt>
              </c:strCache>
            </c:strRef>
          </c:tx>
          <c:spPr>
            <a:pattFill prst="dashHorz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(LCIA!$AS$118,LCIA!$AU$118,LCIA!$AW$118,LCIA!$AY$118,LCIA!$BA$118,LCIA!$BC$118,LCIA!$BE$118,LCIA!$BG$118)</c:f>
              <c:numCache>
                <c:formatCode>0.0</c:formatCode>
                <c:ptCount val="8"/>
                <c:pt idx="0">
                  <c:v>2.1555823705414752</c:v>
                </c:pt>
                <c:pt idx="1">
                  <c:v>2.8877440841919082</c:v>
                </c:pt>
                <c:pt idx="2">
                  <c:v>2.8037317053975017</c:v>
                </c:pt>
                <c:pt idx="3">
                  <c:v>2.3230984444960709</c:v>
                </c:pt>
                <c:pt idx="4">
                  <c:v>2.0980599200977941</c:v>
                </c:pt>
                <c:pt idx="5">
                  <c:v>0</c:v>
                </c:pt>
                <c:pt idx="6">
                  <c:v>3.4141737158115517</c:v>
                </c:pt>
                <c:pt idx="7">
                  <c:v>2.0980599200977941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03-4001-AA99-E5304CC29A44}"/>
            </c:ext>
          </c:extLst>
        </c:ser>
        <c:ser>
          <c:idx val="15"/>
          <c:order val="11"/>
          <c:tx>
            <c:strRef>
              <c:f>LCIA!$AQ$108</c:f>
              <c:strCache>
                <c:ptCount val="1"/>
                <c:pt idx="0">
                  <c:v>Water</c:v>
                </c:pt>
              </c:strCache>
            </c:strRef>
          </c:tx>
          <c:spPr>
            <a:pattFill prst="wave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(LCIA!$AS$108,LCIA!$AU$108,LCIA!$AW$108,LCIA!$AY$108,LCIA!$BA$108,LCIA!$BC$108,LCIA!$BE$108,LCIA!$BG$108)</c:f>
              <c:numCache>
                <c:formatCode>0.0</c:formatCode>
                <c:ptCount val="8"/>
                <c:pt idx="0">
                  <c:v>1.4974966092954176E-3</c:v>
                </c:pt>
                <c:pt idx="1">
                  <c:v>2.0031448150315328E-3</c:v>
                </c:pt>
                <c:pt idx="2">
                  <c:v>1.9524322880687087E-3</c:v>
                </c:pt>
                <c:pt idx="3">
                  <c:v>1.6236015869202946E-3</c:v>
                </c:pt>
                <c:pt idx="4">
                  <c:v>1.4689728643564573E-3</c:v>
                </c:pt>
                <c:pt idx="5">
                  <c:v>0</c:v>
                </c:pt>
                <c:pt idx="6">
                  <c:v>2.7420826801320534E-3</c:v>
                </c:pt>
                <c:pt idx="7">
                  <c:v>1.4689728643564573E-3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2403-4001-AA99-E5304CC29A44}"/>
            </c:ext>
          </c:extLst>
        </c:ser>
        <c:ser>
          <c:idx val="19"/>
          <c:order val="12"/>
          <c:tx>
            <c:strRef>
              <c:f>LCIA!$AQ$120</c:f>
              <c:strCache>
                <c:ptCount val="1"/>
                <c:pt idx="0">
                  <c:v>(NH4)2HPO4</c:v>
                </c:pt>
              </c:strCache>
            </c:strRef>
          </c:tx>
          <c:spPr>
            <a:pattFill prst="solidDmnd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(LCIA!$AS$120,LCIA!$AU$120,LCIA!$AW$120,LCIA!$AY$120,LCIA!$BA$120,LCIA!$BC$120,LCIA!$BE$120,LCIA!$BG$120)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11.857378052248388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403-4001-AA99-E5304CC29A44}"/>
            </c:ext>
          </c:extLst>
        </c:ser>
        <c:ser>
          <c:idx val="20"/>
          <c:order val="13"/>
          <c:tx>
            <c:strRef>
              <c:f>LCIA!$AQ$119</c:f>
              <c:strCache>
                <c:ptCount val="1"/>
                <c:pt idx="0">
                  <c:v>Fe3O4</c:v>
                </c:pt>
              </c:strCache>
            </c:strRef>
          </c:tx>
          <c:spPr>
            <a:pattFill prst="lgCheck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(LCIA!$AS$119,LCIA!$AU$119,LCIA!$AW$119,LCIA!$AY$119,LCIA!$BA$119,LCIA!$BC$119,LCIA!$BE$116,LCIA!$BG$119)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4.0145742909650011</c:v>
                </c:pt>
                <c:pt idx="6">
                  <c:v>1.3267742441256467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403-4001-AA99-E5304CC29A44}"/>
            </c:ext>
          </c:extLst>
        </c:ser>
        <c:ser>
          <c:idx val="8"/>
          <c:order val="14"/>
          <c:tx>
            <c:strRef>
              <c:f>LCIA!$AQ$107</c:f>
              <c:strCache>
                <c:ptCount val="1"/>
                <c:pt idx="0">
                  <c:v>Electricity</c:v>
                </c:pt>
              </c:strCache>
            </c:strRef>
          </c:tx>
          <c:spPr>
            <a:pattFill prst="zigZag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(LCIA!$AS$107,LCIA!$AU$107,LCIA!$AW$107,LCIA!$AY$107,LCIA!$BA$107,LCIA!$BC$107,LCIA!$BE$107,LCIA!$BG$107)</c:f>
              <c:numCache>
                <c:formatCode>0.0</c:formatCode>
                <c:ptCount val="8"/>
                <c:pt idx="0">
                  <c:v>26.283153316055923</c:v>
                </c:pt>
                <c:pt idx="1">
                  <c:v>30.764123557791283</c:v>
                </c:pt>
                <c:pt idx="2">
                  <c:v>29.985284986707956</c:v>
                </c:pt>
                <c:pt idx="3">
                  <c:v>28.496471490039582</c:v>
                </c:pt>
                <c:pt idx="4">
                  <c:v>25.782521824321528</c:v>
                </c:pt>
                <c:pt idx="5">
                  <c:v>33.311777539920868</c:v>
                </c:pt>
                <c:pt idx="6">
                  <c:v>48.127374072066843</c:v>
                </c:pt>
                <c:pt idx="7">
                  <c:v>25.782521824321528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03-4001-AA99-E5304CC29A44}"/>
            </c:ext>
          </c:extLst>
        </c:ser>
        <c:ser>
          <c:idx val="16"/>
          <c:order val="15"/>
          <c:tx>
            <c:strRef>
              <c:f>LCIA!$AQ$106</c:f>
              <c:strCache>
                <c:ptCount val="1"/>
                <c:pt idx="0">
                  <c:v>Natural gas</c:v>
                </c:pt>
              </c:strCache>
            </c:strRef>
          </c:tx>
          <c:spPr>
            <a:pattFill prst="pct5">
              <a:fgClr>
                <a:schemeClr val="bg2"/>
              </a:fgClr>
              <a:bgClr>
                <a:schemeClr val="bg1"/>
              </a:bgClr>
            </a:pattFill>
            <a:ln w="25400">
              <a:solidFill>
                <a:schemeClr val="bg2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(LCIA!$AS$338,LCIA!$AU$338,LCIA!$AW$338,LCIA!$AY$338,LCIA!$BA$338,LCIA!$BC$338,LCIA!$BE$338,LCIA!$BG$338)</c:f>
                <c:numCache>
                  <c:formatCode>General</c:formatCode>
                  <c:ptCount val="8"/>
                  <c:pt idx="0">
                    <c:v>32.794555293961821</c:v>
                  </c:pt>
                  <c:pt idx="1">
                    <c:v>35.40644796182238</c:v>
                  </c:pt>
                  <c:pt idx="2">
                    <c:v>36.69623621436142</c:v>
                  </c:pt>
                  <c:pt idx="3">
                    <c:v>33.231014537235239</c:v>
                  </c:pt>
                  <c:pt idx="4">
                    <c:v>31.882865890056962</c:v>
                  </c:pt>
                  <c:pt idx="5">
                    <c:v>23.25238171995835</c:v>
                  </c:pt>
                  <c:pt idx="6">
                    <c:v>38.480505479214401</c:v>
                  </c:pt>
                  <c:pt idx="7">
                    <c:v>31.86754866360684</c:v>
                  </c:pt>
                </c:numCache>
              </c:numRef>
            </c:plus>
            <c:minus>
              <c:numRef>
                <c:f>(LCIA!$AS$337,LCIA!$AU$337,LCIA!$AW$337,LCIA!$AY$337,LCIA!$BA$337,LCIA!$BC$337,LCIA!$BE$337,LCIA!$BG$337)</c:f>
                <c:numCache>
                  <c:formatCode>General</c:formatCode>
                  <c:ptCount val="8"/>
                  <c:pt idx="0">
                    <c:v>22.520603621433793</c:v>
                  </c:pt>
                  <c:pt idx="1">
                    <c:v>22.681325950423741</c:v>
                  </c:pt>
                  <c:pt idx="2">
                    <c:v>23.820978145721142</c:v>
                  </c:pt>
                  <c:pt idx="3">
                    <c:v>22.51005629458092</c:v>
                  </c:pt>
                  <c:pt idx="4">
                    <c:v>21.933089489811607</c:v>
                  </c:pt>
                  <c:pt idx="5">
                    <c:v>14.38344044341278</c:v>
                  </c:pt>
                  <c:pt idx="6">
                    <c:v>25.401872102814821</c:v>
                  </c:pt>
                  <c:pt idx="7">
                    <c:v>21.925209516909149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(LCIA!$AR$6,LCIA!$AT$6,LCIA!$AV$6,LCIA!$AX$6,LCIA!$AZ$6,LCIA!$BB$6,LCIA!$BD$6,LCIA!$BF$6)</c:f>
              <c:strCache>
                <c:ptCount val="8"/>
                <c:pt idx="0">
                  <c:v>NCA</c:v>
                </c:pt>
                <c:pt idx="1">
                  <c:v>NMC
532</c:v>
                </c:pt>
                <c:pt idx="2">
                  <c:v>NMC
622</c:v>
                </c:pt>
                <c:pt idx="3">
                  <c:v>NMC
811</c:v>
                </c:pt>
                <c:pt idx="4">
                  <c:v>NMC
900</c:v>
                </c:pt>
                <c:pt idx="5">
                  <c:v>LFP</c:v>
                </c:pt>
                <c:pt idx="6">
                  <c:v>NaNFM
422 
(SIB)</c:v>
                </c:pt>
                <c:pt idx="7">
                  <c:v>NMC
900|Li 
(SSB)</c:v>
                </c:pt>
              </c:strCache>
            </c:strRef>
          </c:cat>
          <c:val>
            <c:numRef>
              <c:f>(LCIA!$AS$106,LCIA!$AU$106,LCIA!$AW$106,LCIA!$AY$106,LCIA!$BA$106,LCIA!$BC$106,LCIA!$BE$106,LCIA!$BG$106)</c:f>
              <c:numCache>
                <c:formatCode>0.0</c:formatCode>
                <c:ptCount val="8"/>
                <c:pt idx="0">
                  <c:v>15.235213349943471</c:v>
                </c:pt>
                <c:pt idx="1">
                  <c:v>20.379571104469839</c:v>
                </c:pt>
                <c:pt idx="2">
                  <c:v>19.863632595495915</c:v>
                </c:pt>
                <c:pt idx="3">
                  <c:v>16.518178684675554</c:v>
                </c:pt>
                <c:pt idx="4">
                  <c:v>14.945018809944548</c:v>
                </c:pt>
                <c:pt idx="5">
                  <c:v>0</c:v>
                </c:pt>
                <c:pt idx="6">
                  <c:v>27.897368445229823</c:v>
                </c:pt>
                <c:pt idx="7">
                  <c:v>14.945018809944548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403-4001-AA99-E5304CC29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452707474795041"/>
          <c:y val="9.6055693998953987E-2"/>
          <c:w val="7.9834612749999034E-2"/>
          <c:h val="0.377128136003618"/>
        </c:manualLayout>
      </c:layout>
      <c:overlay val="1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Fine Particulate Matter Formation </a:t>
            </a:r>
            <a:br>
              <a:rPr lang="en-US" sz="900"/>
            </a:br>
            <a:r>
              <a:rPr lang="en-US" sz="900"/>
              <a:t>[kg PM2.5 eq./kWh</a:t>
            </a:r>
            <a:r>
              <a:rPr lang="en-US" sz="900" baseline="-25000"/>
              <a:t>cell</a:t>
            </a:r>
            <a:r>
              <a:rPr lang="en-US" sz="900"/>
              <a:t>]</a:t>
            </a:r>
          </a:p>
        </c:rich>
      </c:tx>
      <c:layout>
        <c:manualLayout>
          <c:xMode val="edge"/>
          <c:yMode val="edge"/>
          <c:x val="0.33309615163717143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LCIA!$HY$10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LCIA!$HZ$10:$IO$10</c:f>
              <c:numCache>
                <c:formatCode>0.000</c:formatCode>
                <c:ptCount val="16"/>
                <c:pt idx="0">
                  <c:v>5.8042342902708058E-3</c:v>
                </c:pt>
                <c:pt idx="1">
                  <c:v>2.9666086372495226E-3</c:v>
                </c:pt>
                <c:pt idx="2">
                  <c:v>7.6255490572163043E-3</c:v>
                </c:pt>
                <c:pt idx="3">
                  <c:v>3.8975028514661092E-3</c:v>
                </c:pt>
                <c:pt idx="4">
                  <c:v>7.4044729704388929E-3</c:v>
                </c:pt>
                <c:pt idx="5">
                  <c:v>3.7845084071132123E-3</c:v>
                </c:pt>
                <c:pt idx="6">
                  <c:v>6.1960515116333175E-3</c:v>
                </c:pt>
                <c:pt idx="7">
                  <c:v>3.1668707726125846E-3</c:v>
                </c:pt>
                <c:pt idx="8">
                  <c:v>5.5961123595885528E-3</c:v>
                </c:pt>
                <c:pt idx="9">
                  <c:v>2.8602352060119267E-3</c:v>
                </c:pt>
                <c:pt idx="10">
                  <c:v>1.0340933534282884E-2</c:v>
                </c:pt>
                <c:pt idx="11">
                  <c:v>5.2853660286334729E-3</c:v>
                </c:pt>
                <c:pt idx="12">
                  <c:v>1.1864253658826162E-2</c:v>
                </c:pt>
                <c:pt idx="13">
                  <c:v>6.063951870066705E-3</c:v>
                </c:pt>
                <c:pt idx="14">
                  <c:v>5.4448660795996719E-3</c:v>
                </c:pt>
                <c:pt idx="15">
                  <c:v>2.7829315517953882E-3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6-4CB9-A9E2-DFFE05D4C397}"/>
            </c:ext>
          </c:extLst>
        </c:ser>
        <c:ser>
          <c:idx val="2"/>
          <c:order val="1"/>
          <c:tx>
            <c:strRef>
              <c:f>LCIA!$HY$11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LCIA!$HZ$11:$IO$11</c:f>
              <c:numCache>
                <c:formatCode>0.000</c:formatCode>
                <c:ptCount val="16"/>
                <c:pt idx="0">
                  <c:v>0.10039730420972813</c:v>
                </c:pt>
                <c:pt idx="1">
                  <c:v>0.10039730420972813</c:v>
                </c:pt>
                <c:pt idx="2">
                  <c:v>0.131945863765451</c:v>
                </c:pt>
                <c:pt idx="3">
                  <c:v>0.131945863765451</c:v>
                </c:pt>
                <c:pt idx="4">
                  <c:v>0.13401801386212342</c:v>
                </c:pt>
                <c:pt idx="5">
                  <c:v>0.13401801386212342</c:v>
                </c:pt>
                <c:pt idx="6">
                  <c:v>0.10801520722445601</c:v>
                </c:pt>
                <c:pt idx="7">
                  <c:v>0.10801520722445601</c:v>
                </c:pt>
                <c:pt idx="8">
                  <c:v>9.5344979151992054E-2</c:v>
                </c:pt>
                <c:pt idx="9">
                  <c:v>9.5344979151992054E-2</c:v>
                </c:pt>
                <c:pt idx="10">
                  <c:v>6.6689571780168461E-2</c:v>
                </c:pt>
                <c:pt idx="11">
                  <c:v>6.6689571780168461E-2</c:v>
                </c:pt>
                <c:pt idx="12">
                  <c:v>8.894348510352805E-2</c:v>
                </c:pt>
                <c:pt idx="13">
                  <c:v>8.894348510352805E-2</c:v>
                </c:pt>
                <c:pt idx="14">
                  <c:v>9.5282870422679036E-2</c:v>
                </c:pt>
                <c:pt idx="15">
                  <c:v>9.5282870422679036E-2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6-4CB9-A9E2-DFFE05D4C397}"/>
            </c:ext>
          </c:extLst>
        </c:ser>
        <c:ser>
          <c:idx val="34"/>
          <c:order val="2"/>
          <c:tx>
            <c:strRef>
              <c:f>LCIA!$HY$61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(LCIA!$HZ$61:$IK$61,LCIA!$IL$62:$IM$62,LCIA!$IN$63:$IO$63)</c:f>
              <c:numCache>
                <c:formatCode>0.000</c:formatCode>
                <c:ptCount val="16"/>
                <c:pt idx="0">
                  <c:v>7.2565027464674319E-3</c:v>
                </c:pt>
                <c:pt idx="1">
                  <c:v>4.8470409866622896E-3</c:v>
                </c:pt>
                <c:pt idx="2">
                  <c:v>8.4039307461188182E-3</c:v>
                </c:pt>
                <c:pt idx="3">
                  <c:v>5.6010651007189138E-3</c:v>
                </c:pt>
                <c:pt idx="4">
                  <c:v>8.2646528482916443E-3</c:v>
                </c:pt>
                <c:pt idx="5">
                  <c:v>5.5095396250039149E-3</c:v>
                </c:pt>
                <c:pt idx="6">
                  <c:v>6.7146164469433969E-3</c:v>
                </c:pt>
                <c:pt idx="7">
                  <c:v>4.4737880543840054E-3</c:v>
                </c:pt>
                <c:pt idx="8">
                  <c:v>5.8332308469421223E-3</c:v>
                </c:pt>
                <c:pt idx="9">
                  <c:v>3.88364176844126E-3</c:v>
                </c:pt>
                <c:pt idx="10">
                  <c:v>1.0564602028008626E-2</c:v>
                </c:pt>
                <c:pt idx="11">
                  <c:v>7.0307450551194634E-3</c:v>
                </c:pt>
                <c:pt idx="12">
                  <c:v>1.3947625469529016E-2</c:v>
                </c:pt>
                <c:pt idx="13">
                  <c:v>9.3260210926014841E-3</c:v>
                </c:pt>
                <c:pt idx="14">
                  <c:v>9.3636415388478889E-3</c:v>
                </c:pt>
                <c:pt idx="15">
                  <c:v>6.2424276925652595E-3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6-4CB9-A9E2-DFFE05D4C397}"/>
            </c:ext>
          </c:extLst>
        </c:ser>
        <c:ser>
          <c:idx val="33"/>
          <c:order val="3"/>
          <c:tx>
            <c:strRef>
              <c:f>LCIA!$HY$60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LCIA!$HZ$60:$IO$60</c:f>
              <c:numCache>
                <c:formatCode>0.000</c:formatCode>
                <c:ptCount val="16"/>
                <c:pt idx="0">
                  <c:v>9.0290990807455947E-4</c:v>
                </c:pt>
                <c:pt idx="1">
                  <c:v>4.6148728634921919E-4</c:v>
                </c:pt>
                <c:pt idx="2">
                  <c:v>1.1862346442166063E-3</c:v>
                </c:pt>
                <c:pt idx="3">
                  <c:v>6.062977070440431E-4</c:v>
                </c:pt>
                <c:pt idx="4">
                  <c:v>1.151843925440097E-3</c:v>
                </c:pt>
                <c:pt idx="5">
                  <c:v>5.8872022855827196E-4</c:v>
                </c:pt>
                <c:pt idx="6">
                  <c:v>9.6386121252404751E-4</c:v>
                </c:pt>
                <c:pt idx="7">
                  <c:v>4.9264017529006873E-4</c:v>
                </c:pt>
                <c:pt idx="8">
                  <c:v>8.7053434501095227E-4</c:v>
                </c:pt>
                <c:pt idx="9">
                  <c:v>4.4493977633893112E-4</c:v>
                </c:pt>
                <c:pt idx="10">
                  <c:v>1.6086413607554182E-3</c:v>
                </c:pt>
                <c:pt idx="11">
                  <c:v>8.221944732749913E-4</c:v>
                </c:pt>
                <c:pt idx="12">
                  <c:v>1.8456098849111383E-3</c:v>
                </c:pt>
                <c:pt idx="13">
                  <c:v>9.433117189545818E-4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66-4CB9-A9E2-DFFE05D4C397}"/>
            </c:ext>
          </c:extLst>
        </c:ser>
        <c:ser>
          <c:idx val="26"/>
          <c:order val="4"/>
          <c:tx>
            <c:strRef>
              <c:f>LCIA!$HY$52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LCIA!$HZ$52:$IO$52</c:f>
              <c:numCache>
                <c:formatCode>0.000</c:formatCode>
                <c:ptCount val="16"/>
                <c:pt idx="0">
                  <c:v>2.5965734873259788E-2</c:v>
                </c:pt>
                <c:pt idx="1">
                  <c:v>2.5934692781026641E-2</c:v>
                </c:pt>
                <c:pt idx="2">
                  <c:v>2.5965734873259781E-2</c:v>
                </c:pt>
                <c:pt idx="3">
                  <c:v>2.5934692781026638E-2</c:v>
                </c:pt>
                <c:pt idx="4">
                  <c:v>2.5965734873259792E-2</c:v>
                </c:pt>
                <c:pt idx="5">
                  <c:v>2.5934692781026645E-2</c:v>
                </c:pt>
                <c:pt idx="6">
                  <c:v>1.9875235928177411E-2</c:v>
                </c:pt>
                <c:pt idx="7">
                  <c:v>1.9851047284878867E-2</c:v>
                </c:pt>
                <c:pt idx="8">
                  <c:v>1.5987683410039737E-2</c:v>
                </c:pt>
                <c:pt idx="9">
                  <c:v>1.5967869308614324E-2</c:v>
                </c:pt>
                <c:pt idx="10">
                  <c:v>2.9211451732417262E-2</c:v>
                </c:pt>
                <c:pt idx="11">
                  <c:v>2.9176529378654979E-2</c:v>
                </c:pt>
                <c:pt idx="12">
                  <c:v>6.7279737102330303E-3</c:v>
                </c:pt>
                <c:pt idx="13">
                  <c:v>6.6896588992481198E-3</c:v>
                </c:pt>
                <c:pt idx="14">
                  <c:v>0.15349639962931916</c:v>
                </c:pt>
                <c:pt idx="15">
                  <c:v>7.8453715366096452E-2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66-4CB9-A9E2-DFFE05D4C397}"/>
            </c:ext>
          </c:extLst>
        </c:ser>
        <c:ser>
          <c:idx val="25"/>
          <c:order val="5"/>
          <c:tx>
            <c:strRef>
              <c:f>LCIA!$HY$50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(LCIA!$HZ$50:$IK$50,LCIA!$IL$51:$IM$51,LCIA!$IN$50:$IO$50)</c:f>
              <c:numCache>
                <c:formatCode>0.000</c:formatCode>
                <c:ptCount val="16"/>
                <c:pt idx="0">
                  <c:v>5.7138965474728243E-2</c:v>
                </c:pt>
                <c:pt idx="1">
                  <c:v>2.9204360131527763E-2</c:v>
                </c:pt>
                <c:pt idx="2">
                  <c:v>7.506864170464074E-2</c:v>
                </c:pt>
                <c:pt idx="3">
                  <c:v>3.8368416871260802E-2</c:v>
                </c:pt>
                <c:pt idx="4">
                  <c:v>7.2892289362896587E-2</c:v>
                </c:pt>
                <c:pt idx="5">
                  <c:v>3.7256059007702708E-2</c:v>
                </c:pt>
                <c:pt idx="6">
                  <c:v>6.0996154823780506E-2</c:v>
                </c:pt>
                <c:pt idx="7">
                  <c:v>3.1175812465487812E-2</c:v>
                </c:pt>
                <c:pt idx="8">
                  <c:v>5.5090138494790414E-2</c:v>
                </c:pt>
                <c:pt idx="9">
                  <c:v>2.8157181897337326E-2</c:v>
                </c:pt>
                <c:pt idx="10">
                  <c:v>0.10179986103977225</c:v>
                </c:pt>
                <c:pt idx="11">
                  <c:v>5.2031040086994697E-2</c:v>
                </c:pt>
                <c:pt idx="12">
                  <c:v>1.1864253658826162E-2</c:v>
                </c:pt>
                <c:pt idx="13">
                  <c:v>6.063951870066705E-3</c:v>
                </c:pt>
                <c:pt idx="14">
                  <c:v>5.3601215832769049E-2</c:v>
                </c:pt>
                <c:pt idx="15">
                  <c:v>2.7396176981193069E-2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66-4CB9-A9E2-DFFE05D4C397}"/>
            </c:ext>
          </c:extLst>
        </c:ser>
        <c:ser>
          <c:idx val="39"/>
          <c:order val="6"/>
          <c:tx>
            <c:strRef>
              <c:f>LCIA!$HY$64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LCIA!$HZ$64:$IO$64</c:f>
              <c:numCache>
                <c:formatCode>0.000</c:formatCode>
                <c:ptCount val="16"/>
                <c:pt idx="0">
                  <c:v>3.282329177263196E-4</c:v>
                </c:pt>
                <c:pt idx="1">
                  <c:v>2.7021371830283306E-4</c:v>
                </c:pt>
                <c:pt idx="2">
                  <c:v>3.7379638223183556E-4</c:v>
                </c:pt>
                <c:pt idx="3">
                  <c:v>3.0542874505615041E-4</c:v>
                </c:pt>
                <c:pt idx="4">
                  <c:v>3.7586442399866214E-4</c:v>
                </c:pt>
                <c:pt idx="5">
                  <c:v>3.0748544176317831E-4</c:v>
                </c:pt>
                <c:pt idx="6">
                  <c:v>3.0611929448908485E-4</c:v>
                </c:pt>
                <c:pt idx="7">
                  <c:v>2.4995937866458516E-4</c:v>
                </c:pt>
                <c:pt idx="8">
                  <c:v>2.6570206776187308E-4</c:v>
                </c:pt>
                <c:pt idx="9">
                  <c:v>2.1640823249720209E-4</c:v>
                </c:pt>
                <c:pt idx="10">
                  <c:v>4.8299121289891188E-4</c:v>
                </c:pt>
                <c:pt idx="11">
                  <c:v>3.9273256288199191E-4</c:v>
                </c:pt>
                <c:pt idx="12">
                  <c:v>6.406000851353692E-4</c:v>
                </c:pt>
                <c:pt idx="13">
                  <c:v>5.2432966592723146E-4</c:v>
                </c:pt>
                <c:pt idx="14">
                  <c:v>2.0295541197229479E-4</c:v>
                </c:pt>
                <c:pt idx="15">
                  <c:v>1.470544549821636E-4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66-4CB9-A9E2-DFFE05D4C397}"/>
            </c:ext>
          </c:extLst>
        </c:ser>
        <c:ser>
          <c:idx val="35"/>
          <c:order val="7"/>
          <c:tx>
            <c:strRef>
              <c:f>LCIA!$HY$65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LCIA!$HZ$65:$IO$65</c:f>
              <c:numCache>
                <c:formatCode>0.000</c:formatCode>
                <c:ptCount val="16"/>
                <c:pt idx="0">
                  <c:v>7.1611042605452761E-3</c:v>
                </c:pt>
                <c:pt idx="1">
                  <c:v>6.2114508375148616E-3</c:v>
                </c:pt>
                <c:pt idx="2">
                  <c:v>8.1072633686005476E-3</c:v>
                </c:pt>
                <c:pt idx="3">
                  <c:v>6.8597926925415493E-3</c:v>
                </c:pt>
                <c:pt idx="4">
                  <c:v>7.992416030362326E-3</c:v>
                </c:pt>
                <c:pt idx="5">
                  <c:v>6.7810952137725778E-3</c:v>
                </c:pt>
                <c:pt idx="6">
                  <c:v>7.3530350960751313E-3</c:v>
                </c:pt>
                <c:pt idx="7">
                  <c:v>6.3394348765882999E-3</c:v>
                </c:pt>
                <c:pt idx="8">
                  <c:v>7.0339576634687716E-3</c:v>
                </c:pt>
                <c:pt idx="9">
                  <c:v>6.1185361693529196E-3</c:v>
                </c:pt>
                <c:pt idx="10">
                  <c:v>9.5245136991675191E-3</c:v>
                </c:pt>
                <c:pt idx="11">
                  <c:v>7.8329597449853516E-3</c:v>
                </c:pt>
                <c:pt idx="12">
                  <c:v>1.0956429092406097E-2</c:v>
                </c:pt>
                <c:pt idx="13">
                  <c:v>9.0153889733463333E-3</c:v>
                </c:pt>
                <c:pt idx="14">
                  <c:v>4.3970765517790406E-3</c:v>
                </c:pt>
                <c:pt idx="15">
                  <c:v>3.0266829282403107E-3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66-4CB9-A9E2-DFFE05D4C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ax val="0.660000000000000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0.1100000000000000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Fossil depletion </a:t>
            </a:r>
            <a:br>
              <a:rPr lang="en-US" sz="900"/>
            </a:br>
            <a:r>
              <a:rPr lang="en-US" sz="900"/>
              <a:t>[kg oil eq./kWh</a:t>
            </a:r>
            <a:r>
              <a:rPr lang="en-US" sz="900" baseline="-25000"/>
              <a:t>cell</a:t>
            </a:r>
            <a:r>
              <a:rPr lang="en-US" sz="900"/>
              <a:t>]</a:t>
            </a:r>
          </a:p>
        </c:rich>
      </c:tx>
      <c:layout>
        <c:manualLayout>
          <c:xMode val="edge"/>
          <c:yMode val="edge"/>
          <c:x val="0.33309615163717143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LCIA!$IR$10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LCIA!$IS$10:$JH$10</c:f>
              <c:numCache>
                <c:formatCode>0.000</c:formatCode>
                <c:ptCount val="16"/>
                <c:pt idx="0">
                  <c:v>0.62444860394846358</c:v>
                </c:pt>
                <c:pt idx="1">
                  <c:v>0.31916261979588134</c:v>
                </c:pt>
                <c:pt idx="2">
                  <c:v>0.82039477129671068</c:v>
                </c:pt>
                <c:pt idx="3">
                  <c:v>0.41931288310720749</c:v>
                </c:pt>
                <c:pt idx="4">
                  <c:v>0.79661029829810215</c:v>
                </c:pt>
                <c:pt idx="5">
                  <c:v>0.40715637468569671</c:v>
                </c:pt>
                <c:pt idx="6">
                  <c:v>0.66660226361256558</c:v>
                </c:pt>
                <c:pt idx="7">
                  <c:v>0.34070782362420021</c:v>
                </c:pt>
                <c:pt idx="8">
                  <c:v>0.60205780396241948</c:v>
                </c:pt>
                <c:pt idx="9">
                  <c:v>0.30771843313634778</c:v>
                </c:pt>
                <c:pt idx="10">
                  <c:v>1.1125294373162733</c:v>
                </c:pt>
                <c:pt idx="11">
                  <c:v>0.56862615685053952</c:v>
                </c:pt>
                <c:pt idx="12">
                  <c:v>1.2764158480926495</c:v>
                </c:pt>
                <c:pt idx="13">
                  <c:v>0.65239032235846528</c:v>
                </c:pt>
                <c:pt idx="14">
                  <c:v>0.58578597142289457</c:v>
                </c:pt>
                <c:pt idx="15">
                  <c:v>0.29940171872725724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12-4FAF-8B34-F87CFD7F0EFD}"/>
            </c:ext>
          </c:extLst>
        </c:ser>
        <c:ser>
          <c:idx val="2"/>
          <c:order val="1"/>
          <c:tx>
            <c:strRef>
              <c:f>LCIA!$IR$11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LCIA!$IS$11:$JH$11</c:f>
              <c:numCache>
                <c:formatCode>0.000</c:formatCode>
                <c:ptCount val="16"/>
                <c:pt idx="0">
                  <c:v>12.904283616272608</c:v>
                </c:pt>
                <c:pt idx="1">
                  <c:v>12.904283616272608</c:v>
                </c:pt>
                <c:pt idx="2">
                  <c:v>18.311242966904857</c:v>
                </c:pt>
                <c:pt idx="3">
                  <c:v>18.311242966904857</c:v>
                </c:pt>
                <c:pt idx="4">
                  <c:v>18.249391831823836</c:v>
                </c:pt>
                <c:pt idx="5">
                  <c:v>18.249391831823836</c:v>
                </c:pt>
                <c:pt idx="6">
                  <c:v>14.178029340526329</c:v>
                </c:pt>
                <c:pt idx="7">
                  <c:v>14.178029340526329</c:v>
                </c:pt>
                <c:pt idx="8">
                  <c:v>12.23610763821989</c:v>
                </c:pt>
                <c:pt idx="9">
                  <c:v>12.23610763821989</c:v>
                </c:pt>
                <c:pt idx="10">
                  <c:v>9.4229565178438843</c:v>
                </c:pt>
                <c:pt idx="11">
                  <c:v>9.4229565178438843</c:v>
                </c:pt>
                <c:pt idx="12">
                  <c:v>15.136433733116046</c:v>
                </c:pt>
                <c:pt idx="13">
                  <c:v>15.136433733116046</c:v>
                </c:pt>
                <c:pt idx="14">
                  <c:v>12.222084667476489</c:v>
                </c:pt>
                <c:pt idx="15">
                  <c:v>12.222084667476489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12-4FAF-8B34-F87CFD7F0EFD}"/>
            </c:ext>
          </c:extLst>
        </c:ser>
        <c:ser>
          <c:idx val="34"/>
          <c:order val="2"/>
          <c:tx>
            <c:strRef>
              <c:f>LCIA!$IR$61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(LCIA!$IS$61:$JD$61,LCIA!$JE$62:$JF$62,LCIA!$JG$63:$JH$63)</c:f>
              <c:numCache>
                <c:formatCode>0.000</c:formatCode>
                <c:ptCount val="16"/>
                <c:pt idx="0">
                  <c:v>1.1336563961104662</c:v>
                </c:pt>
                <c:pt idx="1">
                  <c:v>0.75723515979019973</c:v>
                </c:pt>
                <c:pt idx="2">
                  <c:v>1.3129147987224232</c:v>
                </c:pt>
                <c:pt idx="3">
                  <c:v>0.87503353864948574</c:v>
                </c:pt>
                <c:pt idx="4">
                  <c:v>1.2911559315070198</c:v>
                </c:pt>
                <c:pt idx="5">
                  <c:v>0.86073485447936349</c:v>
                </c:pt>
                <c:pt idx="6">
                  <c:v>1.0489995178754086</c:v>
                </c:pt>
                <c:pt idx="7">
                  <c:v>0.69892324441881037</c:v>
                </c:pt>
                <c:pt idx="8">
                  <c:v>0.91130392844460117</c:v>
                </c:pt>
                <c:pt idx="9">
                  <c:v>0.60672688825736343</c:v>
                </c:pt>
                <c:pt idx="10">
                  <c:v>1.6504684253367055</c:v>
                </c:pt>
                <c:pt idx="11">
                  <c:v>1.098387112860715</c:v>
                </c:pt>
                <c:pt idx="12">
                  <c:v>2.1789855770098381</c:v>
                </c:pt>
                <c:pt idx="13">
                  <c:v>1.4569695390848758</c:v>
                </c:pt>
                <c:pt idx="14">
                  <c:v>0.89096017410078776</c:v>
                </c:pt>
                <c:pt idx="15">
                  <c:v>0.59397344940052521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12-4FAF-8B34-F87CFD7F0EFD}"/>
            </c:ext>
          </c:extLst>
        </c:ser>
        <c:ser>
          <c:idx val="33"/>
          <c:order val="3"/>
          <c:tx>
            <c:strRef>
              <c:f>LCIA!$IR$60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LCIA!$IS$60:$JH$60</c:f>
              <c:numCache>
                <c:formatCode>0.000</c:formatCode>
                <c:ptCount val="16"/>
                <c:pt idx="0">
                  <c:v>0.40873353782708083</c:v>
                </c:pt>
                <c:pt idx="1">
                  <c:v>0.20890825266717461</c:v>
                </c:pt>
                <c:pt idx="2">
                  <c:v>0.53699032260886914</c:v>
                </c:pt>
                <c:pt idx="3">
                  <c:v>0.27446172044453304</c:v>
                </c:pt>
                <c:pt idx="4">
                  <c:v>0.52142216898885352</c:v>
                </c:pt>
                <c:pt idx="5">
                  <c:v>0.26650466414985852</c:v>
                </c:pt>
                <c:pt idx="6">
                  <c:v>0.43632526329163018</c:v>
                </c:pt>
                <c:pt idx="7">
                  <c:v>0.22301069012683319</c:v>
                </c:pt>
                <c:pt idx="8">
                  <c:v>0.3940776144489101</c:v>
                </c:pt>
                <c:pt idx="9">
                  <c:v>0.20141744738499848</c:v>
                </c:pt>
                <c:pt idx="10">
                  <c:v>0.7282073976557103</c:v>
                </c:pt>
                <c:pt idx="11">
                  <c:v>0.37219489213514068</c:v>
                </c:pt>
                <c:pt idx="12">
                  <c:v>0.83547943262360147</c:v>
                </c:pt>
                <c:pt idx="13">
                  <c:v>0.42702282111872963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12-4FAF-8B34-F87CFD7F0EFD}"/>
            </c:ext>
          </c:extLst>
        </c:ser>
        <c:ser>
          <c:idx val="26"/>
          <c:order val="4"/>
          <c:tx>
            <c:strRef>
              <c:f>LCIA!$IR$52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LCIA!$IS$52:$JH$52</c:f>
              <c:numCache>
                <c:formatCode>0.000</c:formatCode>
                <c:ptCount val="16"/>
                <c:pt idx="0">
                  <c:v>2.3394324041239827</c:v>
                </c:pt>
                <c:pt idx="1">
                  <c:v>2.3223197141000647</c:v>
                </c:pt>
                <c:pt idx="2">
                  <c:v>2.3394324041239818</c:v>
                </c:pt>
                <c:pt idx="3">
                  <c:v>2.3223197141000647</c:v>
                </c:pt>
                <c:pt idx="4">
                  <c:v>2.3394324041239827</c:v>
                </c:pt>
                <c:pt idx="5">
                  <c:v>2.3223197141000651</c:v>
                </c:pt>
                <c:pt idx="6">
                  <c:v>1.8202094731509622</c:v>
                </c:pt>
                <c:pt idx="7">
                  <c:v>1.8068749094959622</c:v>
                </c:pt>
                <c:pt idx="8">
                  <c:v>1.4887905810405249</c:v>
                </c:pt>
                <c:pt idx="9">
                  <c:v>1.4778675874082368</c:v>
                </c:pt>
                <c:pt idx="10">
                  <c:v>2.6318614546394801</c:v>
                </c:pt>
                <c:pt idx="11">
                  <c:v>2.6126096783625736</c:v>
                </c:pt>
                <c:pt idx="12">
                  <c:v>1.0165537102330295</c:v>
                </c:pt>
                <c:pt idx="13">
                  <c:v>0.99543176140350886</c:v>
                </c:pt>
                <c:pt idx="14">
                  <c:v>17.596518912578517</c:v>
                </c:pt>
                <c:pt idx="15">
                  <c:v>8.9937763330956866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12-4FAF-8B34-F87CFD7F0EFD}"/>
            </c:ext>
          </c:extLst>
        </c:ser>
        <c:ser>
          <c:idx val="25"/>
          <c:order val="5"/>
          <c:tx>
            <c:strRef>
              <c:f>LCIA!$IR$50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(LCIA!$IS$50:$JD$50,LCIA!$JE$51:$JF$51,LCIA!$JG$50:$JH$50)</c:f>
              <c:numCache>
                <c:formatCode>0.000</c:formatCode>
                <c:ptCount val="16"/>
                <c:pt idx="0">
                  <c:v>0.85406462596043431</c:v>
                </c:pt>
                <c:pt idx="1">
                  <c:v>0.43652191993533301</c:v>
                </c:pt>
                <c:pt idx="2">
                  <c:v>1.1220621666170758</c:v>
                </c:pt>
                <c:pt idx="3">
                  <c:v>0.57349844071539391</c:v>
                </c:pt>
                <c:pt idx="4">
                  <c:v>1.0895319040673987</c:v>
                </c:pt>
                <c:pt idx="5">
                  <c:v>0.55687186207889272</c:v>
                </c:pt>
                <c:pt idx="6">
                  <c:v>0.91171860956491357</c:v>
                </c:pt>
                <c:pt idx="7">
                  <c:v>0.4659895115554003</c:v>
                </c:pt>
                <c:pt idx="8">
                  <c:v>0.82344050398447421</c:v>
                </c:pt>
                <c:pt idx="9">
                  <c:v>0.420869590925398</c:v>
                </c:pt>
                <c:pt idx="10">
                  <c:v>1.5216176827739598</c:v>
                </c:pt>
                <c:pt idx="11">
                  <c:v>0.77771570452891259</c:v>
                </c:pt>
                <c:pt idx="12">
                  <c:v>1.2764158480926495</c:v>
                </c:pt>
                <c:pt idx="13">
                  <c:v>0.65239032235846528</c:v>
                </c:pt>
                <c:pt idx="14">
                  <c:v>0.80118535522813705</c:v>
                </c:pt>
                <c:pt idx="15">
                  <c:v>0.40949473711660339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12-4FAF-8B34-F87CFD7F0EFD}"/>
            </c:ext>
          </c:extLst>
        </c:ser>
        <c:ser>
          <c:idx val="39"/>
          <c:order val="6"/>
          <c:tx>
            <c:strRef>
              <c:f>LCIA!$IR$64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LCIA!$IS$64:$JH$64</c:f>
              <c:numCache>
                <c:formatCode>0.000</c:formatCode>
                <c:ptCount val="16"/>
                <c:pt idx="0">
                  <c:v>5.5880846497740132E-2</c:v>
                </c:pt>
                <c:pt idx="1">
                  <c:v>4.6003220574769986E-2</c:v>
                </c:pt>
                <c:pt idx="2">
                  <c:v>6.3637914203121607E-2</c:v>
                </c:pt>
                <c:pt idx="3">
                  <c:v>5.1998492219208541E-2</c:v>
                </c:pt>
                <c:pt idx="4">
                  <c:v>6.3989993224700156E-2</c:v>
                </c:pt>
                <c:pt idx="5">
                  <c:v>5.2348639772275302E-2</c:v>
                </c:pt>
                <c:pt idx="6">
                  <c:v>5.2116056560799311E-2</c:v>
                </c:pt>
                <c:pt idx="7">
                  <c:v>4.2554969095063906E-2</c:v>
                </c:pt>
                <c:pt idx="8">
                  <c:v>4.5235123172848085E-2</c:v>
                </c:pt>
                <c:pt idx="9">
                  <c:v>3.684296902575325E-2</c:v>
                </c:pt>
                <c:pt idx="10">
                  <c:v>8.2228065407704262E-2</c:v>
                </c:pt>
                <c:pt idx="11">
                  <c:v>6.6861752358949617E-2</c:v>
                </c:pt>
                <c:pt idx="12">
                  <c:v>0.10906058804783429</c:v>
                </c:pt>
                <c:pt idx="13">
                  <c:v>8.9265835306382338E-2</c:v>
                </c:pt>
                <c:pt idx="14">
                  <c:v>3.4552659437301778E-2</c:v>
                </c:pt>
                <c:pt idx="15">
                  <c:v>2.5035659075848361E-2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12-4FAF-8B34-F87CFD7F0EFD}"/>
            </c:ext>
          </c:extLst>
        </c:ser>
        <c:ser>
          <c:idx val="35"/>
          <c:order val="7"/>
          <c:tx>
            <c:strRef>
              <c:f>LCIA!$IR$65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LCIA!$IS$65:$JH$65</c:f>
              <c:numCache>
                <c:formatCode>0.000</c:formatCode>
                <c:ptCount val="16"/>
                <c:pt idx="0">
                  <c:v>2.2524170777911365</c:v>
                </c:pt>
                <c:pt idx="1">
                  <c:v>1.8204395697761364</c:v>
                </c:pt>
                <c:pt idx="2">
                  <c:v>2.7026799797794658</c:v>
                </c:pt>
                <c:pt idx="3">
                  <c:v>2.1351864849698745</c:v>
                </c:pt>
                <c:pt idx="4">
                  <c:v>2.6480258572745674</c:v>
                </c:pt>
                <c:pt idx="5">
                  <c:v>2.0969816575566593</c:v>
                </c:pt>
                <c:pt idx="6">
                  <c:v>2.3469912304467178</c:v>
                </c:pt>
                <c:pt idx="7">
                  <c:v>1.8858844427096422</c:v>
                </c:pt>
                <c:pt idx="8">
                  <c:v>2.1972132467104233</c:v>
                </c:pt>
                <c:pt idx="9">
                  <c:v>1.7807606692737059</c:v>
                </c:pt>
                <c:pt idx="10">
                  <c:v>3.3752806636994128</c:v>
                </c:pt>
                <c:pt idx="11">
                  <c:v>2.6057336451233399</c:v>
                </c:pt>
                <c:pt idx="12">
                  <c:v>3.8781834927283776</c:v>
                </c:pt>
                <c:pt idx="13">
                  <c:v>2.9952148039919098</c:v>
                </c:pt>
                <c:pt idx="14">
                  <c:v>2.1917776479697801</c:v>
                </c:pt>
                <c:pt idx="15">
                  <c:v>1.5904280860023758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12-4FAF-8B34-F87CFD7F0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ax val="5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9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Ionizing Radiation </a:t>
            </a:r>
            <a:br>
              <a:rPr lang="en-US" sz="900"/>
            </a:br>
            <a:r>
              <a:rPr lang="en-US" sz="900"/>
              <a:t>[kBq Co-60 eq. to air/kWh</a:t>
            </a:r>
            <a:r>
              <a:rPr lang="en-US" sz="900" baseline="-25000"/>
              <a:t>cell</a:t>
            </a:r>
            <a:r>
              <a:rPr lang="en-US" sz="900"/>
              <a:t>]</a:t>
            </a:r>
          </a:p>
        </c:rich>
      </c:tx>
      <c:layout>
        <c:manualLayout>
          <c:xMode val="edge"/>
          <c:yMode val="edge"/>
          <c:x val="0.33309615163717143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LCIA!$JK$10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LCIA!$JL$10:$KA$10</c:f>
              <c:numCache>
                <c:formatCode>0.000</c:formatCode>
                <c:ptCount val="16"/>
                <c:pt idx="0">
                  <c:v>5.7783042084315173E-2</c:v>
                </c:pt>
                <c:pt idx="1">
                  <c:v>2.9533554843094417E-2</c:v>
                </c:pt>
                <c:pt idx="2">
                  <c:v>7.5914823567292872E-2</c:v>
                </c:pt>
                <c:pt idx="3">
                  <c:v>3.8800909823283006E-2</c:v>
                </c:pt>
                <c:pt idx="4">
                  <c:v>7.3713939146154372E-2</c:v>
                </c:pt>
                <c:pt idx="5">
                  <c:v>3.7676013341367796E-2</c:v>
                </c:pt>
                <c:pt idx="6">
                  <c:v>6.1683710089619467E-2</c:v>
                </c:pt>
                <c:pt idx="7">
                  <c:v>3.1527229601361062E-2</c:v>
                </c:pt>
                <c:pt idx="8">
                  <c:v>5.5711120504678101E-2</c:v>
                </c:pt>
                <c:pt idx="9">
                  <c:v>2.8474572702391027E-2</c:v>
                </c:pt>
                <c:pt idx="10">
                  <c:v>0.10294736010298013</c:v>
                </c:pt>
                <c:pt idx="11">
                  <c:v>5.261753960818983E-2</c:v>
                </c:pt>
                <c:pt idx="12">
                  <c:v>0.11811250790066864</c:v>
                </c:pt>
                <c:pt idx="13">
                  <c:v>6.0368615149230635E-2</c:v>
                </c:pt>
                <c:pt idx="14">
                  <c:v>5.4205414545092201E-2</c:v>
                </c:pt>
                <c:pt idx="15">
                  <c:v>2.7704989656380456E-2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3-4349-96E1-052E6ED83DBE}"/>
            </c:ext>
          </c:extLst>
        </c:ser>
        <c:ser>
          <c:idx val="2"/>
          <c:order val="1"/>
          <c:tx>
            <c:strRef>
              <c:f>LCIA!$JK$11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LCIA!$JL$11:$KA$11</c:f>
              <c:numCache>
                <c:formatCode>0.000</c:formatCode>
                <c:ptCount val="16"/>
                <c:pt idx="0">
                  <c:v>7.3463879292814438</c:v>
                </c:pt>
                <c:pt idx="1">
                  <c:v>7.3463879292814438</c:v>
                </c:pt>
                <c:pt idx="2">
                  <c:v>10.286107742703248</c:v>
                </c:pt>
                <c:pt idx="3">
                  <c:v>10.286107742703248</c:v>
                </c:pt>
                <c:pt idx="4">
                  <c:v>10.428793483127688</c:v>
                </c:pt>
                <c:pt idx="5">
                  <c:v>10.428793483127688</c:v>
                </c:pt>
                <c:pt idx="6">
                  <c:v>8.0457816953408869</c:v>
                </c:pt>
                <c:pt idx="7">
                  <c:v>8.0457816953408869</c:v>
                </c:pt>
                <c:pt idx="8">
                  <c:v>6.8636041592617012</c:v>
                </c:pt>
                <c:pt idx="9">
                  <c:v>6.8636041592617012</c:v>
                </c:pt>
                <c:pt idx="10">
                  <c:v>3.9269305968504398</c:v>
                </c:pt>
                <c:pt idx="11">
                  <c:v>3.9269305968504398</c:v>
                </c:pt>
                <c:pt idx="12">
                  <c:v>7.7186987084086365</c:v>
                </c:pt>
                <c:pt idx="13">
                  <c:v>7.7186987084086365</c:v>
                </c:pt>
                <c:pt idx="14">
                  <c:v>6.8611149995951228</c:v>
                </c:pt>
                <c:pt idx="15">
                  <c:v>6.8611149995951228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3-4349-96E1-052E6ED83DBE}"/>
            </c:ext>
          </c:extLst>
        </c:ser>
        <c:ser>
          <c:idx val="34"/>
          <c:order val="2"/>
          <c:tx>
            <c:strRef>
              <c:f>LCIA!$JK$61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(LCIA!$JL$61:$JW$61,LCIA!$JX$62:$JY$62,LCIA!$JZ$63:$KA$63)</c:f>
              <c:numCache>
                <c:formatCode>0.000</c:formatCode>
                <c:ptCount val="16"/>
                <c:pt idx="0">
                  <c:v>0.21153434448224567</c:v>
                </c:pt>
                <c:pt idx="1">
                  <c:v>0.14129611379136084</c:v>
                </c:pt>
                <c:pt idx="2">
                  <c:v>0.24498302330552457</c:v>
                </c:pt>
                <c:pt idx="3">
                  <c:v>0.16327667416094407</c:v>
                </c:pt>
                <c:pt idx="4">
                  <c:v>0.24092293267411413</c:v>
                </c:pt>
                <c:pt idx="5">
                  <c:v>0.16060861460316012</c:v>
                </c:pt>
                <c:pt idx="6">
                  <c:v>0.19573781450648992</c:v>
                </c:pt>
                <c:pt idx="7">
                  <c:v>0.13041541586921099</c:v>
                </c:pt>
                <c:pt idx="8">
                  <c:v>0.17004453888234389</c:v>
                </c:pt>
                <c:pt idx="9">
                  <c:v>0.11321205881042636</c:v>
                </c:pt>
                <c:pt idx="10">
                  <c:v>0.30796876164603237</c:v>
                </c:pt>
                <c:pt idx="11">
                  <c:v>0.20495328099758486</c:v>
                </c:pt>
                <c:pt idx="12">
                  <c:v>0.40658729333727489</c:v>
                </c:pt>
                <c:pt idx="13">
                  <c:v>0.27186288317901147</c:v>
                </c:pt>
                <c:pt idx="14">
                  <c:v>0.81865935240761734</c:v>
                </c:pt>
                <c:pt idx="15">
                  <c:v>0.54577290160507819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3-4349-96E1-052E6ED83DBE}"/>
            </c:ext>
          </c:extLst>
        </c:ser>
        <c:ser>
          <c:idx val="33"/>
          <c:order val="3"/>
          <c:tx>
            <c:strRef>
              <c:f>LCIA!$JK$60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LCIA!$JL$60:$KA$60</c:f>
              <c:numCache>
                <c:formatCode>0.000</c:formatCode>
                <c:ptCount val="16"/>
                <c:pt idx="0">
                  <c:v>3.7867454127765071E-2</c:v>
                </c:pt>
                <c:pt idx="1">
                  <c:v>1.9354476554191036E-2</c:v>
                </c:pt>
                <c:pt idx="2">
                  <c:v>4.9749909235605308E-2</c:v>
                </c:pt>
                <c:pt idx="3">
                  <c:v>2.5427731387087149E-2</c:v>
                </c:pt>
                <c:pt idx="4">
                  <c:v>4.8307584864099133E-2</c:v>
                </c:pt>
                <c:pt idx="5">
                  <c:v>2.4690543374984008E-2</c:v>
                </c:pt>
                <c:pt idx="6">
                  <c:v>4.0423712182558552E-2</c:v>
                </c:pt>
                <c:pt idx="7">
                  <c:v>2.0661008448863257E-2</c:v>
                </c:pt>
                <c:pt idx="8">
                  <c:v>3.6509644075834097E-2</c:v>
                </c:pt>
                <c:pt idx="9">
                  <c:v>1.8660484749870757E-2</c:v>
                </c:pt>
                <c:pt idx="10">
                  <c:v>6.7465372117060884E-2</c:v>
                </c:pt>
                <c:pt idx="11">
                  <c:v>3.4482301304275549E-2</c:v>
                </c:pt>
                <c:pt idx="12">
                  <c:v>7.7403677852709019E-2</c:v>
                </c:pt>
                <c:pt idx="13">
                  <c:v>3.9561879791384605E-2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73-4349-96E1-052E6ED83DBE}"/>
            </c:ext>
          </c:extLst>
        </c:ser>
        <c:ser>
          <c:idx val="26"/>
          <c:order val="4"/>
          <c:tx>
            <c:strRef>
              <c:f>LCIA!$JK$52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LCIA!$JL$52:$KA$52</c:f>
              <c:numCache>
                <c:formatCode>0.000</c:formatCode>
                <c:ptCount val="16"/>
                <c:pt idx="0">
                  <c:v>0.20928104971105863</c:v>
                </c:pt>
                <c:pt idx="1">
                  <c:v>0.20899509502923977</c:v>
                </c:pt>
                <c:pt idx="2">
                  <c:v>0.20928104971105857</c:v>
                </c:pt>
                <c:pt idx="3">
                  <c:v>0.20899509502923974</c:v>
                </c:pt>
                <c:pt idx="4">
                  <c:v>0.20928104971105865</c:v>
                </c:pt>
                <c:pt idx="5">
                  <c:v>0.2089950950292398</c:v>
                </c:pt>
                <c:pt idx="6">
                  <c:v>0.17968030929866036</c:v>
                </c:pt>
                <c:pt idx="7">
                  <c:v>0.17945748746867174</c:v>
                </c:pt>
                <c:pt idx="8">
                  <c:v>0.16078621967372536</c:v>
                </c:pt>
                <c:pt idx="9">
                  <c:v>0.16060369540873462</c:v>
                </c:pt>
                <c:pt idx="10">
                  <c:v>0.2354411809249409</c:v>
                </c:pt>
                <c:pt idx="11">
                  <c:v>0.23511948190789478</c:v>
                </c:pt>
                <c:pt idx="12">
                  <c:v>0.13689356231003044</c:v>
                </c:pt>
                <c:pt idx="13">
                  <c:v>0.13654061253132832</c:v>
                </c:pt>
                <c:pt idx="14">
                  <c:v>4.3702659754837851</c:v>
                </c:pt>
                <c:pt idx="15">
                  <c:v>2.2336914985806016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73-4349-96E1-052E6ED83DBE}"/>
            </c:ext>
          </c:extLst>
        </c:ser>
        <c:ser>
          <c:idx val="25"/>
          <c:order val="5"/>
          <c:tx>
            <c:strRef>
              <c:f>LCIA!$JK$50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(LCIA!$JL$50:$JW$50,LCIA!$JX$51:$JY$51,LCIA!$JZ$50:$KA$50)</c:f>
              <c:numCache>
                <c:formatCode>0.000</c:formatCode>
                <c:ptCount val="16"/>
                <c:pt idx="0">
                  <c:v>0.27565740070687184</c:v>
                </c:pt>
                <c:pt idx="1">
                  <c:v>0.14089156036129002</c:v>
                </c:pt>
                <c:pt idx="2">
                  <c:v>0.36215613067144292</c:v>
                </c:pt>
                <c:pt idx="3">
                  <c:v>0.18510202234318182</c:v>
                </c:pt>
                <c:pt idx="4">
                  <c:v>0.3516566820978973</c:v>
                </c:pt>
                <c:pt idx="5">
                  <c:v>0.17973563751670307</c:v>
                </c:pt>
                <c:pt idx="6">
                  <c:v>0.29426576683951111</c:v>
                </c:pt>
                <c:pt idx="7">
                  <c:v>0.1504025030513057</c:v>
                </c:pt>
                <c:pt idx="8">
                  <c:v>0.26577317695351105</c:v>
                </c:pt>
                <c:pt idx="9">
                  <c:v>0.13583962377623898</c:v>
                </c:pt>
                <c:pt idx="10">
                  <c:v>0.49111643610271083</c:v>
                </c:pt>
                <c:pt idx="11">
                  <c:v>0.25101506734138551</c:v>
                </c:pt>
                <c:pt idx="12">
                  <c:v>0.11811250790066864</c:v>
                </c:pt>
                <c:pt idx="13">
                  <c:v>6.0368615149230635E-2</c:v>
                </c:pt>
                <c:pt idx="14">
                  <c:v>0.25859011811692967</c:v>
                </c:pt>
                <c:pt idx="15">
                  <c:v>0.13216828259309737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73-4349-96E1-052E6ED83DBE}"/>
            </c:ext>
          </c:extLst>
        </c:ser>
        <c:ser>
          <c:idx val="39"/>
          <c:order val="6"/>
          <c:tx>
            <c:strRef>
              <c:f>LCIA!$JK$64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LCIA!$JL$64:$KA$64</c:f>
              <c:numCache>
                <c:formatCode>0.000</c:formatCode>
                <c:ptCount val="16"/>
                <c:pt idx="0">
                  <c:v>1.4172637882616218E-2</c:v>
                </c:pt>
                <c:pt idx="1">
                  <c:v>1.1667450074628018E-2</c:v>
                </c:pt>
                <c:pt idx="2">
                  <c:v>1.6140004494067859E-2</c:v>
                </c:pt>
                <c:pt idx="3">
                  <c:v>1.318798563108171E-2</c:v>
                </c:pt>
                <c:pt idx="4">
                  <c:v>1.6229299642435024E-2</c:v>
                </c:pt>
                <c:pt idx="5">
                  <c:v>1.3276790915649117E-2</c:v>
                </c:pt>
                <c:pt idx="6">
                  <c:v>1.3217802588871381E-2</c:v>
                </c:pt>
                <c:pt idx="7">
                  <c:v>1.0792896043810925E-2</c:v>
                </c:pt>
                <c:pt idx="8">
                  <c:v>1.1472643320287643E-2</c:v>
                </c:pt>
                <c:pt idx="9">
                  <c:v>9.3442045217329173E-3</c:v>
                </c:pt>
                <c:pt idx="10">
                  <c:v>2.0854884416588122E-2</c:v>
                </c:pt>
                <c:pt idx="11">
                  <c:v>1.6957642265116288E-2</c:v>
                </c:pt>
                <c:pt idx="12">
                  <c:v>2.7660214877554625E-2</c:v>
                </c:pt>
                <c:pt idx="13">
                  <c:v>2.2639820947196593E-2</c:v>
                </c:pt>
                <c:pt idx="14">
                  <c:v>8.7633305645440415E-3</c:v>
                </c:pt>
                <c:pt idx="15">
                  <c:v>6.3496054994260382E-3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73-4349-96E1-052E6ED83DBE}"/>
            </c:ext>
          </c:extLst>
        </c:ser>
        <c:ser>
          <c:idx val="35"/>
          <c:order val="7"/>
          <c:tx>
            <c:strRef>
              <c:f>LCIA!$JK$65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LCIA!$JL$65:$KA$65</c:f>
              <c:numCache>
                <c:formatCode>0.000</c:formatCode>
                <c:ptCount val="16"/>
                <c:pt idx="0">
                  <c:v>2.9688958014243632</c:v>
                </c:pt>
                <c:pt idx="1">
                  <c:v>2.6039137073639997</c:v>
                </c:pt>
                <c:pt idx="2">
                  <c:v>3.3282504309608201</c:v>
                </c:pt>
                <c:pt idx="3">
                  <c:v>2.8488174000778979</c:v>
                </c:pt>
                <c:pt idx="4">
                  <c:v>3.2846309991607368</c:v>
                </c:pt>
                <c:pt idx="5">
                  <c:v>2.8190903309270081</c:v>
                </c:pt>
                <c:pt idx="6">
                  <c:v>3.041093980045432</c:v>
                </c:pt>
                <c:pt idx="7">
                  <c:v>2.6515439782980539</c:v>
                </c:pt>
                <c:pt idx="8">
                  <c:v>2.9194618136648005</c:v>
                </c:pt>
                <c:pt idx="9">
                  <c:v>2.567646156800667</c:v>
                </c:pt>
                <c:pt idx="10">
                  <c:v>3.8669254605081815</c:v>
                </c:pt>
                <c:pt idx="11">
                  <c:v>3.2168276955192123</c:v>
                </c:pt>
                <c:pt idx="12">
                  <c:v>4.4492570616706182</c:v>
                </c:pt>
                <c:pt idx="13">
                  <c:v>3.7032599299996765</c:v>
                </c:pt>
                <c:pt idx="14">
                  <c:v>1.6486244726556667</c:v>
                </c:pt>
                <c:pt idx="15">
                  <c:v>1.1171929060457466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73-4349-96E1-052E6ED83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ax val="1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Land use </a:t>
            </a:r>
            <a:br>
              <a:rPr lang="en-US" sz="900"/>
            </a:br>
            <a:r>
              <a:rPr lang="en-US" sz="900"/>
              <a:t>[Annual crop eq.·y/kWh</a:t>
            </a:r>
            <a:r>
              <a:rPr lang="en-US" sz="900" baseline="-25000"/>
              <a:t>cell</a:t>
            </a:r>
            <a:r>
              <a:rPr lang="en-US" sz="900"/>
              <a:t>]</a:t>
            </a:r>
          </a:p>
        </c:rich>
      </c:tx>
      <c:layout>
        <c:manualLayout>
          <c:xMode val="edge"/>
          <c:yMode val="edge"/>
          <c:x val="0.33309615163717143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LCIA!$KD$10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LCIA!$KE$10:$KT$10</c:f>
              <c:numCache>
                <c:formatCode>0.000</c:formatCode>
                <c:ptCount val="16"/>
                <c:pt idx="0">
                  <c:v>3.4891816598709637E-2</c:v>
                </c:pt>
                <c:pt idx="1">
                  <c:v>1.7833595150451589E-2</c:v>
                </c:pt>
                <c:pt idx="2">
                  <c:v>4.5840544310012783E-2</c:v>
                </c:pt>
                <c:pt idx="3">
                  <c:v>2.3429611536228745E-2</c:v>
                </c:pt>
                <c:pt idx="4">
                  <c:v>4.4511558282152426E-2</c:v>
                </c:pt>
                <c:pt idx="5">
                  <c:v>2.2750352010877911E-2</c:v>
                </c:pt>
                <c:pt idx="6">
                  <c:v>3.7247203019087731E-2</c:v>
                </c:pt>
                <c:pt idx="7">
                  <c:v>1.9037459320867065E-2</c:v>
                </c:pt>
                <c:pt idx="8">
                  <c:v>3.3640703726214659E-2</c:v>
                </c:pt>
                <c:pt idx="9">
                  <c:v>1.7194137460065272E-2</c:v>
                </c:pt>
                <c:pt idx="10">
                  <c:v>6.2163920044104606E-2</c:v>
                </c:pt>
                <c:pt idx="11">
                  <c:v>3.1772670244764566E-2</c:v>
                </c:pt>
                <c:pt idx="12">
                  <c:v>7.1321270307477203E-2</c:v>
                </c:pt>
                <c:pt idx="13">
                  <c:v>3.645309371271057E-2</c:v>
                </c:pt>
                <c:pt idx="14">
                  <c:v>3.2731495517398047E-2</c:v>
                </c:pt>
                <c:pt idx="15">
                  <c:v>1.6729431042225667E-2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B-4C3D-A3A8-2F776C476DD3}"/>
            </c:ext>
          </c:extLst>
        </c:ser>
        <c:ser>
          <c:idx val="2"/>
          <c:order val="1"/>
          <c:tx>
            <c:strRef>
              <c:f>LCIA!$KD$11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LCIA!$KE$11:$KT$11</c:f>
              <c:numCache>
                <c:formatCode>0.000</c:formatCode>
                <c:ptCount val="16"/>
                <c:pt idx="0">
                  <c:v>1.0273659453374717</c:v>
                </c:pt>
                <c:pt idx="1">
                  <c:v>1.0273659453374717</c:v>
                </c:pt>
                <c:pt idx="2">
                  <c:v>1.4608319563237537</c:v>
                </c:pt>
                <c:pt idx="3">
                  <c:v>1.4608319563237537</c:v>
                </c:pt>
                <c:pt idx="4">
                  <c:v>1.4608190978657627</c:v>
                </c:pt>
                <c:pt idx="5">
                  <c:v>1.4608190978657627</c:v>
                </c:pt>
                <c:pt idx="6">
                  <c:v>1.1294327334973484</c:v>
                </c:pt>
                <c:pt idx="7">
                  <c:v>1.1294327334973484</c:v>
                </c:pt>
                <c:pt idx="8">
                  <c:v>0.96913148166294194</c:v>
                </c:pt>
                <c:pt idx="9">
                  <c:v>0.96913148166294194</c:v>
                </c:pt>
                <c:pt idx="10">
                  <c:v>1.0089319316355814</c:v>
                </c:pt>
                <c:pt idx="11">
                  <c:v>1.0089319316355814</c:v>
                </c:pt>
                <c:pt idx="12">
                  <c:v>1.0606799401472899</c:v>
                </c:pt>
                <c:pt idx="13">
                  <c:v>1.0606799401472899</c:v>
                </c:pt>
                <c:pt idx="14">
                  <c:v>0.96843384239541019</c:v>
                </c:pt>
                <c:pt idx="15">
                  <c:v>0.96843384239541019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2B-4C3D-A3A8-2F776C476DD3}"/>
            </c:ext>
          </c:extLst>
        </c:ser>
        <c:ser>
          <c:idx val="34"/>
          <c:order val="2"/>
          <c:tx>
            <c:strRef>
              <c:f>LCIA!$KD$61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(LCIA!$KE$61:$KP$61,LCIA!$KQ$62:$KR$62,LCIA!$KS$63:$KT$63)</c:f>
              <c:numCache>
                <c:formatCode>0.000</c:formatCode>
                <c:ptCount val="16"/>
                <c:pt idx="0">
                  <c:v>9.8101521251659524E-2</c:v>
                </c:pt>
                <c:pt idx="1">
                  <c:v>6.5527721958376778E-2</c:v>
                </c:pt>
                <c:pt idx="2">
                  <c:v>0.11361373646405609</c:v>
                </c:pt>
                <c:pt idx="3">
                  <c:v>7.5721463383665949E-2</c:v>
                </c:pt>
                <c:pt idx="4">
                  <c:v>0.1117308220449538</c:v>
                </c:pt>
                <c:pt idx="5">
                  <c:v>7.4484119622541589E-2</c:v>
                </c:pt>
                <c:pt idx="6">
                  <c:v>9.0775696100608733E-2</c:v>
                </c:pt>
                <c:pt idx="7">
                  <c:v>6.0481671299060513E-2</c:v>
                </c:pt>
                <c:pt idx="8">
                  <c:v>7.8860139641745097E-2</c:v>
                </c:pt>
                <c:pt idx="9">
                  <c:v>5.2503413667974529E-2</c:v>
                </c:pt>
                <c:pt idx="10">
                  <c:v>0.14282410777981852</c:v>
                </c:pt>
                <c:pt idx="11">
                  <c:v>9.5049476247434872E-2</c:v>
                </c:pt>
                <c:pt idx="12">
                  <c:v>0.18855960291275134</c:v>
                </c:pt>
                <c:pt idx="13">
                  <c:v>0.12607958521818988</c:v>
                </c:pt>
                <c:pt idx="14">
                  <c:v>0.24392551376863211</c:v>
                </c:pt>
                <c:pt idx="15">
                  <c:v>0.16261700917908808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2B-4C3D-A3A8-2F776C476DD3}"/>
            </c:ext>
          </c:extLst>
        </c:ser>
        <c:ser>
          <c:idx val="33"/>
          <c:order val="3"/>
          <c:tx>
            <c:strRef>
              <c:f>LCIA!$KD$60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LCIA!$KE$60:$KT$60</c:f>
              <c:numCache>
                <c:formatCode>0.000</c:formatCode>
                <c:ptCount val="16"/>
                <c:pt idx="0">
                  <c:v>2.3744783255503159E-2</c:v>
                </c:pt>
                <c:pt idx="1">
                  <c:v>1.2136222552812723E-2</c:v>
                </c:pt>
                <c:pt idx="2">
                  <c:v>3.1195675521113329E-2</c:v>
                </c:pt>
                <c:pt idx="3">
                  <c:v>1.5944456377457918E-2</c:v>
                </c:pt>
                <c:pt idx="4">
                  <c:v>3.029126617080443E-2</c:v>
                </c:pt>
                <c:pt idx="5">
                  <c:v>1.548220270952227E-2</c:v>
                </c:pt>
                <c:pt idx="6">
                  <c:v>2.5347684608506994E-2</c:v>
                </c:pt>
                <c:pt idx="7">
                  <c:v>1.2955483244348016E-2</c:v>
                </c:pt>
                <c:pt idx="8">
                  <c:v>2.2893368600679427E-2</c:v>
                </c:pt>
                <c:pt idx="9">
                  <c:v>1.1701055062569484E-2</c:v>
                </c:pt>
                <c:pt idx="10">
                  <c:v>4.2304154717306405E-2</c:v>
                </c:pt>
                <c:pt idx="11">
                  <c:v>2.1622123522178825E-2</c:v>
                </c:pt>
                <c:pt idx="12">
                  <c:v>4.8535968317018723E-2</c:v>
                </c:pt>
                <c:pt idx="13">
                  <c:v>2.4807272695365125E-2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2B-4C3D-A3A8-2F776C476DD3}"/>
            </c:ext>
          </c:extLst>
        </c:ser>
        <c:ser>
          <c:idx val="26"/>
          <c:order val="4"/>
          <c:tx>
            <c:strRef>
              <c:f>LCIA!$KD$52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LCIA!$KE$52:$KT$52</c:f>
              <c:numCache>
                <c:formatCode>0.000</c:formatCode>
                <c:ptCount val="16"/>
                <c:pt idx="0">
                  <c:v>0.11408087503283429</c:v>
                </c:pt>
                <c:pt idx="1">
                  <c:v>0.11371530717998699</c:v>
                </c:pt>
                <c:pt idx="2">
                  <c:v>0.11408087503283426</c:v>
                </c:pt>
                <c:pt idx="3">
                  <c:v>0.11371530717998697</c:v>
                </c:pt>
                <c:pt idx="4">
                  <c:v>0.1140808750328343</c:v>
                </c:pt>
                <c:pt idx="5">
                  <c:v>0.113715307179987</c:v>
                </c:pt>
                <c:pt idx="6">
                  <c:v>0.11342395024203532</c:v>
                </c:pt>
                <c:pt idx="7">
                  <c:v>0.11313909217488166</c:v>
                </c:pt>
                <c:pt idx="8">
                  <c:v>0.11300463654578077</c:v>
                </c:pt>
                <c:pt idx="9">
                  <c:v>0.11277129536311228</c:v>
                </c:pt>
                <c:pt idx="10">
                  <c:v>0.12834098441193853</c:v>
                </c:pt>
                <c:pt idx="11">
                  <c:v>0.12792972057748539</c:v>
                </c:pt>
                <c:pt idx="12">
                  <c:v>6.5029918135764961E-2</c:v>
                </c:pt>
                <c:pt idx="13">
                  <c:v>6.4578702957393486E-2</c:v>
                </c:pt>
                <c:pt idx="14">
                  <c:v>1.7196401622699142</c:v>
                </c:pt>
                <c:pt idx="15">
                  <c:v>0.87892719404906738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2B-4C3D-A3A8-2F776C476DD3}"/>
            </c:ext>
          </c:extLst>
        </c:ser>
        <c:ser>
          <c:idx val="25"/>
          <c:order val="5"/>
          <c:tx>
            <c:strRef>
              <c:f>LCIA!$KD$50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(LCIA!$KE$50:$KP$50,LCIA!$KQ$51:$KR$51,LCIA!$KS$50:$KT$50)</c:f>
              <c:numCache>
                <c:formatCode>0.000</c:formatCode>
                <c:ptCount val="16"/>
                <c:pt idx="0">
                  <c:v>0.49607813988773192</c:v>
                </c:pt>
                <c:pt idx="1">
                  <c:v>0.25355104927595185</c:v>
                </c:pt>
                <c:pt idx="2">
                  <c:v>0.65174284888317568</c:v>
                </c:pt>
                <c:pt idx="3">
                  <c:v>0.33311301165140067</c:v>
                </c:pt>
                <c:pt idx="4">
                  <c:v>0.63284784767930791</c:v>
                </c:pt>
                <c:pt idx="5">
                  <c:v>0.32345556659164626</c:v>
                </c:pt>
                <c:pt idx="6">
                  <c:v>0.52956609861388204</c:v>
                </c:pt>
                <c:pt idx="7">
                  <c:v>0.27066711706931751</c:v>
                </c:pt>
                <c:pt idx="8">
                  <c:v>0.47829030861156213</c:v>
                </c:pt>
                <c:pt idx="9">
                  <c:v>0.24445949106813178</c:v>
                </c:pt>
                <c:pt idx="10">
                  <c:v>0.88382219184166977</c:v>
                </c:pt>
                <c:pt idx="11">
                  <c:v>0.45173134249685337</c:v>
                </c:pt>
                <c:pt idx="12">
                  <c:v>7.1321270307477203E-2</c:v>
                </c:pt>
                <c:pt idx="13">
                  <c:v>3.645309371271057E-2</c:v>
                </c:pt>
                <c:pt idx="14">
                  <c:v>0.46536354351395237</c:v>
                </c:pt>
                <c:pt idx="15">
                  <c:v>0.23785247779602009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2B-4C3D-A3A8-2F776C476DD3}"/>
            </c:ext>
          </c:extLst>
        </c:ser>
        <c:ser>
          <c:idx val="39"/>
          <c:order val="6"/>
          <c:tx>
            <c:strRef>
              <c:f>LCIA!$KD$64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LCIA!$KE$64:$KT$64</c:f>
              <c:numCache>
                <c:formatCode>0.000</c:formatCode>
                <c:ptCount val="16"/>
                <c:pt idx="0">
                  <c:v>4.0536768139010403E-3</c:v>
                </c:pt>
                <c:pt idx="1">
                  <c:v>3.3371396515309028E-3</c:v>
                </c:pt>
                <c:pt idx="2">
                  <c:v>4.6163856394095641E-3</c:v>
                </c:pt>
                <c:pt idx="3">
                  <c:v>3.7720452619726089E-3</c:v>
                </c:pt>
                <c:pt idx="4">
                  <c:v>4.6419259569939015E-3</c:v>
                </c:pt>
                <c:pt idx="5">
                  <c:v>3.7974454680587554E-3</c:v>
                </c:pt>
                <c:pt idx="6">
                  <c:v>3.7805735480583844E-3</c:v>
                </c:pt>
                <c:pt idx="7">
                  <c:v>3.0869985397216932E-3</c:v>
                </c:pt>
                <c:pt idx="8">
                  <c:v>3.2814207635016323E-3</c:v>
                </c:pt>
                <c:pt idx="9">
                  <c:v>2.6726418559355567E-3</c:v>
                </c:pt>
                <c:pt idx="10">
                  <c:v>5.9649418912905861E-3</c:v>
                </c:pt>
                <c:pt idx="11">
                  <c:v>4.8502474865914601E-3</c:v>
                </c:pt>
                <c:pt idx="12">
                  <c:v>7.9114115978503926E-3</c:v>
                </c:pt>
                <c:pt idx="13">
                  <c:v>6.4754718214518215E-3</c:v>
                </c:pt>
                <c:pt idx="14">
                  <c:v>2.506499510977765E-3</c:v>
                </c:pt>
                <c:pt idx="15">
                  <c:v>1.8161226444664157E-3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2B-4C3D-A3A8-2F776C476DD3}"/>
            </c:ext>
          </c:extLst>
        </c:ser>
        <c:ser>
          <c:idx val="35"/>
          <c:order val="7"/>
          <c:tx>
            <c:strRef>
              <c:f>LCIA!$KD$65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LCIA!$KE$65:$KT$65</c:f>
              <c:numCache>
                <c:formatCode>0.000</c:formatCode>
                <c:ptCount val="16"/>
                <c:pt idx="0">
                  <c:v>0.17142210920064235</c:v>
                </c:pt>
                <c:pt idx="1">
                  <c:v>0.14996558664953022</c:v>
                </c:pt>
                <c:pt idx="2">
                  <c:v>0.19260936601729015</c:v>
                </c:pt>
                <c:pt idx="3">
                  <c:v>0.16442437602580334</c:v>
                </c:pt>
                <c:pt idx="4">
                  <c:v>0.19003759977919618</c:v>
                </c:pt>
                <c:pt idx="5">
                  <c:v>0.16266932926900024</c:v>
                </c:pt>
                <c:pt idx="6">
                  <c:v>0.17568900150000863</c:v>
                </c:pt>
                <c:pt idx="7">
                  <c:v>0.15278805613866614</c:v>
                </c:pt>
                <c:pt idx="8">
                  <c:v>0.16852414396703319</c:v>
                </c:pt>
                <c:pt idx="9">
                  <c:v>0.14784150440685229</c:v>
                </c:pt>
                <c:pt idx="10">
                  <c:v>0.2243634172690098</c:v>
                </c:pt>
                <c:pt idx="11">
                  <c:v>0.18614525708361221</c:v>
                </c:pt>
                <c:pt idx="12">
                  <c:v>0.25813765697185548</c:v>
                </c:pt>
                <c:pt idx="13">
                  <c:v>0.21428197598621559</c:v>
                </c:pt>
                <c:pt idx="14">
                  <c:v>9.7512721649679224E-2</c:v>
                </c:pt>
                <c:pt idx="15">
                  <c:v>6.6339174257504158E-2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2B-4C3D-A3A8-2F776C476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ax val="4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  <c:majorUnit val="0.70000000000000007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Marine ecotoxicity </a:t>
            </a:r>
            <a:br>
              <a:rPr lang="en-US" sz="900"/>
            </a:br>
            <a:r>
              <a:rPr lang="en-US" sz="900"/>
              <a:t>[kg 1,4-DB eq./kWh</a:t>
            </a:r>
            <a:r>
              <a:rPr lang="en-US" sz="900" baseline="-25000"/>
              <a:t>cell</a:t>
            </a:r>
            <a:r>
              <a:rPr lang="en-US" sz="900"/>
              <a:t>]</a:t>
            </a:r>
          </a:p>
        </c:rich>
      </c:tx>
      <c:layout>
        <c:manualLayout>
          <c:xMode val="edge"/>
          <c:yMode val="edge"/>
          <c:x val="0.33309615163717143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LCIA!$KW$10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LCIA!$KX$10:$LM$10</c:f>
              <c:numCache>
                <c:formatCode>0.000</c:formatCode>
                <c:ptCount val="16"/>
                <c:pt idx="0">
                  <c:v>0.34895547545736871</c:v>
                </c:pt>
                <c:pt idx="1">
                  <c:v>0.17835502078932175</c:v>
                </c:pt>
                <c:pt idx="2">
                  <c:v>0.45845445993536094</c:v>
                </c:pt>
                <c:pt idx="3">
                  <c:v>0.23432116841140657</c:v>
                </c:pt>
                <c:pt idx="4">
                  <c:v>0.44516317858529902</c:v>
                </c:pt>
                <c:pt idx="5">
                  <c:v>0.2275278468324862</c:v>
                </c:pt>
                <c:pt idx="6">
                  <c:v>0.37251185825227495</c:v>
                </c:pt>
                <c:pt idx="7">
                  <c:v>0.190394949773385</c:v>
                </c:pt>
                <c:pt idx="8">
                  <c:v>0.33644300892994622</c:v>
                </c:pt>
                <c:pt idx="9">
                  <c:v>0.17195976011975028</c:v>
                </c:pt>
                <c:pt idx="10">
                  <c:v>0.62170567169857827</c:v>
                </c:pt>
                <c:pt idx="11">
                  <c:v>0.31776067664593993</c:v>
                </c:pt>
                <c:pt idx="12">
                  <c:v>0.71328896619528892</c:v>
                </c:pt>
                <c:pt idx="13">
                  <c:v>0.36456991605536987</c:v>
                </c:pt>
                <c:pt idx="14">
                  <c:v>0.32734995463454225</c:v>
                </c:pt>
                <c:pt idx="15">
                  <c:v>0.16731219903543271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B-439F-944C-423D8C8C2078}"/>
            </c:ext>
          </c:extLst>
        </c:ser>
        <c:ser>
          <c:idx val="2"/>
          <c:order val="1"/>
          <c:tx>
            <c:strRef>
              <c:f>LCIA!$KW$11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LCIA!$KX$11:$LM$11</c:f>
              <c:numCache>
                <c:formatCode>0.000</c:formatCode>
                <c:ptCount val="16"/>
                <c:pt idx="0">
                  <c:v>6.3581181807338201</c:v>
                </c:pt>
                <c:pt idx="1">
                  <c:v>6.3581181807338201</c:v>
                </c:pt>
                <c:pt idx="2">
                  <c:v>8.9348401577205809</c:v>
                </c:pt>
                <c:pt idx="3">
                  <c:v>8.9348401577205809</c:v>
                </c:pt>
                <c:pt idx="4">
                  <c:v>9.1765143907413016</c:v>
                </c:pt>
                <c:pt idx="5">
                  <c:v>9.1765143907413016</c:v>
                </c:pt>
                <c:pt idx="6">
                  <c:v>6.9159458434847547</c:v>
                </c:pt>
                <c:pt idx="7">
                  <c:v>6.9159458434847547</c:v>
                </c:pt>
                <c:pt idx="8">
                  <c:v>5.8932721663164394</c:v>
                </c:pt>
                <c:pt idx="9">
                  <c:v>5.8932721663164394</c:v>
                </c:pt>
                <c:pt idx="10">
                  <c:v>2.0563732488986135</c:v>
                </c:pt>
                <c:pt idx="11">
                  <c:v>2.0563732488986135</c:v>
                </c:pt>
                <c:pt idx="12">
                  <c:v>4.6786332774106638</c:v>
                </c:pt>
                <c:pt idx="13">
                  <c:v>4.6786332774106638</c:v>
                </c:pt>
                <c:pt idx="14">
                  <c:v>5.8907313236304359</c:v>
                </c:pt>
                <c:pt idx="15">
                  <c:v>5.8907313236304359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4B-439F-944C-423D8C8C2078}"/>
            </c:ext>
          </c:extLst>
        </c:ser>
        <c:ser>
          <c:idx val="34"/>
          <c:order val="2"/>
          <c:tx>
            <c:strRef>
              <c:f>LCIA!$KW$61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(LCIA!$KX$61:$LI$61,LCIA!$LJ$62:$LK$62,LCIA!$LL$63:$LM$63)</c:f>
              <c:numCache>
                <c:formatCode>0.000</c:formatCode>
                <c:ptCount val="16"/>
                <c:pt idx="0">
                  <c:v>0.471232625812399</c:v>
                </c:pt>
                <c:pt idx="1">
                  <c:v>0.31476372728958396</c:v>
                </c:pt>
                <c:pt idx="2">
                  <c:v>0.54574586284929172</c:v>
                </c:pt>
                <c:pt idx="3">
                  <c:v>0.36372956877097057</c:v>
                </c:pt>
                <c:pt idx="4">
                  <c:v>0.53670124565505428</c:v>
                </c:pt>
                <c:pt idx="5">
                  <c:v>0.35778596318618605</c:v>
                </c:pt>
                <c:pt idx="6">
                  <c:v>0.43604287770119132</c:v>
                </c:pt>
                <c:pt idx="7">
                  <c:v>0.29052492169479543</c:v>
                </c:pt>
                <c:pt idx="8">
                  <c:v>0.37880626315652938</c:v>
                </c:pt>
                <c:pt idx="9">
                  <c:v>0.25220120107419536</c:v>
                </c:pt>
                <c:pt idx="10">
                  <c:v>0.68605846759240163</c:v>
                </c:pt>
                <c:pt idx="11">
                  <c:v>0.45657206639305087</c:v>
                </c:pt>
                <c:pt idx="12">
                  <c:v>0.90574983618020066</c:v>
                </c:pt>
                <c:pt idx="13">
                  <c:v>0.60562581747630839</c:v>
                </c:pt>
                <c:pt idx="14">
                  <c:v>0.4625211663263043</c:v>
                </c:pt>
                <c:pt idx="15">
                  <c:v>0.30834744421753624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4B-439F-944C-423D8C8C2078}"/>
            </c:ext>
          </c:extLst>
        </c:ser>
        <c:ser>
          <c:idx val="33"/>
          <c:order val="3"/>
          <c:tx>
            <c:strRef>
              <c:f>LCIA!$KW$60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LCIA!$KX$60:$LM$60</c:f>
              <c:numCache>
                <c:formatCode>0.000</c:formatCode>
                <c:ptCount val="16"/>
                <c:pt idx="0">
                  <c:v>4.4071189934718896E-2</c:v>
                </c:pt>
                <c:pt idx="1">
                  <c:v>2.2525274855522987E-2</c:v>
                </c:pt>
                <c:pt idx="2">
                  <c:v>5.7900319671867789E-2</c:v>
                </c:pt>
                <c:pt idx="3">
                  <c:v>2.9593496721176862E-2</c:v>
                </c:pt>
                <c:pt idx="4">
                  <c:v>5.622170269620172E-2</c:v>
                </c:pt>
                <c:pt idx="5">
                  <c:v>2.873553693361422E-2</c:v>
                </c:pt>
                <c:pt idx="6">
                  <c:v>4.7046233724957656E-2</c:v>
                </c:pt>
                <c:pt idx="7">
                  <c:v>2.4045852792756131E-2</c:v>
                </c:pt>
                <c:pt idx="8">
                  <c:v>4.2490933060517135E-2</c:v>
                </c:pt>
                <c:pt idx="9">
                  <c:v>2.1717588008708755E-2</c:v>
                </c:pt>
                <c:pt idx="10">
                  <c:v>7.8518065105607895E-2</c:v>
                </c:pt>
                <c:pt idx="11">
                  <c:v>4.01314554984218E-2</c:v>
                </c:pt>
                <c:pt idx="12">
                  <c:v>9.0084540058670851E-2</c:v>
                </c:pt>
                <c:pt idx="13">
                  <c:v>4.6043209363320653E-2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4B-439F-944C-423D8C8C2078}"/>
            </c:ext>
          </c:extLst>
        </c:ser>
        <c:ser>
          <c:idx val="26"/>
          <c:order val="4"/>
          <c:tx>
            <c:strRef>
              <c:f>LCIA!$KW$52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LCIA!$KX$52:$LM$52</c:f>
              <c:numCache>
                <c:formatCode>0.000</c:formatCode>
                <c:ptCount val="16"/>
                <c:pt idx="0">
                  <c:v>0.61518172059692688</c:v>
                </c:pt>
                <c:pt idx="1">
                  <c:v>0.61442459576023378</c:v>
                </c:pt>
                <c:pt idx="2">
                  <c:v>0.61518172059692666</c:v>
                </c:pt>
                <c:pt idx="3">
                  <c:v>0.61442459576023378</c:v>
                </c:pt>
                <c:pt idx="4">
                  <c:v>0.615181720596927</c:v>
                </c:pt>
                <c:pt idx="5">
                  <c:v>0.61442459576023389</c:v>
                </c:pt>
                <c:pt idx="6">
                  <c:v>0.50996026328380029</c:v>
                </c:pt>
                <c:pt idx="7">
                  <c:v>0.5093702958785854</c:v>
                </c:pt>
                <c:pt idx="8">
                  <c:v>0.44279763095627328</c:v>
                </c:pt>
                <c:pt idx="9">
                  <c:v>0.44231435978391603</c:v>
                </c:pt>
                <c:pt idx="10">
                  <c:v>0.69207943567154251</c:v>
                </c:pt>
                <c:pt idx="11">
                  <c:v>0.69122767023026321</c:v>
                </c:pt>
                <c:pt idx="12">
                  <c:v>0.10755162847011149</c:v>
                </c:pt>
                <c:pt idx="13">
                  <c:v>0.10661712010025064</c:v>
                </c:pt>
                <c:pt idx="14">
                  <c:v>6.9174489385927718</c:v>
                </c:pt>
                <c:pt idx="15">
                  <c:v>3.5355850130585278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4B-439F-944C-423D8C8C2078}"/>
            </c:ext>
          </c:extLst>
        </c:ser>
        <c:ser>
          <c:idx val="25"/>
          <c:order val="5"/>
          <c:tx>
            <c:strRef>
              <c:f>LCIA!$KW$50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(LCIA!$KX$50:$LI$50,LCIA!$LJ$51:$LK$51,LCIA!$LL$50:$LM$50)</c:f>
              <c:numCache>
                <c:formatCode>0.000</c:formatCode>
                <c:ptCount val="16"/>
                <c:pt idx="0">
                  <c:v>19.783961066650711</c:v>
                </c:pt>
                <c:pt idx="1">
                  <c:v>10.111802322954807</c:v>
                </c:pt>
                <c:pt idx="2">
                  <c:v>25.991984147277353</c:v>
                </c:pt>
                <c:pt idx="3">
                  <c:v>13.284791897497305</c:v>
                </c:pt>
                <c:pt idx="4">
                  <c:v>25.238437602661946</c:v>
                </c:pt>
                <c:pt idx="5">
                  <c:v>12.899645885804995</c:v>
                </c:pt>
                <c:pt idx="6">
                  <c:v>21.119485489858913</c:v>
                </c:pt>
                <c:pt idx="7">
                  <c:v>10.794403694816777</c:v>
                </c:pt>
                <c:pt idx="8">
                  <c:v>19.074569273036225</c:v>
                </c:pt>
                <c:pt idx="9">
                  <c:v>9.7492242951074051</c:v>
                </c:pt>
                <c:pt idx="10">
                  <c:v>35.247479030611302</c:v>
                </c:pt>
                <c:pt idx="11">
                  <c:v>18.015378171201327</c:v>
                </c:pt>
                <c:pt idx="12">
                  <c:v>0.71328896619528892</c:v>
                </c:pt>
                <c:pt idx="13">
                  <c:v>0.36456991605536987</c:v>
                </c:pt>
                <c:pt idx="14">
                  <c:v>18.559040373764979</c:v>
                </c:pt>
                <c:pt idx="15">
                  <c:v>9.4857317465909876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4B-439F-944C-423D8C8C2078}"/>
            </c:ext>
          </c:extLst>
        </c:ser>
        <c:ser>
          <c:idx val="39"/>
          <c:order val="6"/>
          <c:tx>
            <c:strRef>
              <c:f>LCIA!$KW$64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LCIA!$KX$64:$LM$64</c:f>
              <c:numCache>
                <c:formatCode>0.000</c:formatCode>
                <c:ptCount val="16"/>
                <c:pt idx="0">
                  <c:v>5.9635951580348762E-2</c:v>
                </c:pt>
                <c:pt idx="1">
                  <c:v>4.909456471544385E-2</c:v>
                </c:pt>
                <c:pt idx="2">
                  <c:v>6.7914282047342039E-2</c:v>
                </c:pt>
                <c:pt idx="3">
                  <c:v>5.5492709194397555E-2</c:v>
                </c:pt>
                <c:pt idx="4">
                  <c:v>6.8290020225971165E-2</c:v>
                </c:pt>
                <c:pt idx="5">
                  <c:v>5.5866386112865707E-2</c:v>
                </c:pt>
                <c:pt idx="6">
                  <c:v>5.5618173675021816E-2</c:v>
                </c:pt>
                <c:pt idx="7">
                  <c:v>4.541459615432096E-2</c:v>
                </c:pt>
                <c:pt idx="8">
                  <c:v>4.8274852374975662E-2</c:v>
                </c:pt>
                <c:pt idx="9">
                  <c:v>3.9318758655257045E-2</c:v>
                </c:pt>
                <c:pt idx="10">
                  <c:v>8.7753662203343935E-2</c:v>
                </c:pt>
                <c:pt idx="11">
                  <c:v>7.1354757061828714E-2</c:v>
                </c:pt>
                <c:pt idx="12">
                  <c:v>0.1163892882046451</c:v>
                </c:pt>
                <c:pt idx="13">
                  <c:v>9.5264359181210484E-2</c:v>
                </c:pt>
                <c:pt idx="14">
                  <c:v>3.6874543861080224E-2</c:v>
                </c:pt>
                <c:pt idx="15">
                  <c:v>2.6718016028797829E-2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4B-439F-944C-423D8C8C2078}"/>
            </c:ext>
          </c:extLst>
        </c:ser>
        <c:ser>
          <c:idx val="35"/>
          <c:order val="7"/>
          <c:tx>
            <c:strRef>
              <c:f>LCIA!$KW$65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LCIA!$KX$65:$LM$65</c:f>
              <c:numCache>
                <c:formatCode>0.000</c:formatCode>
                <c:ptCount val="16"/>
                <c:pt idx="0">
                  <c:v>0.25777491651535839</c:v>
                </c:pt>
                <c:pt idx="1">
                  <c:v>0.2225109772615039</c:v>
                </c:pt>
                <c:pt idx="2">
                  <c:v>0.29307010933800737</c:v>
                </c:pt>
                <c:pt idx="3">
                  <c:v>0.24674681250310662</c:v>
                </c:pt>
                <c:pt idx="4">
                  <c:v>0.28878588386918774</c:v>
                </c:pt>
                <c:pt idx="5">
                  <c:v>0.24380500161339352</c:v>
                </c:pt>
                <c:pt idx="6">
                  <c:v>0.26496086285589576</c:v>
                </c:pt>
                <c:pt idx="7">
                  <c:v>0.2273220224116797</c:v>
                </c:pt>
                <c:pt idx="8">
                  <c:v>0.25307484682359005</c:v>
                </c:pt>
                <c:pt idx="9">
                  <c:v>0.21908168194934771</c:v>
                </c:pt>
                <c:pt idx="10">
                  <c:v>0.34592376003232334</c:v>
                </c:pt>
                <c:pt idx="11">
                  <c:v>0.28310970481923053</c:v>
                </c:pt>
                <c:pt idx="12">
                  <c:v>0.39789318435520604</c:v>
                </c:pt>
                <c:pt idx="13">
                  <c:v>0.32581536039309955</c:v>
                </c:pt>
                <c:pt idx="14">
                  <c:v>0.16483126888041602</c:v>
                </c:pt>
                <c:pt idx="15">
                  <c:v>0.11412211850343244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4B-439F-944C-423D8C8C2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Marine Eutrophication </a:t>
            </a:r>
            <a:br>
              <a:rPr lang="en-US" sz="900"/>
            </a:br>
            <a:r>
              <a:rPr lang="en-US" sz="900"/>
              <a:t>[kg N eq./kWh</a:t>
            </a:r>
            <a:r>
              <a:rPr lang="en-US" sz="900" baseline="-25000"/>
              <a:t>cell</a:t>
            </a:r>
            <a:r>
              <a:rPr lang="en-US" sz="900"/>
              <a:t>]</a:t>
            </a:r>
          </a:p>
        </c:rich>
      </c:tx>
      <c:layout>
        <c:manualLayout>
          <c:xMode val="edge"/>
          <c:yMode val="edge"/>
          <c:x val="0.33309615163717143"/>
          <c:y val="8.71236404510260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LCIA!$LP$10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LCIA!$LQ$10:$MF$10</c:f>
              <c:numCache>
                <c:formatCode>0.000</c:formatCode>
                <c:ptCount val="16"/>
                <c:pt idx="0">
                  <c:v>7.362650863547219E-5</c:v>
                </c:pt>
                <c:pt idx="1">
                  <c:v>3.7631326635908004E-5</c:v>
                </c:pt>
                <c:pt idx="2">
                  <c:v>9.6729822649036811E-5</c:v>
                </c:pt>
                <c:pt idx="3">
                  <c:v>4.9439687131729898E-5</c:v>
                </c:pt>
                <c:pt idx="4">
                  <c:v>9.3925480233104781E-5</c:v>
                </c:pt>
                <c:pt idx="5">
                  <c:v>4.8006356563586898E-5</c:v>
                </c:pt>
                <c:pt idx="6">
                  <c:v>7.8596696362134017E-5</c:v>
                </c:pt>
                <c:pt idx="7">
                  <c:v>4.0171644807312944E-5</c:v>
                </c:pt>
                <c:pt idx="8">
                  <c:v>7.0986489235791284E-5</c:v>
                </c:pt>
                <c:pt idx="9">
                  <c:v>3.6281983387182212E-5</c:v>
                </c:pt>
                <c:pt idx="10">
                  <c:v>1.3117437961402483E-4</c:v>
                </c:pt>
                <c:pt idx="11">
                  <c:v>6.7044682913834901E-5</c:v>
                </c:pt>
                <c:pt idx="12">
                  <c:v>1.5049764202820304E-4</c:v>
                </c:pt>
                <c:pt idx="13">
                  <c:v>7.692101703663712E-5</c:v>
                </c:pt>
                <c:pt idx="14">
                  <c:v>6.9067935472661785E-5</c:v>
                </c:pt>
                <c:pt idx="15">
                  <c:v>3.5301389241582691E-5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62-43FB-A0B8-53FCF0B5545D}"/>
            </c:ext>
          </c:extLst>
        </c:ser>
        <c:ser>
          <c:idx val="2"/>
          <c:order val="1"/>
          <c:tx>
            <c:strRef>
              <c:f>LCIA!$LP$11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LCIA!$LQ$11:$MF$11</c:f>
              <c:numCache>
                <c:formatCode>0.000</c:formatCode>
                <c:ptCount val="16"/>
                <c:pt idx="0">
                  <c:v>7.9055933542746502E-3</c:v>
                </c:pt>
                <c:pt idx="1">
                  <c:v>7.9055933542746502E-3</c:v>
                </c:pt>
                <c:pt idx="2">
                  <c:v>1.1245051433969411E-2</c:v>
                </c:pt>
                <c:pt idx="3">
                  <c:v>1.1245051433969411E-2</c:v>
                </c:pt>
                <c:pt idx="4">
                  <c:v>1.1317553023682807E-2</c:v>
                </c:pt>
                <c:pt idx="5">
                  <c:v>1.1317553023682807E-2</c:v>
                </c:pt>
                <c:pt idx="6">
                  <c:v>8.6681820721670987E-3</c:v>
                </c:pt>
                <c:pt idx="7">
                  <c:v>8.6681820721670987E-3</c:v>
                </c:pt>
                <c:pt idx="8">
                  <c:v>7.4092427265451946E-3</c:v>
                </c:pt>
                <c:pt idx="9">
                  <c:v>7.4092427265451946E-3</c:v>
                </c:pt>
                <c:pt idx="10">
                  <c:v>3.7921523873425209E-3</c:v>
                </c:pt>
                <c:pt idx="11">
                  <c:v>3.7921523873425209E-3</c:v>
                </c:pt>
                <c:pt idx="12">
                  <c:v>3.2834140943415694E-3</c:v>
                </c:pt>
                <c:pt idx="13">
                  <c:v>3.2834140943415685E-3</c:v>
                </c:pt>
                <c:pt idx="14">
                  <c:v>7.4082564876180954E-3</c:v>
                </c:pt>
                <c:pt idx="15">
                  <c:v>7.4082564876180954E-3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62-43FB-A0B8-53FCF0B5545D}"/>
            </c:ext>
          </c:extLst>
        </c:ser>
        <c:ser>
          <c:idx val="34"/>
          <c:order val="2"/>
          <c:tx>
            <c:strRef>
              <c:f>LCIA!$LP$61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(LCIA!$LQ$61:$MB$61,LCIA!$MC$62:$MD$62,LCIA!$ME$63:$MF$63)</c:f>
              <c:numCache>
                <c:formatCode>0.000</c:formatCode>
                <c:ptCount val="16"/>
                <c:pt idx="0">
                  <c:v>3.9085414339527433E-4</c:v>
                </c:pt>
                <c:pt idx="1">
                  <c:v>2.6107425560693642E-4</c:v>
                </c:pt>
                <c:pt idx="2">
                  <c:v>4.5265760486709979E-4</c:v>
                </c:pt>
                <c:pt idx="3">
                  <c:v>3.0168795885985027E-4</c:v>
                </c:pt>
                <c:pt idx="4">
                  <c:v>4.4515573442742613E-4</c:v>
                </c:pt>
                <c:pt idx="5">
                  <c:v>2.9675815828520763E-4</c:v>
                </c:pt>
                <c:pt idx="6">
                  <c:v>3.6166673551877232E-4</c:v>
                </c:pt>
                <c:pt idx="7">
                  <c:v>2.4096988023321759E-4</c:v>
                </c:pt>
                <c:pt idx="8">
                  <c:v>3.1419301081617613E-4</c:v>
                </c:pt>
                <c:pt idx="9">
                  <c:v>2.0918306375577002E-4</c:v>
                </c:pt>
                <c:pt idx="10">
                  <c:v>5.6903698933752237E-4</c:v>
                </c:pt>
                <c:pt idx="11">
                  <c:v>3.78694245969526E-4</c:v>
                </c:pt>
                <c:pt idx="12">
                  <c:v>7.5125544573723699E-4</c:v>
                </c:pt>
                <c:pt idx="13">
                  <c:v>5.0232379326384279E-4</c:v>
                </c:pt>
                <c:pt idx="14">
                  <c:v>6.1681603085391823E-4</c:v>
                </c:pt>
                <c:pt idx="15">
                  <c:v>4.1121068723594547E-4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62-43FB-A0B8-53FCF0B5545D}"/>
            </c:ext>
          </c:extLst>
        </c:ser>
        <c:ser>
          <c:idx val="33"/>
          <c:order val="3"/>
          <c:tx>
            <c:strRef>
              <c:f>LCIA!$LP$60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LCIA!$LQ$60:$MF$60</c:f>
              <c:numCache>
                <c:formatCode>0.000</c:formatCode>
                <c:ptCount val="16"/>
                <c:pt idx="0">
                  <c:v>2.7328150600328344E-5</c:v>
                </c:pt>
                <c:pt idx="1">
                  <c:v>1.3967721417945596E-5</c:v>
                </c:pt>
                <c:pt idx="2">
                  <c:v>3.5903470229503107E-5</c:v>
                </c:pt>
                <c:pt idx="3">
                  <c:v>1.8350662561746026E-5</c:v>
                </c:pt>
                <c:pt idx="4">
                  <c:v>3.4862574860459954E-5</c:v>
                </c:pt>
                <c:pt idx="5">
                  <c:v>1.781864937312398E-5</c:v>
                </c:pt>
                <c:pt idx="6">
                  <c:v>2.9172948638744074E-5</c:v>
                </c:pt>
                <c:pt idx="7">
                  <c:v>1.4910618193135858E-5</c:v>
                </c:pt>
                <c:pt idx="8">
                  <c:v>2.6348247450235072E-5</c:v>
                </c:pt>
                <c:pt idx="9">
                  <c:v>1.3466882030120148E-5</c:v>
                </c:pt>
                <c:pt idx="10">
                  <c:v>4.868834971850925E-5</c:v>
                </c:pt>
                <c:pt idx="11">
                  <c:v>2.4885156522793607E-5</c:v>
                </c:pt>
                <c:pt idx="12">
                  <c:v>5.5860617358671533E-5</c:v>
                </c:pt>
                <c:pt idx="13">
                  <c:v>2.8550982205543226E-5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62-43FB-A0B8-53FCF0B5545D}"/>
            </c:ext>
          </c:extLst>
        </c:ser>
        <c:ser>
          <c:idx val="26"/>
          <c:order val="4"/>
          <c:tx>
            <c:strRef>
              <c:f>LCIA!$LP$52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LCIA!$LQ$52:$MF$52</c:f>
              <c:numCache>
                <c:formatCode>0.000</c:formatCode>
                <c:ptCount val="16"/>
                <c:pt idx="0">
                  <c:v>1.1588003436104544E-4</c:v>
                </c:pt>
                <c:pt idx="1">
                  <c:v>1.1548031275178686E-4</c:v>
                </c:pt>
                <c:pt idx="2">
                  <c:v>1.1588003436104542E-4</c:v>
                </c:pt>
                <c:pt idx="3">
                  <c:v>1.1548031275178684E-4</c:v>
                </c:pt>
                <c:pt idx="4">
                  <c:v>1.1588003436104546E-4</c:v>
                </c:pt>
                <c:pt idx="5">
                  <c:v>1.1548031275178687E-4</c:v>
                </c:pt>
                <c:pt idx="6">
                  <c:v>9.4907241782055576E-5</c:v>
                </c:pt>
                <c:pt idx="7">
                  <c:v>9.4595770398217779E-5</c:v>
                </c:pt>
                <c:pt idx="8">
                  <c:v>8.152035290184935E-5</c:v>
                </c:pt>
                <c:pt idx="9">
                  <c:v>8.1265211449131102E-5</c:v>
                </c:pt>
                <c:pt idx="10">
                  <c:v>1.303650386561761E-4</c:v>
                </c:pt>
                <c:pt idx="11">
                  <c:v>1.2991535184576024E-4</c:v>
                </c:pt>
                <c:pt idx="12">
                  <c:v>1.0274288050658564E-4</c:v>
                </c:pt>
                <c:pt idx="13">
                  <c:v>1.0224950983458647E-4</c:v>
                </c:pt>
                <c:pt idx="14">
                  <c:v>3.3660839218340337E-2</c:v>
                </c:pt>
                <c:pt idx="15">
                  <c:v>1.7204428933818395E-2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62-43FB-A0B8-53FCF0B5545D}"/>
            </c:ext>
          </c:extLst>
        </c:ser>
        <c:ser>
          <c:idx val="25"/>
          <c:order val="5"/>
          <c:tx>
            <c:strRef>
              <c:f>LCIA!$LP$50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(LCIA!$LQ$50:$MB$50,LCIA!$MC$51:$MD$51,LCIA!$ME$50:$MF$50)</c:f>
              <c:numCache>
                <c:formatCode>0.000</c:formatCode>
                <c:ptCount val="16"/>
                <c:pt idx="0">
                  <c:v>3.5930125338067047E-4</c:v>
                </c:pt>
                <c:pt idx="1">
                  <c:v>1.8364286283900934E-4</c:v>
                </c:pt>
                <c:pt idx="2">
                  <c:v>4.720466468016706E-4</c:v>
                </c:pt>
                <c:pt idx="3">
                  <c:v>2.4126828614307592E-4</c:v>
                </c:pt>
                <c:pt idx="4">
                  <c:v>4.5836130759943243E-4</c:v>
                </c:pt>
                <c:pt idx="5">
                  <c:v>2.3427355721748768E-4</c:v>
                </c:pt>
                <c:pt idx="6">
                  <c:v>3.8355603216650645E-4</c:v>
                </c:pt>
                <c:pt idx="7">
                  <c:v>1.9603974977399217E-4</c:v>
                </c:pt>
                <c:pt idx="8">
                  <c:v>3.4641781918238448E-4</c:v>
                </c:pt>
                <c:pt idx="9">
                  <c:v>1.7705799647099653E-4</c:v>
                </c:pt>
                <c:pt idx="10">
                  <c:v>6.4013790522241194E-4</c:v>
                </c:pt>
                <c:pt idx="11">
                  <c:v>3.2718159600256605E-4</c:v>
                </c:pt>
                <c:pt idx="12">
                  <c:v>1.5049764202820304E-4</c:v>
                </c:pt>
                <c:pt idx="13">
                  <c:v>7.692101703663712E-5</c:v>
                </c:pt>
                <c:pt idx="14">
                  <c:v>3.3705517542069843E-4</c:v>
                </c:pt>
                <c:pt idx="15">
                  <c:v>1.7227264521502364E-4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62-43FB-A0B8-53FCF0B5545D}"/>
            </c:ext>
          </c:extLst>
        </c:ser>
        <c:ser>
          <c:idx val="39"/>
          <c:order val="6"/>
          <c:tx>
            <c:strRef>
              <c:f>LCIA!$LP$64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LCIA!$LQ$64:$MF$64</c:f>
              <c:numCache>
                <c:formatCode>0.000</c:formatCode>
                <c:ptCount val="16"/>
                <c:pt idx="0">
                  <c:v>5.9893534094216942E-6</c:v>
                </c:pt>
                <c:pt idx="1">
                  <c:v>4.9306616356468307E-6</c:v>
                </c:pt>
                <c:pt idx="2">
                  <c:v>6.8207620730363436E-6</c:v>
                </c:pt>
                <c:pt idx="3">
                  <c:v>5.5732396013453178E-6</c:v>
                </c:pt>
                <c:pt idx="4">
                  <c:v>6.858498181567959E-6</c:v>
                </c:pt>
                <c:pt idx="5">
                  <c:v>5.6107686935512833E-6</c:v>
                </c:pt>
                <c:pt idx="6">
                  <c:v>5.5858402406388113E-6</c:v>
                </c:pt>
                <c:pt idx="7">
                  <c:v>4.5610753095456997E-6</c:v>
                </c:pt>
                <c:pt idx="8">
                  <c:v>4.8483363474435654E-6</c:v>
                </c:pt>
                <c:pt idx="9">
                  <c:v>3.9488586157429986E-6</c:v>
                </c:pt>
                <c:pt idx="10">
                  <c:v>8.813269210581848E-6</c:v>
                </c:pt>
                <c:pt idx="11">
                  <c:v>7.1662956012518313E-6</c:v>
                </c:pt>
                <c:pt idx="12">
                  <c:v>1.1689200250111587E-5</c:v>
                </c:pt>
                <c:pt idx="13">
                  <c:v>9.56758296527913E-6</c:v>
                </c:pt>
                <c:pt idx="14">
                  <c:v>3.7033814191372215E-6</c:v>
                </c:pt>
                <c:pt idx="15">
                  <c:v>2.6833417788171042E-6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62-43FB-A0B8-53FCF0B5545D}"/>
            </c:ext>
          </c:extLst>
        </c:ser>
        <c:ser>
          <c:idx val="35"/>
          <c:order val="7"/>
          <c:tx>
            <c:strRef>
              <c:f>LCIA!$LP$65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LCIA!$LQ$65:$MF$65</c:f>
              <c:numCache>
                <c:formatCode>0.000</c:formatCode>
                <c:ptCount val="16"/>
                <c:pt idx="0">
                  <c:v>3.6934460993972982E-4</c:v>
                </c:pt>
                <c:pt idx="1">
                  <c:v>3.1894643412867172E-4</c:v>
                </c:pt>
                <c:pt idx="2">
                  <c:v>4.19768856488861E-4</c:v>
                </c:pt>
                <c:pt idx="3">
                  <c:v>3.5356501715328039E-4</c:v>
                </c:pt>
                <c:pt idx="4">
                  <c:v>4.1364822577302015E-4</c:v>
                </c:pt>
                <c:pt idx="5">
                  <c:v>3.493629204022094E-4</c:v>
                </c:pt>
                <c:pt idx="6">
                  <c:v>3.7960775019006969E-4</c:v>
                </c:pt>
                <c:pt idx="7">
                  <c:v>3.2581547461885233E-4</c:v>
                </c:pt>
                <c:pt idx="8">
                  <c:v>3.6262494667370338E-4</c:v>
                </c:pt>
                <c:pt idx="9">
                  <c:v>3.1404296737538932E-4</c:v>
                </c:pt>
                <c:pt idx="10">
                  <c:v>4.9527959980343386E-4</c:v>
                </c:pt>
                <c:pt idx="11">
                  <c:v>4.055077039649131E-4</c:v>
                </c:pt>
                <c:pt idx="12">
                  <c:v>5.6969165237394717E-4</c:v>
                </c:pt>
                <c:pt idx="13">
                  <c:v>4.6668019283332605E-4</c:v>
                </c:pt>
                <c:pt idx="14">
                  <c:v>2.3539265209679785E-4</c:v>
                </c:pt>
                <c:pt idx="15">
                  <c:v>1.6290004147751245E-4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62-43FB-A0B8-53FCF0B55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Photochemical Ozone Formation, Ecosystems </a:t>
            </a:r>
            <a:br>
              <a:rPr lang="en-US" sz="900"/>
            </a:br>
            <a:r>
              <a:rPr lang="en-US" sz="900"/>
              <a:t>[kg NOx eq./kWh</a:t>
            </a:r>
            <a:r>
              <a:rPr lang="en-US" sz="900" baseline="-25000"/>
              <a:t>cell</a:t>
            </a:r>
            <a:r>
              <a:rPr lang="en-US" sz="900"/>
              <a:t>]</a:t>
            </a:r>
          </a:p>
        </c:rich>
      </c:tx>
      <c:layout>
        <c:manualLayout>
          <c:xMode val="edge"/>
          <c:yMode val="edge"/>
          <c:x val="0.23842452418786739"/>
          <c:y val="8.712469073111704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LCIA!$MI$10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LCIA!$MJ$10:$MY$10</c:f>
              <c:numCache>
                <c:formatCode>0.000</c:formatCode>
                <c:ptCount val="16"/>
                <c:pt idx="0">
                  <c:v>7.7887250140575527E-3</c:v>
                </c:pt>
                <c:pt idx="1">
                  <c:v>3.9809038960738593E-3</c:v>
                </c:pt>
                <c:pt idx="2">
                  <c:v>1.0232754523265898E-2</c:v>
                </c:pt>
                <c:pt idx="3">
                  <c:v>5.2300745341136781E-3</c:v>
                </c:pt>
                <c:pt idx="4">
                  <c:v>9.9360916456181989E-3</c:v>
                </c:pt>
                <c:pt idx="5">
                  <c:v>5.0784468410937471E-3</c:v>
                </c:pt>
                <c:pt idx="6">
                  <c:v>8.3145060973746302E-3</c:v>
                </c:pt>
                <c:pt idx="7">
                  <c:v>4.2496364497692559E-3</c:v>
                </c:pt>
                <c:pt idx="8">
                  <c:v>7.5094453698509103E-3</c:v>
                </c:pt>
                <c:pt idx="9">
                  <c:v>3.8381609668126878E-3</c:v>
                </c:pt>
                <c:pt idx="10">
                  <c:v>1.38765397224201E-2</c:v>
                </c:pt>
                <c:pt idx="11">
                  <c:v>7.0924536359036044E-3</c:v>
                </c:pt>
                <c:pt idx="12">
                  <c:v>1.5920689039124185E-2</c:v>
                </c:pt>
                <c:pt idx="13">
                  <c:v>8.1372410644412509E-3</c:v>
                </c:pt>
                <c:pt idx="14">
                  <c:v>7.306487386881967E-3</c:v>
                </c:pt>
                <c:pt idx="15">
                  <c:v>3.7344268866285608E-3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D-4E70-9133-C28AC451020A}"/>
            </c:ext>
          </c:extLst>
        </c:ser>
        <c:ser>
          <c:idx val="2"/>
          <c:order val="1"/>
          <c:tx>
            <c:strRef>
              <c:f>LCIA!$MI$11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LCIA!$MJ$11:$MY$11</c:f>
              <c:numCache>
                <c:formatCode>0.000</c:formatCode>
                <c:ptCount val="16"/>
                <c:pt idx="0">
                  <c:v>9.9256837215846314E-2</c:v>
                </c:pt>
                <c:pt idx="1">
                  <c:v>9.9256837215846327E-2</c:v>
                </c:pt>
                <c:pt idx="2">
                  <c:v>0.14062238805889937</c:v>
                </c:pt>
                <c:pt idx="3">
                  <c:v>0.14062238805889937</c:v>
                </c:pt>
                <c:pt idx="4">
                  <c:v>0.14035384968740366</c:v>
                </c:pt>
                <c:pt idx="5">
                  <c:v>0.14035384968740366</c:v>
                </c:pt>
                <c:pt idx="6">
                  <c:v>0.10901174943726123</c:v>
                </c:pt>
                <c:pt idx="7">
                  <c:v>0.10901174943726123</c:v>
                </c:pt>
                <c:pt idx="8">
                  <c:v>9.3853608937073063E-2</c:v>
                </c:pt>
                <c:pt idx="9">
                  <c:v>9.3853608937073063E-2</c:v>
                </c:pt>
                <c:pt idx="10">
                  <c:v>6.9675391730623523E-2</c:v>
                </c:pt>
                <c:pt idx="11">
                  <c:v>6.9675391730623523E-2</c:v>
                </c:pt>
                <c:pt idx="12">
                  <c:v>9.8259445900379216E-2</c:v>
                </c:pt>
                <c:pt idx="13">
                  <c:v>9.8259445900379216E-2</c:v>
                </c:pt>
                <c:pt idx="14">
                  <c:v>9.3764910099987137E-2</c:v>
                </c:pt>
                <c:pt idx="15">
                  <c:v>9.3764910099987137E-2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9D-4E70-9133-C28AC451020A}"/>
            </c:ext>
          </c:extLst>
        </c:ser>
        <c:ser>
          <c:idx val="34"/>
          <c:order val="2"/>
          <c:tx>
            <c:strRef>
              <c:f>LCIA!$MI$61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(LCIA!$MJ$61:$MU$61,LCIA!$MV$62:$MW$62,LCIA!$MX$63:$MY$63)</c:f>
              <c:numCache>
                <c:formatCode>0.000</c:formatCode>
                <c:ptCount val="16"/>
                <c:pt idx="0">
                  <c:v>9.2599182811369894E-3</c:v>
                </c:pt>
                <c:pt idx="1">
                  <c:v>6.1852389518717099E-3</c:v>
                </c:pt>
                <c:pt idx="2">
                  <c:v>1.0724134568443261E-2</c:v>
                </c:pt>
                <c:pt idx="3">
                  <c:v>7.1474382263872595E-3</c:v>
                </c:pt>
                <c:pt idx="4">
                  <c:v>1.0546404055921093E-2</c:v>
                </c:pt>
                <c:pt idx="5">
                  <c:v>7.0306438895869783E-3</c:v>
                </c:pt>
                <c:pt idx="6">
                  <c:v>8.5684250058532391E-3</c:v>
                </c:pt>
                <c:pt idx="7">
                  <c:v>5.7089362793792016E-3</c:v>
                </c:pt>
                <c:pt idx="8">
                  <c:v>7.4437015797984701E-3</c:v>
                </c:pt>
                <c:pt idx="9">
                  <c:v>4.9558591328974994E-3</c:v>
                </c:pt>
                <c:pt idx="10">
                  <c:v>1.3481335964451708E-2</c:v>
                </c:pt>
                <c:pt idx="11">
                  <c:v>8.9718321539405208E-3</c:v>
                </c:pt>
                <c:pt idx="12">
                  <c:v>1.7798363285484533E-2</c:v>
                </c:pt>
                <c:pt idx="13">
                  <c:v>1.190080073320306E-2</c:v>
                </c:pt>
                <c:pt idx="14">
                  <c:v>8.0144616018748144E-3</c:v>
                </c:pt>
                <c:pt idx="15">
                  <c:v>5.3429744012498765E-3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9D-4E70-9133-C28AC451020A}"/>
            </c:ext>
          </c:extLst>
        </c:ser>
        <c:ser>
          <c:idx val="33"/>
          <c:order val="3"/>
          <c:tx>
            <c:strRef>
              <c:f>LCIA!$MI$60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LCIA!$MJ$60:$MY$60</c:f>
              <c:numCache>
                <c:formatCode>0.000</c:formatCode>
                <c:ptCount val="16"/>
                <c:pt idx="0">
                  <c:v>1.9006480530913633E-3</c:v>
                </c:pt>
                <c:pt idx="1">
                  <c:v>9.7144233824669659E-4</c:v>
                </c:pt>
                <c:pt idx="2">
                  <c:v>2.497053744650723E-3</c:v>
                </c:pt>
                <c:pt idx="3">
                  <c:v>1.2762719139325913E-3</c:v>
                </c:pt>
                <c:pt idx="4">
                  <c:v>2.4246604171410339E-3</c:v>
                </c:pt>
                <c:pt idx="5">
                  <c:v>1.2392708798720843E-3</c:v>
                </c:pt>
                <c:pt idx="6">
                  <c:v>2.0289520811004702E-3</c:v>
                </c:pt>
                <c:pt idx="7">
                  <c:v>1.0370199525624624E-3</c:v>
                </c:pt>
                <c:pt idx="8">
                  <c:v>1.8324966790126324E-3</c:v>
                </c:pt>
                <c:pt idx="9">
                  <c:v>9.3660941371756761E-4</c:v>
                </c:pt>
                <c:pt idx="10">
                  <c:v>3.3862305010718204E-3</c:v>
                </c:pt>
                <c:pt idx="11">
                  <c:v>1.7307400338811522E-3</c:v>
                </c:pt>
                <c:pt idx="12">
                  <c:v>3.8850552011362605E-3</c:v>
                </c:pt>
                <c:pt idx="13">
                  <c:v>1.9856948805807555E-3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9D-4E70-9133-C28AC451020A}"/>
            </c:ext>
          </c:extLst>
        </c:ser>
        <c:ser>
          <c:idx val="26"/>
          <c:order val="4"/>
          <c:tx>
            <c:strRef>
              <c:f>LCIA!$MI$52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LCIA!$MJ$52:$MY$52</c:f>
              <c:numCache>
                <c:formatCode>0.000</c:formatCode>
                <c:ptCount val="16"/>
                <c:pt idx="0">
                  <c:v>2.4402442871683742E-2</c:v>
                </c:pt>
                <c:pt idx="1">
                  <c:v>2.434865156270305E-2</c:v>
                </c:pt>
                <c:pt idx="2">
                  <c:v>2.4402442871683739E-2</c:v>
                </c:pt>
                <c:pt idx="3">
                  <c:v>2.4348651562703046E-2</c:v>
                </c:pt>
                <c:pt idx="4">
                  <c:v>2.4402442871683746E-2</c:v>
                </c:pt>
                <c:pt idx="5">
                  <c:v>2.4348651562703053E-2</c:v>
                </c:pt>
                <c:pt idx="6">
                  <c:v>1.9034632612856012E-2</c:v>
                </c:pt>
                <c:pt idx="7">
                  <c:v>1.8992717307156778E-2</c:v>
                </c:pt>
                <c:pt idx="8">
                  <c:v>1.5608370745519178E-2</c:v>
                </c:pt>
                <c:pt idx="9">
                  <c:v>1.5574035867446392E-2</c:v>
                </c:pt>
                <c:pt idx="10">
                  <c:v>2.7452748230644211E-2</c:v>
                </c:pt>
                <c:pt idx="11">
                  <c:v>2.7392233008040941E-2</c:v>
                </c:pt>
                <c:pt idx="12">
                  <c:v>9.1735961540020273E-3</c:v>
                </c:pt>
                <c:pt idx="13">
                  <c:v>9.107202309774437E-3</c:v>
                </c:pt>
                <c:pt idx="14">
                  <c:v>0.21843984311622003</c:v>
                </c:pt>
                <c:pt idx="15">
                  <c:v>0.11164703092606802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9D-4E70-9133-C28AC451020A}"/>
            </c:ext>
          </c:extLst>
        </c:ser>
        <c:ser>
          <c:idx val="25"/>
          <c:order val="5"/>
          <c:tx>
            <c:strRef>
              <c:f>LCIA!$MI$50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(LCIA!$MJ$50:$MU$50,LCIA!$MV$51:$MW$51,LCIA!$MX$50:$MY$50)</c:f>
              <c:numCache>
                <c:formatCode>0.000</c:formatCode>
                <c:ptCount val="16"/>
                <c:pt idx="0">
                  <c:v>3.0256082674617008E-2</c:v>
                </c:pt>
                <c:pt idx="1">
                  <c:v>1.5464220033693136E-2</c:v>
                </c:pt>
                <c:pt idx="2">
                  <c:v>3.9750160172069782E-2</c:v>
                </c:pt>
                <c:pt idx="3">
                  <c:v>2.0316748532391207E-2</c:v>
                </c:pt>
                <c:pt idx="4">
                  <c:v>3.8597743500997372E-2</c:v>
                </c:pt>
                <c:pt idx="5">
                  <c:v>1.9727735567176437E-2</c:v>
                </c:pt>
                <c:pt idx="6">
                  <c:v>3.2298531971116679E-2</c:v>
                </c:pt>
                <c:pt idx="7">
                  <c:v>1.6508138563015189E-2</c:v>
                </c:pt>
                <c:pt idx="8">
                  <c:v>2.9171192915484041E-2</c:v>
                </c:pt>
                <c:pt idx="9">
                  <c:v>1.4909720823469624E-2</c:v>
                </c:pt>
                <c:pt idx="10">
                  <c:v>5.3904808851433297E-2</c:v>
                </c:pt>
                <c:pt idx="11">
                  <c:v>2.7551346746288122E-2</c:v>
                </c:pt>
                <c:pt idx="12">
                  <c:v>1.5920689039124185E-2</c:v>
                </c:pt>
                <c:pt idx="13">
                  <c:v>8.1372410644412509E-3</c:v>
                </c:pt>
                <c:pt idx="14">
                  <c:v>2.8382782296146637E-2</c:v>
                </c:pt>
                <c:pt idx="15">
                  <c:v>1.450675539580828E-2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9D-4E70-9133-C28AC451020A}"/>
            </c:ext>
          </c:extLst>
        </c:ser>
        <c:ser>
          <c:idx val="39"/>
          <c:order val="6"/>
          <c:tx>
            <c:strRef>
              <c:f>LCIA!$MI$64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LCIA!$MJ$64:$MY$64</c:f>
              <c:numCache>
                <c:formatCode>0.000</c:formatCode>
                <c:ptCount val="16"/>
                <c:pt idx="0">
                  <c:v>5.3902500798835233E-4</c:v>
                </c:pt>
                <c:pt idx="1">
                  <c:v>4.4374571775336532E-4</c:v>
                </c:pt>
                <c:pt idx="2">
                  <c:v>6.138494557895956E-4</c:v>
                </c:pt>
                <c:pt idx="3">
                  <c:v>5.0157593237200977E-4</c:v>
                </c:pt>
                <c:pt idx="4">
                  <c:v>6.1724559971570048E-4</c:v>
                </c:pt>
                <c:pt idx="5">
                  <c:v>5.0495344540944277E-4</c:v>
                </c:pt>
                <c:pt idx="6">
                  <c:v>5.0270995456631689E-4</c:v>
                </c:pt>
                <c:pt idx="7">
                  <c:v>4.1048398501512584E-4</c:v>
                </c:pt>
                <c:pt idx="8">
                  <c:v>4.3633667271995608E-4</c:v>
                </c:pt>
                <c:pt idx="9">
                  <c:v>3.5538619971020645E-4</c:v>
                </c:pt>
                <c:pt idx="10">
                  <c:v>7.9316950961090061E-4</c:v>
                </c:pt>
                <c:pt idx="11">
                  <c:v>6.449465041810981E-4</c:v>
                </c:pt>
                <c:pt idx="12">
                  <c:v>1.0519952367950556E-3</c:v>
                </c:pt>
                <c:pt idx="13">
                  <c:v>8.6105563184436643E-4</c:v>
                </c:pt>
                <c:pt idx="14">
                  <c:v>3.3329394052689608E-4</c:v>
                </c:pt>
                <c:pt idx="15">
                  <c:v>2.4149323389184113E-4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9D-4E70-9133-C28AC451020A}"/>
            </c:ext>
          </c:extLst>
        </c:ser>
        <c:ser>
          <c:idx val="35"/>
          <c:order val="7"/>
          <c:tx>
            <c:strRef>
              <c:f>LCIA!$MI$65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LCIA!$MJ$65:$MY$65</c:f>
              <c:numCache>
                <c:formatCode>0.000</c:formatCode>
                <c:ptCount val="16"/>
                <c:pt idx="0">
                  <c:v>1.1248861408946348E-2</c:v>
                </c:pt>
                <c:pt idx="1">
                  <c:v>9.4391782350051103E-3</c:v>
                </c:pt>
                <c:pt idx="2">
                  <c:v>1.3099298106809184E-2</c:v>
                </c:pt>
                <c:pt idx="3">
                  <c:v>1.0721979291144846E-2</c:v>
                </c:pt>
                <c:pt idx="4">
                  <c:v>1.2874687121702585E-2</c:v>
                </c:pt>
                <c:pt idx="5">
                  <c:v>1.0566269447491124E-2</c:v>
                </c:pt>
                <c:pt idx="6">
                  <c:v>1.1631949668173353E-2</c:v>
                </c:pt>
                <c:pt idx="7">
                  <c:v>9.7003095627226556E-3</c:v>
                </c:pt>
                <c:pt idx="8">
                  <c:v>1.1012847633224894E-2</c:v>
                </c:pt>
                <c:pt idx="9">
                  <c:v>9.2682868443858622E-3</c:v>
                </c:pt>
                <c:pt idx="10">
                  <c:v>1.5866657328896475E-2</c:v>
                </c:pt>
                <c:pt idx="11">
                  <c:v>1.2642964733061647E-2</c:v>
                </c:pt>
                <c:pt idx="12">
                  <c:v>1.8241227709390923E-2</c:v>
                </c:pt>
                <c:pt idx="13">
                  <c:v>1.4542261645474716E-2</c:v>
                </c:pt>
                <c:pt idx="14">
                  <c:v>8.8363421898138388E-3</c:v>
                </c:pt>
                <c:pt idx="15">
                  <c:v>6.2774010597116368E-3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9D-4E70-9133-C28AC4510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r>
              <a:rPr lang="en-US" sz="900"/>
              <a:t>Photochemical Ozone Formation, Ecosystems </a:t>
            </a:r>
            <a:br>
              <a:rPr lang="en-US" sz="900"/>
            </a:br>
            <a:r>
              <a:rPr lang="en-US" sz="900"/>
              <a:t>[kg NOx eq./kWh</a:t>
            </a:r>
            <a:r>
              <a:rPr lang="en-US" sz="900" baseline="-25000"/>
              <a:t>cell</a:t>
            </a:r>
            <a:r>
              <a:rPr lang="en-US" sz="900"/>
              <a:t>]</a:t>
            </a:r>
          </a:p>
        </c:rich>
      </c:tx>
      <c:layout>
        <c:manualLayout>
          <c:xMode val="edge"/>
          <c:yMode val="edge"/>
          <c:x val="0.23842452418786739"/>
          <c:y val="8.712469073111704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LCIA!$NB$10</c:f>
              <c:strCache>
                <c:ptCount val="1"/>
                <c:pt idx="0">
                  <c:v>Current collector (Al)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LCIA!$NC$10:$NR$10</c:f>
              <c:numCache>
                <c:formatCode>0.000</c:formatCode>
                <c:ptCount val="16"/>
                <c:pt idx="0">
                  <c:v>7.6534781843202535E-3</c:v>
                </c:pt>
                <c:pt idx="1">
                  <c:v>3.9117777386525731E-3</c:v>
                </c:pt>
                <c:pt idx="2">
                  <c:v>1.0055068495545843E-2</c:v>
                </c:pt>
                <c:pt idx="3">
                  <c:v>5.1392572310567618E-3</c:v>
                </c:pt>
                <c:pt idx="4">
                  <c:v>9.7635570019347067E-3</c:v>
                </c:pt>
                <c:pt idx="5">
                  <c:v>4.9902624676555173E-3</c:v>
                </c:pt>
                <c:pt idx="6">
                  <c:v>8.1701293748081289E-3</c:v>
                </c:pt>
                <c:pt idx="7">
                  <c:v>4.1758439026797108E-3</c:v>
                </c:pt>
                <c:pt idx="8">
                  <c:v>7.3790480740772496E-3</c:v>
                </c:pt>
                <c:pt idx="9">
                  <c:v>3.7715134600839278E-3</c:v>
                </c:pt>
                <c:pt idx="10">
                  <c:v>1.3635581413865909E-2</c:v>
                </c:pt>
                <c:pt idx="11">
                  <c:v>6.969297167087018E-3</c:v>
                </c:pt>
                <c:pt idx="12">
                  <c:v>1.5644235227250145E-2</c:v>
                </c:pt>
                <c:pt idx="13">
                  <c:v>7.995942449483406E-3</c:v>
                </c:pt>
                <c:pt idx="14">
                  <c:v>7.1796143423454315E-3</c:v>
                </c:pt>
                <c:pt idx="15">
                  <c:v>3.6695806638654431E-3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A-4BD9-9A36-F9B37E779712}"/>
            </c:ext>
          </c:extLst>
        </c:ser>
        <c:ser>
          <c:idx val="2"/>
          <c:order val="1"/>
          <c:tx>
            <c:strRef>
              <c:f>LCIA!$NB$11</c:f>
              <c:strCache>
                <c:ptCount val="1"/>
                <c:pt idx="0">
                  <c:v>Cathode slurry</c:v>
                </c:pt>
              </c:strCache>
            </c:strRef>
          </c:tx>
          <c:spPr>
            <a:solidFill>
              <a:schemeClr val="bg2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LCIA!$NC$11:$NR$11</c:f>
              <c:numCache>
                <c:formatCode>0.000</c:formatCode>
                <c:ptCount val="16"/>
                <c:pt idx="0">
                  <c:v>9.3797061445720573E-2</c:v>
                </c:pt>
                <c:pt idx="1">
                  <c:v>9.3797061445720573E-2</c:v>
                </c:pt>
                <c:pt idx="2">
                  <c:v>0.13289649360877517</c:v>
                </c:pt>
                <c:pt idx="3">
                  <c:v>0.13289649360877517</c:v>
                </c:pt>
                <c:pt idx="4">
                  <c:v>0.13262400367802707</c:v>
                </c:pt>
                <c:pt idx="5">
                  <c:v>0.13262400367802707</c:v>
                </c:pt>
                <c:pt idx="6">
                  <c:v>0.10302488859610646</c:v>
                </c:pt>
                <c:pt idx="7">
                  <c:v>0.10302488859610646</c:v>
                </c:pt>
                <c:pt idx="8">
                  <c:v>8.8683382510853559E-2</c:v>
                </c:pt>
                <c:pt idx="9">
                  <c:v>8.8683382510853559E-2</c:v>
                </c:pt>
                <c:pt idx="10">
                  <c:v>6.5719220685924826E-2</c:v>
                </c:pt>
                <c:pt idx="11">
                  <c:v>6.5719220685924826E-2</c:v>
                </c:pt>
                <c:pt idx="12">
                  <c:v>9.2031240961785957E-2</c:v>
                </c:pt>
                <c:pt idx="13">
                  <c:v>9.2031240961785957E-2</c:v>
                </c:pt>
                <c:pt idx="14">
                  <c:v>8.8600690833000595E-2</c:v>
                </c:pt>
                <c:pt idx="15">
                  <c:v>8.8600690833000595E-2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7A-4BD9-9A36-F9B37E779712}"/>
            </c:ext>
          </c:extLst>
        </c:ser>
        <c:ser>
          <c:idx val="34"/>
          <c:order val="2"/>
          <c:tx>
            <c:strRef>
              <c:f>LCIA!$NB$61</c:f>
              <c:strCache>
                <c:ptCount val="1"/>
                <c:pt idx="0">
                  <c:v>Electrolyte (Li)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(LCIA!$NC$61:$NN$61,LCIA!$NO$62:$NP$62,LCIA!$NQ$63:$NR$63)</c:f>
              <c:numCache>
                <c:formatCode>0.000</c:formatCode>
                <c:ptCount val="16"/>
                <c:pt idx="0">
                  <c:v>8.6969195493955109E-3</c:v>
                </c:pt>
                <c:pt idx="1">
                  <c:v>5.8091792956525634E-3</c:v>
                </c:pt>
                <c:pt idx="2">
                  <c:v>1.0072112166327942E-2</c:v>
                </c:pt>
                <c:pt idx="3">
                  <c:v>6.7128773010653028E-3</c:v>
                </c:pt>
                <c:pt idx="4">
                  <c:v>9.9051875864397121E-3</c:v>
                </c:pt>
                <c:pt idx="5">
                  <c:v>6.6031840057101821E-3</c:v>
                </c:pt>
                <c:pt idx="6">
                  <c:v>8.0474687441609363E-3</c:v>
                </c:pt>
                <c:pt idx="7">
                  <c:v>5.3618356044811549E-3</c:v>
                </c:pt>
                <c:pt idx="8">
                  <c:v>6.9911279801560759E-3</c:v>
                </c:pt>
                <c:pt idx="9">
                  <c:v>4.6545451988216011E-3</c:v>
                </c:pt>
                <c:pt idx="10">
                  <c:v>1.2661676997738326E-2</c:v>
                </c:pt>
                <c:pt idx="11">
                  <c:v>8.4263489249626379E-3</c:v>
                </c:pt>
                <c:pt idx="12">
                  <c:v>1.6716231062221379E-2</c:v>
                </c:pt>
                <c:pt idx="13">
                  <c:v>1.1177237574643664E-2</c:v>
                </c:pt>
                <c:pt idx="14">
                  <c:v>7.7148413514712679E-3</c:v>
                </c:pt>
                <c:pt idx="15">
                  <c:v>5.1432275676475117E-3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7A-4BD9-9A36-F9B37E779712}"/>
            </c:ext>
          </c:extLst>
        </c:ser>
        <c:ser>
          <c:idx val="33"/>
          <c:order val="3"/>
          <c:tx>
            <c:strRef>
              <c:f>LCIA!$NB$60</c:f>
              <c:strCache>
                <c:ptCount val="1"/>
                <c:pt idx="0">
                  <c:v>Separator </c:v>
                </c:pt>
              </c:strCache>
            </c:strRef>
          </c:tx>
          <c:spPr>
            <a:solidFill>
              <a:schemeClr val="bg2">
                <a:lumMod val="20000"/>
                <a:lumOff val="8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LCIA!$NC$60:$NR$60</c:f>
              <c:numCache>
                <c:formatCode>0.000</c:formatCode>
                <c:ptCount val="16"/>
                <c:pt idx="0">
                  <c:v>1.6862015089592411E-3</c:v>
                </c:pt>
                <c:pt idx="1">
                  <c:v>8.6183632680138971E-4</c:v>
                </c:pt>
                <c:pt idx="2">
                  <c:v>2.215315868360808E-3</c:v>
                </c:pt>
                <c:pt idx="3">
                  <c:v>1.1322725549399682E-3</c:v>
                </c:pt>
                <c:pt idx="4">
                  <c:v>2.1510905438001274E-3</c:v>
                </c:pt>
                <c:pt idx="5">
                  <c:v>1.0994462779422875E-3</c:v>
                </c:pt>
                <c:pt idx="6">
                  <c:v>1.8000292348670554E-3</c:v>
                </c:pt>
                <c:pt idx="7">
                  <c:v>9.2001494226538381E-4</c:v>
                </c:pt>
                <c:pt idx="8">
                  <c:v>1.6257395262043108E-3</c:v>
                </c:pt>
                <c:pt idx="9">
                  <c:v>8.3093353561553658E-4</c:v>
                </c:pt>
                <c:pt idx="10">
                  <c:v>3.0041684841673527E-3</c:v>
                </c:pt>
                <c:pt idx="11">
                  <c:v>1.5354638919077574E-3</c:v>
                </c:pt>
                <c:pt idx="12">
                  <c:v>3.4467117317647906E-3</c:v>
                </c:pt>
                <c:pt idx="13">
                  <c:v>1.761652662902004E-3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7A-4BD9-9A36-F9B37E779712}"/>
            </c:ext>
          </c:extLst>
        </c:ser>
        <c:ser>
          <c:idx val="26"/>
          <c:order val="4"/>
          <c:tx>
            <c:strRef>
              <c:f>LCIA!$NB$52</c:f>
              <c:strCache>
                <c:ptCount val="1"/>
                <c:pt idx="0">
                  <c:v>Anode slurry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LCIA!$NC$52:$NR$52</c:f>
              <c:numCache>
                <c:formatCode>0.000</c:formatCode>
                <c:ptCount val="16"/>
                <c:pt idx="0">
                  <c:v>2.3709929837306278E-2</c:v>
                </c:pt>
                <c:pt idx="1">
                  <c:v>2.3664366248375566E-2</c:v>
                </c:pt>
                <c:pt idx="2">
                  <c:v>2.3709929837306271E-2</c:v>
                </c:pt>
                <c:pt idx="3">
                  <c:v>2.3664366248375566E-2</c:v>
                </c:pt>
                <c:pt idx="4">
                  <c:v>2.3709929837306284E-2</c:v>
                </c:pt>
                <c:pt idx="5">
                  <c:v>2.3664366248375569E-2</c:v>
                </c:pt>
                <c:pt idx="6">
                  <c:v>1.8496467093042882E-2</c:v>
                </c:pt>
                <c:pt idx="7">
                  <c:v>1.8460962997772213E-2</c:v>
                </c:pt>
                <c:pt idx="8">
                  <c:v>1.51687249158535E-2</c:v>
                </c:pt>
                <c:pt idx="9">
                  <c:v>1.5139641773982828E-2</c:v>
                </c:pt>
                <c:pt idx="10">
                  <c:v>2.6673671066969561E-2</c:v>
                </c:pt>
                <c:pt idx="11">
                  <c:v>2.6622412029422518E-2</c:v>
                </c:pt>
                <c:pt idx="12">
                  <c:v>8.9595610182370833E-3</c:v>
                </c:pt>
                <c:pt idx="13">
                  <c:v>8.9033225313283216E-3</c:v>
                </c:pt>
                <c:pt idx="14">
                  <c:v>0.21277943653153339</c:v>
                </c:pt>
                <c:pt idx="15">
                  <c:v>0.10875393422722818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7A-4BD9-9A36-F9B37E779712}"/>
            </c:ext>
          </c:extLst>
        </c:ser>
        <c:ser>
          <c:idx val="25"/>
          <c:order val="5"/>
          <c:tx>
            <c:strRef>
              <c:f>LCIA!$NB$50</c:f>
              <c:strCache>
                <c:ptCount val="1"/>
                <c:pt idx="0">
                  <c:v>Current collector (Cu)</c:v>
                </c:pt>
              </c:strCache>
            </c:strRef>
          </c:tx>
          <c:spPr>
            <a:solidFill>
              <a:schemeClr val="bg2">
                <a:lumMod val="60000"/>
                <a:lumOff val="4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(LCIA!$NC$50:$NN$50,LCIA!$NO$51:$NP$51,LCIA!$NQ$52:$NR$52)</c:f>
              <c:numCache>
                <c:formatCode>0.000</c:formatCode>
                <c:ptCount val="16"/>
                <c:pt idx="0">
                  <c:v>2.9574047133608533E-2</c:v>
                </c:pt>
                <c:pt idx="1">
                  <c:v>1.5115624090511027E-2</c:v>
                </c:pt>
                <c:pt idx="2">
                  <c:v>3.8854108218163812E-2</c:v>
                </c:pt>
                <c:pt idx="3">
                  <c:v>1.9858766422617045E-2</c:v>
                </c:pt>
                <c:pt idx="4">
                  <c:v>3.772766943511395E-2</c:v>
                </c:pt>
                <c:pt idx="5">
                  <c:v>1.9283031044613798E-2</c:v>
                </c:pt>
                <c:pt idx="6">
                  <c:v>3.1570455340589061E-2</c:v>
                </c:pt>
                <c:pt idx="7">
                  <c:v>1.6136010507412188E-2</c:v>
                </c:pt>
                <c:pt idx="8">
                  <c:v>2.8513613064320226E-2</c:v>
                </c:pt>
                <c:pt idx="9">
                  <c:v>1.4573624455097007E-2</c:v>
                </c:pt>
                <c:pt idx="10">
                  <c:v>5.2689681438432494E-2</c:v>
                </c:pt>
                <c:pt idx="11">
                  <c:v>2.6930281624087712E-2</c:v>
                </c:pt>
                <c:pt idx="12">
                  <c:v>1.5644235227250145E-2</c:v>
                </c:pt>
                <c:pt idx="13">
                  <c:v>7.995942449483406E-3</c:v>
                </c:pt>
                <c:pt idx="14">
                  <c:v>0.21277943653153339</c:v>
                </c:pt>
                <c:pt idx="15">
                  <c:v>0.10875393422722818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7A-4BD9-9A36-F9B37E779712}"/>
            </c:ext>
          </c:extLst>
        </c:ser>
        <c:ser>
          <c:idx val="39"/>
          <c:order val="6"/>
          <c:tx>
            <c:strRef>
              <c:f>LCIA!$NB$64</c:f>
              <c:strCache>
                <c:ptCount val="1"/>
                <c:pt idx="0">
                  <c:v>Casing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LCIA!$NC$64:$NR$64</c:f>
              <c:numCache>
                <c:formatCode>0.000</c:formatCode>
                <c:ptCount val="16"/>
                <c:pt idx="0">
                  <c:v>5.1720328936782477E-4</c:v>
                </c:pt>
                <c:pt idx="1">
                  <c:v>4.2578125590396769E-4</c:v>
                </c:pt>
                <c:pt idx="2">
                  <c:v>5.8899856779537092E-4</c:v>
                </c:pt>
                <c:pt idx="3">
                  <c:v>4.8127029033158083E-4</c:v>
                </c:pt>
                <c:pt idx="4">
                  <c:v>5.9225722330061975E-4</c:v>
                </c:pt>
                <c:pt idx="5">
                  <c:v>4.8451106919518574E-4</c:v>
                </c:pt>
                <c:pt idx="6">
                  <c:v>4.8235840312861172E-4</c:v>
                </c:pt>
                <c:pt idx="7">
                  <c:v>3.9386608067584051E-4</c:v>
                </c:pt>
                <c:pt idx="8">
                  <c:v>4.1867215631570439E-4</c:v>
                </c:pt>
                <c:pt idx="9">
                  <c:v>3.4099885675438138E-4</c:v>
                </c:pt>
                <c:pt idx="10">
                  <c:v>7.6105908504691636E-4</c:v>
                </c:pt>
                <c:pt idx="11">
                  <c:v>6.1883669307593876E-4</c:v>
                </c:pt>
                <c:pt idx="12">
                  <c:v>1.0094065930266517E-3</c:v>
                </c:pt>
                <c:pt idx="13">
                  <c:v>8.2619692689327E-4</c:v>
                </c:pt>
                <c:pt idx="14">
                  <c:v>3.1980097363237684E-4</c:v>
                </c:pt>
                <c:pt idx="15">
                  <c:v>2.3171669788581059E-4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7A-4BD9-9A36-F9B37E779712}"/>
            </c:ext>
          </c:extLst>
        </c:ser>
        <c:ser>
          <c:idx val="35"/>
          <c:order val="7"/>
          <c:tx>
            <c:strRef>
              <c:f>LCIA!$NB$65</c:f>
              <c:strCache>
                <c:ptCount val="1"/>
                <c:pt idx="0">
                  <c:v>Energy LIB Factory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multiLvlStrRef>
              <c:f>(LCIA!$BK$6:$BV$7,LCIA!$BW$6:$BX$7,LCIA!$BY$6:$BZ$7)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
532</c:v>
                  </c:pt>
                  <c:pt idx="4">
                    <c:v>NMC
622</c:v>
                  </c:pt>
                  <c:pt idx="6">
                    <c:v>NMC
811</c:v>
                  </c:pt>
                  <c:pt idx="8">
                    <c:v>NMC
900</c:v>
                  </c:pt>
                  <c:pt idx="10">
                    <c:v>LFP</c:v>
                  </c:pt>
                  <c:pt idx="12">
                    <c:v>NaNFM
422 
(SIB)</c:v>
                  </c:pt>
                  <c:pt idx="14">
                    <c:v>NMC
900|Li 
(SSB)</c:v>
                  </c:pt>
                </c:lvl>
              </c:multiLvlStrCache>
            </c:multiLvlStrRef>
          </c:cat>
          <c:val>
            <c:numRef>
              <c:f>LCIA!$NC$65:$NR$65</c:f>
              <c:numCache>
                <c:formatCode>0.000</c:formatCode>
                <c:ptCount val="16"/>
                <c:pt idx="0">
                  <c:v>1.0652951416204294E-2</c:v>
                </c:pt>
                <c:pt idx="1">
                  <c:v>8.9685701563232394E-3</c:v>
                </c:pt>
                <c:pt idx="2">
                  <c:v>1.2371646335708942E-2</c:v>
                </c:pt>
                <c:pt idx="3">
                  <c:v>1.0158940570955908E-2</c:v>
                </c:pt>
                <c:pt idx="4">
                  <c:v>1.2163026522119263E-2</c:v>
                </c:pt>
                <c:pt idx="5">
                  <c:v>1.0014450207258952E-2</c:v>
                </c:pt>
                <c:pt idx="6">
                  <c:v>1.1008191515052768E-2</c:v>
                </c:pt>
                <c:pt idx="7">
                  <c:v>9.2103050880206691E-3</c:v>
                </c:pt>
                <c:pt idx="8">
                  <c:v>1.043279993194262E-2</c:v>
                </c:pt>
                <c:pt idx="9">
                  <c:v>8.8090404605391092E-3</c:v>
                </c:pt>
                <c:pt idx="10">
                  <c:v>1.4942311211469652E-2</c:v>
                </c:pt>
                <c:pt idx="11">
                  <c:v>1.1941843307958531E-2</c:v>
                </c:pt>
                <c:pt idx="12">
                  <c:v>1.7179490679091511E-2</c:v>
                </c:pt>
                <c:pt idx="13">
                  <c:v>1.3736645379089274E-2</c:v>
                </c:pt>
                <c:pt idx="14">
                  <c:v>8.1896297495494194E-3</c:v>
                </c:pt>
                <c:pt idx="15">
                  <c:v>5.8038614340934196E-3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7A-4BD9-9A36-F9B37E779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45977887"/>
        <c:axId val="106416495"/>
        <c:extLst/>
      </c:barChart>
      <c:catAx>
        <c:axId val="74597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06416495"/>
        <c:crosses val="autoZero"/>
        <c:auto val="1"/>
        <c:lblAlgn val="ctr"/>
        <c:lblOffset val="100"/>
        <c:noMultiLvlLbl val="0"/>
      </c:catAx>
      <c:valAx>
        <c:axId val="10641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4597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74091385128583"/>
          <c:y val="5.5921024278636877E-2"/>
          <c:w val="0.80857866904567965"/>
          <c:h val="0.92420611615610182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'Ecoinvent 3.10'!$O$4</c:f>
              <c:strCache>
                <c:ptCount val="1"/>
                <c:pt idx="0">
                  <c:v>Terrestrial Ecotoxicity Potential (TETP)</c:v>
                </c:pt>
              </c:strCache>
            </c:strRef>
          </c:tx>
          <c:spPr>
            <a:pattFill prst="trellis">
              <a:fgClr>
                <a:schemeClr val="bg2"/>
              </a:fgClr>
              <a:bgClr>
                <a:schemeClr val="bg1"/>
              </a:bgClr>
            </a:patt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('Ecoinvent 3.10'!$O$71:$O$74,'Ecoinvent 3.10'!$O$76:$O$92,'Ecoinvent 3.10'!$O$94:$O$99)</c:f>
                <c:numCache>
                  <c:formatCode>General</c:formatCode>
                  <c:ptCount val="27"/>
                  <c:pt idx="0">
                    <c:v>26.635680000000008</c:v>
                  </c:pt>
                  <c:pt idx="1">
                    <c:v>17.899749999999997</c:v>
                  </c:pt>
                  <c:pt idx="2">
                    <c:v>17.783829999999995</c:v>
                  </c:pt>
                  <c:pt idx="3">
                    <c:v>28.544760000000011</c:v>
                  </c:pt>
                  <c:pt idx="4">
                    <c:v>32.731300000000005</c:v>
                  </c:pt>
                  <c:pt idx="5">
                    <c:v>1.7734719999999999</c:v>
                  </c:pt>
                  <c:pt idx="6">
                    <c:v>60.822599999999966</c:v>
                  </c:pt>
                  <c:pt idx="7">
                    <c:v>1.5899400000000021</c:v>
                  </c:pt>
                  <c:pt idx="8">
                    <c:v>74.526000000000067</c:v>
                  </c:pt>
                  <c:pt idx="9">
                    <c:v>3.933720000000001</c:v>
                  </c:pt>
                  <c:pt idx="10">
                    <c:v>1.1443880000000002</c:v>
                  </c:pt>
                  <c:pt idx="11">
                    <c:v>3.4588800000000006</c:v>
                  </c:pt>
                  <c:pt idx="12">
                    <c:v>4.7840400000000027</c:v>
                  </c:pt>
                  <c:pt idx="13">
                    <c:v>9.8604000000000056</c:v>
                  </c:pt>
                  <c:pt idx="14">
                    <c:v>3.9528000000000016</c:v>
                  </c:pt>
                  <c:pt idx="15">
                    <c:v>0.87762000000000029</c:v>
                  </c:pt>
                  <c:pt idx="16">
                    <c:v>10.920096000000004</c:v>
                  </c:pt>
                  <c:pt idx="17">
                    <c:v>21.413160000000012</c:v>
                  </c:pt>
                  <c:pt idx="18">
                    <c:v>19.878890142313182</c:v>
                  </c:pt>
                  <c:pt idx="19">
                    <c:v>1.8293904000000012</c:v>
                  </c:pt>
                  <c:pt idx="20">
                    <c:v>1.3394510000000002E-3</c:v>
                  </c:pt>
                  <c:pt idx="21">
                    <c:v>29.945400000000006</c:v>
                  </c:pt>
                  <c:pt idx="22">
                    <c:v>411.98400000000015</c:v>
                  </c:pt>
                  <c:pt idx="23">
                    <c:v>2.9615229999999997</c:v>
                  </c:pt>
                  <c:pt idx="24">
                    <c:v>213.18080000000009</c:v>
                  </c:pt>
                  <c:pt idx="25">
                    <c:v>389.2320000000002</c:v>
                  </c:pt>
                  <c:pt idx="26">
                    <c:v>15.171120000000002</c:v>
                  </c:pt>
                </c:numCache>
              </c:numRef>
            </c:plus>
            <c:minus>
              <c:numRef>
                <c:f>('Ecoinvent 3.10'!$O$38:$O$41,'Ecoinvent 3.10'!$O$43:$O$59,'Ecoinvent 3.10'!$O$61:$O$66)</c:f>
                <c:numCache>
                  <c:formatCode>General</c:formatCode>
                  <c:ptCount val="27"/>
                  <c:pt idx="0">
                    <c:v>19.585058823529415</c:v>
                  </c:pt>
                  <c:pt idx="1">
                    <c:v>14.552642276422766</c:v>
                  </c:pt>
                  <c:pt idx="2">
                    <c:v>14.458398373983741</c:v>
                  </c:pt>
                  <c:pt idx="3">
                    <c:v>20.98879411764706</c:v>
                  </c:pt>
                  <c:pt idx="4">
                    <c:v>26.61081300813008</c:v>
                  </c:pt>
                  <c:pt idx="5">
                    <c:v>1.3435393939393938</c:v>
                  </c:pt>
                  <c:pt idx="6">
                    <c:v>51.985128205128206</c:v>
                  </c:pt>
                  <c:pt idx="7">
                    <c:v>1.4323783783783792</c:v>
                  </c:pt>
                  <c:pt idx="8">
                    <c:v>70.307547169811414</c:v>
                  </c:pt>
                  <c:pt idx="9">
                    <c:v>2.8924411764705891</c:v>
                  </c:pt>
                  <c:pt idx="10">
                    <c:v>0.89405312500000012</c:v>
                  </c:pt>
                  <c:pt idx="11">
                    <c:v>2.5432941176470596</c:v>
                  </c:pt>
                  <c:pt idx="12">
                    <c:v>3.5176764705882366</c:v>
                  </c:pt>
                  <c:pt idx="13">
                    <c:v>7.2502941176470621</c:v>
                  </c:pt>
                  <c:pt idx="14">
                    <c:v>2.9064705882352957</c:v>
                  </c:pt>
                  <c:pt idx="15">
                    <c:v>0.82794339622641644</c:v>
                  </c:pt>
                  <c:pt idx="16">
                    <c:v>8.0294823529411765</c:v>
                  </c:pt>
                  <c:pt idx="17">
                    <c:v>15.744970588235297</c:v>
                  </c:pt>
                  <c:pt idx="18">
                    <c:v>14.616830986994991</c:v>
                  </c:pt>
                  <c:pt idx="19">
                    <c:v>1.7258400000000016</c:v>
                  </c:pt>
                  <c:pt idx="20">
                    <c:v>1.0889845528455283E-3</c:v>
                  </c:pt>
                  <c:pt idx="21">
                    <c:v>28.250377358490596</c:v>
                  </c:pt>
                  <c:pt idx="22">
                    <c:v>302.92941176470595</c:v>
                  </c:pt>
                  <c:pt idx="23">
                    <c:v>2.2607045801526722</c:v>
                  </c:pt>
                  <c:pt idx="24">
                    <c:v>161.50060606060612</c:v>
                  </c:pt>
                  <c:pt idx="25">
                    <c:v>286.20000000000005</c:v>
                  </c:pt>
                  <c:pt idx="26">
                    <c:v>11.155235294117649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3.10'!$O$5:$O$8,'Ecoinvent 3.10'!$O$10:$O$26,'Ecoinvent 3.10'!$O$28:$O$33)</c:f>
              <c:numCache>
                <c:formatCode>0.00</c:formatCode>
                <c:ptCount val="27"/>
                <c:pt idx="0">
                  <c:v>73.988</c:v>
                </c:pt>
                <c:pt idx="1">
                  <c:v>77.825000000000003</c:v>
                </c:pt>
                <c:pt idx="2">
                  <c:v>77.320999999999998</c:v>
                </c:pt>
                <c:pt idx="3">
                  <c:v>79.290999999999997</c:v>
                </c:pt>
                <c:pt idx="4">
                  <c:v>142.31</c:v>
                </c:pt>
                <c:pt idx="5">
                  <c:v>5.5420999999999996</c:v>
                </c:pt>
                <c:pt idx="6">
                  <c:v>357.78</c:v>
                </c:pt>
                <c:pt idx="7">
                  <c:v>14.454000000000001</c:v>
                </c:pt>
                <c:pt idx="8">
                  <c:v>1242.0999999999999</c:v>
                </c:pt>
                <c:pt idx="9">
                  <c:v>10.927</c:v>
                </c:pt>
                <c:pt idx="10">
                  <c:v>4.0871000000000004</c:v>
                </c:pt>
                <c:pt idx="11">
                  <c:v>9.6080000000000005</c:v>
                </c:pt>
                <c:pt idx="12">
                  <c:v>13.289</c:v>
                </c:pt>
                <c:pt idx="13">
                  <c:v>27.39</c:v>
                </c:pt>
                <c:pt idx="14">
                  <c:v>10.98</c:v>
                </c:pt>
                <c:pt idx="15">
                  <c:v>14.627000000000001</c:v>
                </c:pt>
                <c:pt idx="16">
                  <c:v>30.333600000000001</c:v>
                </c:pt>
                <c:pt idx="17">
                  <c:v>59.481000000000002</c:v>
                </c:pt>
                <c:pt idx="18">
                  <c:v>55.21913928420328</c:v>
                </c:pt>
                <c:pt idx="19">
                  <c:v>30.489840000000001</c:v>
                </c:pt>
                <c:pt idx="20">
                  <c:v>5.8237000000000002E-3</c:v>
                </c:pt>
                <c:pt idx="21">
                  <c:v>499.09</c:v>
                </c:pt>
                <c:pt idx="22">
                  <c:v>1144.4000000000001</c:v>
                </c:pt>
                <c:pt idx="23">
                  <c:v>9.5533000000000001</c:v>
                </c:pt>
                <c:pt idx="24">
                  <c:v>666.19</c:v>
                </c:pt>
                <c:pt idx="25">
                  <c:v>1081.2</c:v>
                </c:pt>
                <c:pt idx="26">
                  <c:v>42.142000000000003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3-4D73-9643-A3560537BF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954784"/>
        <c:axId val="7956032"/>
      </c:barChart>
      <c:barChart>
        <c:barDir val="col"/>
        <c:grouping val="clustered"/>
        <c:varyColors val="0"/>
        <c:ser>
          <c:idx val="2"/>
          <c:order val="0"/>
          <c:tx>
            <c:v>Dummy</c:v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3.10'!$P$5:$P$8,'Ecoinvent 3.10'!$P$10:$P$26,'Ecoinvent 3.10'!$P$28:$P$33)</c:f>
              <c:numCache>
                <c:formatCode>0.00</c:formatCode>
                <c:ptCount val="27"/>
                <c:pt idx="0">
                  <c:v>7.0550000000000002E-2</c:v>
                </c:pt>
                <c:pt idx="1">
                  <c:v>4.6198999999999997E-2</c:v>
                </c:pt>
                <c:pt idx="2">
                  <c:v>2.6065999999999999E-2</c:v>
                </c:pt>
                <c:pt idx="3">
                  <c:v>4.8938000000000002E-2</c:v>
                </c:pt>
                <c:pt idx="4">
                  <c:v>8.3553000000000002E-2</c:v>
                </c:pt>
                <c:pt idx="5">
                  <c:v>3.2816999999999998E-3</c:v>
                </c:pt>
                <c:pt idx="6">
                  <c:v>8.6679000000000006E-2</c:v>
                </c:pt>
                <c:pt idx="7">
                  <c:v>2.3278E-2</c:v>
                </c:pt>
                <c:pt idx="8">
                  <c:v>0.19073000000000001</c:v>
                </c:pt>
                <c:pt idx="9">
                  <c:v>7.7117000000000002E-3</c:v>
                </c:pt>
                <c:pt idx="10">
                  <c:v>8.0539999999999995E-4</c:v>
                </c:pt>
                <c:pt idx="11">
                  <c:v>2.7872000000000001E-3</c:v>
                </c:pt>
                <c:pt idx="12">
                  <c:v>2.2812000000000002E-3</c:v>
                </c:pt>
                <c:pt idx="13">
                  <c:v>5.0809E-2</c:v>
                </c:pt>
                <c:pt idx="14">
                  <c:v>3.6633E-3</c:v>
                </c:pt>
                <c:pt idx="15">
                  <c:v>6.2541000000000003E-3</c:v>
                </c:pt>
                <c:pt idx="16">
                  <c:v>8.9674999999999998E-3</c:v>
                </c:pt>
                <c:pt idx="17">
                  <c:v>2.6009999999999998E-2</c:v>
                </c:pt>
                <c:pt idx="18">
                  <c:v>4.7702083932300486E-2</c:v>
                </c:pt>
                <c:pt idx="19">
                  <c:v>1.317519E-2</c:v>
                </c:pt>
                <c:pt idx="20">
                  <c:v>3.1441000000000001E-6</c:v>
                </c:pt>
                <c:pt idx="21">
                  <c:v>8.5597999999999994E-2</c:v>
                </c:pt>
                <c:pt idx="22">
                  <c:v>4.0571999999999997E-2</c:v>
                </c:pt>
                <c:pt idx="23">
                  <c:v>1.5990000000000001E-2</c:v>
                </c:pt>
                <c:pt idx="24">
                  <c:v>0.40967999999999999</c:v>
                </c:pt>
                <c:pt idx="25">
                  <c:v>0.43131999999999998</c:v>
                </c:pt>
                <c:pt idx="26">
                  <c:v>1.0785E-3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D3-4D73-9643-A3560537BF05}"/>
            </c:ext>
          </c:extLst>
        </c:ser>
        <c:ser>
          <c:idx val="1"/>
          <c:order val="2"/>
          <c:tx>
            <c:strRef>
              <c:f>'Ecoinvent 3.10'!$P$4</c:f>
              <c:strCache>
                <c:ptCount val="1"/>
                <c:pt idx="0">
                  <c:v>Terrestrial Acidification Potential (TAP)</c:v>
                </c:pt>
              </c:strCache>
            </c:strRef>
          </c:tx>
          <c:spPr>
            <a:pattFill prst="shingle">
              <a:fgClr>
                <a:schemeClr val="bg2"/>
              </a:fgClr>
              <a:bgClr>
                <a:schemeClr val="bg1"/>
              </a:bgClr>
            </a:patt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('Ecoinvent 3.10'!$P$71:$P$74,'Ecoinvent 3.10'!$P$76:$P$92,'Ecoinvent 3.10'!$P$94:$P$99)</c:f>
                <c:numCache>
                  <c:formatCode>General</c:formatCode>
                  <c:ptCount val="27"/>
                  <c:pt idx="0">
                    <c:v>2.5398000000000004E-2</c:v>
                  </c:pt>
                  <c:pt idx="1">
                    <c:v>1.062577E-2</c:v>
                  </c:pt>
                  <c:pt idx="2">
                    <c:v>5.9951800000000027E-3</c:v>
                  </c:pt>
                  <c:pt idx="3">
                    <c:v>1.7617680000000004E-2</c:v>
                  </c:pt>
                  <c:pt idx="4">
                    <c:v>1.9217189999999995E-2</c:v>
                  </c:pt>
                  <c:pt idx="5">
                    <c:v>1.0501439999999998E-3</c:v>
                  </c:pt>
                  <c:pt idx="6">
                    <c:v>1.4735429999999994E-2</c:v>
                  </c:pt>
                  <c:pt idx="7">
                    <c:v>2.5605800000000033E-3</c:v>
                  </c:pt>
                  <c:pt idx="8">
                    <c:v>1.1443800000000004E-2</c:v>
                  </c:pt>
                  <c:pt idx="9">
                    <c:v>2.7762120000000001E-3</c:v>
                  </c:pt>
                  <c:pt idx="10">
                    <c:v>2.2551199999999998E-4</c:v>
                  </c:pt>
                  <c:pt idx="11">
                    <c:v>1.0033920000000005E-3</c:v>
                  </c:pt>
                  <c:pt idx="12">
                    <c:v>8.212320000000003E-4</c:v>
                  </c:pt>
                  <c:pt idx="13">
                    <c:v>1.8291240000000007E-2</c:v>
                  </c:pt>
                  <c:pt idx="14">
                    <c:v>1.318788E-3</c:v>
                  </c:pt>
                  <c:pt idx="15">
                    <c:v>3.7524600000000009E-4</c:v>
                  </c:pt>
                  <c:pt idx="16">
                    <c:v>3.2283000000000017E-3</c:v>
                  </c:pt>
                  <c:pt idx="17">
                    <c:v>9.3635999999999997E-3</c:v>
                  </c:pt>
                  <c:pt idx="18">
                    <c:v>1.7172750215628176E-2</c:v>
                  </c:pt>
                  <c:pt idx="19">
                    <c:v>7.9051140000000082E-4</c:v>
                  </c:pt>
                  <c:pt idx="20">
                    <c:v>7.2314300000000003E-7</c:v>
                  </c:pt>
                  <c:pt idx="21">
                    <c:v>5.1358800000000093E-3</c:v>
                  </c:pt>
                  <c:pt idx="22">
                    <c:v>1.4605920000000001E-2</c:v>
                  </c:pt>
                  <c:pt idx="23">
                    <c:v>4.9569000000000002E-3</c:v>
                  </c:pt>
                  <c:pt idx="24">
                    <c:v>0.13109759999999998</c:v>
                  </c:pt>
                  <c:pt idx="25">
                    <c:v>0.1552752</c:v>
                  </c:pt>
                  <c:pt idx="26">
                    <c:v>3.8826000000000008E-4</c:v>
                  </c:pt>
                </c:numCache>
              </c:numRef>
            </c:plus>
            <c:minus>
              <c:numRef>
                <c:f>('Ecoinvent 3.10'!$P$38:$P$41,'Ecoinvent 3.10'!$P$43:$P$59,'Ecoinvent 3.10'!$P$61:$P$66)</c:f>
                <c:numCache>
                  <c:formatCode>General</c:formatCode>
                  <c:ptCount val="27"/>
                  <c:pt idx="0">
                    <c:v>1.8675000000000004E-2</c:v>
                  </c:pt>
                  <c:pt idx="1">
                    <c:v>8.638837398373983E-3</c:v>
                  </c:pt>
                  <c:pt idx="2">
                    <c:v>4.8741300813008141E-3</c:v>
                  </c:pt>
                  <c:pt idx="3">
                    <c:v>1.295417647058824E-2</c:v>
                  </c:pt>
                  <c:pt idx="4">
                    <c:v>1.5623731707317068E-2</c:v>
                  </c:pt>
                  <c:pt idx="5">
                    <c:v>7.9556363636363626E-4</c:v>
                  </c:pt>
                  <c:pt idx="6">
                    <c:v>1.2594384615384618E-2</c:v>
                  </c:pt>
                  <c:pt idx="7">
                    <c:v>2.3068288288288323E-3</c:v>
                  </c:pt>
                  <c:pt idx="8">
                    <c:v>1.0796037735849057E-2</c:v>
                  </c:pt>
                  <c:pt idx="9">
                    <c:v>2.041332352941177E-3</c:v>
                  </c:pt>
                  <c:pt idx="10">
                    <c:v>1.7618124999999995E-4</c:v>
                  </c:pt>
                  <c:pt idx="11">
                    <c:v>7.3778823529411803E-4</c:v>
                  </c:pt>
                  <c:pt idx="12">
                    <c:v>6.0384705882352962E-4</c:v>
                  </c:pt>
                  <c:pt idx="13">
                    <c:v>1.3449441176470588E-2</c:v>
                  </c:pt>
                  <c:pt idx="14">
                    <c:v>9.6969705882352965E-4</c:v>
                  </c:pt>
                  <c:pt idx="15">
                    <c:v>3.5400566037735882E-4</c:v>
                  </c:pt>
                  <c:pt idx="16">
                    <c:v>2.37375E-3</c:v>
                  </c:pt>
                  <c:pt idx="17">
                    <c:v>6.8850000000000022E-3</c:v>
                  </c:pt>
                  <c:pt idx="18">
                    <c:v>1.2627022217373662E-2</c:v>
                  </c:pt>
                  <c:pt idx="19">
                    <c:v>7.4576547169811352E-4</c:v>
                  </c:pt>
                  <c:pt idx="20">
                    <c:v>5.879211382113823E-7</c:v>
                  </c:pt>
                  <c:pt idx="21">
                    <c:v>4.845169811320757E-3</c:v>
                  </c:pt>
                  <c:pt idx="22">
                    <c:v>1.0739647058823531E-2</c:v>
                  </c:pt>
                  <c:pt idx="23">
                    <c:v>3.7838931297709925E-3</c:v>
                  </c:pt>
                  <c:pt idx="24">
                    <c:v>9.9316363636363647E-2</c:v>
                  </c:pt>
                  <c:pt idx="25">
                    <c:v>0.11417294117647059</c:v>
                  </c:pt>
                  <c:pt idx="26">
                    <c:v>2.8548529411764716E-4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3.10'!$P$5:$P$8,'Ecoinvent 3.10'!$P$10:$P$26,'Ecoinvent 3.10'!$P$28:$P$33)</c:f>
              <c:numCache>
                <c:formatCode>0.00</c:formatCode>
                <c:ptCount val="27"/>
                <c:pt idx="0">
                  <c:v>7.0550000000000002E-2</c:v>
                </c:pt>
                <c:pt idx="1">
                  <c:v>4.6198999999999997E-2</c:v>
                </c:pt>
                <c:pt idx="2">
                  <c:v>2.6065999999999999E-2</c:v>
                </c:pt>
                <c:pt idx="3">
                  <c:v>4.8938000000000002E-2</c:v>
                </c:pt>
                <c:pt idx="4">
                  <c:v>8.3553000000000002E-2</c:v>
                </c:pt>
                <c:pt idx="5">
                  <c:v>3.2816999999999998E-3</c:v>
                </c:pt>
                <c:pt idx="6">
                  <c:v>8.6679000000000006E-2</c:v>
                </c:pt>
                <c:pt idx="7">
                  <c:v>2.3278E-2</c:v>
                </c:pt>
                <c:pt idx="8">
                  <c:v>0.19073000000000001</c:v>
                </c:pt>
                <c:pt idx="9">
                  <c:v>7.7117000000000002E-3</c:v>
                </c:pt>
                <c:pt idx="10">
                  <c:v>8.0539999999999995E-4</c:v>
                </c:pt>
                <c:pt idx="11">
                  <c:v>2.7872000000000001E-3</c:v>
                </c:pt>
                <c:pt idx="12">
                  <c:v>2.2812000000000002E-3</c:v>
                </c:pt>
                <c:pt idx="13">
                  <c:v>5.0809E-2</c:v>
                </c:pt>
                <c:pt idx="14">
                  <c:v>3.6633E-3</c:v>
                </c:pt>
                <c:pt idx="15">
                  <c:v>6.2541000000000003E-3</c:v>
                </c:pt>
                <c:pt idx="16">
                  <c:v>8.9674999999999998E-3</c:v>
                </c:pt>
                <c:pt idx="17">
                  <c:v>2.6009999999999998E-2</c:v>
                </c:pt>
                <c:pt idx="18">
                  <c:v>4.7702083932300486E-2</c:v>
                </c:pt>
                <c:pt idx="19">
                  <c:v>1.317519E-2</c:v>
                </c:pt>
                <c:pt idx="20">
                  <c:v>3.1441000000000001E-6</c:v>
                </c:pt>
                <c:pt idx="21">
                  <c:v>8.5597999999999994E-2</c:v>
                </c:pt>
                <c:pt idx="22">
                  <c:v>4.0571999999999997E-2</c:v>
                </c:pt>
                <c:pt idx="23">
                  <c:v>1.5990000000000001E-2</c:v>
                </c:pt>
                <c:pt idx="24">
                  <c:v>0.40967999999999999</c:v>
                </c:pt>
                <c:pt idx="25">
                  <c:v>0.43131999999999998</c:v>
                </c:pt>
                <c:pt idx="26">
                  <c:v>1.0785E-3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D3-4D73-9643-A3560537BF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100"/>
        <c:axId val="8427024"/>
        <c:axId val="8443248"/>
      </c:barChart>
      <c:catAx>
        <c:axId val="795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956032"/>
        <c:crosses val="autoZero"/>
        <c:auto val="1"/>
        <c:lblAlgn val="ctr"/>
        <c:lblOffset val="100"/>
        <c:noMultiLvlLbl val="0"/>
      </c:catAx>
      <c:valAx>
        <c:axId val="7956032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kg1.4DCB-eq/kg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954784"/>
        <c:crosses val="autoZero"/>
        <c:crossBetween val="between"/>
        <c:majorUnit val="300"/>
      </c:valAx>
      <c:valAx>
        <c:axId val="8443248"/>
        <c:scaling>
          <c:orientation val="minMax"/>
          <c:max val="0.60000000000000009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kgSO2-eq/kg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8427024"/>
        <c:crosses val="max"/>
        <c:crossBetween val="between"/>
        <c:majorUnit val="0.1"/>
      </c:valAx>
      <c:catAx>
        <c:axId val="842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egendEntry>
        <c:idx val="1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74091385128583"/>
          <c:y val="5.5921024278636877E-2"/>
          <c:w val="0.80857866904567965"/>
          <c:h val="0.9243655616030263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'Ecoinvent 3.10'!$Q$4</c:f>
              <c:strCache>
                <c:ptCount val="1"/>
                <c:pt idx="0">
                  <c:v>Surplus Ore Potential (SOP)</c:v>
                </c:pt>
              </c:strCache>
            </c:strRef>
          </c:tx>
          <c:spPr>
            <a:pattFill prst="smGrid">
              <a:fgClr>
                <a:schemeClr val="bg2"/>
              </a:fgClr>
              <a:bgClr>
                <a:schemeClr val="bg1"/>
              </a:bgClr>
            </a:patt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('Ecoinvent 3.10'!$Q$71:$Q$74,'Ecoinvent 3.10'!$Q$76:$Q$92,'Ecoinvent 3.10'!$Q$94:$Q$99)</c:f>
                <c:numCache>
                  <c:formatCode>General</c:formatCode>
                  <c:ptCount val="27"/>
                  <c:pt idx="0">
                    <c:v>0.10841400000000001</c:v>
                  </c:pt>
                  <c:pt idx="1">
                    <c:v>2.5083800000000007</c:v>
                  </c:pt>
                  <c:pt idx="2">
                    <c:v>1.5604809999999997E-2</c:v>
                  </c:pt>
                  <c:pt idx="3">
                    <c:v>9.6562800000000024</c:v>
                  </c:pt>
                  <c:pt idx="4">
                    <c:v>10.015119999999996</c:v>
                  </c:pt>
                  <c:pt idx="5">
                    <c:v>2.5123200000000002E-3</c:v>
                  </c:pt>
                  <c:pt idx="6">
                    <c:v>0.36050199999999988</c:v>
                  </c:pt>
                  <c:pt idx="7">
                    <c:v>6.5884500000000026E-3</c:v>
                  </c:pt>
                  <c:pt idx="8">
                    <c:v>0.53485200000000077</c:v>
                  </c:pt>
                  <c:pt idx="9">
                    <c:v>1.0982160000000005E-2</c:v>
                  </c:pt>
                  <c:pt idx="10">
                    <c:v>1.6787959999999998E-3</c:v>
                  </c:pt>
                  <c:pt idx="11">
                    <c:v>6.6916799999999999E-2</c:v>
                  </c:pt>
                  <c:pt idx="12">
                    <c:v>7.9491600000000037E-3</c:v>
                  </c:pt>
                  <c:pt idx="13">
                    <c:v>2.0197800000000002E-2</c:v>
                  </c:pt>
                  <c:pt idx="14">
                    <c:v>2.5846920000000009E-2</c:v>
                  </c:pt>
                  <c:pt idx="15">
                    <c:v>1.373280000000001E-3</c:v>
                  </c:pt>
                  <c:pt idx="16">
                    <c:v>1.6181604000000002E-2</c:v>
                  </c:pt>
                  <c:pt idx="17">
                    <c:v>2.6521920000000012</c:v>
                  </c:pt>
                  <c:pt idx="18">
                    <c:v>1.3010734000442636</c:v>
                  </c:pt>
                  <c:pt idx="19">
                    <c:v>1.6295786400000012E-2</c:v>
                  </c:pt>
                  <c:pt idx="20">
                    <c:v>1.4422609999999994E-5</c:v>
                  </c:pt>
                  <c:pt idx="21">
                    <c:v>3.4792800000000013E-3</c:v>
                  </c:pt>
                  <c:pt idx="22">
                    <c:v>2.0226600000000011E-2</c:v>
                  </c:pt>
                  <c:pt idx="23">
                    <c:v>3.1502200000000005E-3</c:v>
                  </c:pt>
                  <c:pt idx="24">
                    <c:v>52.518400000000014</c:v>
                  </c:pt>
                  <c:pt idx="25">
                    <c:v>0.68810400000000005</c:v>
                  </c:pt>
                  <c:pt idx="26">
                    <c:v>2.24298E-2</c:v>
                  </c:pt>
                </c:numCache>
              </c:numRef>
            </c:plus>
            <c:minus>
              <c:numRef>
                <c:f>('Ecoinvent 3.10'!$Q$38:$Q$41,'Ecoinvent 3.10'!$Q$43:$Q$59,'Ecoinvent 3.10'!$Q$61:$Q$66)</c:f>
                <c:numCache>
                  <c:formatCode>General</c:formatCode>
                  <c:ptCount val="27"/>
                  <c:pt idx="0">
                    <c:v>7.9716176470588235E-2</c:v>
                  </c:pt>
                  <c:pt idx="1">
                    <c:v>2.0393333333333334</c:v>
                  </c:pt>
                  <c:pt idx="2">
                    <c:v>1.2686837398373986E-2</c:v>
                  </c:pt>
                  <c:pt idx="3">
                    <c:v>7.1002058823529417</c:v>
                  </c:pt>
                  <c:pt idx="4">
                    <c:v>8.1423739837398372</c:v>
                  </c:pt>
                  <c:pt idx="5">
                    <c:v>1.9032727272727274E-3</c:v>
                  </c:pt>
                  <c:pt idx="6">
                    <c:v>0.30812136752136743</c:v>
                  </c:pt>
                  <c:pt idx="7">
                    <c:v>5.9355405405405459E-3</c:v>
                  </c:pt>
                  <c:pt idx="8">
                    <c:v>0.5045773584905664</c:v>
                  </c:pt>
                  <c:pt idx="9">
                    <c:v>8.0751176470588264E-3</c:v>
                  </c:pt>
                  <c:pt idx="10">
                    <c:v>1.3115593750000001E-3</c:v>
                  </c:pt>
                  <c:pt idx="11">
                    <c:v>4.9203529411764702E-2</c:v>
                  </c:pt>
                  <c:pt idx="12">
                    <c:v>5.8449705882352952E-3</c:v>
                  </c:pt>
                  <c:pt idx="13">
                    <c:v>1.4851323529411771E-2</c:v>
                  </c:pt>
                  <c:pt idx="14">
                    <c:v>1.9005088235294121E-2</c:v>
                  </c:pt>
                  <c:pt idx="15">
                    <c:v>1.2955471698113223E-3</c:v>
                  </c:pt>
                  <c:pt idx="16">
                    <c:v>1.1898238235294123E-2</c:v>
                  </c:pt>
                  <c:pt idx="17">
                    <c:v>1.9501411764705887</c:v>
                  </c:pt>
                  <c:pt idx="18">
                    <c:v>0.95667161767960529</c:v>
                  </c:pt>
                  <c:pt idx="19">
                    <c:v>1.5373383396226403E-2</c:v>
                  </c:pt>
                  <c:pt idx="20">
                    <c:v>1.1725699186991867E-5</c:v>
                  </c:pt>
                  <c:pt idx="21">
                    <c:v>3.28233962264151E-3</c:v>
                  </c:pt>
                  <c:pt idx="22">
                    <c:v>1.4872500000000004E-2</c:v>
                  </c:pt>
                  <c:pt idx="23">
                    <c:v>2.4047480916030532E-3</c:v>
                  </c:pt>
                  <c:pt idx="24">
                    <c:v>39.786666666666676</c:v>
                  </c:pt>
                  <c:pt idx="25">
                    <c:v>0.50595882352941191</c:v>
                  </c:pt>
                  <c:pt idx="26">
                    <c:v>1.64925E-2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3.10'!$Q$5:$Q$8,'Ecoinvent 3.10'!$Q$10:$Q$26,'Ecoinvent 3.10'!$Q$28:$Q$33)</c:f>
              <c:numCache>
                <c:formatCode>0.00</c:formatCode>
                <c:ptCount val="27"/>
                <c:pt idx="0">
                  <c:v>0.30114999999999997</c:v>
                </c:pt>
                <c:pt idx="1">
                  <c:v>10.906000000000001</c:v>
                </c:pt>
                <c:pt idx="2">
                  <c:v>6.7847000000000005E-2</c:v>
                </c:pt>
                <c:pt idx="3">
                  <c:v>26.823</c:v>
                </c:pt>
                <c:pt idx="4">
                  <c:v>43.543999999999997</c:v>
                </c:pt>
                <c:pt idx="5">
                  <c:v>7.8510000000000003E-3</c:v>
                </c:pt>
                <c:pt idx="6">
                  <c:v>2.1206</c:v>
                </c:pt>
                <c:pt idx="7">
                  <c:v>5.9894999999999997E-2</c:v>
                </c:pt>
                <c:pt idx="8">
                  <c:v>8.9141999999999992</c:v>
                </c:pt>
                <c:pt idx="9">
                  <c:v>3.0505999999999998E-2</c:v>
                </c:pt>
                <c:pt idx="10">
                  <c:v>5.9956999999999996E-3</c:v>
                </c:pt>
                <c:pt idx="11">
                  <c:v>0.18587999999999999</c:v>
                </c:pt>
                <c:pt idx="12">
                  <c:v>2.2081E-2</c:v>
                </c:pt>
                <c:pt idx="13">
                  <c:v>5.6105000000000002E-2</c:v>
                </c:pt>
                <c:pt idx="14">
                  <c:v>7.1797E-2</c:v>
                </c:pt>
                <c:pt idx="15">
                  <c:v>2.2887999999999999E-2</c:v>
                </c:pt>
                <c:pt idx="16">
                  <c:v>4.49489E-2</c:v>
                </c:pt>
                <c:pt idx="17">
                  <c:v>7.3672000000000004</c:v>
                </c:pt>
                <c:pt idx="18">
                  <c:v>3.6140927779007304</c:v>
                </c:pt>
                <c:pt idx="19">
                  <c:v>0.27159644000000005</c:v>
                </c:pt>
                <c:pt idx="20">
                  <c:v>6.2706999999999994E-5</c:v>
                </c:pt>
                <c:pt idx="21">
                  <c:v>5.7987999999999998E-2</c:v>
                </c:pt>
                <c:pt idx="22">
                  <c:v>5.6184999999999999E-2</c:v>
                </c:pt>
                <c:pt idx="23">
                  <c:v>1.0161999999999999E-2</c:v>
                </c:pt>
                <c:pt idx="24">
                  <c:v>164.12</c:v>
                </c:pt>
                <c:pt idx="25">
                  <c:v>1.9114</c:v>
                </c:pt>
                <c:pt idx="26">
                  <c:v>6.2304999999999999E-2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8D-4EAA-86F2-1A686018E2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954784"/>
        <c:axId val="7956032"/>
      </c:barChart>
      <c:barChart>
        <c:barDir val="col"/>
        <c:grouping val="clustered"/>
        <c:varyColors val="0"/>
        <c:ser>
          <c:idx val="2"/>
          <c:order val="0"/>
          <c:tx>
            <c:v>Dummy</c:v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3.10'!$R$5:$R$8,'Ecoinvent 3.10'!$R$10:$R$26,'Ecoinvent 3.10'!$R$28:$R$33)</c:f>
              <c:numCache>
                <c:formatCode>0.00</c:formatCode>
                <c:ptCount val="27"/>
                <c:pt idx="0">
                  <c:v>9.2152999999999999E-2</c:v>
                </c:pt>
                <c:pt idx="1">
                  <c:v>0.12445000000000001</c:v>
                </c:pt>
                <c:pt idx="2">
                  <c:v>0.28034999999999999</c:v>
                </c:pt>
                <c:pt idx="3">
                  <c:v>8.7756000000000001E-2</c:v>
                </c:pt>
                <c:pt idx="4">
                  <c:v>0.14912</c:v>
                </c:pt>
                <c:pt idx="5">
                  <c:v>1.6954E-2</c:v>
                </c:pt>
                <c:pt idx="6">
                  <c:v>1.2017</c:v>
                </c:pt>
                <c:pt idx="7">
                  <c:v>8.5038000000000006E-3</c:v>
                </c:pt>
                <c:pt idx="8">
                  <c:v>5.1307</c:v>
                </c:pt>
                <c:pt idx="9">
                  <c:v>1.3871E-2</c:v>
                </c:pt>
                <c:pt idx="10">
                  <c:v>1.6105E-3</c:v>
                </c:pt>
                <c:pt idx="11">
                  <c:v>8.5290000000000001E-3</c:v>
                </c:pt>
                <c:pt idx="12">
                  <c:v>5.6494000000000003E-2</c:v>
                </c:pt>
                <c:pt idx="13">
                  <c:v>6.4343999999999998E-2</c:v>
                </c:pt>
                <c:pt idx="14">
                  <c:v>7.7667999999999999E-3</c:v>
                </c:pt>
                <c:pt idx="15">
                  <c:v>3.6481E-3</c:v>
                </c:pt>
                <c:pt idx="16">
                  <c:v>3.8390000000000001E-2</c:v>
                </c:pt>
                <c:pt idx="17">
                  <c:v>5.3903E-2</c:v>
                </c:pt>
                <c:pt idx="18">
                  <c:v>0.15891144507523214</c:v>
                </c:pt>
                <c:pt idx="19">
                  <c:v>3.1879940000000002E-2</c:v>
                </c:pt>
                <c:pt idx="20">
                  <c:v>2.0772999999999999E-5</c:v>
                </c:pt>
                <c:pt idx="21">
                  <c:v>2.0081000000000002E-2</c:v>
                </c:pt>
                <c:pt idx="22">
                  <c:v>0.11222</c:v>
                </c:pt>
                <c:pt idx="23">
                  <c:v>8.5740999999999994E-3</c:v>
                </c:pt>
                <c:pt idx="24">
                  <c:v>0.74929999999999997</c:v>
                </c:pt>
                <c:pt idx="25">
                  <c:v>0.15271000000000001</c:v>
                </c:pt>
                <c:pt idx="26">
                  <c:v>7.3108000000000001E-3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D-4EAA-86F2-1A686018E270}"/>
            </c:ext>
          </c:extLst>
        </c:ser>
        <c:ser>
          <c:idx val="1"/>
          <c:order val="2"/>
          <c:tx>
            <c:strRef>
              <c:f>'Ecoinvent 3.10'!$R$4</c:f>
              <c:strCache>
                <c:ptCount val="1"/>
                <c:pt idx="0">
                  <c:v>Water Consumption Potential (WCP)</c:v>
                </c:pt>
              </c:strCache>
            </c:strRef>
          </c:tx>
          <c:spPr>
            <a:pattFill prst="wave">
              <a:fgClr>
                <a:schemeClr val="bg2"/>
              </a:fgClr>
              <a:bgClr>
                <a:schemeClr val="bg1"/>
              </a:bgClr>
            </a:patt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('Ecoinvent 3.10'!$R$71:$R$74,'Ecoinvent 3.10'!$R$76:$R$92,'Ecoinvent 3.10'!$R$94:$R$99)</c:f>
                <c:numCache>
                  <c:formatCode>General</c:formatCode>
                  <c:ptCount val="27"/>
                  <c:pt idx="0">
                    <c:v>3.317508000000001E-2</c:v>
                  </c:pt>
                  <c:pt idx="1">
                    <c:v>2.8623499999999996E-2</c:v>
                  </c:pt>
                  <c:pt idx="2">
                    <c:v>6.4480499999999996E-2</c:v>
                  </c:pt>
                  <c:pt idx="3">
                    <c:v>3.1592160000000008E-2</c:v>
                  </c:pt>
                  <c:pt idx="4">
                    <c:v>3.4297600000000011E-2</c:v>
                  </c:pt>
                  <c:pt idx="5">
                    <c:v>5.4252800000000011E-3</c:v>
                  </c:pt>
                  <c:pt idx="6">
                    <c:v>0.20428899999999994</c:v>
                  </c:pt>
                  <c:pt idx="7">
                    <c:v>9.3541800000000036E-4</c:v>
                  </c:pt>
                  <c:pt idx="8">
                    <c:v>0.30784199999999995</c:v>
                  </c:pt>
                  <c:pt idx="9">
                    <c:v>4.9935600000000028E-3</c:v>
                  </c:pt>
                  <c:pt idx="10">
                    <c:v>4.5093999999999993E-4</c:v>
                  </c:pt>
                  <c:pt idx="11">
                    <c:v>3.0704400000000007E-3</c:v>
                  </c:pt>
                  <c:pt idx="12">
                    <c:v>2.033784000000001E-2</c:v>
                  </c:pt>
                  <c:pt idx="13">
                    <c:v>2.3163840000000005E-2</c:v>
                  </c:pt>
                  <c:pt idx="14">
                    <c:v>2.7960480000000015E-3</c:v>
                  </c:pt>
                  <c:pt idx="15">
                    <c:v>2.1888600000000017E-4</c:v>
                  </c:pt>
                  <c:pt idx="16">
                    <c:v>1.3820400000000004E-2</c:v>
                  </c:pt>
                  <c:pt idx="17">
                    <c:v>1.9405079999999998E-2</c:v>
                  </c:pt>
                  <c:pt idx="18">
                    <c:v>5.7208120227083575E-2</c:v>
                  </c:pt>
                  <c:pt idx="19">
                    <c:v>1.9127963999999997E-3</c:v>
                  </c:pt>
                  <c:pt idx="20">
                    <c:v>4.7777899999999995E-6</c:v>
                  </c:pt>
                  <c:pt idx="21">
                    <c:v>1.204860000000002E-3</c:v>
                  </c:pt>
                  <c:pt idx="22">
                    <c:v>4.039920000000001E-2</c:v>
                  </c:pt>
                  <c:pt idx="23">
                    <c:v>2.6579710000000003E-3</c:v>
                  </c:pt>
                  <c:pt idx="24">
                    <c:v>0.23977599999999999</c:v>
                  </c:pt>
                  <c:pt idx="25">
                    <c:v>5.4975600000000013E-2</c:v>
                  </c:pt>
                  <c:pt idx="26">
                    <c:v>2.6318880000000015E-3</c:v>
                  </c:pt>
                </c:numCache>
              </c:numRef>
            </c:plus>
            <c:minus>
              <c:numRef>
                <c:f>('Ecoinvent 3.10'!$R$38:$R$41,'Ecoinvent 3.10'!$R$43:$R$59,'Ecoinvent 3.10'!$R$61:$R$66)</c:f>
                <c:numCache>
                  <c:formatCode>General</c:formatCode>
                  <c:ptCount val="27"/>
                  <c:pt idx="0">
                    <c:v>2.439344117647059E-2</c:v>
                  </c:pt>
                  <c:pt idx="1">
                    <c:v>2.3271138211382117E-2</c:v>
                  </c:pt>
                  <c:pt idx="2">
                    <c:v>5.2423170731707325E-2</c:v>
                  </c:pt>
                  <c:pt idx="3">
                    <c:v>2.3229529411764704E-2</c:v>
                  </c:pt>
                  <c:pt idx="4">
                    <c:v>2.7884227642276424E-2</c:v>
                  </c:pt>
                  <c:pt idx="5">
                    <c:v>4.1100606060606067E-3</c:v>
                  </c:pt>
                  <c:pt idx="6">
                    <c:v>0.17460598290598295</c:v>
                  </c:pt>
                  <c:pt idx="7">
                    <c:v>8.4271891891891937E-4</c:v>
                  </c:pt>
                  <c:pt idx="8">
                    <c:v>0.29041698113207559</c:v>
                  </c:pt>
                  <c:pt idx="9">
                    <c:v>3.6717352941176475E-3</c:v>
                  </c:pt>
                  <c:pt idx="10">
                    <c:v>3.5229687499999996E-4</c:v>
                  </c:pt>
                  <c:pt idx="11">
                    <c:v>2.257676470588236E-3</c:v>
                  </c:pt>
                  <c:pt idx="12">
                    <c:v>1.4954294117647066E-2</c:v>
                  </c:pt>
                  <c:pt idx="13">
                    <c:v>1.7032235294117647E-2</c:v>
                  </c:pt>
                  <c:pt idx="14">
                    <c:v>2.055917647058824E-3</c:v>
                  </c:pt>
                  <c:pt idx="15">
                    <c:v>2.064962264150946E-4</c:v>
                  </c:pt>
                  <c:pt idx="16">
                    <c:v>1.0162058823529413E-2</c:v>
                  </c:pt>
                  <c:pt idx="17">
                    <c:v>1.4268441176470588E-2</c:v>
                  </c:pt>
                  <c:pt idx="18">
                    <c:v>4.2064794284620274E-2</c:v>
                  </c:pt>
                  <c:pt idx="19">
                    <c:v>1.8045249056603783E-3</c:v>
                  </c:pt>
                  <c:pt idx="20">
                    <c:v>3.8843821138211369E-6</c:v>
                  </c:pt>
                  <c:pt idx="21">
                    <c:v>1.1366603773584928E-3</c:v>
                  </c:pt>
                  <c:pt idx="22">
                    <c:v>2.9705294117647066E-2</c:v>
                  </c:pt>
                  <c:pt idx="23">
                    <c:v>2.0289854961832061E-3</c:v>
                  </c:pt>
                  <c:pt idx="24">
                    <c:v>0.18164848484848484</c:v>
                  </c:pt>
                  <c:pt idx="25">
                    <c:v>4.0423235294117663E-2</c:v>
                  </c:pt>
                  <c:pt idx="26">
                    <c:v>1.9352117647058829E-3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3.10'!$R$5:$R$8,'Ecoinvent 3.10'!$R$10:$R$26,'Ecoinvent 3.10'!$R$28:$R$33)</c:f>
              <c:numCache>
                <c:formatCode>0.00</c:formatCode>
                <c:ptCount val="27"/>
                <c:pt idx="0">
                  <c:v>9.2152999999999999E-2</c:v>
                </c:pt>
                <c:pt idx="1">
                  <c:v>0.12445000000000001</c:v>
                </c:pt>
                <c:pt idx="2">
                  <c:v>0.28034999999999999</c:v>
                </c:pt>
                <c:pt idx="3">
                  <c:v>8.7756000000000001E-2</c:v>
                </c:pt>
                <c:pt idx="4">
                  <c:v>0.14912</c:v>
                </c:pt>
                <c:pt idx="5">
                  <c:v>1.6954E-2</c:v>
                </c:pt>
                <c:pt idx="6">
                  <c:v>1.2017</c:v>
                </c:pt>
                <c:pt idx="7">
                  <c:v>8.5038000000000006E-3</c:v>
                </c:pt>
                <c:pt idx="8">
                  <c:v>5.1307</c:v>
                </c:pt>
                <c:pt idx="9">
                  <c:v>1.3871E-2</c:v>
                </c:pt>
                <c:pt idx="10">
                  <c:v>1.6105E-3</c:v>
                </c:pt>
                <c:pt idx="11">
                  <c:v>8.5290000000000001E-3</c:v>
                </c:pt>
                <c:pt idx="12">
                  <c:v>5.6494000000000003E-2</c:v>
                </c:pt>
                <c:pt idx="13">
                  <c:v>6.4343999999999998E-2</c:v>
                </c:pt>
                <c:pt idx="14">
                  <c:v>7.7667999999999999E-3</c:v>
                </c:pt>
                <c:pt idx="15">
                  <c:v>3.6481E-3</c:v>
                </c:pt>
                <c:pt idx="16">
                  <c:v>3.8390000000000001E-2</c:v>
                </c:pt>
                <c:pt idx="17">
                  <c:v>5.3903E-2</c:v>
                </c:pt>
                <c:pt idx="18">
                  <c:v>0.15891144507523214</c:v>
                </c:pt>
                <c:pt idx="19">
                  <c:v>3.1879940000000002E-2</c:v>
                </c:pt>
                <c:pt idx="20">
                  <c:v>2.0772999999999999E-5</c:v>
                </c:pt>
                <c:pt idx="21">
                  <c:v>2.0081000000000002E-2</c:v>
                </c:pt>
                <c:pt idx="22">
                  <c:v>0.11222</c:v>
                </c:pt>
                <c:pt idx="23">
                  <c:v>8.5740999999999994E-3</c:v>
                </c:pt>
                <c:pt idx="24">
                  <c:v>0.74929999999999997</c:v>
                </c:pt>
                <c:pt idx="25">
                  <c:v>0.15271000000000001</c:v>
                </c:pt>
                <c:pt idx="26">
                  <c:v>7.3108000000000001E-3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D-4EAA-86F2-1A686018E2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100"/>
        <c:axId val="8427024"/>
        <c:axId val="8443248"/>
      </c:barChart>
      <c:catAx>
        <c:axId val="795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956032"/>
        <c:crosses val="autoZero"/>
        <c:auto val="1"/>
        <c:lblAlgn val="ctr"/>
        <c:lblOffset val="100"/>
        <c:noMultiLvlLbl val="0"/>
      </c:catAx>
      <c:valAx>
        <c:axId val="7956032"/>
        <c:scaling>
          <c:orientation val="minMax"/>
          <c:max val="2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kg Cu-eq/kg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954784"/>
        <c:crosses val="autoZero"/>
        <c:crossBetween val="between"/>
        <c:majorUnit val="40"/>
      </c:valAx>
      <c:valAx>
        <c:axId val="844324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m³/l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8427024"/>
        <c:crosses val="max"/>
        <c:crossBetween val="between"/>
        <c:majorUnit val="1"/>
      </c:valAx>
      <c:catAx>
        <c:axId val="842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egendEntry>
        <c:idx val="1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74091385128583"/>
          <c:y val="5.5921024278636877E-2"/>
          <c:w val="0.80857866904567965"/>
          <c:h val="0.9273697160884774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'Ecoinvent 3.10'!$S$4</c:f>
              <c:strCache>
                <c:ptCount val="1"/>
                <c:pt idx="0">
                  <c:v>Freshwater Eutrophication Potential (FEP)</c:v>
                </c:pt>
              </c:strCache>
            </c:strRef>
          </c:tx>
          <c:spPr>
            <a:pattFill prst="dashDnDiag">
              <a:fgClr>
                <a:schemeClr val="bg2"/>
              </a:fgClr>
              <a:bgClr>
                <a:schemeClr val="bg1"/>
              </a:bgClr>
            </a:patt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('Ecoinvent 3.10'!$S$71:$S$74,'Ecoinvent 3.10'!$S$76:$S$92,'Ecoinvent 3.10'!$S$94:$S$99)</c:f>
                <c:numCache>
                  <c:formatCode>General</c:formatCode>
                  <c:ptCount val="27"/>
                  <c:pt idx="0">
                    <c:v>1.7555040000000006E-3</c:v>
                  </c:pt>
                  <c:pt idx="1">
                    <c:v>9.5247599999999984E-4</c:v>
                  </c:pt>
                  <c:pt idx="2">
                    <c:v>5.5981999999999994E-4</c:v>
                  </c:pt>
                  <c:pt idx="3">
                    <c:v>1.6833960000000002E-3</c:v>
                  </c:pt>
                  <c:pt idx="4">
                    <c:v>1.8273960000000002E-3</c:v>
                  </c:pt>
                  <c:pt idx="5">
                    <c:v>6.2630399999999989E-5</c:v>
                  </c:pt>
                  <c:pt idx="6">
                    <c:v>4.3781799999999997E-4</c:v>
                  </c:pt>
                  <c:pt idx="7">
                    <c:v>3.6438600000000007E-5</c:v>
                  </c:pt>
                  <c:pt idx="8">
                    <c:v>7.2972000000000141E-4</c:v>
                  </c:pt>
                  <c:pt idx="9">
                    <c:v>1.1923560000000002E-4</c:v>
                  </c:pt>
                  <c:pt idx="10">
                    <c:v>3.476480000000001E-5</c:v>
                  </c:pt>
                  <c:pt idx="11">
                    <c:v>2.3129280000000008E-4</c:v>
                  </c:pt>
                  <c:pt idx="12">
                    <c:v>4.9485600000000006E-5</c:v>
                  </c:pt>
                  <c:pt idx="13">
                    <c:v>1.2479760000000005E-4</c:v>
                  </c:pt>
                  <c:pt idx="14">
                    <c:v>1.4565239999999999E-4</c:v>
                  </c:pt>
                  <c:pt idx="15">
                    <c:v>7.1303999999999953E-6</c:v>
                  </c:pt>
                  <c:pt idx="16">
                    <c:v>3.0413160000000012E-4</c:v>
                  </c:pt>
                  <c:pt idx="17">
                    <c:v>6.8688000000000039E-4</c:v>
                  </c:pt>
                  <c:pt idx="18">
                    <c:v>1.4281451862864156E-3</c:v>
                  </c:pt>
                  <c:pt idx="19">
                    <c:v>7.3725269999999968E-5</c:v>
                  </c:pt>
                  <c:pt idx="20">
                    <c:v>3.595360000000001E-8</c:v>
                  </c:pt>
                  <c:pt idx="21">
                    <c:v>8.0556000000000074E-5</c:v>
                  </c:pt>
                  <c:pt idx="22">
                    <c:v>1.2193199999999999E-3</c:v>
                  </c:pt>
                  <c:pt idx="23">
                    <c:v>4.1533800000000012E-4</c:v>
                  </c:pt>
                  <c:pt idx="24">
                    <c:v>1.3410560000000002E-2</c:v>
                  </c:pt>
                  <c:pt idx="25">
                    <c:v>1.6658280000000004E-2</c:v>
                  </c:pt>
                  <c:pt idx="26">
                    <c:v>4.9816800000000028E-5</c:v>
                  </c:pt>
                </c:numCache>
              </c:numRef>
            </c:plus>
            <c:minus>
              <c:numRef>
                <c:f>('Ecoinvent 3.10'!$S$38:$S$41,'Ecoinvent 3.10'!$S$43:$S$59,'Ecoinvent 3.10'!$S$61:$S$66)</c:f>
                <c:numCache>
                  <c:formatCode>General</c:formatCode>
                  <c:ptCount val="27"/>
                  <c:pt idx="0">
                    <c:v>1.2908117647058826E-3</c:v>
                  </c:pt>
                  <c:pt idx="1">
                    <c:v>7.7437073170731705E-4</c:v>
                  </c:pt>
                  <c:pt idx="2">
                    <c:v>4.5513821138211397E-4</c:v>
                  </c:pt>
                  <c:pt idx="3">
                    <c:v>1.2377911764705884E-3</c:v>
                  </c:pt>
                  <c:pt idx="4">
                    <c:v>1.4856878048780482E-3</c:v>
                  </c:pt>
                  <c:pt idx="5">
                    <c:v>4.7447272727272726E-5</c:v>
                  </c:pt>
                  <c:pt idx="6">
                    <c:v>3.7420341880341863E-4</c:v>
                  </c:pt>
                  <c:pt idx="7">
                    <c:v>3.2827567567567573E-5</c:v>
                  </c:pt>
                  <c:pt idx="8">
                    <c:v>6.8841509433962243E-4</c:v>
                  </c:pt>
                  <c:pt idx="9">
                    <c:v>8.7673235294117658E-5</c:v>
                  </c:pt>
                  <c:pt idx="10">
                    <c:v>2.7160000000000004E-5</c:v>
                  </c:pt>
                  <c:pt idx="11">
                    <c:v>1.7006823529411768E-4</c:v>
                  </c:pt>
                  <c:pt idx="12">
                    <c:v>3.6386470588235304E-5</c:v>
                  </c:pt>
                  <c:pt idx="13">
                    <c:v>9.1762941176470587E-5</c:v>
                  </c:pt>
                  <c:pt idx="14">
                    <c:v>1.0709735294117651E-4</c:v>
                  </c:pt>
                  <c:pt idx="15">
                    <c:v>6.7267924528301929E-6</c:v>
                  </c:pt>
                  <c:pt idx="16">
                    <c:v>2.2362617647058824E-4</c:v>
                  </c:pt>
                  <c:pt idx="17">
                    <c:v>5.0505882352941183E-4</c:v>
                  </c:pt>
                  <c:pt idx="18">
                    <c:v>1.050106754622364E-3</c:v>
                  </c:pt>
                  <c:pt idx="19">
                    <c:v>6.9552141509434014E-5</c:v>
                  </c:pt>
                  <c:pt idx="20">
                    <c:v>2.9230569105691054E-8</c:v>
                  </c:pt>
                  <c:pt idx="21">
                    <c:v>7.5996226415094405E-5</c:v>
                  </c:pt>
                  <c:pt idx="22">
                    <c:v>8.9655882352941176E-4</c:v>
                  </c:pt>
                  <c:pt idx="23">
                    <c:v>3.1705190839694669E-4</c:v>
                  </c:pt>
                  <c:pt idx="24">
                    <c:v>1.0159515151515155E-2</c:v>
                  </c:pt>
                  <c:pt idx="25">
                    <c:v>1.2248735294117651E-2</c:v>
                  </c:pt>
                  <c:pt idx="26">
                    <c:v>3.6630000000000007E-5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3.10'!$S$5:$S$8,'Ecoinvent 3.10'!$S$10:$S$26,'Ecoinvent 3.10'!$S$28:$S$33)</c:f>
              <c:numCache>
                <c:formatCode>0.00</c:formatCode>
                <c:ptCount val="27"/>
                <c:pt idx="0">
                  <c:v>4.8764000000000004E-3</c:v>
                </c:pt>
                <c:pt idx="1">
                  <c:v>4.1412000000000003E-3</c:v>
                </c:pt>
                <c:pt idx="2">
                  <c:v>2.434E-3</c:v>
                </c:pt>
                <c:pt idx="3">
                  <c:v>4.6760999999999999E-3</c:v>
                </c:pt>
                <c:pt idx="4">
                  <c:v>7.9451999999999995E-3</c:v>
                </c:pt>
                <c:pt idx="5">
                  <c:v>1.9572E-4</c:v>
                </c:pt>
                <c:pt idx="6">
                  <c:v>2.5753999999999998E-3</c:v>
                </c:pt>
                <c:pt idx="7">
                  <c:v>3.3126E-4</c:v>
                </c:pt>
                <c:pt idx="8">
                  <c:v>1.2161999999999999E-2</c:v>
                </c:pt>
                <c:pt idx="9">
                  <c:v>3.3121000000000002E-4</c:v>
                </c:pt>
                <c:pt idx="10">
                  <c:v>1.2416E-4</c:v>
                </c:pt>
                <c:pt idx="11">
                  <c:v>6.4247999999999996E-4</c:v>
                </c:pt>
                <c:pt idx="12">
                  <c:v>1.3746E-4</c:v>
                </c:pt>
                <c:pt idx="13">
                  <c:v>3.4665999999999999E-4</c:v>
                </c:pt>
                <c:pt idx="14">
                  <c:v>4.0458999999999997E-4</c:v>
                </c:pt>
                <c:pt idx="15">
                  <c:v>1.1883999999999999E-4</c:v>
                </c:pt>
                <c:pt idx="16">
                  <c:v>8.4480999999999998E-4</c:v>
                </c:pt>
                <c:pt idx="17">
                  <c:v>1.908E-3</c:v>
                </c:pt>
                <c:pt idx="18">
                  <c:v>3.9670699619067081E-3</c:v>
                </c:pt>
                <c:pt idx="19">
                  <c:v>1.2287545E-3</c:v>
                </c:pt>
                <c:pt idx="20">
                  <c:v>1.5632000000000001E-7</c:v>
                </c:pt>
                <c:pt idx="21">
                  <c:v>1.3426E-3</c:v>
                </c:pt>
                <c:pt idx="22">
                  <c:v>3.3869999999999998E-3</c:v>
                </c:pt>
                <c:pt idx="23">
                  <c:v>1.3397999999999999E-3</c:v>
                </c:pt>
                <c:pt idx="24">
                  <c:v>4.1908000000000001E-2</c:v>
                </c:pt>
                <c:pt idx="25">
                  <c:v>4.6273000000000002E-2</c:v>
                </c:pt>
                <c:pt idx="26">
                  <c:v>1.3838000000000001E-4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4-48C3-86BA-71ACFA15FB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954784"/>
        <c:axId val="7956032"/>
      </c:barChart>
      <c:barChart>
        <c:barDir val="col"/>
        <c:grouping val="clustered"/>
        <c:varyColors val="0"/>
        <c:ser>
          <c:idx val="2"/>
          <c:order val="0"/>
          <c:tx>
            <c:v>Dummy</c:v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3.10'!$T$5:$T$8,'Ecoinvent 3.10'!$T$10:$T$26,'Ecoinvent 3.10'!$T$28:$T$33)</c:f>
              <c:numCache>
                <c:formatCode>0.00</c:formatCode>
                <c:ptCount val="27"/>
                <c:pt idx="0">
                  <c:v>1.4147000000000001</c:v>
                </c:pt>
                <c:pt idx="1">
                  <c:v>0.75333000000000006</c:v>
                </c:pt>
                <c:pt idx="2">
                  <c:v>0.30120000000000002</c:v>
                </c:pt>
                <c:pt idx="3">
                  <c:v>0.70374000000000003</c:v>
                </c:pt>
                <c:pt idx="4">
                  <c:v>1.2293000000000001</c:v>
                </c:pt>
                <c:pt idx="5">
                  <c:v>4.8223000000000002E-2</c:v>
                </c:pt>
                <c:pt idx="6">
                  <c:v>1.3548</c:v>
                </c:pt>
                <c:pt idx="7">
                  <c:v>8.5722000000000007E-2</c:v>
                </c:pt>
                <c:pt idx="8">
                  <c:v>5.0152000000000001</c:v>
                </c:pt>
                <c:pt idx="9">
                  <c:v>8.5516999999999996E-2</c:v>
                </c:pt>
                <c:pt idx="10">
                  <c:v>3.7781000000000002E-2</c:v>
                </c:pt>
                <c:pt idx="11">
                  <c:v>7.9323000000000005E-2</c:v>
                </c:pt>
                <c:pt idx="12">
                  <c:v>5.0402000000000002E-2</c:v>
                </c:pt>
                <c:pt idx="13">
                  <c:v>0.10946</c:v>
                </c:pt>
                <c:pt idx="14">
                  <c:v>7.9260999999999998E-2</c:v>
                </c:pt>
                <c:pt idx="15">
                  <c:v>4.4416999999999998E-2</c:v>
                </c:pt>
                <c:pt idx="16">
                  <c:v>0.14163200000000001</c:v>
                </c:pt>
                <c:pt idx="17">
                  <c:v>0.51175999999999999</c:v>
                </c:pt>
                <c:pt idx="18">
                  <c:v>0.57401524652027491</c:v>
                </c:pt>
                <c:pt idx="19">
                  <c:v>0.16421840000000001</c:v>
                </c:pt>
                <c:pt idx="20">
                  <c:v>3.2746000000000001E-5</c:v>
                </c:pt>
                <c:pt idx="21">
                  <c:v>0.18862000000000001</c:v>
                </c:pt>
                <c:pt idx="22">
                  <c:v>0.22664999999999999</c:v>
                </c:pt>
                <c:pt idx="23">
                  <c:v>6.0495E-2</c:v>
                </c:pt>
                <c:pt idx="24">
                  <c:v>5.8129</c:v>
                </c:pt>
                <c:pt idx="25">
                  <c:v>38.341999999999999</c:v>
                </c:pt>
                <c:pt idx="26">
                  <c:v>4.6913999999999997E-2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24-48C3-86BA-71ACFA15FBA3}"/>
            </c:ext>
          </c:extLst>
        </c:ser>
        <c:ser>
          <c:idx val="1"/>
          <c:order val="2"/>
          <c:tx>
            <c:strRef>
              <c:f>'Ecoinvent 3.10'!$T$4</c:f>
              <c:strCache>
                <c:ptCount val="1"/>
                <c:pt idx="0">
                  <c:v>Freshwater Ecotoxicity Potential (FETP)</c:v>
                </c:pt>
              </c:strCache>
            </c:strRef>
          </c:tx>
          <c:spPr>
            <a:pattFill prst="narVert">
              <a:fgClr>
                <a:schemeClr val="bg2"/>
              </a:fgClr>
              <a:bgClr>
                <a:schemeClr val="bg1"/>
              </a:bgClr>
            </a:patt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('Ecoinvent 3.10'!$T$71:$T$74,'Ecoinvent 3.10'!$T$76:$T$92,'Ecoinvent 3.10'!$T$94:$T$99)</c:f>
                <c:numCache>
                  <c:formatCode>General</c:formatCode>
                  <c:ptCount val="27"/>
                  <c:pt idx="0">
                    <c:v>0.50929200000000008</c:v>
                  </c:pt>
                  <c:pt idx="1">
                    <c:v>0.17326589999999997</c:v>
                  </c:pt>
                  <c:pt idx="2">
                    <c:v>6.9276000000000004E-2</c:v>
                  </c:pt>
                  <c:pt idx="3">
                    <c:v>0.25334640000000008</c:v>
                  </c:pt>
                  <c:pt idx="4">
                    <c:v>0.28273900000000007</c:v>
                  </c:pt>
                  <c:pt idx="5">
                    <c:v>1.5431360000000005E-2</c:v>
                  </c:pt>
                  <c:pt idx="6">
                    <c:v>0.23031599999999997</c:v>
                  </c:pt>
                  <c:pt idx="7">
                    <c:v>9.4294200000000078E-3</c:v>
                  </c:pt>
                  <c:pt idx="8">
                    <c:v>0.30091200000000029</c:v>
                  </c:pt>
                  <c:pt idx="9">
                    <c:v>3.078612E-2</c:v>
                  </c:pt>
                  <c:pt idx="10">
                    <c:v>1.057868E-2</c:v>
                  </c:pt>
                  <c:pt idx="11">
                    <c:v>2.8556280000000003E-2</c:v>
                  </c:pt>
                  <c:pt idx="12">
                    <c:v>1.8144720000000003E-2</c:v>
                  </c:pt>
                  <c:pt idx="13">
                    <c:v>3.9405600000000013E-2</c:v>
                  </c:pt>
                  <c:pt idx="14">
                    <c:v>2.8533960000000011E-2</c:v>
                  </c:pt>
                  <c:pt idx="15">
                    <c:v>2.6650200000000041E-3</c:v>
                  </c:pt>
                  <c:pt idx="16">
                    <c:v>5.0987520000000008E-2</c:v>
                  </c:pt>
                  <c:pt idx="17">
                    <c:v>0.1842336</c:v>
                  </c:pt>
                  <c:pt idx="18">
                    <c:v>0.20664548874729904</c:v>
                  </c:pt>
                  <c:pt idx="19">
                    <c:v>9.8531040000000014E-3</c:v>
                  </c:pt>
                  <c:pt idx="20">
                    <c:v>7.5315799999999995E-6</c:v>
                  </c:pt>
                  <c:pt idx="21">
                    <c:v>1.1317199999999999E-2</c:v>
                  </c:pt>
                  <c:pt idx="22">
                    <c:v>8.1594000000000028E-2</c:v>
                  </c:pt>
                  <c:pt idx="23">
                    <c:v>1.8753449999999998E-2</c:v>
                  </c:pt>
                  <c:pt idx="24">
                    <c:v>1.8601280000000004</c:v>
                  </c:pt>
                  <c:pt idx="25">
                    <c:v>13.80312</c:v>
                  </c:pt>
                  <c:pt idx="26">
                    <c:v>1.6889040000000008E-2</c:v>
                  </c:pt>
                </c:numCache>
              </c:numRef>
            </c:plus>
            <c:minus>
              <c:numRef>
                <c:f>('Ecoinvent 3.10'!$T$38:$T$41,'Ecoinvent 3.10'!$T$43:$T$59,'Ecoinvent 3.10'!$T$61:$T$66)</c:f>
                <c:numCache>
                  <c:formatCode>General</c:formatCode>
                  <c:ptCount val="27"/>
                  <c:pt idx="0">
                    <c:v>0.37447941176470589</c:v>
                  </c:pt>
                  <c:pt idx="1">
                    <c:v>0.14086658536585361</c:v>
                  </c:pt>
                  <c:pt idx="2">
                    <c:v>5.6321951219512195E-2</c:v>
                  </c:pt>
                  <c:pt idx="3">
                    <c:v>0.18628411764705888</c:v>
                  </c:pt>
                  <c:pt idx="4">
                    <c:v>0.2298691056910569</c:v>
                  </c:pt>
                  <c:pt idx="5">
                    <c:v>1.1690424242424245E-2</c:v>
                  </c:pt>
                  <c:pt idx="6">
                    <c:v>0.19685128205128199</c:v>
                  </c:pt>
                  <c:pt idx="7">
                    <c:v>8.4949729729729834E-3</c:v>
                  </c:pt>
                  <c:pt idx="8">
                    <c:v>0.28387924528301944</c:v>
                  </c:pt>
                  <c:pt idx="9">
                    <c:v>2.2636852941176469E-2</c:v>
                  </c:pt>
                  <c:pt idx="10">
                    <c:v>8.2645937500000002E-3</c:v>
                  </c:pt>
                  <c:pt idx="11">
                    <c:v>2.0997264705882361E-2</c:v>
                  </c:pt>
                  <c:pt idx="12">
                    <c:v>1.3341705882352943E-2</c:v>
                  </c:pt>
                  <c:pt idx="13">
                    <c:v>2.8974705882352944E-2</c:v>
                  </c:pt>
                  <c:pt idx="14">
                    <c:v>2.0980852941176471E-2</c:v>
                  </c:pt>
                  <c:pt idx="15">
                    <c:v>2.5141698113207572E-3</c:v>
                  </c:pt>
                  <c:pt idx="16">
                    <c:v>3.7490823529411771E-2</c:v>
                  </c:pt>
                  <c:pt idx="17">
                    <c:v>0.13546588235294121</c:v>
                  </c:pt>
                  <c:pt idx="18">
                    <c:v>0.15194521231419045</c:v>
                  </c:pt>
                  <c:pt idx="19">
                    <c:v>9.2953811320754809E-3</c:v>
                  </c:pt>
                  <c:pt idx="20">
                    <c:v>6.1232357723577247E-6</c:v>
                  </c:pt>
                  <c:pt idx="21">
                    <c:v>1.0676603773584925E-2</c:v>
                  </c:pt>
                  <c:pt idx="22">
                    <c:v>5.9995588235294134E-2</c:v>
                  </c:pt>
                  <c:pt idx="23">
                    <c:v>1.4315610687022903E-2</c:v>
                  </c:pt>
                  <c:pt idx="24">
                    <c:v>1.4091878787878791</c:v>
                  </c:pt>
                  <c:pt idx="25">
                    <c:v>10.149352941176474</c:v>
                  </c:pt>
                  <c:pt idx="26">
                    <c:v>1.2418411764705886E-2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3.10'!$T$5:$T$8,'Ecoinvent 3.10'!$T$10:$T$26,'Ecoinvent 3.10'!$T$28:$T$33)</c:f>
              <c:numCache>
                <c:formatCode>0.00</c:formatCode>
                <c:ptCount val="27"/>
                <c:pt idx="0">
                  <c:v>1.4147000000000001</c:v>
                </c:pt>
                <c:pt idx="1">
                  <c:v>0.75333000000000006</c:v>
                </c:pt>
                <c:pt idx="2">
                  <c:v>0.30120000000000002</c:v>
                </c:pt>
                <c:pt idx="3">
                  <c:v>0.70374000000000003</c:v>
                </c:pt>
                <c:pt idx="4">
                  <c:v>1.2293000000000001</c:v>
                </c:pt>
                <c:pt idx="5">
                  <c:v>4.8223000000000002E-2</c:v>
                </c:pt>
                <c:pt idx="6">
                  <c:v>1.3548</c:v>
                </c:pt>
                <c:pt idx="7">
                  <c:v>8.5722000000000007E-2</c:v>
                </c:pt>
                <c:pt idx="8">
                  <c:v>5.0152000000000001</c:v>
                </c:pt>
                <c:pt idx="9">
                  <c:v>8.5516999999999996E-2</c:v>
                </c:pt>
                <c:pt idx="10">
                  <c:v>3.7781000000000002E-2</c:v>
                </c:pt>
                <c:pt idx="11">
                  <c:v>7.9323000000000005E-2</c:v>
                </c:pt>
                <c:pt idx="12">
                  <c:v>5.0402000000000002E-2</c:v>
                </c:pt>
                <c:pt idx="13">
                  <c:v>0.10946</c:v>
                </c:pt>
                <c:pt idx="14">
                  <c:v>7.9260999999999998E-2</c:v>
                </c:pt>
                <c:pt idx="15">
                  <c:v>4.4416999999999998E-2</c:v>
                </c:pt>
                <c:pt idx="16">
                  <c:v>0.14163200000000001</c:v>
                </c:pt>
                <c:pt idx="17">
                  <c:v>0.51175999999999999</c:v>
                </c:pt>
                <c:pt idx="18">
                  <c:v>0.57401524652027491</c:v>
                </c:pt>
                <c:pt idx="19">
                  <c:v>0.16421840000000001</c:v>
                </c:pt>
                <c:pt idx="20">
                  <c:v>3.2746000000000001E-5</c:v>
                </c:pt>
                <c:pt idx="21">
                  <c:v>0.18862000000000001</c:v>
                </c:pt>
                <c:pt idx="22">
                  <c:v>0.22664999999999999</c:v>
                </c:pt>
                <c:pt idx="23">
                  <c:v>6.0495E-2</c:v>
                </c:pt>
                <c:pt idx="24">
                  <c:v>5.8129</c:v>
                </c:pt>
                <c:pt idx="25">
                  <c:v>38.341999999999999</c:v>
                </c:pt>
                <c:pt idx="26">
                  <c:v>4.6913999999999997E-2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24-48C3-86BA-71ACFA15FB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100"/>
        <c:axId val="8427024"/>
        <c:axId val="8443248"/>
      </c:barChart>
      <c:catAx>
        <c:axId val="795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956032"/>
        <c:crosses val="autoZero"/>
        <c:auto val="1"/>
        <c:lblAlgn val="ctr"/>
        <c:lblOffset val="100"/>
        <c:noMultiLvlLbl val="0"/>
      </c:catAx>
      <c:valAx>
        <c:axId val="7956032"/>
        <c:scaling>
          <c:orientation val="minMax"/>
          <c:max val="7.2000000000000008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kg P-eq/kg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954784"/>
        <c:crosses val="autoZero"/>
        <c:crossBetween val="between"/>
        <c:majorUnit val="1.2000000000000002E-2"/>
      </c:valAx>
      <c:valAx>
        <c:axId val="8443248"/>
        <c:scaling>
          <c:orientation val="minMax"/>
          <c:max val="54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kg1.4DCB-eq/kg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8427024"/>
        <c:crosses val="max"/>
        <c:crossBetween val="between"/>
        <c:majorUnit val="6"/>
        <c:minorUnit val="6"/>
      </c:valAx>
      <c:catAx>
        <c:axId val="842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egendEntry>
        <c:idx val="1"/>
        <c:delete val="1"/>
      </c:legendEntry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74091385128583"/>
          <c:y val="5.5921024278636877E-2"/>
          <c:w val="0.80857866904567965"/>
          <c:h val="0.92736973326899241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'Ecoinvent 3.10'!$U$4</c:f>
              <c:strCache>
                <c:ptCount val="1"/>
                <c:pt idx="0">
                  <c:v>Human Toxicity Potential (HTPc)</c:v>
                </c:pt>
              </c:strCache>
            </c:strRef>
          </c:tx>
          <c:spPr>
            <a:pattFill prst="smCheck">
              <a:fgClr>
                <a:schemeClr val="bg2"/>
              </a:fgClr>
              <a:bgClr>
                <a:schemeClr val="bg1"/>
              </a:bgClr>
            </a:patt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('Ecoinvent 3.10'!$U$71:$U$74,'Ecoinvent 3.10'!$U$76:$U$92,'Ecoinvent 3.10'!$U$94:$U$99)</c:f>
                <c:numCache>
                  <c:formatCode>General</c:formatCode>
                  <c:ptCount val="27"/>
                  <c:pt idx="0">
                    <c:v>3.4106040000000011</c:v>
                  </c:pt>
                  <c:pt idx="1">
                    <c:v>0.39067800000000008</c:v>
                  </c:pt>
                  <c:pt idx="2">
                    <c:v>0.27760999999999991</c:v>
                  </c:pt>
                  <c:pt idx="3">
                    <c:v>0.61254000000000031</c:v>
                  </c:pt>
                  <c:pt idx="4">
                    <c:v>0.69443900000000003</c:v>
                  </c:pt>
                  <c:pt idx="5">
                    <c:v>4.3430400000000008E-2</c:v>
                  </c:pt>
                  <c:pt idx="6">
                    <c:v>0.25136199999999986</c:v>
                  </c:pt>
                  <c:pt idx="7">
                    <c:v>2.6621100000000009E-2</c:v>
                  </c:pt>
                  <c:pt idx="8">
                    <c:v>0.45688200000000112</c:v>
                  </c:pt>
                  <c:pt idx="9">
                    <c:v>0.39103200000000005</c:v>
                  </c:pt>
                  <c:pt idx="10">
                    <c:v>2.8347199999999989E-2</c:v>
                  </c:pt>
                  <c:pt idx="11">
                    <c:v>8.7998400000000032E-2</c:v>
                  </c:pt>
                  <c:pt idx="12">
                    <c:v>8.3822400000000019E-2</c:v>
                  </c:pt>
                  <c:pt idx="13">
                    <c:v>0.11506680000000002</c:v>
                  </c:pt>
                  <c:pt idx="14">
                    <c:v>9.5328000000000024E-2</c:v>
                  </c:pt>
                  <c:pt idx="15">
                    <c:v>1.5894000000000019E-2</c:v>
                  </c:pt>
                  <c:pt idx="16">
                    <c:v>0.2530004400000001</c:v>
                  </c:pt>
                  <c:pt idx="17">
                    <c:v>0.405972</c:v>
                  </c:pt>
                  <c:pt idx="18">
                    <c:v>1.5133704694569845</c:v>
                  </c:pt>
                  <c:pt idx="19">
                    <c:v>3.8768622000000086E-2</c:v>
                  </c:pt>
                  <c:pt idx="20">
                    <c:v>3.470010000000001E-5</c:v>
                  </c:pt>
                  <c:pt idx="21">
                    <c:v>5.874899999999994E-2</c:v>
                  </c:pt>
                  <c:pt idx="22">
                    <c:v>0.32959440000000018</c:v>
                  </c:pt>
                  <c:pt idx="23">
                    <c:v>9.0352600000000005E-2</c:v>
                  </c:pt>
                  <c:pt idx="24">
                    <c:v>4.9427199999999996</c:v>
                  </c:pt>
                  <c:pt idx="25">
                    <c:v>3.5719920000000016</c:v>
                  </c:pt>
                  <c:pt idx="26">
                    <c:v>0.30160799999999999</c:v>
                  </c:pt>
                </c:numCache>
              </c:numRef>
            </c:plus>
            <c:minus>
              <c:numRef>
                <c:f>('Ecoinvent 3.10'!$U$38:$U$41,'Ecoinvent 3.10'!$U$43:$U$59,'Ecoinvent 3.10'!$U$61:$U$66)</c:f>
                <c:numCache>
                  <c:formatCode>General</c:formatCode>
                  <c:ptCount val="27"/>
                  <c:pt idx="0">
                    <c:v>2.5077970588235301</c:v>
                  </c:pt>
                  <c:pt idx="1">
                    <c:v>0.31762439024390243</c:v>
                  </c:pt>
                  <c:pt idx="2">
                    <c:v>0.22569918699186997</c:v>
                  </c:pt>
                  <c:pt idx="3">
                    <c:v>0.45039705882352954</c:v>
                  </c:pt>
                  <c:pt idx="4">
                    <c:v>0.56458455284552844</c:v>
                  </c:pt>
                  <c:pt idx="5">
                    <c:v>3.2901818181818185E-2</c:v>
                  </c:pt>
                  <c:pt idx="6">
                    <c:v>0.21483931623931607</c:v>
                  </c:pt>
                  <c:pt idx="7">
                    <c:v>2.3982972972972999E-2</c:v>
                  </c:pt>
                  <c:pt idx="8">
                    <c:v>0.43102075471698154</c:v>
                  </c:pt>
                  <c:pt idx="9">
                    <c:v>0.28752352941176473</c:v>
                  </c:pt>
                  <c:pt idx="10">
                    <c:v>2.2146250000000006E-2</c:v>
                  </c:pt>
                  <c:pt idx="11">
                    <c:v>6.4704705882352942E-2</c:v>
                  </c:pt>
                  <c:pt idx="12">
                    <c:v>6.1634117647058839E-2</c:v>
                  </c:pt>
                  <c:pt idx="13">
                    <c:v>8.4607941176470608E-2</c:v>
                  </c:pt>
                  <c:pt idx="14">
                    <c:v>7.0094117647058835E-2</c:v>
                  </c:pt>
                  <c:pt idx="15">
                    <c:v>1.4994339622641517E-2</c:v>
                  </c:pt>
                  <c:pt idx="16">
                    <c:v>0.1860297352941177</c:v>
                  </c:pt>
                  <c:pt idx="17">
                    <c:v>0.29850882352941177</c:v>
                  </c:pt>
                  <c:pt idx="18">
                    <c:v>1.1127724040124884</c:v>
                  </c:pt>
                  <c:pt idx="19">
                    <c:v>3.6574171698113278E-2</c:v>
                  </c:pt>
                  <c:pt idx="20">
                    <c:v>2.8211463414634132E-5</c:v>
                  </c:pt>
                  <c:pt idx="21">
                    <c:v>5.5423584905660461E-2</c:v>
                  </c:pt>
                  <c:pt idx="22">
                    <c:v>0.24234882352941178</c:v>
                  </c:pt>
                  <c:pt idx="23">
                    <c:v>6.89714503816794E-2</c:v>
                  </c:pt>
                  <c:pt idx="24">
                    <c:v>3.7444848484848485</c:v>
                  </c:pt>
                  <c:pt idx="25">
                    <c:v>2.6264647058823538</c:v>
                  </c:pt>
                  <c:pt idx="26">
                    <c:v>0.22177058823529416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3.10'!$U$5:$U$8,'Ecoinvent 3.10'!$U$10:$U$26,'Ecoinvent 3.10'!$U$28:$U$33)</c:f>
              <c:numCache>
                <c:formatCode>0.00</c:formatCode>
                <c:ptCount val="27"/>
                <c:pt idx="0">
                  <c:v>9.4739000000000004</c:v>
                </c:pt>
                <c:pt idx="1">
                  <c:v>1.6986000000000001</c:v>
                </c:pt>
                <c:pt idx="2">
                  <c:v>1.2070000000000001</c:v>
                </c:pt>
                <c:pt idx="3">
                  <c:v>1.7015</c:v>
                </c:pt>
                <c:pt idx="4">
                  <c:v>3.0192999999999999</c:v>
                </c:pt>
                <c:pt idx="5">
                  <c:v>0.13572000000000001</c:v>
                </c:pt>
                <c:pt idx="6">
                  <c:v>1.4785999999999999</c:v>
                </c:pt>
                <c:pt idx="7">
                  <c:v>0.24201</c:v>
                </c:pt>
                <c:pt idx="8">
                  <c:v>7.6147</c:v>
                </c:pt>
                <c:pt idx="9">
                  <c:v>1.0862000000000001</c:v>
                </c:pt>
                <c:pt idx="10">
                  <c:v>0.10124</c:v>
                </c:pt>
                <c:pt idx="11">
                  <c:v>0.24443999999999999</c:v>
                </c:pt>
                <c:pt idx="12">
                  <c:v>0.23283999999999999</c:v>
                </c:pt>
                <c:pt idx="13">
                  <c:v>0.31963000000000003</c:v>
                </c:pt>
                <c:pt idx="14">
                  <c:v>0.26479999999999998</c:v>
                </c:pt>
                <c:pt idx="15">
                  <c:v>0.26490000000000002</c:v>
                </c:pt>
                <c:pt idx="16">
                  <c:v>0.70277900000000004</c:v>
                </c:pt>
                <c:pt idx="17">
                  <c:v>1.1276999999999999</c:v>
                </c:pt>
                <c:pt idx="18">
                  <c:v>4.2038068596027331</c:v>
                </c:pt>
                <c:pt idx="19">
                  <c:v>0.6461437000000001</c:v>
                </c:pt>
                <c:pt idx="20">
                  <c:v>1.5087E-4</c:v>
                </c:pt>
                <c:pt idx="21">
                  <c:v>0.97914999999999996</c:v>
                </c:pt>
                <c:pt idx="22">
                  <c:v>0.91554000000000002</c:v>
                </c:pt>
                <c:pt idx="23">
                  <c:v>0.29146</c:v>
                </c:pt>
                <c:pt idx="24">
                  <c:v>15.446</c:v>
                </c:pt>
                <c:pt idx="25">
                  <c:v>9.9222000000000001</c:v>
                </c:pt>
                <c:pt idx="26">
                  <c:v>0.83779999999999999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09-4AA7-8043-12A514640C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954784"/>
        <c:axId val="7956032"/>
      </c:barChart>
      <c:barChart>
        <c:barDir val="col"/>
        <c:grouping val="clustered"/>
        <c:varyColors val="0"/>
        <c:ser>
          <c:idx val="2"/>
          <c:order val="0"/>
          <c:tx>
            <c:v>Dummy</c:v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3.10'!$V$5:$V$8,'Ecoinvent 3.10'!$V$10:$V$26,'Ecoinvent 3.10'!$V$28:$V$33)</c:f>
              <c:numCache>
                <c:formatCode>0.00</c:formatCode>
                <c:ptCount val="27"/>
                <c:pt idx="0">
                  <c:v>19.216999999999999</c:v>
                </c:pt>
                <c:pt idx="1">
                  <c:v>17.273</c:v>
                </c:pt>
                <c:pt idx="2">
                  <c:v>7.4701000000000004</c:v>
                </c:pt>
                <c:pt idx="3">
                  <c:v>15.747</c:v>
                </c:pt>
                <c:pt idx="4">
                  <c:v>27.573</c:v>
                </c:pt>
                <c:pt idx="5">
                  <c:v>0.88431999999999999</c:v>
                </c:pt>
                <c:pt idx="6">
                  <c:v>33.988</c:v>
                </c:pt>
                <c:pt idx="7">
                  <c:v>1.9912000000000001</c:v>
                </c:pt>
                <c:pt idx="8">
                  <c:v>137.16</c:v>
                </c:pt>
                <c:pt idx="9">
                  <c:v>1.7333000000000001</c:v>
                </c:pt>
                <c:pt idx="10">
                  <c:v>0.63566999999999996</c:v>
                </c:pt>
                <c:pt idx="11">
                  <c:v>1.6248</c:v>
                </c:pt>
                <c:pt idx="12">
                  <c:v>0.79256000000000004</c:v>
                </c:pt>
                <c:pt idx="13">
                  <c:v>2.2107999999999999</c:v>
                </c:pt>
                <c:pt idx="14">
                  <c:v>1.6207</c:v>
                </c:pt>
                <c:pt idx="15">
                  <c:v>0.73807999999999996</c:v>
                </c:pt>
                <c:pt idx="16">
                  <c:v>3.11463</c:v>
                </c:pt>
                <c:pt idx="17">
                  <c:v>10.42</c:v>
                </c:pt>
                <c:pt idx="18">
                  <c:v>12.763650267982332</c:v>
                </c:pt>
                <c:pt idx="19">
                  <c:v>4.2203189999999999</c:v>
                </c:pt>
                <c:pt idx="20">
                  <c:v>6.8725000000000004E-4</c:v>
                </c:pt>
                <c:pt idx="21">
                  <c:v>5.5883000000000003</c:v>
                </c:pt>
                <c:pt idx="22">
                  <c:v>6.7973999999999997</c:v>
                </c:pt>
                <c:pt idx="23">
                  <c:v>2.7296</c:v>
                </c:pt>
                <c:pt idx="24">
                  <c:v>134.80000000000001</c:v>
                </c:pt>
                <c:pt idx="25">
                  <c:v>584.32000000000005</c:v>
                </c:pt>
                <c:pt idx="26">
                  <c:v>0.36719000000000002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09-4AA7-8043-12A514640C30}"/>
            </c:ext>
          </c:extLst>
        </c:ser>
        <c:ser>
          <c:idx val="1"/>
          <c:order val="2"/>
          <c:tx>
            <c:strRef>
              <c:f>'Ecoinvent 3.10'!$V$4</c:f>
              <c:strCache>
                <c:ptCount val="1"/>
                <c:pt idx="0">
                  <c:v>Human Toxicity Potential (HTPnc)</c:v>
                </c:pt>
              </c:strCache>
            </c:strRef>
          </c:tx>
          <c:spPr>
            <a:pattFill prst="dotDmnd">
              <a:fgClr>
                <a:schemeClr val="bg2"/>
              </a:fgClr>
              <a:bgClr>
                <a:schemeClr val="bg1"/>
              </a:bgClr>
            </a:patt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('Ecoinvent 3.10'!$V$71:$V$74,'Ecoinvent 3.10'!$V$76:$V$92,'Ecoinvent 3.10'!$V$94:$V$99)</c:f>
                <c:numCache>
                  <c:formatCode>General</c:formatCode>
                  <c:ptCount val="27"/>
                  <c:pt idx="0">
                    <c:v>6.9181200000000018</c:v>
                  </c:pt>
                  <c:pt idx="1">
                    <c:v>3.9727899999999998</c:v>
                  </c:pt>
                  <c:pt idx="2">
                    <c:v>1.7181230000000003</c:v>
                  </c:pt>
                  <c:pt idx="3">
                    <c:v>5.66892</c:v>
                  </c:pt>
                  <c:pt idx="4">
                    <c:v>6.3417900000000031</c:v>
                  </c:pt>
                  <c:pt idx="5">
                    <c:v>0.28298240000000008</c:v>
                  </c:pt>
                  <c:pt idx="6">
                    <c:v>5.7779600000000002</c:v>
                  </c:pt>
                  <c:pt idx="7">
                    <c:v>0.21903200000000034</c:v>
                  </c:pt>
                  <c:pt idx="8">
                    <c:v>8.2296000000000049</c:v>
                  </c:pt>
                  <c:pt idx="9">
                    <c:v>0.62398799999999999</c:v>
                  </c:pt>
                  <c:pt idx="10">
                    <c:v>0.17798760000000002</c:v>
                  </c:pt>
                  <c:pt idx="11">
                    <c:v>0.58492800000000011</c:v>
                  </c:pt>
                  <c:pt idx="12">
                    <c:v>0.28532160000000018</c:v>
                  </c:pt>
                  <c:pt idx="13">
                    <c:v>0.79588800000000015</c:v>
                  </c:pt>
                  <c:pt idx="14">
                    <c:v>0.58345200000000008</c:v>
                  </c:pt>
                  <c:pt idx="15">
                    <c:v>4.4284800000000013E-2</c:v>
                  </c:pt>
                  <c:pt idx="16">
                    <c:v>1.1212667999999999</c:v>
                  </c:pt>
                  <c:pt idx="17">
                    <c:v>3.7512000000000008</c:v>
                  </c:pt>
                  <c:pt idx="18">
                    <c:v>4.5949140964736408</c:v>
                  </c:pt>
                  <c:pt idx="19">
                    <c:v>0.25321914000000056</c:v>
                  </c:pt>
                  <c:pt idx="20">
                    <c:v>1.5806749999999997E-4</c:v>
                  </c:pt>
                  <c:pt idx="21">
                    <c:v>0.33529799999999987</c:v>
                  </c:pt>
                  <c:pt idx="22">
                    <c:v>2.447064000000001</c:v>
                  </c:pt>
                  <c:pt idx="23">
                    <c:v>0.84617600000000026</c:v>
                  </c:pt>
                  <c:pt idx="24">
                    <c:v>43.136000000000024</c:v>
                  </c:pt>
                  <c:pt idx="25">
                    <c:v>210.35520000000008</c:v>
                  </c:pt>
                  <c:pt idx="26">
                    <c:v>0.13218840000000004</c:v>
                  </c:pt>
                </c:numCache>
              </c:numRef>
            </c:plus>
            <c:minus>
              <c:numRef>
                <c:f>('Ecoinvent 3.10'!$V$38:$V$41,'Ecoinvent 3.10'!$V$43:$V$59,'Ecoinvent 3.10'!$V$61:$V$66)</c:f>
                <c:numCache>
                  <c:formatCode>General</c:formatCode>
                  <c:ptCount val="27"/>
                  <c:pt idx="0">
                    <c:v>5.0868529411764705</c:v>
                  </c:pt>
                  <c:pt idx="1">
                    <c:v>3.2299105691056909</c:v>
                  </c:pt>
                  <c:pt idx="2">
                    <c:v>1.3968479674796752</c:v>
                  </c:pt>
                  <c:pt idx="3">
                    <c:v>4.1683235294117651</c:v>
                  </c:pt>
                  <c:pt idx="4">
                    <c:v>5.1559268292682923</c:v>
                  </c:pt>
                  <c:pt idx="5">
                    <c:v>0.21438060606060605</c:v>
                  </c:pt>
                  <c:pt idx="6">
                    <c:v>4.9384273504273501</c:v>
                  </c:pt>
                  <c:pt idx="7">
                    <c:v>0.19732612612612632</c:v>
                  </c:pt>
                  <c:pt idx="8">
                    <c:v>7.7637735849056639</c:v>
                  </c:pt>
                  <c:pt idx="9">
                    <c:v>0.45881470588235307</c:v>
                  </c:pt>
                  <c:pt idx="10">
                    <c:v>0.13905281250000001</c:v>
                  </c:pt>
                  <c:pt idx="11">
                    <c:v>0.43009411764705896</c:v>
                  </c:pt>
                  <c:pt idx="12">
                    <c:v>0.20979529411764708</c:v>
                  </c:pt>
                  <c:pt idx="13">
                    <c:v>0.58521176470588254</c:v>
                  </c:pt>
                  <c:pt idx="14">
                    <c:v>0.42900882352941183</c:v>
                  </c:pt>
                  <c:pt idx="15">
                    <c:v>4.1778113207547207E-2</c:v>
                  </c:pt>
                  <c:pt idx="16">
                    <c:v>0.82446088235294113</c:v>
                  </c:pt>
                  <c:pt idx="17">
                    <c:v>2.7582352941176476</c:v>
                  </c:pt>
                  <c:pt idx="18">
                    <c:v>3.3786133062306174</c:v>
                  </c:pt>
                  <c:pt idx="19">
                    <c:v>0.23888598113207582</c:v>
                  </c:pt>
                  <c:pt idx="20">
                    <c:v>1.2851016260162604E-4</c:v>
                  </c:pt>
                  <c:pt idx="21">
                    <c:v>0.31631886792452857</c:v>
                  </c:pt>
                  <c:pt idx="22">
                    <c:v>1.7993117647058829</c:v>
                  </c:pt>
                  <c:pt idx="23">
                    <c:v>0.64593587786259565</c:v>
                  </c:pt>
                  <c:pt idx="24">
                    <c:v>32.678787878787887</c:v>
                  </c:pt>
                  <c:pt idx="25">
                    <c:v>154.67294117647066</c:v>
                  </c:pt>
                  <c:pt idx="26">
                    <c:v>9.7197352941176485E-2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3.10'!$V$5:$V$8,'Ecoinvent 3.10'!$V$10:$V$26,'Ecoinvent 3.10'!$V$28:$V$33)</c:f>
              <c:numCache>
                <c:formatCode>0.00</c:formatCode>
                <c:ptCount val="27"/>
                <c:pt idx="0">
                  <c:v>19.216999999999999</c:v>
                </c:pt>
                <c:pt idx="1">
                  <c:v>17.273</c:v>
                </c:pt>
                <c:pt idx="2">
                  <c:v>7.4701000000000004</c:v>
                </c:pt>
                <c:pt idx="3">
                  <c:v>15.747</c:v>
                </c:pt>
                <c:pt idx="4">
                  <c:v>27.573</c:v>
                </c:pt>
                <c:pt idx="5">
                  <c:v>0.88431999999999999</c:v>
                </c:pt>
                <c:pt idx="6">
                  <c:v>33.988</c:v>
                </c:pt>
                <c:pt idx="7">
                  <c:v>1.9912000000000001</c:v>
                </c:pt>
                <c:pt idx="8">
                  <c:v>137.16</c:v>
                </c:pt>
                <c:pt idx="9">
                  <c:v>1.7333000000000001</c:v>
                </c:pt>
                <c:pt idx="10">
                  <c:v>0.63566999999999996</c:v>
                </c:pt>
                <c:pt idx="11">
                  <c:v>1.6248</c:v>
                </c:pt>
                <c:pt idx="12">
                  <c:v>0.79256000000000004</c:v>
                </c:pt>
                <c:pt idx="13">
                  <c:v>2.2107999999999999</c:v>
                </c:pt>
                <c:pt idx="14">
                  <c:v>1.6207</c:v>
                </c:pt>
                <c:pt idx="15">
                  <c:v>0.73807999999999996</c:v>
                </c:pt>
                <c:pt idx="16">
                  <c:v>3.11463</c:v>
                </c:pt>
                <c:pt idx="17">
                  <c:v>10.42</c:v>
                </c:pt>
                <c:pt idx="18">
                  <c:v>12.763650267982332</c:v>
                </c:pt>
                <c:pt idx="19">
                  <c:v>4.2203189999999999</c:v>
                </c:pt>
                <c:pt idx="20">
                  <c:v>6.8725000000000004E-4</c:v>
                </c:pt>
                <c:pt idx="21">
                  <c:v>5.5883000000000003</c:v>
                </c:pt>
                <c:pt idx="22">
                  <c:v>6.7973999999999997</c:v>
                </c:pt>
                <c:pt idx="23">
                  <c:v>2.7296</c:v>
                </c:pt>
                <c:pt idx="24">
                  <c:v>134.80000000000001</c:v>
                </c:pt>
                <c:pt idx="25">
                  <c:v>584.32000000000005</c:v>
                </c:pt>
                <c:pt idx="26">
                  <c:v>0.36719000000000002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09-4AA7-8043-12A514640C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100"/>
        <c:axId val="8427024"/>
        <c:axId val="8443248"/>
      </c:barChart>
      <c:catAx>
        <c:axId val="795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956032"/>
        <c:crosses val="autoZero"/>
        <c:auto val="1"/>
        <c:lblAlgn val="ctr"/>
        <c:lblOffset val="100"/>
        <c:noMultiLvlLbl val="0"/>
      </c:catAx>
      <c:valAx>
        <c:axId val="7956032"/>
        <c:scaling>
          <c:orientation val="minMax"/>
          <c:max val="2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 sz="1000" b="0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kg1.4DCB-eq/kg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954784"/>
        <c:crosses val="autoZero"/>
        <c:crossBetween val="between"/>
        <c:majorUnit val="4"/>
        <c:minorUnit val="1"/>
      </c:valAx>
      <c:valAx>
        <c:axId val="8443248"/>
        <c:scaling>
          <c:orientation val="minMax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kg1.4DCB-eq/kg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8427024"/>
        <c:crosses val="max"/>
        <c:crossBetween val="between"/>
        <c:majorUnit val="140"/>
      </c:valAx>
      <c:catAx>
        <c:axId val="842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egendEntry>
        <c:idx val="1"/>
        <c:delete val="1"/>
      </c:legendEntry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74091385128583"/>
          <c:y val="5.5921024278636877E-2"/>
          <c:w val="0.80857866904567965"/>
          <c:h val="0.78346954164713556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'Ecoinvent 3.10'!$N$4</c:f>
              <c:strCache>
                <c:ptCount val="1"/>
                <c:pt idx="0">
                  <c:v>Global Warming Potential (GWP100)</c:v>
                </c:pt>
              </c:strCache>
            </c:strRef>
          </c:tx>
          <c:spPr>
            <a:pattFill prst="dkUpDiag">
              <a:fgClr>
                <a:schemeClr val="bg2"/>
              </a:fgClr>
              <a:bgClr>
                <a:schemeClr val="bg1"/>
              </a:bgClr>
            </a:patt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glow rad="127000">
                        <a:schemeClr val="bg1"/>
                      </a:glow>
                    </a:effectLst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('Ecoinvent 3.10'!$N$71:$N$74,'Ecoinvent 3.10'!$N$76:$N$92,'Ecoinvent 3.10'!$N$94:$N$99)</c:f>
                <c:numCache>
                  <c:formatCode>General</c:formatCode>
                  <c:ptCount val="27"/>
                  <c:pt idx="0">
                    <c:v>5.8518000000000008</c:v>
                  </c:pt>
                  <c:pt idx="1">
                    <c:v>3.8012100000000011</c:v>
                  </c:pt>
                  <c:pt idx="2">
                    <c:v>2.0899409999999996</c:v>
                  </c:pt>
                  <c:pt idx="3">
                    <c:v>2.9189880000000006</c:v>
                  </c:pt>
                  <c:pt idx="4">
                    <c:v>3.5783400000000007</c:v>
                  </c:pt>
                  <c:pt idx="5">
                    <c:v>0.1133728</c:v>
                  </c:pt>
                  <c:pt idx="6">
                    <c:v>0.92670399999999997</c:v>
                  </c:pt>
                  <c:pt idx="7">
                    <c:v>9.9812899999999982E-2</c:v>
                  </c:pt>
                  <c:pt idx="8">
                    <c:v>1.8859800000000035</c:v>
                  </c:pt>
                  <c:pt idx="9">
                    <c:v>0.20754000000000006</c:v>
                  </c:pt>
                  <c:pt idx="10">
                    <c:v>4.4587199999999994E-2</c:v>
                  </c:pt>
                  <c:pt idx="11">
                    <c:v>0.32629320000000017</c:v>
                  </c:pt>
                  <c:pt idx="12">
                    <c:v>1.0542960000000003</c:v>
                  </c:pt>
                  <c:pt idx="13">
                    <c:v>0.58201199999999997</c:v>
                  </c:pt>
                  <c:pt idx="14">
                    <c:v>0.36136800000000013</c:v>
                  </c:pt>
                  <c:pt idx="15">
                    <c:v>0.15058799999999994</c:v>
                  </c:pt>
                  <c:pt idx="16">
                    <c:v>1.3660344000000006</c:v>
                  </c:pt>
                  <c:pt idx="17">
                    <c:v>2.0872800000000007</c:v>
                  </c:pt>
                  <c:pt idx="18">
                    <c:v>2.0696210637609136</c:v>
                  </c:pt>
                  <c:pt idx="19">
                    <c:v>0.24645696000000061</c:v>
                  </c:pt>
                  <c:pt idx="20">
                    <c:v>9.7483199999999948E-5</c:v>
                  </c:pt>
                  <c:pt idx="21">
                    <c:v>0.49488000000000021</c:v>
                  </c:pt>
                  <c:pt idx="22">
                    <c:v>4.2120000000000015</c:v>
                  </c:pt>
                  <c:pt idx="23">
                    <c:v>1.0596420000000006</c:v>
                  </c:pt>
                  <c:pt idx="24">
                    <c:v>27.003200000000007</c:v>
                  </c:pt>
                  <c:pt idx="25">
                    <c:v>3.2723280000000017</c:v>
                  </c:pt>
                  <c:pt idx="26">
                    <c:v>0.14343480000000003</c:v>
                  </c:pt>
                </c:numCache>
              </c:numRef>
            </c:plus>
            <c:minus>
              <c:numRef>
                <c:f>('Ecoinvent 3.10'!$N$38:$N$41,'Ecoinvent 3.10'!$N$43:$N$59,'Ecoinvent 3.10'!$N$61:$N$66)</c:f>
                <c:numCache>
                  <c:formatCode>General</c:formatCode>
                  <c:ptCount val="27"/>
                  <c:pt idx="0">
                    <c:v>4.3027941176470588</c:v>
                  </c:pt>
                  <c:pt idx="1">
                    <c:v>3.0904146341463417</c:v>
                  </c:pt>
                  <c:pt idx="2">
                    <c:v>1.6991390243902442</c:v>
                  </c:pt>
                  <c:pt idx="3">
                    <c:v>2.1463147058823537</c:v>
                  </c:pt>
                  <c:pt idx="4">
                    <c:v>2.9092195121951221</c:v>
                  </c:pt>
                  <c:pt idx="5">
                    <c:v>8.5888484848484881E-2</c:v>
                  </c:pt>
                  <c:pt idx="6">
                    <c:v>0.79205470085470076</c:v>
                  </c:pt>
                  <c:pt idx="7">
                    <c:v>8.9921531531531596E-2</c:v>
                  </c:pt>
                  <c:pt idx="8">
                    <c:v>1.7792264150943424</c:v>
                  </c:pt>
                  <c:pt idx="9">
                    <c:v>0.15260294117647061</c:v>
                  </c:pt>
                  <c:pt idx="10">
                    <c:v>3.4833749999999997E-2</c:v>
                  </c:pt>
                  <c:pt idx="11">
                    <c:v>0.23992147058823532</c:v>
                  </c:pt>
                  <c:pt idx="12">
                    <c:v>0.77521764705882346</c:v>
                  </c:pt>
                  <c:pt idx="13">
                    <c:v>0.42795000000000005</c:v>
                  </c:pt>
                  <c:pt idx="14">
                    <c:v>0.26571176470588243</c:v>
                  </c:pt>
                  <c:pt idx="15">
                    <c:v>0.14206415094339642</c:v>
                  </c:pt>
                  <c:pt idx="16">
                    <c:v>1.0044370588235294</c:v>
                  </c:pt>
                  <c:pt idx="17">
                    <c:v>1.5347647058823535</c:v>
                  </c:pt>
                  <c:pt idx="18">
                    <c:v>1.521780193941848</c:v>
                  </c:pt>
                  <c:pt idx="19">
                    <c:v>0.23250656603773612</c:v>
                  </c:pt>
                  <c:pt idx="20">
                    <c:v>7.925463414634146E-5</c:v>
                  </c:pt>
                  <c:pt idx="21">
                    <c:v>0.4668679245283025</c:v>
                  </c:pt>
                  <c:pt idx="22">
                    <c:v>3.0970588235294123</c:v>
                  </c:pt>
                  <c:pt idx="23">
                    <c:v>0.80888702290076342</c:v>
                  </c:pt>
                  <c:pt idx="24">
                    <c:v>20.456969696969701</c:v>
                  </c:pt>
                  <c:pt idx="25">
                    <c:v>2.4061235294117651</c:v>
                  </c:pt>
                  <c:pt idx="26">
                    <c:v>0.1054667647058824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3.10'!$N$5:$N$8,'Ecoinvent 3.10'!$N$10:$N$26,'Ecoinvent 3.10'!$N$28:$N$33)</c:f>
              <c:numCache>
                <c:formatCode>0.00</c:formatCode>
                <c:ptCount val="27"/>
                <c:pt idx="0">
                  <c:v>16.254999999999999</c:v>
                </c:pt>
                <c:pt idx="1">
                  <c:v>16.527000000000001</c:v>
                </c:pt>
                <c:pt idx="2">
                  <c:v>9.0867000000000004</c:v>
                </c:pt>
                <c:pt idx="3">
                  <c:v>8.1082999999999998</c:v>
                </c:pt>
                <c:pt idx="4">
                  <c:v>15.558</c:v>
                </c:pt>
                <c:pt idx="5">
                  <c:v>0.35428999999999999</c:v>
                </c:pt>
                <c:pt idx="6">
                  <c:v>5.4512</c:v>
                </c:pt>
                <c:pt idx="7">
                  <c:v>0.90739000000000003</c:v>
                </c:pt>
                <c:pt idx="8">
                  <c:v>31.433</c:v>
                </c:pt>
                <c:pt idx="9">
                  <c:v>0.57650000000000001</c:v>
                </c:pt>
                <c:pt idx="10">
                  <c:v>0.15923999999999999</c:v>
                </c:pt>
                <c:pt idx="11">
                  <c:v>0.90637000000000001</c:v>
                </c:pt>
                <c:pt idx="12">
                  <c:v>2.9285999999999999</c:v>
                </c:pt>
                <c:pt idx="13">
                  <c:v>1.6167</c:v>
                </c:pt>
                <c:pt idx="14">
                  <c:v>1.0038</c:v>
                </c:pt>
                <c:pt idx="15">
                  <c:v>2.5097999999999998</c:v>
                </c:pt>
                <c:pt idx="16">
                  <c:v>3.79454</c:v>
                </c:pt>
                <c:pt idx="17">
                  <c:v>5.798</c:v>
                </c:pt>
                <c:pt idx="18">
                  <c:v>5.7489473993358686</c:v>
                </c:pt>
                <c:pt idx="19">
                  <c:v>4.1076160000000002</c:v>
                </c:pt>
                <c:pt idx="20">
                  <c:v>4.2383999999999998E-4</c:v>
                </c:pt>
                <c:pt idx="21">
                  <c:v>8.2479999999999993</c:v>
                </c:pt>
                <c:pt idx="22">
                  <c:v>11.7</c:v>
                </c:pt>
                <c:pt idx="23">
                  <c:v>3.4182000000000001</c:v>
                </c:pt>
                <c:pt idx="24">
                  <c:v>84.385000000000005</c:v>
                </c:pt>
                <c:pt idx="25">
                  <c:v>9.0898000000000003</c:v>
                </c:pt>
                <c:pt idx="26">
                  <c:v>0.39843000000000001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3-4ACF-A22F-1BEC9E89D8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7954784"/>
        <c:axId val="7956032"/>
      </c:barChart>
      <c:barChart>
        <c:barDir val="col"/>
        <c:grouping val="clustered"/>
        <c:varyColors val="0"/>
        <c:ser>
          <c:idx val="2"/>
          <c:order val="0"/>
          <c:tx>
            <c:v>Dummy</c:v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3.10'!$M$5:$M$8,'Ecoinvent 3.10'!$M$10:$M$26,'Ecoinvent 3.10'!$M$28:$M$33)</c:f>
              <c:numCache>
                <c:formatCode>0.00</c:formatCode>
                <c:ptCount val="27"/>
                <c:pt idx="0">
                  <c:v>48.656594542983051</c:v>
                </c:pt>
                <c:pt idx="1">
                  <c:v>48.690718853323887</c:v>
                </c:pt>
                <c:pt idx="2">
                  <c:v>41.886769193906389</c:v>
                </c:pt>
                <c:pt idx="3">
                  <c:v>29.827926632637222</c:v>
                </c:pt>
                <c:pt idx="4">
                  <c:v>54.178208064816104</c:v>
                </c:pt>
                <c:pt idx="5">
                  <c:v>1.3814716995952694</c:v>
                </c:pt>
                <c:pt idx="6">
                  <c:v>72.84756356198028</c:v>
                </c:pt>
                <c:pt idx="7">
                  <c:v>3.7112092540486947</c:v>
                </c:pt>
                <c:pt idx="8">
                  <c:v>326.95651832676111</c:v>
                </c:pt>
                <c:pt idx="9">
                  <c:v>2.8004564975565001</c:v>
                </c:pt>
                <c:pt idx="10">
                  <c:v>0.98863816838505825</c:v>
                </c:pt>
                <c:pt idx="11">
                  <c:v>5.0352776529357213</c:v>
                </c:pt>
                <c:pt idx="12">
                  <c:v>13.232231661709054</c:v>
                </c:pt>
                <c:pt idx="13">
                  <c:v>7.2524663634240554</c:v>
                </c:pt>
                <c:pt idx="14">
                  <c:v>4.2014968765146392</c:v>
                </c:pt>
                <c:pt idx="15">
                  <c:v>23.456794467173108</c:v>
                </c:pt>
                <c:pt idx="16">
                  <c:v>27.481451955456471</c:v>
                </c:pt>
                <c:pt idx="17">
                  <c:v>24.978681642395721</c:v>
                </c:pt>
                <c:pt idx="18">
                  <c:v>31.54472452473761</c:v>
                </c:pt>
                <c:pt idx="19">
                  <c:v>25.495634586855505</c:v>
                </c:pt>
                <c:pt idx="20">
                  <c:v>1.7398570160580278E-3</c:v>
                </c:pt>
                <c:pt idx="21">
                  <c:v>37.111229022226112</c:v>
                </c:pt>
                <c:pt idx="22">
                  <c:v>48.26677362655527</c:v>
                </c:pt>
                <c:pt idx="23">
                  <c:v>12.175183990338276</c:v>
                </c:pt>
                <c:pt idx="24">
                  <c:v>312.87887105481389</c:v>
                </c:pt>
                <c:pt idx="25">
                  <c:v>37.380268316087218</c:v>
                </c:pt>
                <c:pt idx="26">
                  <c:v>1.5183374941547387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53-4ACF-A22F-1BEC9E89D8CA}"/>
            </c:ext>
          </c:extLst>
        </c:ser>
        <c:ser>
          <c:idx val="1"/>
          <c:order val="2"/>
          <c:tx>
            <c:strRef>
              <c:f>'Ecoinvent 3.10'!$M$4</c:f>
              <c:strCache>
                <c:ptCount val="1"/>
                <c:pt idx="0">
                  <c:v>Cumulative Energy Demand (CED)</c:v>
                </c:pt>
              </c:strCache>
            </c:strRef>
          </c:tx>
          <c:spPr>
            <a:pattFill prst="pct20">
              <a:fgClr>
                <a:schemeClr val="bg2"/>
              </a:fgClr>
              <a:bgClr>
                <a:schemeClr val="bg1"/>
              </a:bgClr>
            </a:pattFill>
            <a:ln>
              <a:solidFill>
                <a:schemeClr val="bg2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effectLst>
                      <a:glow rad="127000">
                        <a:schemeClr val="bg1"/>
                      </a:glow>
                    </a:effectLst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('Ecoinvent 3.10'!$M$71:$M$74,'Ecoinvent 3.10'!$M$76:$M$92,'Ecoinvent 3.10'!$M$94:$M$99)</c:f>
                <c:numCache>
                  <c:formatCode>General</c:formatCode>
                  <c:ptCount val="27"/>
                  <c:pt idx="0">
                    <c:v>17.516374035473909</c:v>
                  </c:pt>
                  <c:pt idx="1">
                    <c:v>11.19886533626449</c:v>
                  </c:pt>
                  <c:pt idx="2">
                    <c:v>9.6339569145984711</c:v>
                  </c:pt>
                  <c:pt idx="3">
                    <c:v>10.738053587749405</c:v>
                  </c:pt>
                  <c:pt idx="4">
                    <c:v>12.4609878549077</c:v>
                  </c:pt>
                  <c:pt idx="5">
                    <c:v>0.4420709438704864</c:v>
                  </c:pt>
                  <c:pt idx="6">
                    <c:v>12.384085805536643</c:v>
                  </c:pt>
                  <c:pt idx="7">
                    <c:v>0.40823301794535682</c:v>
                  </c:pt>
                  <c:pt idx="8">
                    <c:v>19.617391099605697</c:v>
                  </c:pt>
                  <c:pt idx="9">
                    <c:v>1.0081643391203401</c:v>
                  </c:pt>
                  <c:pt idx="10">
                    <c:v>0.27681868714781643</c:v>
                  </c:pt>
                  <c:pt idx="11">
                    <c:v>1.8126999550568605</c:v>
                  </c:pt>
                  <c:pt idx="12">
                    <c:v>4.7636033982152597</c:v>
                  </c:pt>
                  <c:pt idx="13">
                    <c:v>2.6108878908326609</c:v>
                  </c:pt>
                  <c:pt idx="14">
                    <c:v>1.5125388755452702</c:v>
                  </c:pt>
                  <c:pt idx="15">
                    <c:v>1.4074076680303875</c:v>
                  </c:pt>
                  <c:pt idx="16">
                    <c:v>9.8933227039643299</c:v>
                  </c:pt>
                  <c:pt idx="17">
                    <c:v>8.9923253912624617</c:v>
                  </c:pt>
                  <c:pt idx="18">
                    <c:v>11.356100828905539</c:v>
                  </c:pt>
                  <c:pt idx="19">
                    <c:v>1.5297380752113305</c:v>
                  </c:pt>
                  <c:pt idx="20">
                    <c:v>4.0016711369334629E-4</c:v>
                  </c:pt>
                  <c:pt idx="21">
                    <c:v>2.2266737413335704</c:v>
                  </c:pt>
                  <c:pt idx="22">
                    <c:v>17.376038505559897</c:v>
                  </c:pt>
                  <c:pt idx="23">
                    <c:v>3.774307037004867</c:v>
                  </c:pt>
                  <c:pt idx="24">
                    <c:v>100.12123873754047</c:v>
                  </c:pt>
                  <c:pt idx="25">
                    <c:v>13.456896593791399</c:v>
                  </c:pt>
                  <c:pt idx="26">
                    <c:v>0.54660149789570589</c:v>
                  </c:pt>
                </c:numCache>
              </c:numRef>
            </c:plus>
            <c:minus>
              <c:numRef>
                <c:f>('Ecoinvent 3.10'!$M$38:$M$41,'Ecoinvent 3.10'!$M$43:$M$59,'Ecoinvent 3.10'!$M$61:$M$66)</c:f>
                <c:numCache>
                  <c:formatCode>General</c:formatCode>
                  <c:ptCount val="27"/>
                  <c:pt idx="0">
                    <c:v>12.879686790789634</c:v>
                  </c:pt>
                  <c:pt idx="1">
                    <c:v>9.1047685660686923</c:v>
                  </c:pt>
                  <c:pt idx="2">
                    <c:v>7.8324852964215168</c:v>
                  </c:pt>
                  <c:pt idx="3">
                    <c:v>7.8956276380510317</c:v>
                  </c:pt>
                  <c:pt idx="4">
                    <c:v>10.130884434884308</c:v>
                  </c:pt>
                  <c:pt idx="5">
                    <c:v>0.33490223020491383</c:v>
                  </c:pt>
                  <c:pt idx="6">
                    <c:v>10.584688722680895</c:v>
                  </c:pt>
                  <c:pt idx="7">
                    <c:v>0.36777749364446555</c:v>
                  </c:pt>
                  <c:pt idx="8">
                    <c:v>18.506972735477063</c:v>
                  </c:pt>
                  <c:pt idx="9">
                    <c:v>0.7412973081767209</c:v>
                  </c:pt>
                  <c:pt idx="10">
                    <c:v>0.21626459933423148</c:v>
                  </c:pt>
                  <c:pt idx="11">
                    <c:v>1.3328676140123972</c:v>
                  </c:pt>
                  <c:pt idx="12">
                    <c:v>3.5026495575112211</c:v>
                  </c:pt>
                  <c:pt idx="13">
                    <c:v>1.9197705079651914</c:v>
                  </c:pt>
                  <c:pt idx="14">
                    <c:v>1.1121609379009341</c:v>
                  </c:pt>
                  <c:pt idx="15">
                    <c:v>1.3277430830475367</c:v>
                  </c:pt>
                  <c:pt idx="16">
                    <c:v>7.2745019882090673</c:v>
                  </c:pt>
                  <c:pt idx="17">
                    <c:v>6.6120039641635735</c:v>
                  </c:pt>
                  <c:pt idx="18">
                    <c:v>8.3500741389011353</c:v>
                  </c:pt>
                  <c:pt idx="19">
                    <c:v>1.4431491275578594</c:v>
                  </c:pt>
                  <c:pt idx="20">
                    <c:v>3.2533911682385876E-4</c:v>
                  </c:pt>
                  <c:pt idx="21">
                    <c:v>2.1006356050316697</c:v>
                  </c:pt>
                  <c:pt idx="22">
                    <c:v>12.776498901146986</c:v>
                  </c:pt>
                  <c:pt idx="23">
                    <c:v>2.881150409927379</c:v>
                  </c:pt>
                  <c:pt idx="24">
                    <c:v>75.849423286015508</c:v>
                  </c:pt>
                  <c:pt idx="25">
                    <c:v>9.8947769071995602</c:v>
                  </c:pt>
                  <c:pt idx="26">
                    <c:v>0.40191286609978394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('Ecoinvent 3.10'!$C$5:$C$8,'Ecoinvent 3.10'!$C$10:$C$26,'Ecoinvent 3.10'!$C$28:$C$33)</c:f>
              <c:strCache>
                <c:ptCount val="27"/>
                <c:pt idx="0">
                  <c:v>Al foil</c:v>
                </c:pt>
                <c:pt idx="1">
                  <c:v>PVDF binder</c:v>
                </c:pt>
                <c:pt idx="2">
                  <c:v>NMP solvent</c:v>
                </c:pt>
                <c:pt idx="3">
                  <c:v>Li2CO3</c:v>
                </c:pt>
                <c:pt idx="4">
                  <c:v>LiOH</c:v>
                </c:pt>
                <c:pt idx="5">
                  <c:v>Na2CO3*</c:v>
                </c:pt>
                <c:pt idx="6">
                  <c:v>NiSO4</c:v>
                </c:pt>
                <c:pt idx="7">
                  <c:v>MnSO4 </c:v>
                </c:pt>
                <c:pt idx="8">
                  <c:v>CoSO4</c:v>
                </c:pt>
                <c:pt idx="9">
                  <c:v>Al2(SO4)3</c:v>
                </c:pt>
                <c:pt idx="10">
                  <c:v>FeSO4*</c:v>
                </c:pt>
                <c:pt idx="11">
                  <c:v>NaOH </c:v>
                </c:pt>
                <c:pt idx="12">
                  <c:v>NH4OH</c:v>
                </c:pt>
                <c:pt idx="13">
                  <c:v>(NH4)2HPO4</c:v>
                </c:pt>
                <c:pt idx="14">
                  <c:v>Fe3O4</c:v>
                </c:pt>
                <c:pt idx="15">
                  <c:v>Carbon black</c:v>
                </c:pt>
                <c:pt idx="16">
                  <c:v>PE separator</c:v>
                </c:pt>
                <c:pt idx="17">
                  <c:v>Liquid electrolyte</c:v>
                </c:pt>
                <c:pt idx="18">
                  <c:v>Solid electrolyte*</c:v>
                </c:pt>
                <c:pt idx="19">
                  <c:v>CMC-SBR binder</c:v>
                </c:pt>
                <c:pt idx="20">
                  <c:v>H2O solvent</c:v>
                </c:pt>
                <c:pt idx="21">
                  <c:v>Graphite</c:v>
                </c:pt>
                <c:pt idx="22">
                  <c:v>SiO/Si</c:v>
                </c:pt>
                <c:pt idx="23">
                  <c:v>Hard carbon*</c:v>
                </c:pt>
                <c:pt idx="24">
                  <c:v>Lithium metal*</c:v>
                </c:pt>
                <c:pt idx="25">
                  <c:v>Cu foil</c:v>
                </c:pt>
                <c:pt idx="26">
                  <c:v>Fe casing</c:v>
                </c:pt>
              </c:strCache>
            </c:strRef>
          </c:cat>
          <c:val>
            <c:numRef>
              <c:f>('Ecoinvent 3.10'!$M$5:$M$8,'Ecoinvent 3.10'!$M$10:$M$26,'Ecoinvent 3.10'!$M$28:$M$33)</c:f>
              <c:numCache>
                <c:formatCode>0.00</c:formatCode>
                <c:ptCount val="27"/>
                <c:pt idx="0">
                  <c:v>48.656594542983051</c:v>
                </c:pt>
                <c:pt idx="1">
                  <c:v>48.690718853323887</c:v>
                </c:pt>
                <c:pt idx="2">
                  <c:v>41.886769193906389</c:v>
                </c:pt>
                <c:pt idx="3">
                  <c:v>29.827926632637222</c:v>
                </c:pt>
                <c:pt idx="4">
                  <c:v>54.178208064816104</c:v>
                </c:pt>
                <c:pt idx="5">
                  <c:v>1.3814716995952694</c:v>
                </c:pt>
                <c:pt idx="6">
                  <c:v>72.84756356198028</c:v>
                </c:pt>
                <c:pt idx="7">
                  <c:v>3.7112092540486947</c:v>
                </c:pt>
                <c:pt idx="8">
                  <c:v>326.95651832676111</c:v>
                </c:pt>
                <c:pt idx="9">
                  <c:v>2.8004564975565001</c:v>
                </c:pt>
                <c:pt idx="10">
                  <c:v>0.98863816838505825</c:v>
                </c:pt>
                <c:pt idx="11">
                  <c:v>5.0352776529357213</c:v>
                </c:pt>
                <c:pt idx="12">
                  <c:v>13.232231661709054</c:v>
                </c:pt>
                <c:pt idx="13">
                  <c:v>7.2524663634240554</c:v>
                </c:pt>
                <c:pt idx="14">
                  <c:v>4.2014968765146392</c:v>
                </c:pt>
                <c:pt idx="15">
                  <c:v>23.456794467173108</c:v>
                </c:pt>
                <c:pt idx="16">
                  <c:v>27.481451955456471</c:v>
                </c:pt>
                <c:pt idx="17">
                  <c:v>24.978681642395721</c:v>
                </c:pt>
                <c:pt idx="18">
                  <c:v>31.54472452473761</c:v>
                </c:pt>
                <c:pt idx="19">
                  <c:v>25.495634586855505</c:v>
                </c:pt>
                <c:pt idx="20">
                  <c:v>1.7398570160580278E-3</c:v>
                </c:pt>
                <c:pt idx="21">
                  <c:v>37.111229022226112</c:v>
                </c:pt>
                <c:pt idx="22">
                  <c:v>48.26677362655527</c:v>
                </c:pt>
                <c:pt idx="23">
                  <c:v>12.175183990338276</c:v>
                </c:pt>
                <c:pt idx="24">
                  <c:v>312.87887105481389</c:v>
                </c:pt>
                <c:pt idx="25">
                  <c:v>37.380268316087218</c:v>
                </c:pt>
                <c:pt idx="26">
                  <c:v>1.5183374941547387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3-4ACF-A22F-1BEC9E89D8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100"/>
        <c:axId val="8427024"/>
        <c:axId val="8443248"/>
      </c:barChart>
      <c:catAx>
        <c:axId val="79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 algn="ctr">
              <a:defRPr lang="en-US"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956032"/>
        <c:crosses val="autoZero"/>
        <c:auto val="1"/>
        <c:lblAlgn val="ctr"/>
        <c:lblOffset val="100"/>
        <c:noMultiLvlLbl val="0"/>
      </c:catAx>
      <c:valAx>
        <c:axId val="7956032"/>
        <c:scaling>
          <c:orientation val="minMax"/>
          <c:max val="9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kg CO2-eq/kg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7954784"/>
        <c:crosses val="autoZero"/>
        <c:crossBetween val="between"/>
        <c:majorUnit val="16"/>
      </c:valAx>
      <c:valAx>
        <c:axId val="8443248"/>
        <c:scaling>
          <c:orientation val="minMax"/>
          <c:max val="48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kWh/kg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8427024"/>
        <c:crosses val="max"/>
        <c:crossBetween val="between"/>
        <c:majorUnit val="80"/>
      </c:valAx>
      <c:catAx>
        <c:axId val="842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4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egendEntry>
        <c:idx val="1"/>
        <c:delete val="1"/>
      </c:legendEntry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to produce 1kWh of Cell Energy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Summary!$E$2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Summary!$C$3:$D$18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NMC822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</c:v>
                  </c:pt>
                  <c:pt idx="14">
                    <c:v>NMC900|Li</c:v>
                  </c:pt>
                </c:lvl>
              </c:multiLvlStrCache>
            </c:multiLvlStrRef>
          </c:cat>
          <c:val>
            <c:numRef>
              <c:f>Summary!$E$3:$E$18</c:f>
              <c:numCache>
                <c:formatCode>0.00\ "kWh"</c:formatCode>
                <c:ptCount val="16"/>
                <c:pt idx="0">
                  <c:v>14.929516907783942</c:v>
                </c:pt>
                <c:pt idx="1">
                  <c:v>13.104564832956919</c:v>
                </c:pt>
                <c:pt idx="2">
                  <c:v>16.724656034105294</c:v>
                </c:pt>
                <c:pt idx="3">
                  <c:v>14.327440032946839</c:v>
                </c:pt>
                <c:pt idx="4">
                  <c:v>16.506757217014108</c:v>
                </c:pt>
                <c:pt idx="5">
                  <c:v>14.179004150946986</c:v>
                </c:pt>
                <c:pt idx="6">
                  <c:v>15.289903440227466</c:v>
                </c:pt>
                <c:pt idx="7">
                  <c:v>13.342112500125969</c:v>
                </c:pt>
                <c:pt idx="8">
                  <c:v>14.682119476233128</c:v>
                </c:pt>
                <c:pt idx="9">
                  <c:v>12.92300500363007</c:v>
                </c:pt>
                <c:pt idx="10">
                  <c:v>19.415739325719592</c:v>
                </c:pt>
                <c:pt idx="11">
                  <c:v>16.165184355992228</c:v>
                </c:pt>
                <c:pt idx="12">
                  <c:v>22.339974175604901</c:v>
                </c:pt>
                <c:pt idx="13">
                  <c:v>18.609906015499138</c:v>
                </c:pt>
                <c:pt idx="14">
                  <c:v>8.2271596092032695</c:v>
                </c:pt>
                <c:pt idx="15">
                  <c:v>5.5680859470179049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E5-4FD4-AE01-8202274CF509}"/>
            </c:ext>
          </c:extLst>
        </c:ser>
        <c:ser>
          <c:idx val="1"/>
          <c:order val="1"/>
          <c:tx>
            <c:strRef>
              <c:f>Summary!$F$2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Summary!$C$3:$D$18</c:f>
              <c:multiLvlStrCache>
                <c:ptCount val="16"/>
                <c:lvl>
                  <c:pt idx="0">
                    <c:v>HP</c:v>
                  </c:pt>
                  <c:pt idx="1">
                    <c:v>HE</c:v>
                  </c:pt>
                  <c:pt idx="2">
                    <c:v>HP</c:v>
                  </c:pt>
                  <c:pt idx="3">
                    <c:v>HE</c:v>
                  </c:pt>
                  <c:pt idx="4">
                    <c:v>HP</c:v>
                  </c:pt>
                  <c:pt idx="5">
                    <c:v>HE</c:v>
                  </c:pt>
                  <c:pt idx="6">
                    <c:v>HP</c:v>
                  </c:pt>
                  <c:pt idx="7">
                    <c:v>HE</c:v>
                  </c:pt>
                  <c:pt idx="8">
                    <c:v>HP</c:v>
                  </c:pt>
                  <c:pt idx="9">
                    <c:v>HE</c:v>
                  </c:pt>
                  <c:pt idx="10">
                    <c:v>HP</c:v>
                  </c:pt>
                  <c:pt idx="11">
                    <c:v>HE</c:v>
                  </c:pt>
                  <c:pt idx="12">
                    <c:v>HP</c:v>
                  </c:pt>
                  <c:pt idx="13">
                    <c:v>HE</c:v>
                  </c:pt>
                  <c:pt idx="14">
                    <c:v>HP</c:v>
                  </c:pt>
                  <c:pt idx="15">
                    <c:v>HE</c:v>
                  </c:pt>
                </c:lvl>
                <c:lvl>
                  <c:pt idx="0">
                    <c:v>NCA</c:v>
                  </c:pt>
                  <c:pt idx="2">
                    <c:v>NMC532</c:v>
                  </c:pt>
                  <c:pt idx="4">
                    <c:v>NMC622</c:v>
                  </c:pt>
                  <c:pt idx="6">
                    <c:v>NMC822</c:v>
                  </c:pt>
                  <c:pt idx="8">
                    <c:v>NMC900</c:v>
                  </c:pt>
                  <c:pt idx="10">
                    <c:v>LFP</c:v>
                  </c:pt>
                  <c:pt idx="12">
                    <c:v>NaNFM422</c:v>
                  </c:pt>
                  <c:pt idx="14">
                    <c:v>NMC900|Li</c:v>
                  </c:pt>
                </c:lvl>
              </c:multiLvlStrCache>
            </c:multiLvlStrRef>
          </c:cat>
          <c:val>
            <c:numRef>
              <c:f>Summary!$F$3:$F$18</c:f>
              <c:numCache>
                <c:formatCode>0.00\ "kWh"</c:formatCode>
                <c:ptCount val="16"/>
                <c:pt idx="0">
                  <c:v>12.381655478392915</c:v>
                </c:pt>
                <c:pt idx="1">
                  <c:v>8.7759750768020659</c:v>
                </c:pt>
                <c:pt idx="2">
                  <c:v>16.26690387365997</c:v>
                </c:pt>
                <c:pt idx="3">
                  <c:v>11.529794478702794</c:v>
                </c:pt>
                <c:pt idx="4">
                  <c:v>15.795301969929529</c:v>
                </c:pt>
                <c:pt idx="5">
                  <c:v>11.195528470370288</c:v>
                </c:pt>
                <c:pt idx="6">
                  <c:v>13.217484220444865</c:v>
                </c:pt>
                <c:pt idx="7">
                  <c:v>9.3684008813742672</c:v>
                </c:pt>
                <c:pt idx="8">
                  <c:v>11.937687520806318</c:v>
                </c:pt>
                <c:pt idx="9">
                  <c:v>8.4612956918459883</c:v>
                </c:pt>
                <c:pt idx="10">
                  <c:v>22.05939146203502</c:v>
                </c:pt>
                <c:pt idx="11">
                  <c:v>15.6354430970944</c:v>
                </c:pt>
                <c:pt idx="12">
                  <c:v>25.308954457280244</c:v>
                </c:pt>
                <c:pt idx="13">
                  <c:v>17.938695994619856</c:v>
                </c:pt>
                <c:pt idx="14">
                  <c:v>19.518590912357492</c:v>
                </c:pt>
                <c:pt idx="15">
                  <c:v>14.639779146176734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5-4FD4-AE01-8202274CF50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542824544"/>
        <c:axId val="1611779296"/>
      </c:barChart>
      <c:catAx>
        <c:axId val="154282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11779296"/>
        <c:crosses val="autoZero"/>
        <c:auto val="1"/>
        <c:lblAlgn val="ctr"/>
        <c:lblOffset val="100"/>
        <c:noMultiLvlLbl val="0"/>
      </c:catAx>
      <c:valAx>
        <c:axId val="1611779296"/>
        <c:scaling>
          <c:orientation val="minMax"/>
        </c:scaling>
        <c:delete val="1"/>
        <c:axPos val="l"/>
        <c:numFmt formatCode="0.00\ &quot;kWh&quot;" sourceLinked="1"/>
        <c:majorTickMark val="none"/>
        <c:minorTickMark val="none"/>
        <c:tickLblPos val="nextTo"/>
        <c:crossAx val="154282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5617338538092508E-2"/>
          <c:y val="3.4267904366790697E-2"/>
          <c:w val="0.94120917679860694"/>
          <c:h val="0.861500267005110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'Sensitivity Analysis'!$X$4</c:f>
              <c:strCache>
                <c:ptCount val="1"/>
                <c:pt idx="0">
                  <c:v>Global Warming Potential (GWP), Ecoinvent 3.10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'Sensitivity Analysis'!$AI$6:$AP$6</c:f>
              <c:strCache>
                <c:ptCount val="8"/>
                <c:pt idx="0">
                  <c:v>NCA</c:v>
                </c:pt>
                <c:pt idx="1">
                  <c:v>NMC532</c:v>
                </c:pt>
                <c:pt idx="2">
                  <c:v>NMC622</c:v>
                </c:pt>
                <c:pt idx="3">
                  <c:v>NMC811</c:v>
                </c:pt>
                <c:pt idx="4">
                  <c:v>NMC900</c:v>
                </c:pt>
                <c:pt idx="5">
                  <c:v>LFP</c:v>
                </c:pt>
                <c:pt idx="6">
                  <c:v>NaNFM422 
(SIB)</c:v>
                </c:pt>
                <c:pt idx="7">
                  <c:v>NMC900|Li 
(SSB)</c:v>
                </c:pt>
              </c:strCache>
            </c:strRef>
          </c:cat>
          <c:val>
            <c:numRef>
              <c:f>'Sensitivity Analysis'!$Y$68:$AF$68</c:f>
              <c:numCache>
                <c:formatCode>0.0</c:formatCode>
                <c:ptCount val="8"/>
                <c:pt idx="0">
                  <c:v>62.302645505417161</c:v>
                </c:pt>
                <c:pt idx="1">
                  <c:v>83.977090464508578</c:v>
                </c:pt>
                <c:pt idx="2">
                  <c:v>83.257440526341369</c:v>
                </c:pt>
                <c:pt idx="3">
                  <c:v>65.540978173781255</c:v>
                </c:pt>
                <c:pt idx="4">
                  <c:v>56.778127925586276</c:v>
                </c:pt>
                <c:pt idx="5">
                  <c:v>59.303220914049518</c:v>
                </c:pt>
                <c:pt idx="6">
                  <c:v>74.773937627315021</c:v>
                </c:pt>
                <c:pt idx="7">
                  <c:v>87.763948875036235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A6-4142-B108-EF04E3F5DCED}"/>
            </c:ext>
          </c:extLst>
        </c:ser>
        <c:ser>
          <c:idx val="1"/>
          <c:order val="1"/>
          <c:tx>
            <c:strRef>
              <c:f>'Sensitivity Analysis'!$AH$4</c:f>
              <c:strCache>
                <c:ptCount val="1"/>
                <c:pt idx="0">
                  <c:v>Global Warming Potential (GWP), Literature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'Sensitivity Analysis'!$AI$6:$AP$6</c:f>
              <c:strCache>
                <c:ptCount val="8"/>
                <c:pt idx="0">
                  <c:v>NCA</c:v>
                </c:pt>
                <c:pt idx="1">
                  <c:v>NMC532</c:v>
                </c:pt>
                <c:pt idx="2">
                  <c:v>NMC622</c:v>
                </c:pt>
                <c:pt idx="3">
                  <c:v>NMC811</c:v>
                </c:pt>
                <c:pt idx="4">
                  <c:v>NMC900</c:v>
                </c:pt>
                <c:pt idx="5">
                  <c:v>LFP</c:v>
                </c:pt>
                <c:pt idx="6">
                  <c:v>NaNFM422 
(SIB)</c:v>
                </c:pt>
                <c:pt idx="7">
                  <c:v>NMC900|Li 
(SSB)</c:v>
                </c:pt>
              </c:strCache>
            </c:strRef>
          </c:cat>
          <c:val>
            <c:numRef>
              <c:f>'Sensitivity Analysis'!$AI$68:$AP$68</c:f>
              <c:numCache>
                <c:formatCode>0.0</c:formatCode>
                <c:ptCount val="8"/>
                <c:pt idx="0">
                  <c:v>62.262015894745836</c:v>
                </c:pt>
                <c:pt idx="1">
                  <c:v>83.669536048785616</c:v>
                </c:pt>
                <c:pt idx="2">
                  <c:v>82.992218523793127</c:v>
                </c:pt>
                <c:pt idx="3">
                  <c:v>65.109953468583527</c:v>
                </c:pt>
                <c:pt idx="4">
                  <c:v>56.280893776215557</c:v>
                </c:pt>
                <c:pt idx="5">
                  <c:v>59.629867115628834</c:v>
                </c:pt>
                <c:pt idx="6">
                  <c:v>74.773937627315021</c:v>
                </c:pt>
                <c:pt idx="7">
                  <c:v>86.607494867509487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A6-4142-B108-EF04E3F5D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259343"/>
        <c:axId val="2040490335"/>
      </c:barChart>
      <c:catAx>
        <c:axId val="23425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de-DE"/>
          </a:p>
        </c:txPr>
        <c:crossAx val="2040490335"/>
        <c:crosses val="autoZero"/>
        <c:auto val="1"/>
        <c:lblAlgn val="ctr"/>
        <c:lblOffset val="100"/>
        <c:noMultiLvlLbl val="0"/>
      </c:catAx>
      <c:valAx>
        <c:axId val="204049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de-DE"/>
          </a:p>
        </c:txPr>
        <c:crossAx val="23425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8098305572702733E-2"/>
          <c:y val="1.2495152330278819E-2"/>
          <c:w val="0.36577338421575301"/>
          <c:h val="0.1126660993779038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Calibri" panose="020F0502020204030204" pitchFamily="34" charset="0"/>
          <a:ea typeface="Calibri" panose="020F0502020204030204" pitchFamily="34" charset="0"/>
          <a:cs typeface="Calibri" panose="020F050202020403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#BEZUG!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48"/>
              <c:pt idx="0">
                <c:v>FFB</c:v>
              </c:pt>
              <c:pt idx="4">
                <c:v>FFB</c:v>
              </c:pt>
              <c:pt idx="7">
                <c:v>FFB</c:v>
              </c:pt>
              <c:pt idx="22">
                <c:v>FFB</c:v>
              </c:pt>
              <c:pt idx="23">
                <c:v>FFB</c:v>
              </c:pt>
              <c:pt idx="24">
                <c:v>FFB</c:v>
              </c:pt>
              <c:pt idx="25">
                <c:v>FFB</c:v>
              </c:pt>
            </c:strLit>
          </c:cat>
          <c:val>
            <c:numLit>
              <c:formatCode>General</c:formatCode>
              <c:ptCount val="48"/>
            </c:numLit>
          </c:val>
          <c:smooth val="0"/>
          <c:extLst>
            <c:ext xmlns:c16="http://schemas.microsoft.com/office/drawing/2014/chart" uri="{C3380CC4-5D6E-409C-BE32-E72D297353CC}">
              <c16:uniqueId val="{00000000-4517-4A75-B978-72966952E173}"/>
            </c:ext>
          </c:extLst>
        </c:ser>
        <c:ser>
          <c:idx val="1"/>
          <c:order val="1"/>
          <c:tx>
            <c:v>#BEZUG!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48"/>
              <c:pt idx="0">
                <c:v>FFB</c:v>
              </c:pt>
              <c:pt idx="4">
                <c:v>FFB</c:v>
              </c:pt>
              <c:pt idx="7">
                <c:v>FFB</c:v>
              </c:pt>
              <c:pt idx="22">
                <c:v>FFB</c:v>
              </c:pt>
              <c:pt idx="23">
                <c:v>FFB</c:v>
              </c:pt>
              <c:pt idx="24">
                <c:v>FFB</c:v>
              </c:pt>
              <c:pt idx="25">
                <c:v>FFB</c:v>
              </c:pt>
            </c:strLit>
          </c:cat>
          <c:val>
            <c:numLit>
              <c:formatCode>General</c:formatCode>
              <c:ptCount val="48"/>
            </c:numLit>
          </c:val>
          <c:smooth val="0"/>
          <c:extLst>
            <c:ext xmlns:c16="http://schemas.microsoft.com/office/drawing/2014/chart" uri="{C3380CC4-5D6E-409C-BE32-E72D297353CC}">
              <c16:uniqueId val="{00000001-4517-4A75-B978-72966952E173}"/>
            </c:ext>
          </c:extLst>
        </c:ser>
        <c:ser>
          <c:idx val="2"/>
          <c:order val="2"/>
          <c:tx>
            <c:v>#BEZUG!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48"/>
              <c:pt idx="0">
                <c:v>FFB</c:v>
              </c:pt>
              <c:pt idx="4">
                <c:v>FFB</c:v>
              </c:pt>
              <c:pt idx="7">
                <c:v>FFB</c:v>
              </c:pt>
              <c:pt idx="22">
                <c:v>FFB</c:v>
              </c:pt>
              <c:pt idx="23">
                <c:v>FFB</c:v>
              </c:pt>
              <c:pt idx="24">
                <c:v>FFB</c:v>
              </c:pt>
              <c:pt idx="25">
                <c:v>FFB</c:v>
              </c:pt>
            </c:strLit>
          </c:cat>
          <c:val>
            <c:numLit>
              <c:formatCode>General</c:formatCode>
              <c:ptCount val="48"/>
            </c:numLit>
          </c:val>
          <c:smooth val="0"/>
          <c:extLst>
            <c:ext xmlns:c16="http://schemas.microsoft.com/office/drawing/2014/chart" uri="{C3380CC4-5D6E-409C-BE32-E72D297353CC}">
              <c16:uniqueId val="{00000002-4517-4A75-B978-72966952E173}"/>
            </c:ext>
          </c:extLst>
        </c:ser>
        <c:ser>
          <c:idx val="3"/>
          <c:order val="3"/>
          <c:tx>
            <c:v>#BEZUG!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48"/>
              <c:pt idx="0">
                <c:v>FFB</c:v>
              </c:pt>
              <c:pt idx="4">
                <c:v>FFB</c:v>
              </c:pt>
              <c:pt idx="7">
                <c:v>FFB</c:v>
              </c:pt>
              <c:pt idx="22">
                <c:v>FFB</c:v>
              </c:pt>
              <c:pt idx="23">
                <c:v>FFB</c:v>
              </c:pt>
              <c:pt idx="24">
                <c:v>FFB</c:v>
              </c:pt>
              <c:pt idx="25">
                <c:v>FFB</c:v>
              </c:pt>
            </c:strLit>
          </c:cat>
          <c:val>
            <c:numLit>
              <c:formatCode>General</c:formatCode>
              <c:ptCount val="48"/>
            </c:numLit>
          </c:val>
          <c:smooth val="0"/>
          <c:extLst>
            <c:ext xmlns:c16="http://schemas.microsoft.com/office/drawing/2014/chart" uri="{C3380CC4-5D6E-409C-BE32-E72D297353CC}">
              <c16:uniqueId val="{00000003-4517-4A75-B978-72966952E173}"/>
            </c:ext>
          </c:extLst>
        </c:ser>
        <c:ser>
          <c:idx val="4"/>
          <c:order val="4"/>
          <c:tx>
            <c:v>#BEZUG!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48"/>
              <c:pt idx="0">
                <c:v>FFB</c:v>
              </c:pt>
              <c:pt idx="4">
                <c:v>FFB</c:v>
              </c:pt>
              <c:pt idx="7">
                <c:v>FFB</c:v>
              </c:pt>
              <c:pt idx="22">
                <c:v>FFB</c:v>
              </c:pt>
              <c:pt idx="23">
                <c:v>FFB</c:v>
              </c:pt>
              <c:pt idx="24">
                <c:v>FFB</c:v>
              </c:pt>
              <c:pt idx="25">
                <c:v>FFB</c:v>
              </c:pt>
            </c:strLit>
          </c:cat>
          <c:val>
            <c:numLit>
              <c:formatCode>General</c:formatCode>
              <c:ptCount val="48"/>
            </c:numLit>
          </c:val>
          <c:smooth val="0"/>
          <c:extLst>
            <c:ext xmlns:c16="http://schemas.microsoft.com/office/drawing/2014/chart" uri="{C3380CC4-5D6E-409C-BE32-E72D297353CC}">
              <c16:uniqueId val="{00000004-4517-4A75-B978-72966952E173}"/>
            </c:ext>
          </c:extLst>
        </c:ser>
        <c:ser>
          <c:idx val="5"/>
          <c:order val="5"/>
          <c:tx>
            <c:v>#BEZUG!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Lit>
              <c:ptCount val="48"/>
              <c:pt idx="0">
                <c:v>FFB</c:v>
              </c:pt>
              <c:pt idx="4">
                <c:v>FFB</c:v>
              </c:pt>
              <c:pt idx="7">
                <c:v>FFB</c:v>
              </c:pt>
              <c:pt idx="22">
                <c:v>FFB</c:v>
              </c:pt>
              <c:pt idx="23">
                <c:v>FFB</c:v>
              </c:pt>
              <c:pt idx="24">
                <c:v>FFB</c:v>
              </c:pt>
              <c:pt idx="25">
                <c:v>FFB</c:v>
              </c:pt>
            </c:strLit>
          </c:cat>
          <c:val>
            <c:numLit>
              <c:formatCode>General</c:formatCode>
              <c:ptCount val="48"/>
            </c:numLit>
          </c:val>
          <c:smooth val="0"/>
          <c:extLst>
            <c:ext xmlns:c16="http://schemas.microsoft.com/office/drawing/2014/chart" uri="{C3380CC4-5D6E-409C-BE32-E72D297353CC}">
              <c16:uniqueId val="{00000005-4517-4A75-B978-72966952E173}"/>
            </c:ext>
          </c:extLst>
        </c:ser>
        <c:ser>
          <c:idx val="6"/>
          <c:order val="6"/>
          <c:tx>
            <c:v>#BEZUG!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Lit>
              <c:ptCount val="48"/>
              <c:pt idx="0">
                <c:v>FFB</c:v>
              </c:pt>
              <c:pt idx="4">
                <c:v>FFB</c:v>
              </c:pt>
              <c:pt idx="7">
                <c:v>FFB</c:v>
              </c:pt>
              <c:pt idx="22">
                <c:v>FFB</c:v>
              </c:pt>
              <c:pt idx="23">
                <c:v>FFB</c:v>
              </c:pt>
              <c:pt idx="24">
                <c:v>FFB</c:v>
              </c:pt>
              <c:pt idx="25">
                <c:v>FFB</c:v>
              </c:pt>
            </c:strLit>
          </c:cat>
          <c:val>
            <c:numLit>
              <c:formatCode>General</c:formatCode>
              <c:ptCount val="48"/>
            </c:numLit>
          </c:val>
          <c:smooth val="0"/>
          <c:extLst>
            <c:ext xmlns:c16="http://schemas.microsoft.com/office/drawing/2014/chart" uri="{C3380CC4-5D6E-409C-BE32-E72D297353CC}">
              <c16:uniqueId val="{00000006-4517-4A75-B978-72966952E173}"/>
            </c:ext>
          </c:extLst>
        </c:ser>
        <c:ser>
          <c:idx val="7"/>
          <c:order val="7"/>
          <c:tx>
            <c:v>#BEZUG!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Lit>
              <c:ptCount val="48"/>
              <c:pt idx="0">
                <c:v>FFB</c:v>
              </c:pt>
              <c:pt idx="4">
                <c:v>FFB</c:v>
              </c:pt>
              <c:pt idx="7">
                <c:v>FFB</c:v>
              </c:pt>
              <c:pt idx="22">
                <c:v>FFB</c:v>
              </c:pt>
              <c:pt idx="23">
                <c:v>FFB</c:v>
              </c:pt>
              <c:pt idx="24">
                <c:v>FFB</c:v>
              </c:pt>
              <c:pt idx="25">
                <c:v>FFB</c:v>
              </c:pt>
            </c:strLit>
          </c:cat>
          <c:val>
            <c:numLit>
              <c:formatCode>General</c:formatCode>
              <c:ptCount val="48"/>
            </c:numLit>
          </c:val>
          <c:smooth val="0"/>
          <c:extLst>
            <c:ext xmlns:c16="http://schemas.microsoft.com/office/drawing/2014/chart" uri="{C3380CC4-5D6E-409C-BE32-E72D297353CC}">
              <c16:uniqueId val="{00000007-4517-4A75-B978-72966952E173}"/>
            </c:ext>
          </c:extLst>
        </c:ser>
        <c:ser>
          <c:idx val="8"/>
          <c:order val="8"/>
          <c:tx>
            <c:v>#BEZUG!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Lit>
              <c:ptCount val="48"/>
              <c:pt idx="0">
                <c:v>FFB</c:v>
              </c:pt>
              <c:pt idx="4">
                <c:v>FFB</c:v>
              </c:pt>
              <c:pt idx="7">
                <c:v>FFB</c:v>
              </c:pt>
              <c:pt idx="22">
                <c:v>FFB</c:v>
              </c:pt>
              <c:pt idx="23">
                <c:v>FFB</c:v>
              </c:pt>
              <c:pt idx="24">
                <c:v>FFB</c:v>
              </c:pt>
              <c:pt idx="25">
                <c:v>FFB</c:v>
              </c:pt>
            </c:strLit>
          </c:cat>
          <c:val>
            <c:numLit>
              <c:formatCode>General</c:formatCode>
              <c:ptCount val="48"/>
            </c:numLit>
          </c:val>
          <c:smooth val="0"/>
          <c:extLst>
            <c:ext xmlns:c16="http://schemas.microsoft.com/office/drawing/2014/chart" uri="{C3380CC4-5D6E-409C-BE32-E72D297353CC}">
              <c16:uniqueId val="{00000008-4517-4A75-B978-72966952E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087264"/>
        <c:axId val="1664089344"/>
      </c:lineChart>
      <c:lineChart>
        <c:grouping val="standard"/>
        <c:varyColors val="0"/>
        <c:ser>
          <c:idx val="9"/>
          <c:order val="9"/>
          <c:tx>
            <c:v>#BEZUG!</c:v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Lit>
              <c:ptCount val="48"/>
              <c:pt idx="0">
                <c:v>FFB</c:v>
              </c:pt>
              <c:pt idx="4">
                <c:v>FFB</c:v>
              </c:pt>
              <c:pt idx="7">
                <c:v>FFB</c:v>
              </c:pt>
              <c:pt idx="22">
                <c:v>FFB</c:v>
              </c:pt>
              <c:pt idx="23">
                <c:v>FFB</c:v>
              </c:pt>
              <c:pt idx="24">
                <c:v>FFB</c:v>
              </c:pt>
              <c:pt idx="25">
                <c:v>FFB</c:v>
              </c:pt>
            </c:strLit>
          </c:cat>
          <c:val>
            <c:numLit>
              <c:formatCode>General</c:formatCode>
              <c:ptCount val="48"/>
            </c:numLit>
          </c:val>
          <c:smooth val="0"/>
          <c:extLst>
            <c:ext xmlns:c16="http://schemas.microsoft.com/office/drawing/2014/chart" uri="{C3380CC4-5D6E-409C-BE32-E72D297353CC}">
              <c16:uniqueId val="{00000009-4517-4A75-B978-72966952E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088096"/>
        <c:axId val="1664086432"/>
      </c:lineChart>
      <c:catAx>
        <c:axId val="166408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4089344"/>
        <c:crosses val="autoZero"/>
        <c:auto val="1"/>
        <c:lblAlgn val="ctr"/>
        <c:lblOffset val="100"/>
        <c:noMultiLvlLbl val="0"/>
      </c:catAx>
      <c:valAx>
        <c:axId val="1664089344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4087264"/>
        <c:crosses val="autoZero"/>
        <c:crossBetween val="between"/>
      </c:valAx>
      <c:valAx>
        <c:axId val="1664086432"/>
        <c:scaling>
          <c:orientation val="minMax"/>
          <c:max val="50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4088096"/>
        <c:crosses val="max"/>
        <c:crossBetween val="between"/>
      </c:valAx>
      <c:catAx>
        <c:axId val="16640880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64086432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>
              <a:lumMod val="15000"/>
              <a:lumOff val="85000"/>
            </a:schemeClr>
          </a:solidFill>
          <a:prstDash val="sysDot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ysDot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650-42A9-8229-DD029CE235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650-42A9-8229-DD029CE2350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650-42A9-8229-DD029CE2350D}"/>
                </c:ext>
              </c:extLst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Tabelle2!$E$39:$F$39</c15:sqref>
                  </c15:fullRef>
                </c:ext>
              </c:extLst>
              <c:f>Tabelle2!$E$39:$F$39</c:f>
              <c:strCache>
                <c:ptCount val="2"/>
                <c:pt idx="0">
                  <c:v>Transport </c:v>
                </c:pt>
                <c:pt idx="1">
                  <c:v>Other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Tabelle2!$B$33:$J$33</c15:sqref>
                  </c15:fullRef>
                </c:ext>
              </c:extLst>
              <c:f>Tabelle2!$B$33:$C$33</c:f>
              <c:numCache>
                <c:formatCode>#,##0</c:formatCode>
                <c:ptCount val="2"/>
                <c:pt idx="0">
                  <c:v>2756</c:v>
                </c:pt>
                <c:pt idx="1">
                  <c:v>721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Tabelle2!$D$33</c15:sqref>
                  <c15:dLbl>
                    <c:idx val="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20C0-4C17-A610-C829D2DD102F}"/>
                      </c:ext>
                    </c:extLst>
                  </c15:dLbl>
                </c15:categoryFilterException>
                <c15:categoryFilterException>
                  <c15:sqref>Tabelle2!$E$33</c15:sqref>
                  <c15:dLbl>
                    <c:idx val="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20C0-4C17-A610-C829D2DD102F}"/>
                      </c:ext>
                    </c:extLst>
                  </c15:dLbl>
                </c15:categoryFilterException>
                <c15:categoryFilterException>
                  <c15:sqref>Tabelle2!$F$33</c15:sqref>
                  <c15:dLbl>
                    <c:idx val="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20C0-4C17-A610-C829D2DD102F}"/>
                      </c:ext>
                    </c:extLst>
                  </c15:dLbl>
                </c15:categoryFilterException>
                <c15:categoryFilterException>
                  <c15:sqref>Tabelle2!$G$33</c15:sqref>
                  <c15:dLbl>
                    <c:idx val="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20C0-4C17-A610-C829D2DD102F}"/>
                      </c:ext>
                    </c:extLst>
                  </c15:dLbl>
                </c15:categoryFilterException>
                <c15:categoryFilterException>
                  <c15:sqref>Tabelle2!$H$33</c15:sqref>
                  <c15:dLbl>
                    <c:idx val="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8-20C0-4C17-A610-C829D2DD102F}"/>
                      </c:ext>
                    </c:extLst>
                  </c15:dLbl>
                </c15:categoryFilterException>
                <c15:categoryFilterException>
                  <c15:sqref>Tabelle2!$I$33</c15:sqref>
                  <c15:dLbl>
                    <c:idx val="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20C0-4C17-A610-C829D2DD102F}"/>
                      </c:ext>
                    </c:extLst>
                  </c15:dLbl>
                </c15:categoryFilterException>
                <c15:categoryFilterException>
                  <c15:sqref>Tabelle2!$J$33</c15:sqref>
                  <c15:dLbl>
                    <c:idx val="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A-20C0-4C17-A610-C829D2DD102F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1650-42A9-8229-DD029CE23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25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AF-419C-AD35-0182B6531067}"/>
              </c:ext>
            </c:extLst>
          </c:dPt>
          <c:dPt>
            <c:idx val="1"/>
            <c:bubble3D val="0"/>
            <c:spPr>
              <a:solidFill>
                <a:srgbClr val="005B7F">
                  <a:alpha val="78824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6A1-46C6-A494-62A2E9C12DE5}"/>
              </c:ext>
            </c:extLst>
          </c:dPt>
          <c:dPt>
            <c:idx val="2"/>
            <c:bubble3D val="0"/>
            <c:spPr>
              <a:solidFill>
                <a:srgbClr val="179C7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6A1-46C6-A494-62A2E9C12DE5}"/>
              </c:ext>
            </c:extLst>
          </c:dPt>
          <c:dPt>
            <c:idx val="3"/>
            <c:bubble3D val="0"/>
            <c:spPr>
              <a:solidFill>
                <a:srgbClr val="005B7F">
                  <a:alpha val="30196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6A1-46C6-A494-62A2E9C12DE5}"/>
              </c:ext>
            </c:extLst>
          </c:dPt>
          <c:dPt>
            <c:idx val="4"/>
            <c:bubble3D val="0"/>
            <c:spPr>
              <a:solidFill>
                <a:schemeClr val="bg1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6A1-46C6-A494-62A2E9C12DE5}"/>
              </c:ext>
            </c:extLst>
          </c:dPt>
          <c:cat>
            <c:strRef>
              <c:f>Tabelle2!$E$35:$H$35</c:f>
              <c:strCache>
                <c:ptCount val="4"/>
                <c:pt idx="0">
                  <c:v>Rail</c:v>
                </c:pt>
                <c:pt idx="1">
                  <c:v>Aviation </c:v>
                </c:pt>
                <c:pt idx="2">
                  <c:v>Road</c:v>
                </c:pt>
                <c:pt idx="3">
                  <c:v>Marine </c:v>
                </c:pt>
              </c:strCache>
            </c:strRef>
          </c:cat>
          <c:val>
            <c:numRef>
              <c:f>Tabelle2!$E$36:$I$36</c:f>
              <c:numCache>
                <c:formatCode>General</c:formatCode>
                <c:ptCount val="5"/>
                <c:pt idx="0">
                  <c:v>1</c:v>
                </c:pt>
                <c:pt idx="1">
                  <c:v>4.2880000000000003</c:v>
                </c:pt>
                <c:pt idx="2">
                  <c:v>23.424000000000003</c:v>
                </c:pt>
                <c:pt idx="3">
                  <c:v>4.1280000000000001</c:v>
                </c:pt>
                <c:pt idx="4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A1-46C6-A494-62A2E9C12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43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572025371828519"/>
          <c:y val="0.36998760571595218"/>
          <c:w val="0.13761307961504812"/>
          <c:h val="0.270579979585885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179C7D">
                  <a:alpha val="78039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08-4F44-BFAB-13D13DDA793E}"/>
              </c:ext>
            </c:extLst>
          </c:dPt>
          <c:dPt>
            <c:idx val="1"/>
            <c:bubble3D val="0"/>
            <c:spPr>
              <a:solidFill>
                <a:srgbClr val="179C7D">
                  <a:alpha val="54118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A08-4F44-BFAB-13D13DDA793E}"/>
              </c:ext>
            </c:extLst>
          </c:dPt>
          <c:dPt>
            <c:idx val="2"/>
            <c:bubble3D val="0"/>
            <c:spPr>
              <a:solidFill>
                <a:srgbClr val="179C7D">
                  <a:alpha val="14118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08-4F44-BFAB-13D13DDA793E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A08-4F44-BFAB-13D13DDA793E}"/>
              </c:ext>
            </c:extLst>
          </c:dPt>
          <c:cat>
            <c:strRef>
              <c:f>Tabelle2!$E$34:$G$34</c:f>
              <c:strCache>
                <c:ptCount val="3"/>
                <c:pt idx="0">
                  <c:v>Passenger transport  </c:v>
                </c:pt>
                <c:pt idx="1">
                  <c:v>Heavy duty &amp; buses</c:v>
                </c:pt>
                <c:pt idx="2">
                  <c:v>Light duty trucks</c:v>
                </c:pt>
              </c:strCache>
            </c:strRef>
          </c:cat>
          <c:val>
            <c:numRef>
              <c:f>Tabelle2!$E$37:$H$37</c:f>
              <c:numCache>
                <c:formatCode>General</c:formatCode>
                <c:ptCount val="4"/>
                <c:pt idx="0">
                  <c:v>44.652000000000001</c:v>
                </c:pt>
                <c:pt idx="1">
                  <c:v>20.495999999999999</c:v>
                </c:pt>
                <c:pt idx="2">
                  <c:v>8.0519999999999996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8-4F44-BFAB-13D13DDA7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44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69715858700482"/>
          <c:y val="0.4238600294417123"/>
          <c:w val="0.22334876278414267"/>
          <c:h val="0.19323557251589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GWP</a:t>
            </a:r>
            <a:r>
              <a:rPr lang="de-DE" baseline="0"/>
              <a:t> 100 kWh battery pack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Tabelle2!$B$48</c:f>
              <c:strCache>
                <c:ptCount val="1"/>
                <c:pt idx="0">
                  <c:v>Pack components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Tabelle2!$C$48</c:f>
              <c:numCache>
                <c:formatCode>General</c:formatCode>
                <c:ptCount val="1"/>
                <c:pt idx="0">
                  <c:v>14.856999999999999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D-4350-9C44-E25EF6E44932}"/>
            </c:ext>
          </c:extLst>
        </c:ser>
        <c:ser>
          <c:idx val="0"/>
          <c:order val="1"/>
          <c:tx>
            <c:strRef>
              <c:f>Tabelle2!$B$47</c:f>
              <c:strCache>
                <c:ptCount val="1"/>
                <c:pt idx="0">
                  <c:v>Cell Materials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Tabelle2!$C$47</c:f>
              <c:numCache>
                <c:formatCode>General</c:formatCode>
                <c:ptCount val="1"/>
                <c:pt idx="0">
                  <c:v>44.570999999999998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D-4350-9C44-E25EF6E44932}"/>
            </c:ext>
          </c:extLst>
        </c:ser>
        <c:ser>
          <c:idx val="2"/>
          <c:order val="2"/>
          <c:tx>
            <c:strRef>
              <c:f>Tabelle2!$B$46</c:f>
              <c:strCache>
                <c:ptCount val="1"/>
                <c:pt idx="0">
                  <c:v>Production energy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Tabelle2!$C$46</c:f>
              <c:numCache>
                <c:formatCode>General</c:formatCode>
                <c:ptCount val="1"/>
                <c:pt idx="0">
                  <c:v>44.572000000000003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CD-4350-9C44-E25EF6E44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overlap val="100"/>
        <c:axId val="1669414784"/>
        <c:axId val="1669410624"/>
      </c:barChart>
      <c:catAx>
        <c:axId val="166941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69410624"/>
        <c:crosses val="autoZero"/>
        <c:auto val="1"/>
        <c:lblAlgn val="ctr"/>
        <c:lblOffset val="100"/>
        <c:noMultiLvlLbl val="0"/>
      </c:catAx>
      <c:valAx>
        <c:axId val="166941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kg CO2-eq.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941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8</xdr:row>
      <xdr:rowOff>139700</xdr:rowOff>
    </xdr:from>
    <xdr:to>
      <xdr:col>9</xdr:col>
      <xdr:colOff>114300</xdr:colOff>
      <xdr:row>10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166DFD-4058-4C7E-A70D-6A6D6E9AC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130425"/>
          <a:ext cx="29845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</xdr:row>
      <xdr:rowOff>101600</xdr:rowOff>
    </xdr:from>
    <xdr:to>
      <xdr:col>7</xdr:col>
      <xdr:colOff>254000</xdr:colOff>
      <xdr:row>4</xdr:row>
      <xdr:rowOff>0</xdr:rowOff>
    </xdr:to>
    <xdr:pic>
      <xdr:nvPicPr>
        <xdr:cNvPr id="3" name="Picture 2" descr="esupp new graphic">
          <a:extLst>
            <a:ext uri="{FF2B5EF4-FFF2-40B4-BE49-F238E27FC236}">
              <a16:creationId xmlns:a16="http://schemas.microsoft.com/office/drawing/2014/main" id="{82C64877-7D02-41FF-A1E0-9B58D7AF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100"/>
          <a:ext cx="5321300" cy="546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</xdr:row>
      <xdr:rowOff>114300</xdr:rowOff>
    </xdr:from>
    <xdr:to>
      <xdr:col>4</xdr:col>
      <xdr:colOff>342900</xdr:colOff>
      <xdr:row>7</xdr:row>
      <xdr:rowOff>25400</xdr:rowOff>
    </xdr:to>
    <xdr:pic>
      <xdr:nvPicPr>
        <xdr:cNvPr id="4" name="Object 5" hidden="1">
          <a:extLst>
            <a:ext uri="{FF2B5EF4-FFF2-40B4-BE49-F238E27FC236}">
              <a16:creationId xmlns:a16="http://schemas.microsoft.com/office/drawing/2014/main" id="{6B0F3D1F-706B-4CCC-A65D-4EFFF78B9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"/>
          <a:ext cx="3238500" cy="10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71</xdr:row>
      <xdr:rowOff>13606</xdr:rowOff>
    </xdr:from>
    <xdr:to>
      <xdr:col>55</xdr:col>
      <xdr:colOff>0</xdr:colOff>
      <xdr:row>101</xdr:row>
      <xdr:rowOff>27214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117137C2-74B5-CDDD-0236-4A454C0A8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27214</xdr:colOff>
      <xdr:row>71</xdr:row>
      <xdr:rowOff>0</xdr:rowOff>
    </xdr:from>
    <xdr:to>
      <xdr:col>72</xdr:col>
      <xdr:colOff>435428</xdr:colOff>
      <xdr:row>101</xdr:row>
      <xdr:rowOff>13608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C7E182FA-80CB-4427-AB6C-366F9A543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13608</xdr:colOff>
      <xdr:row>122</xdr:row>
      <xdr:rowOff>160087</xdr:rowOff>
    </xdr:from>
    <xdr:to>
      <xdr:col>72</xdr:col>
      <xdr:colOff>421822</xdr:colOff>
      <xdr:row>179</xdr:row>
      <xdr:rowOff>103747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A6CEFDD1-70B8-4335-B9B5-02F824BBB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80</xdr:col>
      <xdr:colOff>1</xdr:colOff>
      <xdr:row>71</xdr:row>
      <xdr:rowOff>13607</xdr:rowOff>
    </xdr:from>
    <xdr:to>
      <xdr:col>83</xdr:col>
      <xdr:colOff>285751</xdr:colOff>
      <xdr:row>125</xdr:row>
      <xdr:rowOff>108857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13A7513C-FCB7-4020-A69F-3CB3B18F54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99</xdr:col>
      <xdr:colOff>0</xdr:colOff>
      <xdr:row>70</xdr:row>
      <xdr:rowOff>149679</xdr:rowOff>
    </xdr:from>
    <xdr:to>
      <xdr:col>102</xdr:col>
      <xdr:colOff>285750</xdr:colOff>
      <xdr:row>125</xdr:row>
      <xdr:rowOff>81643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B538CB1-636B-43C0-B84B-377556822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118</xdr:col>
      <xdr:colOff>1</xdr:colOff>
      <xdr:row>71</xdr:row>
      <xdr:rowOff>27215</xdr:rowOff>
    </xdr:from>
    <xdr:to>
      <xdr:col>121</xdr:col>
      <xdr:colOff>285751</xdr:colOff>
      <xdr:row>125</xdr:row>
      <xdr:rowOff>122465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5053C3B9-2A86-4FEE-898F-1D0A2375A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137</xdr:col>
      <xdr:colOff>0</xdr:colOff>
      <xdr:row>71</xdr:row>
      <xdr:rowOff>13607</xdr:rowOff>
    </xdr:from>
    <xdr:to>
      <xdr:col>140</xdr:col>
      <xdr:colOff>285750</xdr:colOff>
      <xdr:row>125</xdr:row>
      <xdr:rowOff>108857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8295DCE5-DED0-4A80-A4C1-B230D55BF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156</xdr:col>
      <xdr:colOff>1</xdr:colOff>
      <xdr:row>71</xdr:row>
      <xdr:rowOff>13608</xdr:rowOff>
    </xdr:from>
    <xdr:to>
      <xdr:col>159</xdr:col>
      <xdr:colOff>285751</xdr:colOff>
      <xdr:row>125</xdr:row>
      <xdr:rowOff>108858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5CE27B51-8792-4F44-AC44-9E5FAA45D9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175</xdr:col>
      <xdr:colOff>0</xdr:colOff>
      <xdr:row>70</xdr:row>
      <xdr:rowOff>149679</xdr:rowOff>
    </xdr:from>
    <xdr:to>
      <xdr:col>178</xdr:col>
      <xdr:colOff>285750</xdr:colOff>
      <xdr:row>125</xdr:row>
      <xdr:rowOff>81643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B3F7FE0-B0DD-4E68-BC4D-201DB2C67E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213</xdr:col>
      <xdr:colOff>0</xdr:colOff>
      <xdr:row>71</xdr:row>
      <xdr:rowOff>0</xdr:rowOff>
    </xdr:from>
    <xdr:to>
      <xdr:col>216</xdr:col>
      <xdr:colOff>285750</xdr:colOff>
      <xdr:row>125</xdr:row>
      <xdr:rowOff>95250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86CDF030-33BD-484A-AF09-008EA608F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194</xdr:col>
      <xdr:colOff>0</xdr:colOff>
      <xdr:row>71</xdr:row>
      <xdr:rowOff>27214</xdr:rowOff>
    </xdr:from>
    <xdr:to>
      <xdr:col>197</xdr:col>
      <xdr:colOff>285750</xdr:colOff>
      <xdr:row>125</xdr:row>
      <xdr:rowOff>122464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A711ECFA-A6D8-40C4-8E75-AE970DCFD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0</xdr:colOff>
      <xdr:row>123</xdr:row>
      <xdr:rowOff>0</xdr:rowOff>
    </xdr:from>
    <xdr:to>
      <xdr:col>54</xdr:col>
      <xdr:colOff>911677</xdr:colOff>
      <xdr:row>178</xdr:row>
      <xdr:rowOff>84535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88622687-19DC-4522-92B0-2DB5B1A23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231</xdr:col>
      <xdr:colOff>762000</xdr:colOff>
      <xdr:row>70</xdr:row>
      <xdr:rowOff>159654</xdr:rowOff>
    </xdr:from>
    <xdr:to>
      <xdr:col>236</xdr:col>
      <xdr:colOff>56029</xdr:colOff>
      <xdr:row>96</xdr:row>
      <xdr:rowOff>20313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39236FFC-111A-43AD-9795-DFB078A95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251</xdr:col>
      <xdr:colOff>0</xdr:colOff>
      <xdr:row>71</xdr:row>
      <xdr:rowOff>0</xdr:rowOff>
    </xdr:from>
    <xdr:to>
      <xdr:col>255</xdr:col>
      <xdr:colOff>32218</xdr:colOff>
      <xdr:row>96</xdr:row>
      <xdr:rowOff>21394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185DD2B6-3322-4636-8EE3-821ACF4BBA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270</xdr:col>
      <xdr:colOff>0</xdr:colOff>
      <xdr:row>71</xdr:row>
      <xdr:rowOff>0</xdr:rowOff>
    </xdr:from>
    <xdr:to>
      <xdr:col>274</xdr:col>
      <xdr:colOff>32218</xdr:colOff>
      <xdr:row>96</xdr:row>
      <xdr:rowOff>21394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70B236BA-3879-436E-8BA1-CDB5B1795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289</xdr:col>
      <xdr:colOff>0</xdr:colOff>
      <xdr:row>71</xdr:row>
      <xdr:rowOff>0</xdr:rowOff>
    </xdr:from>
    <xdr:to>
      <xdr:col>293</xdr:col>
      <xdr:colOff>32218</xdr:colOff>
      <xdr:row>96</xdr:row>
      <xdr:rowOff>21394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B7F995BE-3AE9-48BE-9B8D-2E91F3C07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308</xdr:col>
      <xdr:colOff>0</xdr:colOff>
      <xdr:row>70</xdr:row>
      <xdr:rowOff>163285</xdr:rowOff>
    </xdr:from>
    <xdr:to>
      <xdr:col>312</xdr:col>
      <xdr:colOff>32218</xdr:colOff>
      <xdr:row>96</xdr:row>
      <xdr:rowOff>21394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1434739A-0173-4077-9B1F-983A9D23C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327</xdr:col>
      <xdr:colOff>0</xdr:colOff>
      <xdr:row>71</xdr:row>
      <xdr:rowOff>0</xdr:rowOff>
    </xdr:from>
    <xdr:to>
      <xdr:col>331</xdr:col>
      <xdr:colOff>32218</xdr:colOff>
      <xdr:row>96</xdr:row>
      <xdr:rowOff>23761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52B9010A-06A3-4DAC-9075-96E0936D5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346</xdr:col>
      <xdr:colOff>0</xdr:colOff>
      <xdr:row>71</xdr:row>
      <xdr:rowOff>0</xdr:rowOff>
    </xdr:from>
    <xdr:to>
      <xdr:col>350</xdr:col>
      <xdr:colOff>32217</xdr:colOff>
      <xdr:row>96</xdr:row>
      <xdr:rowOff>23761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89E56074-5F05-42FA-8892-3A9412A0B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365</xdr:col>
      <xdr:colOff>0</xdr:colOff>
      <xdr:row>71</xdr:row>
      <xdr:rowOff>0</xdr:rowOff>
    </xdr:from>
    <xdr:to>
      <xdr:col>369</xdr:col>
      <xdr:colOff>32218</xdr:colOff>
      <xdr:row>96</xdr:row>
      <xdr:rowOff>23761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C555EE69-F589-47AD-82C6-BA77F0C7E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242454</xdr:colOff>
      <xdr:row>31</xdr:row>
      <xdr:rowOff>17318</xdr:rowOff>
    </xdr:from>
    <xdr:to>
      <xdr:col>42</xdr:col>
      <xdr:colOff>183781</xdr:colOff>
      <xdr:row>68</xdr:row>
      <xdr:rowOff>271440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92A199F-354A-4582-9471-7E8C56EA8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242454</xdr:colOff>
      <xdr:row>69</xdr:row>
      <xdr:rowOff>207818</xdr:rowOff>
    </xdr:from>
    <xdr:to>
      <xdr:col>42</xdr:col>
      <xdr:colOff>179808</xdr:colOff>
      <xdr:row>101</xdr:row>
      <xdr:rowOff>113902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34DE6B9D-EA32-43B4-A696-61A9D414B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242454</xdr:colOff>
      <xdr:row>103</xdr:row>
      <xdr:rowOff>121227</xdr:rowOff>
    </xdr:from>
    <xdr:to>
      <xdr:col>42</xdr:col>
      <xdr:colOff>179808</xdr:colOff>
      <xdr:row>130</xdr:row>
      <xdr:rowOff>113902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528403-EA1F-43C4-AB97-2717A3C6A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242454</xdr:colOff>
      <xdr:row>132</xdr:row>
      <xdr:rowOff>121228</xdr:rowOff>
    </xdr:from>
    <xdr:to>
      <xdr:col>42</xdr:col>
      <xdr:colOff>179808</xdr:colOff>
      <xdr:row>159</xdr:row>
      <xdr:rowOff>113902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60588275-4479-4971-86D8-48E2776FB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275299</xdr:colOff>
      <xdr:row>3</xdr:row>
      <xdr:rowOff>17318</xdr:rowOff>
    </xdr:from>
    <xdr:to>
      <xdr:col>42</xdr:col>
      <xdr:colOff>225022</xdr:colOff>
      <xdr:row>29</xdr:row>
      <xdr:rowOff>1904</xdr:rowOff>
    </xdr:to>
    <xdr:graphicFrame macro="">
      <xdr:nvGraphicFramePr>
        <xdr:cNvPr id="95" name="Diagramm 94">
          <a:extLst>
            <a:ext uri="{FF2B5EF4-FFF2-40B4-BE49-F238E27FC236}">
              <a16:creationId xmlns:a16="http://schemas.microsoft.com/office/drawing/2014/main" id="{CB481EB8-6A5B-4C40-B148-2694CA21C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30</xdr:row>
      <xdr:rowOff>161924</xdr:rowOff>
    </xdr:from>
    <xdr:to>
      <xdr:col>13</xdr:col>
      <xdr:colOff>161925</xdr:colOff>
      <xdr:row>58</xdr:row>
      <xdr:rowOff>142875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7357BCB-F932-4C97-A0AF-1C5376E21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19049</xdr:colOff>
      <xdr:row>68</xdr:row>
      <xdr:rowOff>152399</xdr:rowOff>
    </xdr:from>
    <xdr:to>
      <xdr:col>33</xdr:col>
      <xdr:colOff>638175</xdr:colOff>
      <xdr:row>94</xdr:row>
      <xdr:rowOff>19050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03BBD12-A8F6-978A-6551-63C750DF9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0</xdr:row>
      <xdr:rowOff>0</xdr:rowOff>
    </xdr:from>
    <xdr:to>
      <xdr:col>18</xdr:col>
      <xdr:colOff>152400</xdr:colOff>
      <xdr:row>12</xdr:row>
      <xdr:rowOff>91440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398521C-D321-40F9-89D5-3B799D597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579120</xdr:colOff>
      <xdr:row>26</xdr:row>
      <xdr:rowOff>163830</xdr:rowOff>
    </xdr:from>
    <xdr:to>
      <xdr:col>23</xdr:col>
      <xdr:colOff>396240</xdr:colOff>
      <xdr:row>43</xdr:row>
      <xdr:rowOff>57150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BC7382BB-542E-4AB0-BAFB-543B508BF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276152</xdr:colOff>
      <xdr:row>43</xdr:row>
      <xdr:rowOff>29788</xdr:rowOff>
    </xdr:from>
    <xdr:to>
      <xdr:col>18</xdr:col>
      <xdr:colOff>86751</xdr:colOff>
      <xdr:row>62</xdr:row>
      <xdr:rowOff>63436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FD930FEE-EB12-4D39-AE23-2DF6F2138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3243" y="7178733"/>
          <a:ext cx="6128272" cy="3192485"/>
        </a:xfrm>
        <a:prstGeom prst="rect">
          <a:avLst/>
        </a:prstGeom>
      </xdr:spPr>
    </xdr:pic>
    <xdr:clientData/>
  </xdr:twoCellAnchor>
  <xdr:twoCellAnchor>
    <xdr:from>
      <xdr:col>17</xdr:col>
      <xdr:colOff>759228</xdr:colOff>
      <xdr:row>9</xdr:row>
      <xdr:rowOff>100098</xdr:rowOff>
    </xdr:from>
    <xdr:to>
      <xdr:col>23</xdr:col>
      <xdr:colOff>579119</xdr:colOff>
      <xdr:row>25</xdr:row>
      <xdr:rowOff>161058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22FAC8AD-829A-48E9-96A5-03063CEB8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750222</xdr:colOff>
      <xdr:row>21</xdr:row>
      <xdr:rowOff>89707</xdr:rowOff>
    </xdr:from>
    <xdr:to>
      <xdr:col>18</xdr:col>
      <xdr:colOff>663631</xdr:colOff>
      <xdr:row>41</xdr:row>
      <xdr:rowOff>85897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B109636-0570-4CD9-9864-A226F2CE7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320040</xdr:colOff>
      <xdr:row>42</xdr:row>
      <xdr:rowOff>110490</xdr:rowOff>
    </xdr:from>
    <xdr:to>
      <xdr:col>8</xdr:col>
      <xdr:colOff>480060</xdr:colOff>
      <xdr:row>59</xdr:row>
      <xdr:rowOff>3810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30425EBE-FA75-4660-93FA-9B4F14E52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egen, Florian" id="{D3E0DA34-699C-4A89-BDB3-61DDF3098B4E}" userId="S::florian.degen@ffb.fraunhofer.de::196bbdce-cafc-4854-a691-1991a534c7e7" providerId="AD"/>
  <person displayName="Mitterfellner, Miriam" id="{334904EA-4698-4BD0-B2D1-B733C715A7F3}" userId="S::miriam.mitterfellner@ffb.fraunhofer.de::3f35f27a-0479-4d39-b5b6-1668a4e2ee4d" providerId="AD"/>
</personList>
</file>

<file path=xl/theme/theme1.xml><?xml version="1.0" encoding="utf-8"?>
<a:theme xmlns:a="http://schemas.openxmlformats.org/drawingml/2006/main" name="FhG_2022">
  <a:themeElements>
    <a:clrScheme name="FhG 2022">
      <a:dk1>
        <a:srgbClr val="000000"/>
      </a:dk1>
      <a:lt1>
        <a:sysClr val="window" lastClr="FFFFFF"/>
      </a:lt1>
      <a:dk2>
        <a:srgbClr val="A6BBC8"/>
      </a:dk2>
      <a:lt2>
        <a:srgbClr val="F58220"/>
      </a:lt2>
      <a:accent1>
        <a:srgbClr val="179C7D"/>
      </a:accent1>
      <a:accent2>
        <a:srgbClr val="005B7F"/>
      </a:accent2>
      <a:accent3>
        <a:srgbClr val="A6BBC8"/>
      </a:accent3>
      <a:accent4>
        <a:srgbClr val="008598"/>
      </a:accent4>
      <a:accent5>
        <a:srgbClr val="39C1CD"/>
      </a:accent5>
      <a:accent6>
        <a:srgbClr val="B2D235"/>
      </a:accent6>
      <a:hlink>
        <a:srgbClr val="0070C0"/>
      </a:hlink>
      <a:folHlink>
        <a:srgbClr val="7030A0"/>
      </a:folHlink>
    </a:clrScheme>
    <a:fontScheme name="FhG_2022">
      <a:majorFont>
        <a:latin typeface="Frutiger LT Com 45 Light"/>
        <a:ea typeface=""/>
        <a:cs typeface=""/>
      </a:majorFont>
      <a:minorFont>
        <a:latin typeface="Frutiger LT Com 45 Light"/>
        <a:ea typeface=""/>
        <a:cs typeface="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rgbClr val="DDDDDD"/>
        </a:solidFill>
        <a:ln w="1079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="horz" wrap="square" lIns="91440" tIns="45720" rIns="91440" bIns="45720" numCol="1" rtlCol="0" anchor="ctr" anchorCtr="0" compatLnSpc="1">
        <a:prstTxWarp prst="textNoShape">
          <a:avLst/>
        </a:prstTxWarp>
      </a:bodyPr>
      <a:lstStyle>
        <a:defPPr marL="0" marR="0" indent="0" algn="ctr" defTabSz="914400" rtl="0" eaLnBrk="1" fontAlgn="base" latinLnBrk="0" hangingPunct="1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000" b="1" i="0" u="none" strike="noStrike" cap="none" normalizeH="0" baseline="0" dirty="0" smtClean="0">
            <a:ln>
              <a:noFill/>
            </a:ln>
            <a:solidFill>
              <a:schemeClr val="tx1"/>
            </a:solidFill>
            <a:effectLst/>
            <a:latin typeface="Arial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DDDDDD"/>
        </a:solidFill>
        <a:ln w="1079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l" defTabSz="914400" rtl="0" eaLnBrk="1" fontAlgn="base" latinLnBrk="0" hangingPunct="1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de-DE" sz="18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charset="0"/>
          </a:defRPr>
        </a:defPPr>
      </a:lstStyle>
    </a:lnDef>
  </a:objectDefaults>
  <a:extraClrSchemeLst>
    <a:extraClrScheme>
      <a:clrScheme name="1_fol_q 1">
        <a:dk1>
          <a:srgbClr val="000000"/>
        </a:dk1>
        <a:lt1>
          <a:srgbClr val="FFFFFF"/>
        </a:lt1>
        <a:dk2>
          <a:srgbClr val="000000"/>
        </a:dk2>
        <a:lt2>
          <a:srgbClr val="FFFFFF"/>
        </a:lt2>
        <a:accent1>
          <a:srgbClr val="B9E1D8"/>
        </a:accent1>
        <a:accent2>
          <a:srgbClr val="179C7D"/>
        </a:accent2>
        <a:accent3>
          <a:srgbClr val="FFFFFF"/>
        </a:accent3>
        <a:accent4>
          <a:srgbClr val="000000"/>
        </a:accent4>
        <a:accent5>
          <a:srgbClr val="D9EEE9"/>
        </a:accent5>
        <a:accent6>
          <a:srgbClr val="148D71"/>
        </a:accent6>
        <a:hlink>
          <a:srgbClr val="8BCDBE"/>
        </a:hlink>
        <a:folHlink>
          <a:srgbClr val="5CBAA4"/>
        </a:folHlink>
      </a:clrScheme>
      <a:clrMap bg1="lt1" tx1="dk1" bg2="lt2" tx2="dk2" accent1="accent1" accent2="accent2" accent3="accent3" accent4="accent4" accent5="accent5" accent6="accent6" hlink="hlink" folHlink="folHlink"/>
    </a:extraClrScheme>
  </a:extraClrScheme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66" dT="2022-06-21T11:11:08.49" personId="{334904EA-4698-4BD0-B2D1-B733C715A7F3}" id="{57A88FAB-B254-4CDA-849F-7E4C83BA616F}">
    <text>Geamtbeschichtete Folie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J109" dT="2023-12-13T16:30:49.12" personId="{D3E0DA34-699C-4A89-BDB3-61DDF3098B4E}" id="{3C891153-C94E-4AE9-AD81-3933C148CEAC}">
    <text>With Na2CO3 in diagramm</text>
  </threadedComment>
  <threadedComment ref="BJ119" dT="2023-12-13T16:31:13.24" personId="{D3E0DA34-699C-4A89-BDB3-61DDF3098B4E}" id="{3977ED54-FC7B-4C8C-A4FE-185BEDDDE9F6}">
    <text>With FeSO4 in diagramm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wileyonlinelibrary.com/journal/ji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69BCB-FE31-422B-850F-0E3D1D7365DF}">
  <dimension ref="A1:J10"/>
  <sheetViews>
    <sheetView workbookViewId="0">
      <selection activeCell="G26" sqref="G26"/>
    </sheetView>
  </sheetViews>
  <sheetFormatPr baseColWidth="10" defaultRowHeight="12.75" x14ac:dyDescent="0.2"/>
  <sheetData>
    <row r="1" spans="1:10" x14ac:dyDescent="0.2">
      <c r="A1" s="578" t="s">
        <v>733</v>
      </c>
      <c r="B1" s="579"/>
      <c r="C1" s="579"/>
      <c r="D1" s="579"/>
      <c r="E1" s="579"/>
      <c r="F1" s="579"/>
      <c r="G1" s="579"/>
      <c r="H1" s="580"/>
      <c r="I1" s="580"/>
      <c r="J1" s="580"/>
    </row>
    <row r="2" spans="1:10" x14ac:dyDescent="0.2">
      <c r="A2" s="580"/>
      <c r="B2" s="580"/>
      <c r="C2" s="580"/>
      <c r="D2" s="580"/>
      <c r="E2" s="580"/>
      <c r="F2" s="580"/>
      <c r="G2" s="580"/>
      <c r="H2" s="580"/>
      <c r="I2" s="580"/>
      <c r="J2" s="580"/>
    </row>
    <row r="3" spans="1:10" ht="18" x14ac:dyDescent="0.2">
      <c r="A3" s="581" t="s">
        <v>734</v>
      </c>
      <c r="B3" s="580"/>
      <c r="C3" s="580"/>
      <c r="D3" s="580"/>
      <c r="E3" s="580"/>
      <c r="F3" s="580"/>
      <c r="G3" s="580"/>
      <c r="H3" s="580"/>
      <c r="I3" s="580"/>
      <c r="J3" s="580"/>
    </row>
    <row r="4" spans="1:10" ht="18" x14ac:dyDescent="0.2">
      <c r="A4" s="581"/>
      <c r="B4" s="580"/>
      <c r="C4" s="580"/>
      <c r="D4" s="580"/>
      <c r="E4" s="580"/>
      <c r="F4" s="580"/>
      <c r="G4" s="580"/>
      <c r="H4" s="580"/>
      <c r="I4" s="580"/>
      <c r="J4" s="580"/>
    </row>
    <row r="5" spans="1:10" ht="18" x14ac:dyDescent="0.2">
      <c r="A5" s="637" t="s">
        <v>735</v>
      </c>
      <c r="B5" s="637"/>
      <c r="C5" s="637"/>
      <c r="D5" s="637"/>
      <c r="E5" s="637"/>
      <c r="F5" s="637"/>
      <c r="G5" s="637"/>
      <c r="H5" s="637"/>
      <c r="I5" s="637"/>
      <c r="J5" s="582"/>
    </row>
    <row r="6" spans="1:10" x14ac:dyDescent="0.2">
      <c r="A6" s="637"/>
      <c r="B6" s="637"/>
      <c r="C6" s="637"/>
      <c r="D6" s="637"/>
      <c r="E6" s="637"/>
      <c r="F6" s="637"/>
      <c r="G6" s="637"/>
      <c r="H6" s="637"/>
      <c r="I6" s="637"/>
    </row>
    <row r="7" spans="1:10" x14ac:dyDescent="0.2">
      <c r="A7" s="580"/>
      <c r="B7" s="580"/>
      <c r="C7" s="580"/>
      <c r="D7" s="580"/>
      <c r="E7" s="580"/>
      <c r="F7" s="580"/>
      <c r="G7" s="580"/>
      <c r="H7" s="580"/>
      <c r="I7" s="580"/>
      <c r="J7" s="580"/>
    </row>
    <row r="8" spans="1:10" ht="14.25" x14ac:dyDescent="0.2">
      <c r="A8" s="638" t="s">
        <v>736</v>
      </c>
      <c r="B8" s="638"/>
      <c r="C8" s="638"/>
      <c r="D8" s="638"/>
      <c r="E8" s="638"/>
      <c r="F8" s="638"/>
      <c r="G8" s="638"/>
      <c r="H8" s="638"/>
      <c r="I8" s="583"/>
      <c r="J8" s="583"/>
    </row>
    <row r="9" spans="1:10" ht="14.25" x14ac:dyDescent="0.2">
      <c r="A9" s="638"/>
      <c r="B9" s="638"/>
      <c r="C9" s="638"/>
      <c r="D9" s="638"/>
      <c r="E9" s="638"/>
      <c r="F9" s="638"/>
      <c r="G9" s="638"/>
      <c r="H9" s="638"/>
      <c r="I9" s="583"/>
      <c r="J9" s="583"/>
    </row>
    <row r="10" spans="1:10" ht="14.25" x14ac:dyDescent="0.2">
      <c r="A10" s="583"/>
      <c r="B10" s="583"/>
      <c r="C10" s="583"/>
      <c r="D10" s="583"/>
      <c r="E10" s="583"/>
      <c r="F10" s="583"/>
      <c r="G10" s="583"/>
      <c r="H10" s="583"/>
      <c r="I10" s="583"/>
      <c r="J10" s="583"/>
    </row>
  </sheetData>
  <mergeCells count="2">
    <mergeCell ref="A5:I6"/>
    <mergeCell ref="A8:H9"/>
  </mergeCells>
  <hyperlinks>
    <hyperlink ref="A1" r:id="rId1" display="2017 Journal of Industrial Ecology – www.wileyonlinelibrary.com/journal/jie" xr:uid="{57F3E007-272C-460C-AD1A-883B54574E11}"/>
  </hyperlinks>
  <pageMargins left="0.7" right="0.7" top="0.78740157499999996" bottom="0.78740157499999996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9FC92-C91D-4269-8219-82754C4BD968}">
  <sheetPr>
    <tabColor rgb="FFFFC000"/>
  </sheetPr>
  <dimension ref="B3:C24"/>
  <sheetViews>
    <sheetView workbookViewId="0">
      <selection activeCell="B3" sqref="B3:C3"/>
    </sheetView>
  </sheetViews>
  <sheetFormatPr baseColWidth="10" defaultRowHeight="12.75" x14ac:dyDescent="0.2"/>
  <cols>
    <col min="2" max="2" width="29.42578125" customWidth="1"/>
    <col min="3" max="3" width="144.140625" customWidth="1"/>
  </cols>
  <sheetData>
    <row r="3" spans="2:3" ht="15" x14ac:dyDescent="0.25">
      <c r="B3" s="639" t="s">
        <v>879</v>
      </c>
      <c r="C3" s="639"/>
    </row>
    <row r="5" spans="2:3" x14ac:dyDescent="0.2">
      <c r="B5" s="574" t="s">
        <v>880</v>
      </c>
      <c r="C5" s="48"/>
    </row>
    <row r="6" spans="2:3" x14ac:dyDescent="0.2">
      <c r="B6" s="1" t="s">
        <v>891</v>
      </c>
      <c r="C6" s="494" t="s">
        <v>892</v>
      </c>
    </row>
    <row r="7" spans="2:3" x14ac:dyDescent="0.2">
      <c r="B7" s="1" t="s">
        <v>881</v>
      </c>
      <c r="C7" s="494" t="s">
        <v>893</v>
      </c>
    </row>
    <row r="8" spans="2:3" x14ac:dyDescent="0.2">
      <c r="B8" s="1" t="s">
        <v>894</v>
      </c>
      <c r="C8" s="494" t="s">
        <v>895</v>
      </c>
    </row>
    <row r="9" spans="2:3" x14ac:dyDescent="0.2">
      <c r="B9" s="1" t="s">
        <v>882</v>
      </c>
      <c r="C9" s="494" t="s">
        <v>896</v>
      </c>
    </row>
    <row r="10" spans="2:3" x14ac:dyDescent="0.2">
      <c r="B10" s="1" t="s">
        <v>883</v>
      </c>
      <c r="C10" s="494" t="s">
        <v>897</v>
      </c>
    </row>
    <row r="11" spans="2:3" x14ac:dyDescent="0.2">
      <c r="B11" s="178" t="s">
        <v>884</v>
      </c>
      <c r="C11" s="494" t="s">
        <v>911</v>
      </c>
    </row>
    <row r="12" spans="2:3" x14ac:dyDescent="0.2">
      <c r="B12" s="1" t="s">
        <v>885</v>
      </c>
      <c r="C12" s="494" t="s">
        <v>898</v>
      </c>
    </row>
    <row r="13" spans="2:3" x14ac:dyDescent="0.2">
      <c r="B13" s="635" t="s">
        <v>0</v>
      </c>
      <c r="C13" s="636" t="s">
        <v>899</v>
      </c>
    </row>
    <row r="14" spans="2:3" x14ac:dyDescent="0.2">
      <c r="B14" s="635" t="s">
        <v>1</v>
      </c>
      <c r="C14" s="494" t="s">
        <v>900</v>
      </c>
    </row>
    <row r="15" spans="2:3" x14ac:dyDescent="0.2">
      <c r="B15" s="635" t="s">
        <v>2</v>
      </c>
      <c r="C15" s="494" t="s">
        <v>901</v>
      </c>
    </row>
    <row r="16" spans="2:3" x14ac:dyDescent="0.2">
      <c r="B16" s="635" t="s">
        <v>3</v>
      </c>
      <c r="C16" s="494" t="s">
        <v>902</v>
      </c>
    </row>
    <row r="17" spans="2:3" x14ac:dyDescent="0.2">
      <c r="B17" s="635" t="s">
        <v>200</v>
      </c>
      <c r="C17" s="494" t="s">
        <v>903</v>
      </c>
    </row>
    <row r="18" spans="2:3" x14ac:dyDescent="0.2">
      <c r="B18" s="635" t="s">
        <v>5</v>
      </c>
      <c r="C18" s="494" t="s">
        <v>904</v>
      </c>
    </row>
    <row r="19" spans="2:3" x14ac:dyDescent="0.2">
      <c r="B19" s="635" t="s">
        <v>619</v>
      </c>
      <c r="C19" s="494" t="s">
        <v>905</v>
      </c>
    </row>
    <row r="20" spans="2:3" x14ac:dyDescent="0.2">
      <c r="B20" s="635" t="s">
        <v>886</v>
      </c>
      <c r="C20" s="494" t="s">
        <v>906</v>
      </c>
    </row>
    <row r="21" spans="2:3" x14ac:dyDescent="0.2">
      <c r="B21" s="635" t="s">
        <v>887</v>
      </c>
      <c r="C21" s="494" t="s">
        <v>907</v>
      </c>
    </row>
    <row r="22" spans="2:3" x14ac:dyDescent="0.2">
      <c r="B22" s="1" t="s">
        <v>888</v>
      </c>
      <c r="C22" s="494" t="s">
        <v>908</v>
      </c>
    </row>
    <row r="23" spans="2:3" x14ac:dyDescent="0.2">
      <c r="B23" s="1" t="s">
        <v>889</v>
      </c>
      <c r="C23" s="494" t="s">
        <v>910</v>
      </c>
    </row>
    <row r="24" spans="2:3" x14ac:dyDescent="0.2">
      <c r="B24" s="1" t="s">
        <v>890</v>
      </c>
      <c r="C24" s="494" t="s">
        <v>909</v>
      </c>
    </row>
  </sheetData>
  <mergeCells count="1">
    <mergeCell ref="B3:C3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BF07A-CCA5-42AD-9974-5AE8D6A339C5}">
  <dimension ref="B1:U114"/>
  <sheetViews>
    <sheetView zoomScale="145" zoomScaleNormal="145" workbookViewId="0">
      <pane ySplit="1" topLeftCell="A2" activePane="bottomLeft" state="frozen"/>
      <selection pane="bottomLeft" activeCell="N3" sqref="N3"/>
    </sheetView>
  </sheetViews>
  <sheetFormatPr baseColWidth="10" defaultColWidth="11.42578125" defaultRowHeight="12.75" x14ac:dyDescent="0.2"/>
  <cols>
    <col min="1" max="1" width="11.42578125" style="109"/>
    <col min="2" max="2" width="3.7109375" style="109" bestFit="1" customWidth="1"/>
    <col min="3" max="3" width="52.140625" style="109" bestFit="1" customWidth="1"/>
    <col min="4" max="4" width="15.7109375" style="360" customWidth="1"/>
    <col min="5" max="5" width="15.7109375" style="502" customWidth="1"/>
    <col min="6" max="6" width="15.7109375" style="360" customWidth="1"/>
    <col min="7" max="7" width="15.7109375" style="502" customWidth="1"/>
    <col min="8" max="8" width="15.7109375" style="360" customWidth="1"/>
    <col min="9" max="9" width="15.7109375" style="502" customWidth="1"/>
    <col min="10" max="10" width="15.7109375" style="360" customWidth="1"/>
    <col min="11" max="11" width="15.7109375" style="502" customWidth="1"/>
    <col min="12" max="12" width="15.7109375" style="360" customWidth="1"/>
    <col min="13" max="13" width="15.7109375" style="502" customWidth="1"/>
    <col min="14" max="14" width="15.7109375" style="360" customWidth="1"/>
    <col min="15" max="15" width="15.7109375" style="502" customWidth="1"/>
    <col min="16" max="17" width="15.7109375" style="398" customWidth="1"/>
    <col min="18" max="18" width="18.140625" style="316" bestFit="1" customWidth="1"/>
    <col min="19" max="19" width="18.140625" style="507" bestFit="1" customWidth="1"/>
    <col min="20" max="20" width="45.7109375" style="358" customWidth="1"/>
    <col min="21" max="21" width="111.28515625" style="358" customWidth="1"/>
    <col min="22" max="16384" width="11.42578125" style="109"/>
  </cols>
  <sheetData>
    <row r="1" spans="2:19" ht="18.75" x14ac:dyDescent="0.3">
      <c r="C1" s="109" t="s">
        <v>202</v>
      </c>
      <c r="D1" s="642" t="s">
        <v>0</v>
      </c>
      <c r="E1" s="642"/>
      <c r="F1" s="645" t="s">
        <v>1</v>
      </c>
      <c r="G1" s="646"/>
      <c r="H1" s="642" t="s">
        <v>2</v>
      </c>
      <c r="I1" s="642"/>
      <c r="J1" s="643" t="s">
        <v>3</v>
      </c>
      <c r="K1" s="643"/>
      <c r="L1" s="643" t="s">
        <v>200</v>
      </c>
      <c r="M1" s="643"/>
      <c r="N1" s="643" t="s">
        <v>5</v>
      </c>
      <c r="O1" s="650"/>
      <c r="P1" s="643" t="s">
        <v>616</v>
      </c>
      <c r="Q1" s="654"/>
      <c r="R1" s="643" t="s">
        <v>582</v>
      </c>
      <c r="S1" s="650"/>
    </row>
    <row r="2" spans="2:19" ht="18.75" x14ac:dyDescent="0.35">
      <c r="C2" s="109" t="s">
        <v>203</v>
      </c>
      <c r="D2" s="644" t="s">
        <v>723</v>
      </c>
      <c r="E2" s="644"/>
      <c r="F2" s="647" t="s">
        <v>724</v>
      </c>
      <c r="G2" s="648"/>
      <c r="H2" s="647" t="s">
        <v>725</v>
      </c>
      <c r="I2" s="648"/>
      <c r="J2" s="653" t="s">
        <v>726</v>
      </c>
      <c r="K2" s="648"/>
      <c r="L2" s="653" t="s">
        <v>727</v>
      </c>
      <c r="M2" s="648"/>
      <c r="N2" s="653" t="s">
        <v>728</v>
      </c>
      <c r="O2" s="648"/>
      <c r="P2" s="651" t="s">
        <v>729</v>
      </c>
      <c r="Q2" s="652"/>
      <c r="R2" s="651" t="s">
        <v>727</v>
      </c>
      <c r="S2" s="652"/>
    </row>
    <row r="3" spans="2:19" x14ac:dyDescent="0.2">
      <c r="C3" s="109" t="s">
        <v>24</v>
      </c>
      <c r="D3" s="498" t="s">
        <v>6</v>
      </c>
      <c r="E3" s="499" t="s">
        <v>7</v>
      </c>
      <c r="F3" s="500" t="s">
        <v>6</v>
      </c>
      <c r="G3" s="499" t="s">
        <v>7</v>
      </c>
      <c r="H3" s="498" t="s">
        <v>6</v>
      </c>
      <c r="I3" s="499" t="s">
        <v>7</v>
      </c>
      <c r="J3" s="500" t="s">
        <v>6</v>
      </c>
      <c r="K3" s="499" t="s">
        <v>7</v>
      </c>
      <c r="L3" s="500" t="s">
        <v>6</v>
      </c>
      <c r="M3" s="499" t="s">
        <v>7</v>
      </c>
      <c r="N3" s="500" t="s">
        <v>6</v>
      </c>
      <c r="O3" s="499" t="s">
        <v>7</v>
      </c>
      <c r="P3" s="501" t="s">
        <v>6</v>
      </c>
      <c r="Q3" s="374" t="s">
        <v>7</v>
      </c>
      <c r="R3" s="501" t="s">
        <v>6</v>
      </c>
      <c r="S3" s="374" t="s">
        <v>7</v>
      </c>
    </row>
    <row r="4" spans="2:19" ht="13.15" customHeight="1" x14ac:dyDescent="0.2">
      <c r="B4" s="649" t="s">
        <v>201</v>
      </c>
      <c r="C4" s="109" t="s">
        <v>27</v>
      </c>
      <c r="D4" s="360">
        <v>3.6</v>
      </c>
      <c r="E4" s="502">
        <v>3.6</v>
      </c>
      <c r="F4" s="503">
        <v>3.6</v>
      </c>
      <c r="G4" s="502">
        <v>3.6</v>
      </c>
      <c r="H4" s="360">
        <v>3.6</v>
      </c>
      <c r="I4" s="502">
        <v>3.6</v>
      </c>
      <c r="J4" s="503">
        <v>3.6</v>
      </c>
      <c r="K4" s="502">
        <v>3.6</v>
      </c>
      <c r="L4" s="503">
        <v>3.6</v>
      </c>
      <c r="M4" s="502">
        <v>3.6</v>
      </c>
      <c r="N4" s="504">
        <v>3.2</v>
      </c>
      <c r="O4" s="505">
        <v>3.2</v>
      </c>
      <c r="P4" s="506">
        <v>3</v>
      </c>
      <c r="Q4" s="506">
        <v>3</v>
      </c>
      <c r="R4" s="398">
        <v>3.7</v>
      </c>
      <c r="S4" s="507">
        <v>3.7</v>
      </c>
    </row>
    <row r="5" spans="2:19" x14ac:dyDescent="0.2">
      <c r="B5" s="649"/>
      <c r="C5" s="109" t="s">
        <v>204</v>
      </c>
      <c r="D5" s="508">
        <v>0.5</v>
      </c>
      <c r="E5" s="509">
        <v>0.5</v>
      </c>
      <c r="F5" s="510">
        <v>0.5</v>
      </c>
      <c r="G5" s="509">
        <v>0.5</v>
      </c>
      <c r="H5" s="508">
        <v>0.5</v>
      </c>
      <c r="I5" s="509">
        <v>0.5</v>
      </c>
      <c r="J5" s="508">
        <v>0.5</v>
      </c>
      <c r="K5" s="509">
        <v>0.5</v>
      </c>
      <c r="L5" s="508">
        <v>0.5</v>
      </c>
      <c r="M5" s="509">
        <v>0.5</v>
      </c>
      <c r="N5" s="508">
        <v>0.5</v>
      </c>
      <c r="O5" s="509">
        <v>0.5</v>
      </c>
      <c r="P5" s="511">
        <v>0.5</v>
      </c>
      <c r="Q5" s="400">
        <v>0.5</v>
      </c>
      <c r="R5" s="511">
        <v>0.5</v>
      </c>
      <c r="S5" s="400">
        <v>0.5</v>
      </c>
    </row>
    <row r="6" spans="2:19" x14ac:dyDescent="0.2">
      <c r="B6" s="649"/>
      <c r="C6" s="109" t="s">
        <v>315</v>
      </c>
      <c r="D6" s="361">
        <f t="shared" ref="D6:O6" si="0">(D4*D79/1000)*2</f>
        <v>0.21710305562823984</v>
      </c>
      <c r="E6" s="362">
        <f t="shared" si="0"/>
        <v>0.42476684796829539</v>
      </c>
      <c r="F6" s="363">
        <f t="shared" si="0"/>
        <v>0.16524934670868197</v>
      </c>
      <c r="G6" s="362">
        <f t="shared" si="0"/>
        <v>0.32331393921263873</v>
      </c>
      <c r="H6" s="361">
        <f t="shared" si="0"/>
        <v>0.17018321290803604</v>
      </c>
      <c r="I6" s="362">
        <f t="shared" si="0"/>
        <v>0.33296715568963564</v>
      </c>
      <c r="J6" s="361">
        <f t="shared" si="0"/>
        <v>0.20337419687910654</v>
      </c>
      <c r="K6" s="362">
        <f t="shared" si="0"/>
        <v>0.39790603737216501</v>
      </c>
      <c r="L6" s="361">
        <f t="shared" si="0"/>
        <v>0.22517721572206759</v>
      </c>
      <c r="M6" s="362">
        <f t="shared" si="0"/>
        <v>0.44056411771708875</v>
      </c>
      <c r="N6" s="361">
        <f t="shared" si="0"/>
        <v>0.12185718009137031</v>
      </c>
      <c r="O6" s="362">
        <f t="shared" si="0"/>
        <v>0.23841622191789849</v>
      </c>
      <c r="P6" s="496">
        <f>(P4*P79/1000)*2</f>
        <v>0.10621123217999999</v>
      </c>
      <c r="Q6" s="497">
        <f>(Q4*Q79/1000)*2</f>
        <v>0.20780458469999999</v>
      </c>
      <c r="R6" s="496">
        <f t="shared" ref="R6:S6" si="1">(R4*R79/1000)*2</f>
        <v>0.23143213838101392</v>
      </c>
      <c r="S6" s="497">
        <f t="shared" si="1"/>
        <v>0.4528020098758968</v>
      </c>
    </row>
    <row r="7" spans="2:19" x14ac:dyDescent="0.2">
      <c r="B7" s="649"/>
      <c r="C7" s="109" t="s">
        <v>316</v>
      </c>
      <c r="D7" s="361">
        <f>1/D6</f>
        <v>4.6061074410319094</v>
      </c>
      <c r="E7" s="362">
        <f t="shared" ref="E7:M7" si="2">1/E6</f>
        <v>2.3542326920829755</v>
      </c>
      <c r="F7" s="363">
        <f t="shared" ref="F7:G7" si="3">1/F6</f>
        <v>6.0514611398912201</v>
      </c>
      <c r="G7" s="362">
        <f t="shared" si="3"/>
        <v>3.0929690270555112</v>
      </c>
      <c r="H7" s="361">
        <f>1/H6</f>
        <v>5.8760202191057598</v>
      </c>
      <c r="I7" s="362">
        <f t="shared" si="2"/>
        <v>3.0032992230984998</v>
      </c>
      <c r="J7" s="361">
        <f t="shared" si="2"/>
        <v>4.9170446169945468</v>
      </c>
      <c r="K7" s="362">
        <f t="shared" si="2"/>
        <v>2.5131561375749905</v>
      </c>
      <c r="L7" s="361">
        <f t="shared" si="2"/>
        <v>4.4409466419297194</v>
      </c>
      <c r="M7" s="362">
        <f t="shared" si="2"/>
        <v>2.2698171725418566</v>
      </c>
      <c r="N7" s="361">
        <f>1/N6</f>
        <v>8.206328090393896</v>
      </c>
      <c r="O7" s="362">
        <f>1/O6</f>
        <v>4.1943454684235455</v>
      </c>
      <c r="P7" s="496">
        <f>1/P6</f>
        <v>9.4152000638243614</v>
      </c>
      <c r="Q7" s="497">
        <f t="shared" ref="Q7" si="4">1/Q6</f>
        <v>4.8122133659546735</v>
      </c>
      <c r="R7" s="496">
        <f t="shared" ref="R7:S7" si="5">1/R6</f>
        <v>4.3209210570126997</v>
      </c>
      <c r="S7" s="497">
        <f t="shared" si="5"/>
        <v>2.2084707624731577</v>
      </c>
    </row>
    <row r="8" spans="2:19" x14ac:dyDescent="0.2">
      <c r="B8" s="649"/>
      <c r="C8" s="358" t="s">
        <v>8</v>
      </c>
      <c r="D8" s="512">
        <v>4680</v>
      </c>
      <c r="E8" s="513">
        <v>4680</v>
      </c>
      <c r="F8" s="512">
        <v>4680</v>
      </c>
      <c r="G8" s="513">
        <v>4680</v>
      </c>
      <c r="H8" s="512">
        <v>4680</v>
      </c>
      <c r="I8" s="513">
        <v>4680</v>
      </c>
      <c r="J8" s="512">
        <v>4680</v>
      </c>
      <c r="K8" s="513">
        <v>4680</v>
      </c>
      <c r="L8" s="512">
        <v>4680</v>
      </c>
      <c r="M8" s="513">
        <v>4680</v>
      </c>
      <c r="N8" s="512">
        <v>4680</v>
      </c>
      <c r="O8" s="513">
        <v>4680</v>
      </c>
      <c r="P8" s="514">
        <v>4680</v>
      </c>
      <c r="Q8" s="515">
        <v>4680</v>
      </c>
      <c r="R8" s="514">
        <v>4680</v>
      </c>
      <c r="S8" s="515">
        <v>4680</v>
      </c>
    </row>
    <row r="9" spans="2:19" x14ac:dyDescent="0.2">
      <c r="B9" s="649"/>
      <c r="C9" s="358" t="s">
        <v>493</v>
      </c>
      <c r="D9" s="512">
        <v>80</v>
      </c>
      <c r="E9" s="513">
        <v>80</v>
      </c>
      <c r="F9" s="512">
        <v>80</v>
      </c>
      <c r="G9" s="513">
        <v>80</v>
      </c>
      <c r="H9" s="512">
        <v>80</v>
      </c>
      <c r="I9" s="513">
        <v>80</v>
      </c>
      <c r="J9" s="512">
        <v>80</v>
      </c>
      <c r="K9" s="513">
        <v>80</v>
      </c>
      <c r="L9" s="512">
        <v>80</v>
      </c>
      <c r="M9" s="513">
        <v>80</v>
      </c>
      <c r="N9" s="512">
        <v>80</v>
      </c>
      <c r="O9" s="513">
        <v>80</v>
      </c>
      <c r="P9" s="514">
        <v>80</v>
      </c>
      <c r="Q9" s="515">
        <v>80</v>
      </c>
      <c r="R9" s="514">
        <v>80</v>
      </c>
      <c r="S9" s="515">
        <v>80</v>
      </c>
    </row>
    <row r="10" spans="2:19" x14ac:dyDescent="0.2">
      <c r="B10" s="649"/>
      <c r="C10" s="358" t="s">
        <v>492</v>
      </c>
      <c r="D10" s="512">
        <v>46</v>
      </c>
      <c r="E10" s="513">
        <v>46</v>
      </c>
      <c r="F10" s="512">
        <v>46</v>
      </c>
      <c r="G10" s="513">
        <v>46</v>
      </c>
      <c r="H10" s="512">
        <v>46</v>
      </c>
      <c r="I10" s="513">
        <v>46</v>
      </c>
      <c r="J10" s="512">
        <v>46</v>
      </c>
      <c r="K10" s="513">
        <v>46</v>
      </c>
      <c r="L10" s="512">
        <v>46</v>
      </c>
      <c r="M10" s="513">
        <v>46</v>
      </c>
      <c r="N10" s="512">
        <v>46</v>
      </c>
      <c r="O10" s="513">
        <v>46</v>
      </c>
      <c r="P10" s="514">
        <v>46</v>
      </c>
      <c r="Q10" s="515">
        <v>46</v>
      </c>
      <c r="R10" s="514">
        <v>46</v>
      </c>
      <c r="S10" s="515">
        <v>46</v>
      </c>
    </row>
    <row r="11" spans="2:19" x14ac:dyDescent="0.2">
      <c r="B11" s="649"/>
      <c r="C11" s="358" t="s">
        <v>494</v>
      </c>
      <c r="D11" s="361">
        <v>0.4</v>
      </c>
      <c r="E11" s="362">
        <v>0.4</v>
      </c>
      <c r="F11" s="361">
        <v>0.4</v>
      </c>
      <c r="G11" s="362">
        <v>0.4</v>
      </c>
      <c r="H11" s="361">
        <v>0.4</v>
      </c>
      <c r="I11" s="362">
        <v>0.4</v>
      </c>
      <c r="J11" s="361">
        <v>0.4</v>
      </c>
      <c r="K11" s="362">
        <v>0.4</v>
      </c>
      <c r="L11" s="361">
        <v>0.4</v>
      </c>
      <c r="M11" s="362">
        <v>0.4</v>
      </c>
      <c r="N11" s="361">
        <v>0.4</v>
      </c>
      <c r="O11" s="362">
        <v>0.4</v>
      </c>
      <c r="P11" s="496">
        <v>0.4</v>
      </c>
      <c r="Q11" s="497">
        <v>0.4</v>
      </c>
      <c r="R11" s="496">
        <v>0.4</v>
      </c>
      <c r="S11" s="497">
        <v>0.4</v>
      </c>
    </row>
    <row r="12" spans="2:19" x14ac:dyDescent="0.2">
      <c r="B12" s="649"/>
      <c r="C12" s="358" t="s">
        <v>495</v>
      </c>
      <c r="D12" s="508">
        <v>0.9</v>
      </c>
      <c r="E12" s="509">
        <v>0.9</v>
      </c>
      <c r="F12" s="508">
        <v>0.9</v>
      </c>
      <c r="G12" s="509">
        <v>0.9</v>
      </c>
      <c r="H12" s="508">
        <v>0.9</v>
      </c>
      <c r="I12" s="509">
        <v>0.9</v>
      </c>
      <c r="J12" s="508">
        <v>0.9</v>
      </c>
      <c r="K12" s="509">
        <v>0.9</v>
      </c>
      <c r="L12" s="508">
        <v>0.9</v>
      </c>
      <c r="M12" s="509">
        <v>0.9</v>
      </c>
      <c r="N12" s="508">
        <v>0.9</v>
      </c>
      <c r="O12" s="509">
        <v>0.9</v>
      </c>
      <c r="P12" s="511">
        <v>0.9</v>
      </c>
      <c r="Q12" s="400">
        <v>0.9</v>
      </c>
      <c r="R12" s="511">
        <v>0.9</v>
      </c>
      <c r="S12" s="400">
        <v>0.9</v>
      </c>
    </row>
    <row r="13" spans="2:19" x14ac:dyDescent="0.2">
      <c r="B13" s="649"/>
      <c r="C13" s="358" t="s">
        <v>496</v>
      </c>
      <c r="D13" s="512">
        <f>(2*(PI()*(D10/2)^2)+(PI()*D10)*D9)*D11</f>
        <v>5953.9463970833758</v>
      </c>
      <c r="E13" s="513">
        <f t="shared" ref="E13:O13" si="6">(2*(PI()*(E10/2)^2)+(PI()*E10)*E9)*E11</f>
        <v>5953.9463970833758</v>
      </c>
      <c r="F13" s="512">
        <f t="shared" si="6"/>
        <v>5953.9463970833758</v>
      </c>
      <c r="G13" s="513">
        <f t="shared" si="6"/>
        <v>5953.9463970833758</v>
      </c>
      <c r="H13" s="512">
        <f t="shared" si="6"/>
        <v>5953.9463970833758</v>
      </c>
      <c r="I13" s="513">
        <f t="shared" si="6"/>
        <v>5953.9463970833758</v>
      </c>
      <c r="J13" s="512">
        <f t="shared" si="6"/>
        <v>5953.9463970833758</v>
      </c>
      <c r="K13" s="513">
        <f t="shared" si="6"/>
        <v>5953.9463970833758</v>
      </c>
      <c r="L13" s="512">
        <f t="shared" si="6"/>
        <v>5953.9463970833758</v>
      </c>
      <c r="M13" s="513">
        <f t="shared" si="6"/>
        <v>5953.9463970833758</v>
      </c>
      <c r="N13" s="512">
        <f t="shared" si="6"/>
        <v>5953.9463970833758</v>
      </c>
      <c r="O13" s="513">
        <f t="shared" si="6"/>
        <v>5953.9463970833758</v>
      </c>
      <c r="P13" s="514">
        <f t="shared" ref="P13:Q13" si="7">(2*(PI()*(P10/2)^2)+(PI()*P10)*P9)*P11</f>
        <v>5953.9463970833758</v>
      </c>
      <c r="Q13" s="515">
        <f t="shared" si="7"/>
        <v>5953.9463970833758</v>
      </c>
      <c r="R13" s="514">
        <f t="shared" ref="R13:S13" si="8">(2*(PI()*(R10/2)^2)+(PI()*R10)*R9)*R11</f>
        <v>5953.9463970833758</v>
      </c>
      <c r="S13" s="515">
        <f t="shared" si="8"/>
        <v>5953.9463970833758</v>
      </c>
    </row>
    <row r="14" spans="2:19" x14ac:dyDescent="0.2">
      <c r="B14" s="649"/>
      <c r="C14" s="358" t="s">
        <v>497</v>
      </c>
      <c r="D14" s="516">
        <f>D70/1000000</f>
        <v>2.7000000000000001E-3</v>
      </c>
      <c r="E14" s="517">
        <f t="shared" ref="E14:O14" si="9">E70/1000000</f>
        <v>2.7000000000000001E-3</v>
      </c>
      <c r="F14" s="516">
        <f t="shared" si="9"/>
        <v>2.7000000000000001E-3</v>
      </c>
      <c r="G14" s="517">
        <f t="shared" si="9"/>
        <v>2.7000000000000001E-3</v>
      </c>
      <c r="H14" s="516">
        <f t="shared" si="9"/>
        <v>2.7000000000000001E-3</v>
      </c>
      <c r="I14" s="517">
        <f t="shared" si="9"/>
        <v>2.7000000000000001E-3</v>
      </c>
      <c r="J14" s="516">
        <f t="shared" si="9"/>
        <v>2.7000000000000001E-3</v>
      </c>
      <c r="K14" s="517">
        <f t="shared" si="9"/>
        <v>2.7000000000000001E-3</v>
      </c>
      <c r="L14" s="516">
        <f t="shared" si="9"/>
        <v>2.7000000000000001E-3</v>
      </c>
      <c r="M14" s="517">
        <f t="shared" si="9"/>
        <v>2.7000000000000001E-3</v>
      </c>
      <c r="N14" s="516">
        <f t="shared" si="9"/>
        <v>2.7000000000000001E-3</v>
      </c>
      <c r="O14" s="517">
        <f t="shared" si="9"/>
        <v>2.7000000000000001E-3</v>
      </c>
      <c r="P14" s="518">
        <f t="shared" ref="P14:Q14" si="10">P70/1000000</f>
        <v>2.7000000000000001E-3</v>
      </c>
      <c r="Q14" s="519">
        <f t="shared" si="10"/>
        <v>2.7000000000000001E-3</v>
      </c>
      <c r="R14" s="518">
        <f t="shared" ref="R14:S14" si="11">R70/1000000</f>
        <v>2.7000000000000001E-3</v>
      </c>
      <c r="S14" s="519">
        <f t="shared" si="11"/>
        <v>2.7000000000000001E-3</v>
      </c>
    </row>
    <row r="15" spans="2:19" x14ac:dyDescent="0.2">
      <c r="B15" s="649"/>
      <c r="C15" s="358" t="s">
        <v>498</v>
      </c>
      <c r="D15" s="516">
        <v>7.9000000000000008E-3</v>
      </c>
      <c r="E15" s="517">
        <v>7.9000000000000008E-3</v>
      </c>
      <c r="F15" s="516">
        <v>7.9000000000000008E-3</v>
      </c>
      <c r="G15" s="517">
        <v>7.9000000000000008E-3</v>
      </c>
      <c r="H15" s="516">
        <v>7.9000000000000008E-3</v>
      </c>
      <c r="I15" s="517">
        <v>7.9000000000000008E-3</v>
      </c>
      <c r="J15" s="516">
        <v>7.9000000000000008E-3</v>
      </c>
      <c r="K15" s="517">
        <v>7.9000000000000008E-3</v>
      </c>
      <c r="L15" s="516">
        <v>7.9000000000000008E-3</v>
      </c>
      <c r="M15" s="517">
        <v>7.9000000000000008E-3</v>
      </c>
      <c r="N15" s="516">
        <v>7.9000000000000008E-3</v>
      </c>
      <c r="O15" s="517">
        <v>7.9000000000000008E-3</v>
      </c>
      <c r="P15" s="518">
        <v>7.9000000000000008E-3</v>
      </c>
      <c r="Q15" s="519">
        <v>7.9000000000000008E-3</v>
      </c>
      <c r="R15" s="518">
        <v>7.9000000000000008E-3</v>
      </c>
      <c r="S15" s="519">
        <v>7.9000000000000008E-3</v>
      </c>
    </row>
    <row r="16" spans="2:19" x14ac:dyDescent="0.2">
      <c r="B16" s="649"/>
      <c r="C16" s="358" t="s">
        <v>499</v>
      </c>
      <c r="D16" s="361">
        <f>D13*D14</f>
        <v>16.075655272125115</v>
      </c>
      <c r="E16" s="362">
        <f>E13*E14</f>
        <v>16.075655272125115</v>
      </c>
      <c r="F16" s="361">
        <f>F13*F14</f>
        <v>16.075655272125115</v>
      </c>
      <c r="G16" s="362">
        <f t="shared" ref="G16:O16" si="12">G13*G14</f>
        <v>16.075655272125115</v>
      </c>
      <c r="H16" s="361">
        <f t="shared" si="12"/>
        <v>16.075655272125115</v>
      </c>
      <c r="I16" s="362">
        <f t="shared" si="12"/>
        <v>16.075655272125115</v>
      </c>
      <c r="J16" s="361">
        <f t="shared" si="12"/>
        <v>16.075655272125115</v>
      </c>
      <c r="K16" s="362">
        <f t="shared" si="12"/>
        <v>16.075655272125115</v>
      </c>
      <c r="L16" s="361">
        <f t="shared" si="12"/>
        <v>16.075655272125115</v>
      </c>
      <c r="M16" s="362">
        <f t="shared" si="12"/>
        <v>16.075655272125115</v>
      </c>
      <c r="N16" s="361">
        <f t="shared" si="12"/>
        <v>16.075655272125115</v>
      </c>
      <c r="O16" s="362">
        <f t="shared" si="12"/>
        <v>16.075655272125115</v>
      </c>
      <c r="P16" s="496">
        <f t="shared" ref="P16:Q16" si="13">P13*P14</f>
        <v>16.075655272125115</v>
      </c>
      <c r="Q16" s="497">
        <f t="shared" si="13"/>
        <v>16.075655272125115</v>
      </c>
      <c r="R16" s="496">
        <f t="shared" ref="R16:S16" si="14">R13*R14</f>
        <v>16.075655272125115</v>
      </c>
      <c r="S16" s="497">
        <f t="shared" si="14"/>
        <v>16.075655272125115</v>
      </c>
    </row>
    <row r="17" spans="2:19" x14ac:dyDescent="0.2">
      <c r="B17" s="649"/>
      <c r="C17" s="358" t="s">
        <v>500</v>
      </c>
      <c r="D17" s="361">
        <f>D13*D15</f>
        <v>47.036176536958671</v>
      </c>
      <c r="E17" s="362">
        <f>E13*E15</f>
        <v>47.036176536958671</v>
      </c>
      <c r="F17" s="361">
        <f>F13*F15</f>
        <v>47.036176536958671</v>
      </c>
      <c r="G17" s="362">
        <f t="shared" ref="G17:O17" si="15">G13*G15</f>
        <v>47.036176536958671</v>
      </c>
      <c r="H17" s="361">
        <f t="shared" si="15"/>
        <v>47.036176536958671</v>
      </c>
      <c r="I17" s="362">
        <f t="shared" si="15"/>
        <v>47.036176536958671</v>
      </c>
      <c r="J17" s="361">
        <f t="shared" si="15"/>
        <v>47.036176536958671</v>
      </c>
      <c r="K17" s="362">
        <f t="shared" si="15"/>
        <v>47.036176536958671</v>
      </c>
      <c r="L17" s="361">
        <f t="shared" si="15"/>
        <v>47.036176536958671</v>
      </c>
      <c r="M17" s="362">
        <f t="shared" si="15"/>
        <v>47.036176536958671</v>
      </c>
      <c r="N17" s="361">
        <f t="shared" si="15"/>
        <v>47.036176536958671</v>
      </c>
      <c r="O17" s="362">
        <f t="shared" si="15"/>
        <v>47.036176536958671</v>
      </c>
      <c r="P17" s="496">
        <f t="shared" ref="P17:Q17" si="16">P13*P15</f>
        <v>47.036176536958671</v>
      </c>
      <c r="Q17" s="497">
        <f t="shared" si="16"/>
        <v>47.036176536958671</v>
      </c>
      <c r="R17" s="496">
        <f t="shared" ref="R17:S17" si="17">R13*R15</f>
        <v>47.036176536958671</v>
      </c>
      <c r="S17" s="497">
        <f t="shared" si="17"/>
        <v>47.036176536958671</v>
      </c>
    </row>
    <row r="18" spans="2:19" x14ac:dyDescent="0.2">
      <c r="B18" s="649"/>
      <c r="C18" s="109" t="s">
        <v>9</v>
      </c>
      <c r="D18" s="520">
        <f>D9*D12</f>
        <v>72</v>
      </c>
      <c r="E18" s="521">
        <f t="shared" ref="E18:O18" si="18">E9*E12</f>
        <v>72</v>
      </c>
      <c r="F18" s="520">
        <f t="shared" si="18"/>
        <v>72</v>
      </c>
      <c r="G18" s="521">
        <f t="shared" si="18"/>
        <v>72</v>
      </c>
      <c r="H18" s="520">
        <f t="shared" si="18"/>
        <v>72</v>
      </c>
      <c r="I18" s="521">
        <f t="shared" si="18"/>
        <v>72</v>
      </c>
      <c r="J18" s="520">
        <f t="shared" si="18"/>
        <v>72</v>
      </c>
      <c r="K18" s="521">
        <f t="shared" si="18"/>
        <v>72</v>
      </c>
      <c r="L18" s="520">
        <f t="shared" si="18"/>
        <v>72</v>
      </c>
      <c r="M18" s="521">
        <f t="shared" si="18"/>
        <v>72</v>
      </c>
      <c r="N18" s="520">
        <f t="shared" si="18"/>
        <v>72</v>
      </c>
      <c r="O18" s="521">
        <f t="shared" si="18"/>
        <v>72</v>
      </c>
      <c r="P18" s="522">
        <f t="shared" ref="P18:Q18" si="19">P9*P12</f>
        <v>72</v>
      </c>
      <c r="Q18" s="523">
        <f t="shared" si="19"/>
        <v>72</v>
      </c>
      <c r="R18" s="522">
        <f t="shared" ref="R18:S18" si="20">R9*R12</f>
        <v>72</v>
      </c>
      <c r="S18" s="523">
        <f t="shared" si="20"/>
        <v>72</v>
      </c>
    </row>
    <row r="19" spans="2:19" x14ac:dyDescent="0.2">
      <c r="B19" s="649"/>
      <c r="C19" s="109" t="s">
        <v>10</v>
      </c>
      <c r="D19" s="520">
        <f t="shared" ref="D19:O19" si="21">D10-2*D11</f>
        <v>45.2</v>
      </c>
      <c r="E19" s="521">
        <f t="shared" si="21"/>
        <v>45.2</v>
      </c>
      <c r="F19" s="520">
        <f t="shared" si="21"/>
        <v>45.2</v>
      </c>
      <c r="G19" s="521">
        <f t="shared" si="21"/>
        <v>45.2</v>
      </c>
      <c r="H19" s="520">
        <f t="shared" si="21"/>
        <v>45.2</v>
      </c>
      <c r="I19" s="521">
        <f t="shared" si="21"/>
        <v>45.2</v>
      </c>
      <c r="J19" s="520">
        <f t="shared" si="21"/>
        <v>45.2</v>
      </c>
      <c r="K19" s="521">
        <f t="shared" si="21"/>
        <v>45.2</v>
      </c>
      <c r="L19" s="520">
        <f t="shared" si="21"/>
        <v>45.2</v>
      </c>
      <c r="M19" s="521">
        <f t="shared" si="21"/>
        <v>45.2</v>
      </c>
      <c r="N19" s="520">
        <f t="shared" si="21"/>
        <v>45.2</v>
      </c>
      <c r="O19" s="521">
        <f t="shared" si="21"/>
        <v>45.2</v>
      </c>
      <c r="P19" s="522">
        <f t="shared" ref="P19:Q19" si="22">P10-2*P11</f>
        <v>45.2</v>
      </c>
      <c r="Q19" s="523">
        <f t="shared" si="22"/>
        <v>45.2</v>
      </c>
      <c r="R19" s="522">
        <f t="shared" ref="R19:S19" si="23">R10-2*R11</f>
        <v>45.2</v>
      </c>
      <c r="S19" s="523">
        <f t="shared" si="23"/>
        <v>45.2</v>
      </c>
    </row>
    <row r="20" spans="2:19" x14ac:dyDescent="0.2">
      <c r="B20" s="649"/>
      <c r="C20" s="358" t="s">
        <v>11</v>
      </c>
      <c r="D20" s="453">
        <v>0.9</v>
      </c>
      <c r="E20" s="524">
        <v>0.9</v>
      </c>
      <c r="F20" s="453">
        <v>0.9</v>
      </c>
      <c r="G20" s="524">
        <v>0.9</v>
      </c>
      <c r="H20" s="453">
        <v>0.9</v>
      </c>
      <c r="I20" s="524">
        <v>0.9</v>
      </c>
      <c r="J20" s="453">
        <v>0.9</v>
      </c>
      <c r="K20" s="524">
        <v>0.9</v>
      </c>
      <c r="L20" s="453">
        <v>0.9</v>
      </c>
      <c r="M20" s="524">
        <v>0.9</v>
      </c>
      <c r="N20" s="453">
        <v>0.9</v>
      </c>
      <c r="O20" s="524">
        <v>0.9</v>
      </c>
      <c r="P20" s="525">
        <v>0.9</v>
      </c>
      <c r="Q20" s="526">
        <v>0.9</v>
      </c>
      <c r="R20" s="525">
        <v>0.9</v>
      </c>
      <c r="S20" s="526">
        <v>0.9</v>
      </c>
    </row>
    <row r="21" spans="2:19" x14ac:dyDescent="0.2">
      <c r="B21" s="649"/>
      <c r="C21" s="109" t="s">
        <v>205</v>
      </c>
      <c r="D21" s="527">
        <f t="shared" ref="D21:O21" si="24">2*D40+D43+2*D66+D69+2*D88</f>
        <v>292.82417314671818</v>
      </c>
      <c r="E21" s="528">
        <f t="shared" si="24"/>
        <v>472.32777872137513</v>
      </c>
      <c r="F21" s="529">
        <f t="shared" si="24"/>
        <v>259.90573017156981</v>
      </c>
      <c r="G21" s="528">
        <f t="shared" si="24"/>
        <v>415.6435210045405</v>
      </c>
      <c r="H21" s="527">
        <f t="shared" si="24"/>
        <v>263.03791100327101</v>
      </c>
      <c r="I21" s="528">
        <f t="shared" si="24"/>
        <v>421.03701259871798</v>
      </c>
      <c r="J21" s="527">
        <f t="shared" si="24"/>
        <v>255.82068719357613</v>
      </c>
      <c r="K21" s="528">
        <f t="shared" si="24"/>
        <v>408.61281746040146</v>
      </c>
      <c r="L21" s="527">
        <f t="shared" si="24"/>
        <v>246.63828407043536</v>
      </c>
      <c r="M21" s="528">
        <f t="shared" si="24"/>
        <v>392.80402345977529</v>
      </c>
      <c r="N21" s="527">
        <f t="shared" si="24"/>
        <v>242.02882218501873</v>
      </c>
      <c r="O21" s="528">
        <f t="shared" si="24"/>
        <v>384.86019202829414</v>
      </c>
      <c r="P21" s="530">
        <f t="shared" ref="P21:Q21" si="25">2*P40+P43+2*P66+P69+2*P88</f>
        <v>281.24467965555709</v>
      </c>
      <c r="Q21" s="531">
        <f t="shared" si="25"/>
        <v>449.6960478171298</v>
      </c>
      <c r="R21" s="530">
        <f t="shared" ref="R21" si="26">2*R40+R43+2*R66+R69+2*R88</f>
        <v>195</v>
      </c>
      <c r="S21" s="531">
        <f>2*S40+S43+2*S66+S69+2*S88</f>
        <v>275</v>
      </c>
    </row>
    <row r="22" spans="2:19" x14ac:dyDescent="0.2">
      <c r="B22" s="649"/>
      <c r="C22" s="109" t="s">
        <v>12</v>
      </c>
      <c r="D22" s="514">
        <v>5428</v>
      </c>
      <c r="E22" s="502">
        <v>3370</v>
      </c>
      <c r="F22" s="360">
        <v>6262</v>
      </c>
      <c r="G22" s="502">
        <v>3917</v>
      </c>
      <c r="H22" s="360">
        <v>6047</v>
      </c>
      <c r="I22" s="502">
        <v>3778</v>
      </c>
      <c r="J22" s="360">
        <v>6213</v>
      </c>
      <c r="K22" s="502">
        <v>3889</v>
      </c>
      <c r="L22" s="360">
        <v>6465</v>
      </c>
      <c r="M22" s="502">
        <v>4057</v>
      </c>
      <c r="N22" s="360">
        <v>6572</v>
      </c>
      <c r="O22" s="502">
        <v>4131</v>
      </c>
      <c r="P22" s="316">
        <v>5685</v>
      </c>
      <c r="Q22" s="507">
        <v>3550</v>
      </c>
      <c r="R22" s="316">
        <v>8235</v>
      </c>
      <c r="S22" s="507">
        <v>5809</v>
      </c>
    </row>
    <row r="23" spans="2:19" x14ac:dyDescent="0.2">
      <c r="B23" s="649"/>
      <c r="C23" s="109" t="s">
        <v>13</v>
      </c>
      <c r="D23" s="532">
        <f>(D22/1000)*(D18/1000)</f>
        <v>0.39081599999999994</v>
      </c>
      <c r="E23" s="533">
        <f>(E22/1000)*(E18/1000)</f>
        <v>0.24263999999999999</v>
      </c>
      <c r="F23" s="532">
        <f>(F22/1000)*(F18/1000)</f>
        <v>0.45086399999999993</v>
      </c>
      <c r="G23" s="533">
        <f>(G22/1000)*(G18/1000)</f>
        <v>0.28202399999999994</v>
      </c>
      <c r="H23" s="532">
        <f>(H22/1000)*(H18/1000)</f>
        <v>0.43538399999999994</v>
      </c>
      <c r="I23" s="533">
        <f t="shared" ref="I23:O23" si="27">(I22/1000)*(I18/1000)</f>
        <v>0.27201599999999998</v>
      </c>
      <c r="J23" s="532">
        <f>(J22/1000)*(J18/1000)</f>
        <v>0.44733599999999996</v>
      </c>
      <c r="K23" s="533">
        <f t="shared" si="27"/>
        <v>0.28000799999999998</v>
      </c>
      <c r="L23" s="532">
        <f t="shared" si="27"/>
        <v>0.46547999999999995</v>
      </c>
      <c r="M23" s="533">
        <f t="shared" si="27"/>
        <v>0.29210400000000003</v>
      </c>
      <c r="N23" s="532">
        <f t="shared" si="27"/>
        <v>0.47318399999999999</v>
      </c>
      <c r="O23" s="533">
        <f t="shared" si="27"/>
        <v>0.29743199999999997</v>
      </c>
      <c r="P23" s="534">
        <f t="shared" ref="P23:Q23" si="28">(P22/1000)*(P18/1000)</f>
        <v>0.40931999999999996</v>
      </c>
      <c r="Q23" s="535">
        <f t="shared" si="28"/>
        <v>0.25559999999999999</v>
      </c>
      <c r="R23" s="534">
        <f t="shared" ref="R23:S23" si="29">(R22/1000)*(R18/1000)</f>
        <v>0.59291999999999989</v>
      </c>
      <c r="S23" s="535">
        <f t="shared" si="29"/>
        <v>0.41824799999999995</v>
      </c>
    </row>
    <row r="24" spans="2:19" x14ac:dyDescent="0.2">
      <c r="B24" s="649"/>
      <c r="C24" s="109" t="s">
        <v>501</v>
      </c>
      <c r="D24" s="532">
        <f>D23*D20</f>
        <v>0.35173439999999995</v>
      </c>
      <c r="E24" s="533">
        <f t="shared" ref="E24:O24" si="30">E23*E20</f>
        <v>0.21837599999999999</v>
      </c>
      <c r="F24" s="532">
        <f t="shared" si="30"/>
        <v>0.40577759999999996</v>
      </c>
      <c r="G24" s="533">
        <f>G23*G20</f>
        <v>0.25382159999999998</v>
      </c>
      <c r="H24" s="532">
        <f t="shared" si="30"/>
        <v>0.39184559999999996</v>
      </c>
      <c r="I24" s="533">
        <f t="shared" si="30"/>
        <v>0.24481439999999999</v>
      </c>
      <c r="J24" s="532">
        <f t="shared" si="30"/>
        <v>0.40260239999999997</v>
      </c>
      <c r="K24" s="533">
        <f t="shared" si="30"/>
        <v>0.25200719999999999</v>
      </c>
      <c r="L24" s="532">
        <f t="shared" si="30"/>
        <v>0.41893199999999997</v>
      </c>
      <c r="M24" s="533">
        <f t="shared" si="30"/>
        <v>0.26289360000000006</v>
      </c>
      <c r="N24" s="532">
        <f t="shared" si="30"/>
        <v>0.42586560000000001</v>
      </c>
      <c r="O24" s="533">
        <f t="shared" si="30"/>
        <v>0.2676888</v>
      </c>
      <c r="P24" s="534">
        <f t="shared" ref="P24:Q24" si="31">P23*P20</f>
        <v>0.36838799999999999</v>
      </c>
      <c r="Q24" s="535">
        <f t="shared" si="31"/>
        <v>0.23003999999999999</v>
      </c>
      <c r="R24" s="534">
        <f t="shared" ref="R24:S24" si="32">R23*R20</f>
        <v>0.53362799999999988</v>
      </c>
      <c r="S24" s="535">
        <f t="shared" si="32"/>
        <v>0.37642319999999996</v>
      </c>
    </row>
    <row r="25" spans="2:19" x14ac:dyDescent="0.2">
      <c r="B25" s="649"/>
      <c r="C25" s="109" t="s">
        <v>14</v>
      </c>
      <c r="D25" s="361">
        <f t="shared" ref="D25:O25" si="33">D24*D53*2</f>
        <v>23.333020641811697</v>
      </c>
      <c r="E25" s="362">
        <f t="shared" si="33"/>
        <v>28.342992697532477</v>
      </c>
      <c r="F25" s="361">
        <f t="shared" si="33"/>
        <v>20.488869899977377</v>
      </c>
      <c r="G25" s="362">
        <f>G24*G53*2</f>
        <v>25.075129857938936</v>
      </c>
      <c r="H25" s="361">
        <f t="shared" si="33"/>
        <v>20.376138191406898</v>
      </c>
      <c r="I25" s="362">
        <f t="shared" si="33"/>
        <v>24.907408301069783</v>
      </c>
      <c r="J25" s="361">
        <f t="shared" si="33"/>
        <v>25.018564927155797</v>
      </c>
      <c r="K25" s="362">
        <f t="shared" si="33"/>
        <v>30.639640270938926</v>
      </c>
      <c r="L25" s="361">
        <f t="shared" si="33"/>
        <v>28.824259852934706</v>
      </c>
      <c r="M25" s="362">
        <f t="shared" si="33"/>
        <v>35.389898786448953</v>
      </c>
      <c r="N25" s="361">
        <f t="shared" si="33"/>
        <v>17.838831007909818</v>
      </c>
      <c r="O25" s="362">
        <f t="shared" si="33"/>
        <v>21.938589868846734</v>
      </c>
      <c r="P25" s="496">
        <f t="shared" ref="P25:Q25" si="34">P24*P53*2</f>
        <v>14.346545913452809</v>
      </c>
      <c r="Q25" s="497">
        <f t="shared" si="34"/>
        <v>17.5279011102756</v>
      </c>
      <c r="R25" s="496">
        <f t="shared" ref="R25:S25" si="35">R24*R53*2</f>
        <v>36.715820555130279</v>
      </c>
      <c r="S25" s="497">
        <f t="shared" si="35"/>
        <v>50.672891804407662</v>
      </c>
    </row>
    <row r="26" spans="2:19" x14ac:dyDescent="0.2">
      <c r="B26" s="649"/>
      <c r="C26" s="109" t="s">
        <v>504</v>
      </c>
      <c r="D26" s="532">
        <f>D25*D4/1000</f>
        <v>8.3998874310522109E-2</v>
      </c>
      <c r="E26" s="533">
        <f t="shared" ref="E26:O26" si="36">E25*E4/1000</f>
        <v>0.10203477371111691</v>
      </c>
      <c r="F26" s="532">
        <f t="shared" si="36"/>
        <v>7.3759931639918563E-2</v>
      </c>
      <c r="G26" s="533">
        <f>G25*G4/1000</f>
        <v>9.0270467488580169E-2</v>
      </c>
      <c r="H26" s="532">
        <f t="shared" si="36"/>
        <v>7.3354097489064837E-2</v>
      </c>
      <c r="I26" s="533">
        <f t="shared" si="36"/>
        <v>8.9666669883851219E-2</v>
      </c>
      <c r="J26" s="532">
        <f t="shared" si="36"/>
        <v>9.0066833737760879E-2</v>
      </c>
      <c r="K26" s="533">
        <f t="shared" si="36"/>
        <v>0.11030270497538014</v>
      </c>
      <c r="L26" s="532">
        <f t="shared" si="36"/>
        <v>0.10376733547056495</v>
      </c>
      <c r="M26" s="533">
        <f t="shared" si="36"/>
        <v>0.12740363563121623</v>
      </c>
      <c r="N26" s="532">
        <f t="shared" si="36"/>
        <v>5.7084259225311421E-2</v>
      </c>
      <c r="O26" s="533">
        <f t="shared" si="36"/>
        <v>7.0203487580309559E-2</v>
      </c>
      <c r="P26" s="534">
        <f t="shared" ref="P26:Q26" si="37">P25*P4/1000</f>
        <v>4.3039637740358433E-2</v>
      </c>
      <c r="Q26" s="535">
        <f t="shared" si="37"/>
        <v>5.2583703330826799E-2</v>
      </c>
      <c r="R26" s="534">
        <f t="shared" ref="R26:S26" si="38">R25*R4/1000</f>
        <v>0.13584853605398203</v>
      </c>
      <c r="S26" s="535">
        <f t="shared" si="38"/>
        <v>0.18748969967630835</v>
      </c>
    </row>
    <row r="27" spans="2:19" x14ac:dyDescent="0.2">
      <c r="B27" s="649"/>
      <c r="C27" s="358" t="s">
        <v>502</v>
      </c>
      <c r="D27" s="361">
        <f>D16/D26</f>
        <v>191.3794131656762</v>
      </c>
      <c r="E27" s="362">
        <f t="shared" ref="E27:O27" si="39">E16/E26</f>
        <v>157.55075144909776</v>
      </c>
      <c r="F27" s="361">
        <f t="shared" si="39"/>
        <v>217.94563680730201</v>
      </c>
      <c r="G27" s="362">
        <f t="shared" si="39"/>
        <v>178.08321723999927</v>
      </c>
      <c r="H27" s="361">
        <f t="shared" si="39"/>
        <v>219.15142878721358</v>
      </c>
      <c r="I27" s="362">
        <f t="shared" si="39"/>
        <v>179.28239437182788</v>
      </c>
      <c r="J27" s="361">
        <f t="shared" si="39"/>
        <v>178.48584884121814</v>
      </c>
      <c r="K27" s="362">
        <f t="shared" si="39"/>
        <v>145.74126061290377</v>
      </c>
      <c r="L27" s="361">
        <f t="shared" si="39"/>
        <v>154.92018947219859</v>
      </c>
      <c r="M27" s="362">
        <f t="shared" si="39"/>
        <v>126.17893667224583</v>
      </c>
      <c r="N27" s="361">
        <f t="shared" si="39"/>
        <v>281.61275087541287</v>
      </c>
      <c r="O27" s="362">
        <f t="shared" si="39"/>
        <v>228.98656215241877</v>
      </c>
      <c r="P27" s="496">
        <f t="shared" ref="P27:Q27" si="40">P16/P26</f>
        <v>373.50814542407062</v>
      </c>
      <c r="Q27" s="497">
        <f t="shared" si="40"/>
        <v>305.71554024991775</v>
      </c>
      <c r="R27" s="496">
        <f t="shared" ref="R27:S27" si="41">R16/R26</f>
        <v>118.33513808155536</v>
      </c>
      <c r="S27" s="497">
        <f t="shared" si="41"/>
        <v>85.741538334526822</v>
      </c>
    </row>
    <row r="28" spans="2:19" x14ac:dyDescent="0.2">
      <c r="B28" s="649"/>
      <c r="C28" s="358" t="s">
        <v>503</v>
      </c>
      <c r="D28" s="361">
        <f>D17/D26</f>
        <v>559.96198666994144</v>
      </c>
      <c r="E28" s="362">
        <f>E17/E26</f>
        <v>460.98182831402681</v>
      </c>
      <c r="F28" s="361">
        <f t="shared" ref="F28:O28" si="42">F17/F26</f>
        <v>637.69278917692066</v>
      </c>
      <c r="G28" s="362">
        <f t="shared" si="42"/>
        <v>521.05830229481273</v>
      </c>
      <c r="H28" s="361">
        <f t="shared" si="42"/>
        <v>641.22084719221755</v>
      </c>
      <c r="I28" s="362">
        <f t="shared" si="42"/>
        <v>524.56700575460752</v>
      </c>
      <c r="J28" s="361">
        <f t="shared" si="42"/>
        <v>522.23637253541608</v>
      </c>
      <c r="K28" s="362">
        <f t="shared" si="42"/>
        <v>426.42813290442217</v>
      </c>
      <c r="L28" s="361">
        <f t="shared" si="42"/>
        <v>453.28499882606252</v>
      </c>
      <c r="M28" s="362">
        <f t="shared" si="42"/>
        <v>369.19022211508963</v>
      </c>
      <c r="N28" s="361">
        <f t="shared" si="42"/>
        <v>823.9780488576896</v>
      </c>
      <c r="O28" s="362">
        <f t="shared" si="42"/>
        <v>669.99771889041051</v>
      </c>
      <c r="P28" s="496">
        <f t="shared" ref="P28:Q28" si="43">P17/P26</f>
        <v>1092.8571662407992</v>
      </c>
      <c r="Q28" s="497">
        <f t="shared" si="43"/>
        <v>894.5010251756853</v>
      </c>
      <c r="R28" s="496">
        <f t="shared" ref="R28:S28" si="44">R17/R26</f>
        <v>346.23984846084716</v>
      </c>
      <c r="S28" s="497">
        <f t="shared" si="44"/>
        <v>250.87338994176369</v>
      </c>
    </row>
    <row r="29" spans="2:19" x14ac:dyDescent="0.2">
      <c r="B29" s="649"/>
      <c r="C29" s="360" t="s">
        <v>15</v>
      </c>
      <c r="D29" s="361">
        <f t="shared" ref="D29:O29" si="45">(100000/D21)*D6/100</f>
        <v>0.74141097469935091</v>
      </c>
      <c r="E29" s="362">
        <f t="shared" si="45"/>
        <v>0.8993052433167692</v>
      </c>
      <c r="F29" s="363">
        <f t="shared" si="45"/>
        <v>0.63580493819661854</v>
      </c>
      <c r="G29" s="362">
        <f t="shared" si="45"/>
        <v>0.77786353659800422</v>
      </c>
      <c r="H29" s="361">
        <f t="shared" si="45"/>
        <v>0.64699119704429109</v>
      </c>
      <c r="I29" s="362">
        <f t="shared" si="45"/>
        <v>0.79082633052733542</v>
      </c>
      <c r="J29" s="361">
        <f t="shared" si="45"/>
        <v>0.79498729797882206</v>
      </c>
      <c r="K29" s="362">
        <f t="shared" si="45"/>
        <v>0.97379724856703986</v>
      </c>
      <c r="L29" s="361">
        <f t="shared" si="45"/>
        <v>0.91298565658914943</v>
      </c>
      <c r="M29" s="362">
        <f t="shared" si="45"/>
        <v>1.1215875892427163</v>
      </c>
      <c r="N29" s="361">
        <f t="shared" si="45"/>
        <v>0.50348210180610931</v>
      </c>
      <c r="O29" s="362">
        <f t="shared" si="45"/>
        <v>0.61948787340513156</v>
      </c>
      <c r="P29" s="496">
        <f t="shared" ref="P29:Q29" si="46">(100000/P21)*P6/100</f>
        <v>0.37764708050683071</v>
      </c>
      <c r="Q29" s="497">
        <f t="shared" si="46"/>
        <v>0.46210009118093098</v>
      </c>
      <c r="R29" s="496">
        <f t="shared" ref="R29:S29" si="47">(100000/R21)*R6/100</f>
        <v>1.1868314788769945</v>
      </c>
      <c r="S29" s="497">
        <f t="shared" si="47"/>
        <v>1.6465527631850794</v>
      </c>
    </row>
    <row r="30" spans="2:19" x14ac:dyDescent="0.2">
      <c r="B30" s="649"/>
      <c r="C30" s="360" t="s">
        <v>16</v>
      </c>
      <c r="D30" s="361">
        <f>((D46+D72)+2*(D49*10+D50*10+D51*10)+2*(D75*10+D76*10+D77*10)+2*D94)/1000</f>
        <v>0.93223128491709983</v>
      </c>
      <c r="E30" s="362">
        <f t="shared" ref="E30:O30" si="48">((E46+E72)+2*(E49*10+E50*10+E51*10)+2*(E75*10+E76*10+E77*10)+2*E94)/1000</f>
        <v>1.5063206587870335</v>
      </c>
      <c r="F30" s="363">
        <f t="shared" si="48"/>
        <v>0.85656567763270319</v>
      </c>
      <c r="G30" s="362">
        <f t="shared" si="48"/>
        <v>1.3809552108458982</v>
      </c>
      <c r="H30" s="361">
        <f t="shared" si="48"/>
        <v>0.86552249588703845</v>
      </c>
      <c r="I30" s="362">
        <f t="shared" si="48"/>
        <v>1.3963218093184988</v>
      </c>
      <c r="J30" s="361">
        <f t="shared" si="48"/>
        <v>0.8453644294577416</v>
      </c>
      <c r="K30" s="362">
        <f t="shared" si="48"/>
        <v>1.3618629604747015</v>
      </c>
      <c r="L30" s="361">
        <f t="shared" si="48"/>
        <v>0.8229727065206458</v>
      </c>
      <c r="M30" s="362">
        <f t="shared" si="48"/>
        <v>1.3243859610960627</v>
      </c>
      <c r="N30" s="361">
        <f t="shared" si="48"/>
        <v>0.74778042479780316</v>
      </c>
      <c r="O30" s="362">
        <f t="shared" si="48"/>
        <v>1.1804290547273473</v>
      </c>
      <c r="P30" s="496">
        <f t="shared" ref="P30:Q30" si="49">((P46+P72)+2*(P49*10+P50*10+P51*10)+2*(P75*10+P76*10+P77*10)+2*P94)/1000</f>
        <v>0.7556672943860554</v>
      </c>
      <c r="Q30" s="497">
        <f t="shared" si="49"/>
        <v>1.2207297367469128</v>
      </c>
      <c r="R30" s="496">
        <f t="shared" ref="R30:S30" si="50">((R46+R72)+2*(R49*10+R50*10+R51*10)+2*(R75*10+R76*10+R77*10)+2*R94)/1000</f>
        <v>0.64759744671216912</v>
      </c>
      <c r="S30" s="497">
        <f t="shared" si="50"/>
        <v>1.0521950044368524</v>
      </c>
    </row>
    <row r="31" spans="2:19" x14ac:dyDescent="0.2">
      <c r="B31" s="649"/>
      <c r="C31" s="358" t="s">
        <v>17</v>
      </c>
      <c r="D31" s="361">
        <f>D6/D30</f>
        <v>0.23288539994401292</v>
      </c>
      <c r="E31" s="362">
        <f t="shared" ref="E31:O31" si="51">E6/E30</f>
        <v>0.28198965837084078</v>
      </c>
      <c r="F31" s="363">
        <f t="shared" si="51"/>
        <v>0.19292081275703551</v>
      </c>
      <c r="G31" s="362">
        <f t="shared" si="51"/>
        <v>0.23412340724258113</v>
      </c>
      <c r="H31" s="361">
        <f t="shared" si="51"/>
        <v>0.19662482918323487</v>
      </c>
      <c r="I31" s="362">
        <f t="shared" si="51"/>
        <v>0.23846018408331424</v>
      </c>
      <c r="J31" s="361">
        <f t="shared" si="51"/>
        <v>0.24057576802653122</v>
      </c>
      <c r="K31" s="362">
        <f t="shared" si="51"/>
        <v>0.29217773661563406</v>
      </c>
      <c r="L31" s="361">
        <f t="shared" si="51"/>
        <v>0.27361443938289171</v>
      </c>
      <c r="M31" s="362">
        <f t="shared" si="51"/>
        <v>0.33265538193449107</v>
      </c>
      <c r="N31" s="361">
        <f t="shared" si="51"/>
        <v>0.16295850499739947</v>
      </c>
      <c r="O31" s="362">
        <f t="shared" si="51"/>
        <v>0.20197420672008731</v>
      </c>
      <c r="P31" s="496">
        <f t="shared" ref="P31:Q31" si="52">P6/P30</f>
        <v>0.14055290333332698</v>
      </c>
      <c r="Q31" s="497">
        <f t="shared" si="52"/>
        <v>0.17022980471809623</v>
      </c>
      <c r="R31" s="496">
        <f t="shared" ref="R31:S31" si="53">R6/R30</f>
        <v>0.3573703688240083</v>
      </c>
      <c r="S31" s="497">
        <f t="shared" si="53"/>
        <v>0.43034039124548207</v>
      </c>
    </row>
    <row r="32" spans="2:19" x14ac:dyDescent="0.2">
      <c r="F32" s="503"/>
    </row>
    <row r="33" spans="2:21" ht="13.15" customHeight="1" x14ac:dyDescent="0.2">
      <c r="B33" s="641" t="s">
        <v>18</v>
      </c>
      <c r="C33" s="109" t="s">
        <v>29</v>
      </c>
      <c r="D33" s="454" t="s">
        <v>19</v>
      </c>
      <c r="E33" s="536" t="s">
        <v>19</v>
      </c>
      <c r="F33" s="537" t="s">
        <v>19</v>
      </c>
      <c r="G33" s="536" t="s">
        <v>19</v>
      </c>
      <c r="H33" s="454" t="s">
        <v>19</v>
      </c>
      <c r="I33" s="536" t="s">
        <v>19</v>
      </c>
      <c r="J33" s="454" t="s">
        <v>20</v>
      </c>
      <c r="K33" s="536" t="s">
        <v>20</v>
      </c>
      <c r="L33" s="454" t="s">
        <v>212</v>
      </c>
      <c r="M33" s="536" t="s">
        <v>212</v>
      </c>
      <c r="N33" s="454" t="s">
        <v>19</v>
      </c>
      <c r="O33" s="536" t="s">
        <v>19</v>
      </c>
      <c r="P33" s="538" t="s">
        <v>564</v>
      </c>
      <c r="Q33" s="539" t="s">
        <v>564</v>
      </c>
      <c r="R33" s="538" t="s">
        <v>574</v>
      </c>
      <c r="S33" s="539" t="s">
        <v>574</v>
      </c>
    </row>
    <row r="34" spans="2:21" ht="13.15" customHeight="1" x14ac:dyDescent="0.2">
      <c r="B34" s="641"/>
      <c r="C34" s="109" t="s">
        <v>206</v>
      </c>
      <c r="D34" s="454">
        <v>2.23</v>
      </c>
      <c r="E34" s="536">
        <v>2.23</v>
      </c>
      <c r="F34" s="537">
        <v>2.23</v>
      </c>
      <c r="G34" s="536">
        <v>2.23</v>
      </c>
      <c r="H34" s="454">
        <v>2.23</v>
      </c>
      <c r="I34" s="536">
        <v>2.23</v>
      </c>
      <c r="J34" s="454">
        <f>2.23*0.95+2.13*0.05</f>
        <v>2.2250000000000001</v>
      </c>
      <c r="K34" s="536">
        <f>2.23*0.95+2.13*0.05</f>
        <v>2.2250000000000001</v>
      </c>
      <c r="L34" s="360">
        <f>2.23*0.9+2.13*0.1</f>
        <v>2.2200000000000002</v>
      </c>
      <c r="M34" s="502">
        <f>2.23*0.9+2.13*0.1</f>
        <v>2.2200000000000002</v>
      </c>
      <c r="N34" s="454">
        <v>2.23</v>
      </c>
      <c r="O34" s="536">
        <v>2.23</v>
      </c>
      <c r="P34" s="538">
        <v>1.5</v>
      </c>
      <c r="Q34" s="539">
        <v>1.5</v>
      </c>
      <c r="R34" s="538">
        <v>0.53400000000000003</v>
      </c>
      <c r="S34" s="539">
        <v>0.53400000000000003</v>
      </c>
    </row>
    <row r="35" spans="2:21" ht="14.65" customHeight="1" x14ac:dyDescent="0.2">
      <c r="B35" s="641"/>
      <c r="C35" s="109" t="s">
        <v>207</v>
      </c>
      <c r="D35" s="540">
        <v>2</v>
      </c>
      <c r="E35" s="539">
        <v>2</v>
      </c>
      <c r="F35" s="538">
        <v>2</v>
      </c>
      <c r="G35" s="539">
        <v>2</v>
      </c>
      <c r="H35" s="540">
        <v>2</v>
      </c>
      <c r="I35" s="539">
        <v>2</v>
      </c>
      <c r="J35" s="540">
        <v>2</v>
      </c>
      <c r="K35" s="539">
        <v>2</v>
      </c>
      <c r="L35" s="540">
        <v>2</v>
      </c>
      <c r="M35" s="539">
        <v>2</v>
      </c>
      <c r="N35" s="540">
        <v>2</v>
      </c>
      <c r="O35" s="539">
        <v>2</v>
      </c>
      <c r="P35" s="540">
        <v>2</v>
      </c>
      <c r="Q35" s="539">
        <v>2</v>
      </c>
      <c r="R35" s="540">
        <v>2</v>
      </c>
      <c r="S35" s="539">
        <v>2</v>
      </c>
      <c r="U35" s="495"/>
    </row>
    <row r="36" spans="2:21" x14ac:dyDescent="0.2">
      <c r="B36" s="641"/>
      <c r="C36" s="109" t="s">
        <v>208</v>
      </c>
      <c r="D36" s="540">
        <v>1.3</v>
      </c>
      <c r="E36" s="539">
        <v>1.3</v>
      </c>
      <c r="F36" s="538">
        <v>1.3</v>
      </c>
      <c r="G36" s="539">
        <v>1.3</v>
      </c>
      <c r="H36" s="540">
        <v>1.3</v>
      </c>
      <c r="I36" s="539">
        <v>1.3</v>
      </c>
      <c r="J36" s="540">
        <v>1.3</v>
      </c>
      <c r="K36" s="539">
        <v>1.3</v>
      </c>
      <c r="L36" s="540">
        <v>1.3</v>
      </c>
      <c r="M36" s="539">
        <v>1.3</v>
      </c>
      <c r="N36" s="540">
        <v>1.3</v>
      </c>
      <c r="O36" s="539">
        <v>1.3</v>
      </c>
      <c r="P36" s="540">
        <v>1.3</v>
      </c>
      <c r="Q36" s="539">
        <v>1.3</v>
      </c>
      <c r="R36" s="540">
        <v>1.3</v>
      </c>
      <c r="S36" s="539">
        <v>1.3</v>
      </c>
    </row>
    <row r="37" spans="2:21" x14ac:dyDescent="0.2">
      <c r="B37" s="641"/>
      <c r="C37" s="109" t="s">
        <v>226</v>
      </c>
      <c r="D37" s="511">
        <v>0.94</v>
      </c>
      <c r="E37" s="400">
        <v>0.95</v>
      </c>
      <c r="F37" s="399">
        <v>0.94</v>
      </c>
      <c r="G37" s="400">
        <v>0.95</v>
      </c>
      <c r="H37" s="511">
        <v>0.94</v>
      </c>
      <c r="I37" s="400">
        <v>0.95</v>
      </c>
      <c r="J37" s="511">
        <v>0.94</v>
      </c>
      <c r="K37" s="400">
        <v>0.95</v>
      </c>
      <c r="L37" s="511">
        <v>0.94</v>
      </c>
      <c r="M37" s="400">
        <v>0.95</v>
      </c>
      <c r="N37" s="511">
        <v>0.94</v>
      </c>
      <c r="O37" s="400">
        <v>0.95</v>
      </c>
      <c r="P37" s="511">
        <v>0.94</v>
      </c>
      <c r="Q37" s="400">
        <v>0.95</v>
      </c>
      <c r="R37" s="511">
        <v>1</v>
      </c>
      <c r="S37" s="400">
        <v>1</v>
      </c>
    </row>
    <row r="38" spans="2:21" x14ac:dyDescent="0.2">
      <c r="B38" s="641"/>
      <c r="C38" s="109" t="s">
        <v>227</v>
      </c>
      <c r="D38" s="511">
        <v>0.02</v>
      </c>
      <c r="E38" s="400">
        <v>0.01</v>
      </c>
      <c r="F38" s="399">
        <v>0.02</v>
      </c>
      <c r="G38" s="400">
        <v>0.01</v>
      </c>
      <c r="H38" s="511">
        <v>0.02</v>
      </c>
      <c r="I38" s="400">
        <v>0.01</v>
      </c>
      <c r="J38" s="511">
        <v>0.02</v>
      </c>
      <c r="K38" s="400">
        <v>0.01</v>
      </c>
      <c r="L38" s="511">
        <v>0.02</v>
      </c>
      <c r="M38" s="400">
        <v>0.01</v>
      </c>
      <c r="N38" s="511">
        <v>0.02</v>
      </c>
      <c r="O38" s="400">
        <v>0.01</v>
      </c>
      <c r="P38" s="511">
        <v>0.02</v>
      </c>
      <c r="Q38" s="400">
        <v>0.01</v>
      </c>
      <c r="R38" s="511">
        <v>0</v>
      </c>
      <c r="S38" s="400">
        <v>0</v>
      </c>
    </row>
    <row r="39" spans="2:21" x14ac:dyDescent="0.2">
      <c r="B39" s="641"/>
      <c r="C39" s="109" t="s">
        <v>228</v>
      </c>
      <c r="D39" s="511">
        <v>0.04</v>
      </c>
      <c r="E39" s="400">
        <v>0.04</v>
      </c>
      <c r="F39" s="399">
        <v>0.04</v>
      </c>
      <c r="G39" s="400">
        <v>0.04</v>
      </c>
      <c r="H39" s="511">
        <v>0.04</v>
      </c>
      <c r="I39" s="400">
        <v>0.04</v>
      </c>
      <c r="J39" s="511">
        <v>0.04</v>
      </c>
      <c r="K39" s="400">
        <v>0.04</v>
      </c>
      <c r="L39" s="511">
        <v>0.04</v>
      </c>
      <c r="M39" s="400">
        <v>0.04</v>
      </c>
      <c r="N39" s="511">
        <v>0.04</v>
      </c>
      <c r="O39" s="400">
        <v>0.04</v>
      </c>
      <c r="P39" s="511">
        <v>0.04</v>
      </c>
      <c r="Q39" s="400">
        <v>0.04</v>
      </c>
      <c r="R39" s="511">
        <v>0</v>
      </c>
      <c r="S39" s="400">
        <v>0</v>
      </c>
    </row>
    <row r="40" spans="2:21" x14ac:dyDescent="0.2">
      <c r="B40" s="641"/>
      <c r="C40" s="109" t="s">
        <v>230</v>
      </c>
      <c r="D40" s="366">
        <f t="shared" ref="D40:O40" si="54">(D55*10000/(D54*1000000/(100*100*100)))/(1-D41)</f>
        <v>68.912086573359076</v>
      </c>
      <c r="E40" s="367">
        <f t="shared" si="54"/>
        <v>118.66388936068755</v>
      </c>
      <c r="F40" s="368">
        <f>(F55*10000/(F54*1000000/(100*100*100)))/(1-F41)</f>
        <v>52.452865085784907</v>
      </c>
      <c r="G40" s="367">
        <f t="shared" si="54"/>
        <v>90.321760502270251</v>
      </c>
      <c r="H40" s="366">
        <f t="shared" si="54"/>
        <v>54.018955501635489</v>
      </c>
      <c r="I40" s="367">
        <f t="shared" si="54"/>
        <v>93.018506299359004</v>
      </c>
      <c r="J40" s="366">
        <f t="shared" si="54"/>
        <v>50.410343596788067</v>
      </c>
      <c r="K40" s="367">
        <f t="shared" si="54"/>
        <v>86.806408730200729</v>
      </c>
      <c r="L40" s="366">
        <f t="shared" si="54"/>
        <v>45.819142035217673</v>
      </c>
      <c r="M40" s="367">
        <f t="shared" si="54"/>
        <v>78.902011729887647</v>
      </c>
      <c r="N40" s="366">
        <f>(N55*10000/(N54*1000000/(100*100*100)))/(1-N41)</f>
        <v>43.514411092509363</v>
      </c>
      <c r="O40" s="367">
        <f t="shared" si="54"/>
        <v>74.930096014147054</v>
      </c>
      <c r="P40" s="366">
        <f>(P55*10000/(P54*1000000/(100*100*100)))/(1-P41)</f>
        <v>60.622339827778546</v>
      </c>
      <c r="Q40" s="367">
        <f t="shared" ref="Q40" si="55">(Q55*10000/(Q54*1000000/(100*100*100)))/(1-Q41)</f>
        <v>104.8480239085649</v>
      </c>
      <c r="R40" s="366">
        <v>20</v>
      </c>
      <c r="S40" s="367">
        <v>20</v>
      </c>
    </row>
    <row r="41" spans="2:21" x14ac:dyDescent="0.2">
      <c r="B41" s="641"/>
      <c r="C41" s="109" t="s">
        <v>229</v>
      </c>
      <c r="D41" s="511">
        <v>0.35</v>
      </c>
      <c r="E41" s="400">
        <v>0.27</v>
      </c>
      <c r="F41" s="511">
        <v>0.35</v>
      </c>
      <c r="G41" s="400">
        <v>0.27</v>
      </c>
      <c r="H41" s="511">
        <v>0.35</v>
      </c>
      <c r="I41" s="400">
        <v>0.27</v>
      </c>
      <c r="J41" s="511">
        <v>0.35</v>
      </c>
      <c r="K41" s="400">
        <v>0.27</v>
      </c>
      <c r="L41" s="511">
        <v>0.35</v>
      </c>
      <c r="M41" s="400">
        <v>0.27</v>
      </c>
      <c r="N41" s="511">
        <v>0.35</v>
      </c>
      <c r="O41" s="400">
        <v>0.27</v>
      </c>
      <c r="P41" s="511">
        <v>0.35</v>
      </c>
      <c r="Q41" s="400">
        <v>0.27</v>
      </c>
      <c r="R41" s="399">
        <v>0</v>
      </c>
      <c r="S41" s="400">
        <v>0</v>
      </c>
    </row>
    <row r="42" spans="2:21" x14ac:dyDescent="0.2">
      <c r="B42" s="641"/>
      <c r="C42" s="109" t="s">
        <v>233</v>
      </c>
      <c r="D42" s="525" t="s">
        <v>194</v>
      </c>
      <c r="E42" s="526" t="s">
        <v>194</v>
      </c>
      <c r="F42" s="525" t="s">
        <v>194</v>
      </c>
      <c r="G42" s="526" t="s">
        <v>194</v>
      </c>
      <c r="H42" s="525" t="s">
        <v>194</v>
      </c>
      <c r="I42" s="526" t="s">
        <v>194</v>
      </c>
      <c r="J42" s="525" t="s">
        <v>194</v>
      </c>
      <c r="K42" s="526" t="s">
        <v>194</v>
      </c>
      <c r="L42" s="525" t="s">
        <v>194</v>
      </c>
      <c r="M42" s="526" t="s">
        <v>194</v>
      </c>
      <c r="N42" s="525" t="s">
        <v>194</v>
      </c>
      <c r="O42" s="526" t="s">
        <v>194</v>
      </c>
      <c r="P42" s="526" t="s">
        <v>243</v>
      </c>
      <c r="Q42" s="526" t="s">
        <v>243</v>
      </c>
      <c r="R42" s="525" t="s">
        <v>194</v>
      </c>
      <c r="S42" s="526" t="s">
        <v>194</v>
      </c>
    </row>
    <row r="43" spans="2:21" x14ac:dyDescent="0.2">
      <c r="B43" s="641"/>
      <c r="C43" s="109" t="s">
        <v>242</v>
      </c>
      <c r="D43" s="514">
        <v>10</v>
      </c>
      <c r="E43" s="515">
        <v>10</v>
      </c>
      <c r="F43" s="541">
        <v>10</v>
      </c>
      <c r="G43" s="515">
        <v>10</v>
      </c>
      <c r="H43" s="514">
        <v>10</v>
      </c>
      <c r="I43" s="515">
        <v>10</v>
      </c>
      <c r="J43" s="514">
        <v>10</v>
      </c>
      <c r="K43" s="542">
        <v>10</v>
      </c>
      <c r="L43" s="514">
        <v>10</v>
      </c>
      <c r="M43" s="542">
        <v>10</v>
      </c>
      <c r="N43" s="514">
        <v>10</v>
      </c>
      <c r="O43" s="515">
        <v>10</v>
      </c>
      <c r="P43" s="541">
        <v>15</v>
      </c>
      <c r="Q43" s="515">
        <v>15</v>
      </c>
      <c r="R43" s="514">
        <v>10</v>
      </c>
      <c r="S43" s="515">
        <v>10</v>
      </c>
    </row>
    <row r="44" spans="2:21" x14ac:dyDescent="0.2">
      <c r="B44" s="641"/>
      <c r="C44" s="109" t="s">
        <v>232</v>
      </c>
      <c r="D44" s="514">
        <v>8920</v>
      </c>
      <c r="E44" s="515">
        <v>8920</v>
      </c>
      <c r="F44" s="541">
        <v>8920</v>
      </c>
      <c r="G44" s="515">
        <v>8920</v>
      </c>
      <c r="H44" s="514">
        <v>8920</v>
      </c>
      <c r="I44" s="515">
        <v>8920</v>
      </c>
      <c r="J44" s="514">
        <v>8920</v>
      </c>
      <c r="K44" s="515">
        <v>8920</v>
      </c>
      <c r="L44" s="514">
        <v>8920</v>
      </c>
      <c r="M44" s="515">
        <v>8920</v>
      </c>
      <c r="N44" s="514">
        <v>8920</v>
      </c>
      <c r="O44" s="515">
        <v>8920</v>
      </c>
      <c r="P44" s="316">
        <v>2700</v>
      </c>
      <c r="Q44" s="507">
        <v>2700</v>
      </c>
      <c r="R44" s="514">
        <v>8920</v>
      </c>
      <c r="S44" s="515">
        <v>8920</v>
      </c>
    </row>
    <row r="45" spans="2:21" x14ac:dyDescent="0.2">
      <c r="B45" s="641"/>
      <c r="C45" s="109" t="s">
        <v>318</v>
      </c>
      <c r="D45" s="541">
        <v>998</v>
      </c>
      <c r="E45" s="515">
        <v>998</v>
      </c>
      <c r="F45" s="541">
        <v>998</v>
      </c>
      <c r="G45" s="515">
        <v>998</v>
      </c>
      <c r="H45" s="541">
        <v>998</v>
      </c>
      <c r="I45" s="515">
        <v>998</v>
      </c>
      <c r="J45" s="541">
        <v>998</v>
      </c>
      <c r="K45" s="515">
        <v>998</v>
      </c>
      <c r="L45" s="541">
        <v>998</v>
      </c>
      <c r="M45" s="515">
        <v>998</v>
      </c>
      <c r="N45" s="541">
        <v>998</v>
      </c>
      <c r="O45" s="515">
        <v>998</v>
      </c>
      <c r="P45" s="541">
        <v>998</v>
      </c>
      <c r="Q45" s="515">
        <v>998</v>
      </c>
      <c r="R45" s="541">
        <v>998</v>
      </c>
      <c r="S45" s="515">
        <v>998</v>
      </c>
    </row>
    <row r="46" spans="2:21" x14ac:dyDescent="0.2">
      <c r="B46" s="641"/>
      <c r="C46" s="109" t="s">
        <v>231</v>
      </c>
      <c r="D46" s="514">
        <f>D43/10^6*D44*1000</f>
        <v>89.2</v>
      </c>
      <c r="E46" s="515">
        <f>E43/10^6*E44*1000</f>
        <v>89.2</v>
      </c>
      <c r="F46" s="541">
        <f>F43/10^6*F44*1000</f>
        <v>89.2</v>
      </c>
      <c r="G46" s="515">
        <f t="shared" ref="G46" si="56">G43/10^6*G44*1000</f>
        <v>89.2</v>
      </c>
      <c r="H46" s="514">
        <f>H43/10^6*H44*1000</f>
        <v>89.2</v>
      </c>
      <c r="I46" s="515">
        <f t="shared" ref="I46:O46" si="57">I43/10^6*I44*1000</f>
        <v>89.2</v>
      </c>
      <c r="J46" s="514">
        <f>J43/10^6*J44*1000</f>
        <v>89.2</v>
      </c>
      <c r="K46" s="515">
        <f t="shared" si="57"/>
        <v>89.2</v>
      </c>
      <c r="L46" s="514">
        <f t="shared" si="57"/>
        <v>89.2</v>
      </c>
      <c r="M46" s="515">
        <f t="shared" si="57"/>
        <v>89.2</v>
      </c>
      <c r="N46" s="514">
        <f t="shared" si="57"/>
        <v>89.2</v>
      </c>
      <c r="O46" s="515">
        <f t="shared" si="57"/>
        <v>89.2</v>
      </c>
      <c r="P46" s="514">
        <f t="shared" ref="P46:Q46" si="58">P43/10^6*P44*1000</f>
        <v>40.5</v>
      </c>
      <c r="Q46" s="515">
        <f t="shared" si="58"/>
        <v>40.5</v>
      </c>
      <c r="R46" s="514">
        <f t="shared" ref="R46:S46" si="59">R43/10^6*R44*1000</f>
        <v>89.2</v>
      </c>
      <c r="S46" s="515">
        <f t="shared" si="59"/>
        <v>89.2</v>
      </c>
    </row>
    <row r="47" spans="2:21" x14ac:dyDescent="0.2">
      <c r="B47" s="641"/>
      <c r="C47" s="109" t="s">
        <v>234</v>
      </c>
      <c r="D47" s="543">
        <f t="shared" ref="D47:I47" si="60">D40*2+D43</f>
        <v>147.82417314671815</v>
      </c>
      <c r="E47" s="544">
        <f t="shared" si="60"/>
        <v>247.3277787213751</v>
      </c>
      <c r="F47" s="545">
        <f t="shared" si="60"/>
        <v>114.90573017156981</v>
      </c>
      <c r="G47" s="544">
        <f t="shared" si="60"/>
        <v>190.6435210045405</v>
      </c>
      <c r="H47" s="543">
        <f t="shared" si="60"/>
        <v>118.03791100327098</v>
      </c>
      <c r="I47" s="544">
        <f t="shared" si="60"/>
        <v>196.03701259871801</v>
      </c>
      <c r="J47" s="543">
        <f t="shared" ref="J47:O47" si="61">J40*2+J43</f>
        <v>110.82068719357613</v>
      </c>
      <c r="K47" s="544">
        <f t="shared" si="61"/>
        <v>183.61281746040146</v>
      </c>
      <c r="L47" s="543">
        <f t="shared" si="61"/>
        <v>101.63828407043535</v>
      </c>
      <c r="M47" s="544">
        <f t="shared" si="61"/>
        <v>167.80402345977529</v>
      </c>
      <c r="N47" s="543">
        <f t="shared" si="61"/>
        <v>97.028822185018726</v>
      </c>
      <c r="O47" s="544">
        <f t="shared" si="61"/>
        <v>159.86019202829411</v>
      </c>
      <c r="P47" s="543">
        <f t="shared" ref="P47:Q47" si="62">P40*2+P43</f>
        <v>136.24467965555709</v>
      </c>
      <c r="Q47" s="544">
        <f t="shared" si="62"/>
        <v>224.6960478171298</v>
      </c>
      <c r="R47" s="543">
        <f t="shared" ref="R47:S47" si="63">R40*2+R43</f>
        <v>50</v>
      </c>
      <c r="S47" s="544">
        <f t="shared" si="63"/>
        <v>50</v>
      </c>
    </row>
    <row r="48" spans="2:21" x14ac:dyDescent="0.2">
      <c r="B48" s="641"/>
      <c r="C48" s="109" t="s">
        <v>246</v>
      </c>
      <c r="D48" s="540">
        <v>360</v>
      </c>
      <c r="E48" s="539">
        <v>360</v>
      </c>
      <c r="F48" s="538">
        <v>360</v>
      </c>
      <c r="G48" s="539">
        <v>360</v>
      </c>
      <c r="H48" s="540">
        <v>360</v>
      </c>
      <c r="I48" s="539">
        <v>360</v>
      </c>
      <c r="J48" s="316">
        <f>0.95*360+0.05*2400</f>
        <v>462</v>
      </c>
      <c r="K48" s="507">
        <f>0.95*360+0.05*2400</f>
        <v>462</v>
      </c>
      <c r="L48" s="316">
        <f>0.9*360+0.1*2400</f>
        <v>564</v>
      </c>
      <c r="M48" s="507">
        <f>0.9*360+0.1*2400</f>
        <v>564</v>
      </c>
      <c r="N48" s="540">
        <v>360</v>
      </c>
      <c r="O48" s="539">
        <v>360</v>
      </c>
      <c r="P48" s="540">
        <v>350</v>
      </c>
      <c r="Q48" s="539">
        <v>350</v>
      </c>
      <c r="R48" s="538">
        <v>3860</v>
      </c>
      <c r="S48" s="539">
        <v>3860</v>
      </c>
    </row>
    <row r="49" spans="2:20" x14ac:dyDescent="0.2">
      <c r="B49" s="641"/>
      <c r="C49" s="109" t="s">
        <v>235</v>
      </c>
      <c r="D49" s="546">
        <f>D52*1000/D48</f>
        <v>9.2134784410132653</v>
      </c>
      <c r="E49" s="547">
        <f>E52*1000/E48</f>
        <v>18.02637086285204</v>
      </c>
      <c r="F49" s="548">
        <f>F52*1000/F48</f>
        <v>7.0128966581616572</v>
      </c>
      <c r="G49" s="547">
        <f>G52*1000/G48</f>
        <v>13.720884765968464</v>
      </c>
      <c r="H49" s="546">
        <f>H52*1000/H48</f>
        <v>7.2222814119922711</v>
      </c>
      <c r="I49" s="547">
        <f t="shared" ref="I49:O49" si="64">I52*1000/I48</f>
        <v>14.130550588680528</v>
      </c>
      <c r="J49" s="546">
        <f>J52*1000/J48</f>
        <v>6.7253371983831514</v>
      </c>
      <c r="K49" s="547">
        <f t="shared" si="64"/>
        <v>13.158268431619215</v>
      </c>
      <c r="L49" s="546">
        <f t="shared" si="64"/>
        <v>6.0996586213129032</v>
      </c>
      <c r="M49" s="547">
        <f t="shared" si="64"/>
        <v>11.93411469387307</v>
      </c>
      <c r="N49" s="546">
        <f t="shared" si="64"/>
        <v>5.8178341189456315</v>
      </c>
      <c r="O49" s="547">
        <f t="shared" si="64"/>
        <v>11.382718928371894</v>
      </c>
      <c r="P49" s="546">
        <f t="shared" ref="P49:Q49" si="65">P52*1000/P48</f>
        <v>5.563445495142858</v>
      </c>
      <c r="Q49" s="547">
        <f t="shared" si="65"/>
        <v>10.885002055714285</v>
      </c>
      <c r="R49" s="546">
        <f>R52*1000/R48</f>
        <v>0.89124545658561594</v>
      </c>
      <c r="S49" s="547">
        <f t="shared" ref="S49" si="66">S52*1000/S48</f>
        <v>1.7437411107109875</v>
      </c>
    </row>
    <row r="50" spans="2:20" x14ac:dyDescent="0.2">
      <c r="B50" s="641"/>
      <c r="C50" s="109" t="s">
        <v>236</v>
      </c>
      <c r="D50" s="534">
        <f>D55*D38</f>
        <v>0.19603145619177162</v>
      </c>
      <c r="E50" s="535">
        <f t="shared" ref="E50:O50" si="67">E55*E38</f>
        <v>0.1897512722405478</v>
      </c>
      <c r="F50" s="549">
        <f>F55*F38</f>
        <v>0.14921056719492889</v>
      </c>
      <c r="G50" s="535">
        <f>G55*G38</f>
        <v>0.14443036595756278</v>
      </c>
      <c r="H50" s="534">
        <f>H55*H38</f>
        <v>0.1536655619572824</v>
      </c>
      <c r="I50" s="535">
        <f t="shared" si="67"/>
        <v>0.1487426377755845</v>
      </c>
      <c r="J50" s="534">
        <f t="shared" si="67"/>
        <v>0.14309228081666281</v>
      </c>
      <c r="K50" s="535">
        <f t="shared" si="67"/>
        <v>0.13850808875388648</v>
      </c>
      <c r="L50" s="534">
        <f t="shared" si="67"/>
        <v>0.12977997066623201</v>
      </c>
      <c r="M50" s="535">
        <f t="shared" si="67"/>
        <v>0.12562225993550602</v>
      </c>
      <c r="N50" s="534">
        <f t="shared" si="67"/>
        <v>0.12378370465841769</v>
      </c>
      <c r="O50" s="535">
        <f t="shared" si="67"/>
        <v>0.11981809398286204</v>
      </c>
      <c r="P50" s="534">
        <f t="shared" ref="P50:Q50" si="68">P55*P38</f>
        <v>0.11837118074772039</v>
      </c>
      <c r="Q50" s="535">
        <f t="shared" si="68"/>
        <v>0.11457896900751881</v>
      </c>
      <c r="R50" s="534">
        <f>R55*R38</f>
        <v>0</v>
      </c>
      <c r="S50" s="535">
        <f t="shared" ref="S50" si="69">S55*S38</f>
        <v>0</v>
      </c>
      <c r="T50" s="370"/>
    </row>
    <row r="51" spans="2:20" x14ac:dyDescent="0.2">
      <c r="B51" s="641"/>
      <c r="C51" s="109" t="s">
        <v>237</v>
      </c>
      <c r="D51" s="534">
        <f>D55*D39</f>
        <v>0.39206291238354324</v>
      </c>
      <c r="E51" s="535">
        <f t="shared" ref="E51:O51" si="70">E55*E39</f>
        <v>0.75900508896219121</v>
      </c>
      <c r="F51" s="549">
        <f>F55*F39</f>
        <v>0.29842113438985779</v>
      </c>
      <c r="G51" s="535">
        <f t="shared" ref="G51" si="71">G55*G39</f>
        <v>0.57772146383025114</v>
      </c>
      <c r="H51" s="534">
        <f t="shared" si="70"/>
        <v>0.3073311239145648</v>
      </c>
      <c r="I51" s="535">
        <f t="shared" si="70"/>
        <v>0.59497055110233799</v>
      </c>
      <c r="J51" s="534">
        <f t="shared" si="70"/>
        <v>0.28618456163332562</v>
      </c>
      <c r="K51" s="535">
        <f t="shared" si="70"/>
        <v>0.55403235501554593</v>
      </c>
      <c r="L51" s="534">
        <f t="shared" si="70"/>
        <v>0.25955994133246402</v>
      </c>
      <c r="M51" s="535">
        <f t="shared" si="70"/>
        <v>0.50248903974202408</v>
      </c>
      <c r="N51" s="534">
        <f t="shared" si="70"/>
        <v>0.24756740931683538</v>
      </c>
      <c r="O51" s="535">
        <f t="shared" si="70"/>
        <v>0.47927237593144817</v>
      </c>
      <c r="P51" s="534">
        <f t="shared" ref="P51:Q51" si="72">P55*P39</f>
        <v>0.23674236149544078</v>
      </c>
      <c r="Q51" s="535">
        <f t="shared" si="72"/>
        <v>0.45831587603007523</v>
      </c>
      <c r="R51" s="534">
        <f t="shared" ref="R51:S51" si="73">R55*R39</f>
        <v>0</v>
      </c>
      <c r="S51" s="535">
        <f t="shared" si="73"/>
        <v>0</v>
      </c>
    </row>
    <row r="52" spans="2:20" x14ac:dyDescent="0.2">
      <c r="B52" s="641"/>
      <c r="C52" s="109" t="s">
        <v>248</v>
      </c>
      <c r="D52" s="546">
        <f>D53*1000/(100*100)</f>
        <v>3.3168522387647754</v>
      </c>
      <c r="E52" s="547">
        <f t="shared" ref="E52:S52" si="74">E53*1000/(100*100)</f>
        <v>6.4894935106267351</v>
      </c>
      <c r="F52" s="548">
        <f>F53*1000/(100*100)</f>
        <v>2.5246427969381968</v>
      </c>
      <c r="G52" s="547">
        <f t="shared" si="74"/>
        <v>4.939518515748647</v>
      </c>
      <c r="H52" s="546">
        <f>H53*1000/(100*100)</f>
        <v>2.6000213083172174</v>
      </c>
      <c r="I52" s="547">
        <f t="shared" si="74"/>
        <v>5.0869982119249899</v>
      </c>
      <c r="J52" s="546">
        <f t="shared" si="74"/>
        <v>3.1071057856530162</v>
      </c>
      <c r="K52" s="547">
        <f>K53*1000/(100*100)</f>
        <v>6.0791200154080771</v>
      </c>
      <c r="L52" s="546">
        <f t="shared" si="74"/>
        <v>3.4402074624204775</v>
      </c>
      <c r="M52" s="547">
        <f t="shared" si="74"/>
        <v>6.7308406873444122</v>
      </c>
      <c r="N52" s="546">
        <f t="shared" si="74"/>
        <v>2.0944202828204275</v>
      </c>
      <c r="O52" s="547">
        <f t="shared" si="74"/>
        <v>4.0977788142138811</v>
      </c>
      <c r="P52" s="546">
        <f t="shared" si="74"/>
        <v>1.9472059233000003</v>
      </c>
      <c r="Q52" s="547">
        <f t="shared" si="74"/>
        <v>3.8097507194999998</v>
      </c>
      <c r="R52" s="546">
        <f t="shared" si="74"/>
        <v>3.4402074624204775</v>
      </c>
      <c r="S52" s="547">
        <f t="shared" si="74"/>
        <v>6.7308406873444122</v>
      </c>
    </row>
    <row r="53" spans="2:20" x14ac:dyDescent="0.2">
      <c r="B53" s="641"/>
      <c r="C53" s="109" t="s">
        <v>249</v>
      </c>
      <c r="D53" s="546">
        <f>D79*1.1</f>
        <v>33.168522387647755</v>
      </c>
      <c r="E53" s="547">
        <f t="shared" ref="E53:O53" si="75">E79*1.1</f>
        <v>64.894935106267354</v>
      </c>
      <c r="F53" s="548">
        <f>F79*1.1</f>
        <v>25.246427969381969</v>
      </c>
      <c r="G53" s="547">
        <f t="shared" ref="G53" si="76">G79*1.1</f>
        <v>49.395185157486473</v>
      </c>
      <c r="H53" s="546">
        <f>H79*1.1</f>
        <v>26.000213083172174</v>
      </c>
      <c r="I53" s="547">
        <f t="shared" si="75"/>
        <v>50.869982119249897</v>
      </c>
      <c r="J53" s="546">
        <f t="shared" si="75"/>
        <v>31.071057856530164</v>
      </c>
      <c r="K53" s="547">
        <f>K79*1.1</f>
        <v>60.791200154080769</v>
      </c>
      <c r="L53" s="546">
        <f t="shared" si="75"/>
        <v>34.402074624204772</v>
      </c>
      <c r="M53" s="547">
        <f t="shared" si="75"/>
        <v>67.308406873444127</v>
      </c>
      <c r="N53" s="546">
        <f>N79*1.1</f>
        <v>20.944202828204272</v>
      </c>
      <c r="O53" s="547">
        <f t="shared" si="75"/>
        <v>40.977788142138806</v>
      </c>
      <c r="P53" s="546">
        <f>P79*1.1</f>
        <v>19.472059233000003</v>
      </c>
      <c r="Q53" s="547">
        <f t="shared" ref="Q53" si="77">Q79*1.1</f>
        <v>38.097507194999999</v>
      </c>
      <c r="R53" s="546">
        <f>R79*1.1</f>
        <v>34.402074624204772</v>
      </c>
      <c r="S53" s="547">
        <f t="shared" ref="S53" si="78">S79*1.1</f>
        <v>67.308406873444127</v>
      </c>
    </row>
    <row r="54" spans="2:20" x14ac:dyDescent="0.2">
      <c r="B54" s="641"/>
      <c r="C54" s="109" t="s">
        <v>238</v>
      </c>
      <c r="D54" s="496">
        <f>(D37*D34+D38*D35+D39*D36)*10^6/1000</f>
        <v>2188.1999999999998</v>
      </c>
      <c r="E54" s="497">
        <f t="shared" ref="E54:O54" si="79">(E37*E34+E38*E35+E39*E36)*10^6/1000</f>
        <v>2190.5</v>
      </c>
      <c r="F54" s="550">
        <f>(F37*F34+F38*F35+F39*F36)*10^6/1000</f>
        <v>2188.1999999999998</v>
      </c>
      <c r="G54" s="497">
        <f t="shared" ref="G54" si="80">(G37*G34+G38*G35+G39*G36)*10^6/1000</f>
        <v>2190.5</v>
      </c>
      <c r="H54" s="496">
        <f t="shared" si="79"/>
        <v>2188.1999999999998</v>
      </c>
      <c r="I54" s="497">
        <f t="shared" si="79"/>
        <v>2190.5</v>
      </c>
      <c r="J54" s="496">
        <f t="shared" si="79"/>
        <v>2183.5</v>
      </c>
      <c r="K54" s="497">
        <f t="shared" si="79"/>
        <v>2185.75</v>
      </c>
      <c r="L54" s="496">
        <f t="shared" si="79"/>
        <v>2178.8000000000006</v>
      </c>
      <c r="M54" s="497">
        <f t="shared" si="79"/>
        <v>2181</v>
      </c>
      <c r="N54" s="496">
        <f>(N37*N34+N38*N35+N39*N36)*10^6/1000</f>
        <v>2188.1999999999998</v>
      </c>
      <c r="O54" s="497">
        <f t="shared" si="79"/>
        <v>2190.5</v>
      </c>
      <c r="P54" s="496">
        <f>(P37*P34+P38*P35+P39*P36)*10^6/1000</f>
        <v>1502</v>
      </c>
      <c r="Q54" s="497">
        <f t="shared" ref="Q54" si="81">(Q37*Q34+Q38*Q35+Q39*Q36)*10^6/1000</f>
        <v>1497</v>
      </c>
      <c r="R54" s="496">
        <f t="shared" ref="R54:S54" si="82">(R37*R34+R38*R35+R39*R36)*10^6/1000</f>
        <v>534</v>
      </c>
      <c r="S54" s="497">
        <f t="shared" si="82"/>
        <v>534</v>
      </c>
    </row>
    <row r="55" spans="2:20" x14ac:dyDescent="0.2">
      <c r="B55" s="641"/>
      <c r="C55" s="109" t="s">
        <v>239</v>
      </c>
      <c r="D55" s="496">
        <f>D49/D37</f>
        <v>9.8015728095885812</v>
      </c>
      <c r="E55" s="497">
        <f t="shared" ref="E55:O55" si="83">E49/E37</f>
        <v>18.975127224054781</v>
      </c>
      <c r="F55" s="550">
        <f>F49/F37</f>
        <v>7.4605283597464442</v>
      </c>
      <c r="G55" s="497">
        <f t="shared" ref="G55" si="84">G49/G37</f>
        <v>14.443036595756277</v>
      </c>
      <c r="H55" s="496">
        <f>H49/H37</f>
        <v>7.6832780978641191</v>
      </c>
      <c r="I55" s="497">
        <f t="shared" si="83"/>
        <v>14.874263777558451</v>
      </c>
      <c r="J55" s="496">
        <f t="shared" si="83"/>
        <v>7.15461404083314</v>
      </c>
      <c r="K55" s="497">
        <f t="shared" si="83"/>
        <v>13.850808875388648</v>
      </c>
      <c r="L55" s="496">
        <f>L49/L37</f>
        <v>6.4889985333115998</v>
      </c>
      <c r="M55" s="497">
        <f t="shared" si="83"/>
        <v>12.562225993550602</v>
      </c>
      <c r="N55" s="496">
        <f>N49/N37</f>
        <v>6.1891852329208845</v>
      </c>
      <c r="O55" s="497">
        <f t="shared" si="83"/>
        <v>11.981809398286204</v>
      </c>
      <c r="P55" s="496">
        <f>P49/P37</f>
        <v>5.9185590373860197</v>
      </c>
      <c r="Q55" s="497">
        <f t="shared" ref="Q55" si="85">Q49/Q37</f>
        <v>11.45789690075188</v>
      </c>
      <c r="R55" s="496">
        <f>R49/R37</f>
        <v>0.89124545658561594</v>
      </c>
      <c r="S55" s="497">
        <f t="shared" ref="S55" si="86">S49/S37</f>
        <v>1.7437411107109875</v>
      </c>
    </row>
    <row r="56" spans="2:20" x14ac:dyDescent="0.2">
      <c r="B56" s="641"/>
      <c r="C56" s="109" t="s">
        <v>240</v>
      </c>
      <c r="D56" s="496">
        <f>D55/1000000*10000</f>
        <v>9.801572809588581E-2</v>
      </c>
      <c r="E56" s="497">
        <f t="shared" ref="E56:O56" si="87">E55/1000000*10000</f>
        <v>0.1897512722405478</v>
      </c>
      <c r="F56" s="550">
        <f>F55/1000000*10000</f>
        <v>7.4605283597464447E-2</v>
      </c>
      <c r="G56" s="497">
        <f t="shared" si="87"/>
        <v>0.14443036595756278</v>
      </c>
      <c r="H56" s="496">
        <f t="shared" si="87"/>
        <v>7.6832780978641199E-2</v>
      </c>
      <c r="I56" s="497">
        <f t="shared" si="87"/>
        <v>0.1487426377755845</v>
      </c>
      <c r="J56" s="496">
        <f t="shared" si="87"/>
        <v>7.1546140408331405E-2</v>
      </c>
      <c r="K56" s="497">
        <f t="shared" si="87"/>
        <v>0.13850808875388648</v>
      </c>
      <c r="L56" s="496">
        <f>L55/1000000*10000</f>
        <v>6.488998533311599E-2</v>
      </c>
      <c r="M56" s="497">
        <f t="shared" si="87"/>
        <v>0.12562225993550602</v>
      </c>
      <c r="N56" s="496">
        <f t="shared" si="87"/>
        <v>6.1891852329208845E-2</v>
      </c>
      <c r="O56" s="497">
        <f t="shared" si="87"/>
        <v>0.11981809398286204</v>
      </c>
      <c r="P56" s="496">
        <f t="shared" ref="P56:Q56" si="88">P55/1000000*10000</f>
        <v>5.9185590373860196E-2</v>
      </c>
      <c r="Q56" s="497">
        <f t="shared" si="88"/>
        <v>0.11457896900751879</v>
      </c>
      <c r="R56" s="496">
        <f>R55/1000000*10000</f>
        <v>8.912454565856159E-3</v>
      </c>
      <c r="S56" s="497">
        <f t="shared" ref="S56" si="89">S55/1000000*10000</f>
        <v>1.7437411107109876E-2</v>
      </c>
    </row>
    <row r="57" spans="2:20" x14ac:dyDescent="0.2">
      <c r="B57" s="641"/>
      <c r="C57" s="109" t="s">
        <v>241</v>
      </c>
      <c r="D57" s="361">
        <f>D55/1000000*10000*2+D46/1000</f>
        <v>0.28523145619177159</v>
      </c>
      <c r="E57" s="362">
        <f t="shared" ref="E57:O57" si="90">E55/1000000*10000*2+E46/1000</f>
        <v>0.46870254448109561</v>
      </c>
      <c r="F57" s="363">
        <f t="shared" si="90"/>
        <v>0.2384105671949289</v>
      </c>
      <c r="G57" s="362">
        <f t="shared" si="90"/>
        <v>0.37806073191512557</v>
      </c>
      <c r="H57" s="361">
        <f t="shared" si="90"/>
        <v>0.2428655619572824</v>
      </c>
      <c r="I57" s="362">
        <f t="shared" si="90"/>
        <v>0.38668527555116899</v>
      </c>
      <c r="J57" s="361">
        <f t="shared" si="90"/>
        <v>0.23229228081666281</v>
      </c>
      <c r="K57" s="362">
        <f>K55/1000000*10000*2+K46/1000</f>
        <v>0.36621617750777297</v>
      </c>
      <c r="L57" s="361">
        <f t="shared" si="90"/>
        <v>0.21897997066623198</v>
      </c>
      <c r="M57" s="362">
        <f t="shared" si="90"/>
        <v>0.34044451987101204</v>
      </c>
      <c r="N57" s="361">
        <f t="shared" si="90"/>
        <v>0.21298370465841771</v>
      </c>
      <c r="O57" s="362">
        <f t="shared" si="90"/>
        <v>0.32883618796572411</v>
      </c>
      <c r="P57" s="496">
        <f t="shared" ref="P57:Q57" si="91">P55/1000000*10000*2+P46/1000</f>
        <v>0.15887118074772039</v>
      </c>
      <c r="Q57" s="497">
        <f t="shared" si="91"/>
        <v>0.26965793801503757</v>
      </c>
      <c r="R57" s="496">
        <f t="shared" ref="R57:S57" si="92">R55/1000000*10000*2+R46/1000</f>
        <v>0.10702490913171232</v>
      </c>
      <c r="S57" s="497">
        <f t="shared" si="92"/>
        <v>0.12407482221421975</v>
      </c>
    </row>
    <row r="58" spans="2:20" x14ac:dyDescent="0.2">
      <c r="B58" s="371"/>
      <c r="F58" s="503"/>
    </row>
    <row r="59" spans="2:20" ht="13.15" customHeight="1" x14ac:dyDescent="0.2">
      <c r="B59" s="641" t="s">
        <v>211</v>
      </c>
      <c r="C59" s="109" t="s">
        <v>29</v>
      </c>
      <c r="D59" s="454" t="s">
        <v>0</v>
      </c>
      <c r="E59" s="536" t="s">
        <v>0</v>
      </c>
      <c r="F59" s="537" t="s">
        <v>1</v>
      </c>
      <c r="G59" s="536" t="s">
        <v>1</v>
      </c>
      <c r="H59" s="454" t="s">
        <v>2</v>
      </c>
      <c r="I59" s="536" t="s">
        <v>2</v>
      </c>
      <c r="J59" s="454" t="s">
        <v>3</v>
      </c>
      <c r="K59" s="536" t="s">
        <v>3</v>
      </c>
      <c r="L59" s="454" t="s">
        <v>4</v>
      </c>
      <c r="M59" s="536" t="s">
        <v>4</v>
      </c>
      <c r="N59" s="454" t="s">
        <v>555</v>
      </c>
      <c r="O59" s="536" t="s">
        <v>555</v>
      </c>
      <c r="P59" s="538" t="s">
        <v>608</v>
      </c>
      <c r="Q59" s="538" t="s">
        <v>608</v>
      </c>
      <c r="R59" s="540" t="s">
        <v>4</v>
      </c>
      <c r="S59" s="539" t="s">
        <v>4</v>
      </c>
    </row>
    <row r="60" spans="2:20" ht="13.15" customHeight="1" x14ac:dyDescent="0.2">
      <c r="B60" s="641"/>
      <c r="C60" s="109" t="s">
        <v>206</v>
      </c>
      <c r="D60" s="520">
        <f>'CAM Characteristics'!C17</f>
        <v>4.7710682082168354</v>
      </c>
      <c r="E60" s="521">
        <f>'CAM Characteristics'!C17</f>
        <v>4.7710682082168354</v>
      </c>
      <c r="F60" s="520">
        <f>'CAM Characteristics'!D17</f>
        <v>4.8602009312393033</v>
      </c>
      <c r="G60" s="521">
        <f>'CAM Characteristics'!D17</f>
        <v>4.8602009312393033</v>
      </c>
      <c r="H60" s="521">
        <f>'CAM Characteristics'!E17</f>
        <v>4.8791043692741374</v>
      </c>
      <c r="I60" s="521">
        <f>'CAM Characteristics'!E17</f>
        <v>4.8791043692741374</v>
      </c>
      <c r="J60" s="521">
        <f>'CAM Characteristics'!F17</f>
        <v>4.8478327425249166</v>
      </c>
      <c r="K60" s="521">
        <f>'CAM Characteristics'!F17</f>
        <v>4.8478327425249166</v>
      </c>
      <c r="L60" s="521">
        <f>'CAM Characteristics'!G17</f>
        <v>4.8565924509966782</v>
      </c>
      <c r="M60" s="362">
        <f>'CAM Characteristics'!G17</f>
        <v>4.8565924509966782</v>
      </c>
      <c r="N60" s="362">
        <f>'CAM Characteristics'!H17</f>
        <v>3.8536926421242916</v>
      </c>
      <c r="O60" s="521">
        <f>'CAM Characteristics'!H17</f>
        <v>3.8536926421242916</v>
      </c>
      <c r="P60" s="523">
        <f>'CAM Characteristics'!I17</f>
        <v>4.26</v>
      </c>
      <c r="Q60" s="523">
        <f>'CAM Characteristics'!I17</f>
        <v>4.26</v>
      </c>
      <c r="R60" s="497">
        <f>'CAM Characteristics'!J17</f>
        <v>4.8565924509966782</v>
      </c>
      <c r="S60" s="497">
        <f>'CAM Characteristics'!J17</f>
        <v>4.8565924509966782</v>
      </c>
    </row>
    <row r="61" spans="2:20" ht="13.15" customHeight="1" x14ac:dyDescent="0.2">
      <c r="B61" s="641"/>
      <c r="C61" s="109" t="s">
        <v>207</v>
      </c>
      <c r="D61" s="540">
        <v>2</v>
      </c>
      <c r="E61" s="539">
        <v>2</v>
      </c>
      <c r="F61" s="538">
        <v>2</v>
      </c>
      <c r="G61" s="539">
        <v>2</v>
      </c>
      <c r="H61" s="540">
        <v>2</v>
      </c>
      <c r="I61" s="539">
        <v>2</v>
      </c>
      <c r="J61" s="540">
        <v>2</v>
      </c>
      <c r="K61" s="539">
        <v>2</v>
      </c>
      <c r="L61" s="540">
        <v>2</v>
      </c>
      <c r="M61" s="539">
        <v>2</v>
      </c>
      <c r="N61" s="540">
        <v>2</v>
      </c>
      <c r="O61" s="539">
        <v>2</v>
      </c>
      <c r="P61" s="540">
        <v>2</v>
      </c>
      <c r="Q61" s="539">
        <v>2</v>
      </c>
      <c r="R61" s="540">
        <v>2</v>
      </c>
      <c r="S61" s="539">
        <v>2</v>
      </c>
    </row>
    <row r="62" spans="2:20" ht="13.15" customHeight="1" x14ac:dyDescent="0.2">
      <c r="B62" s="641"/>
      <c r="C62" s="109" t="s">
        <v>208</v>
      </c>
      <c r="D62" s="540">
        <v>1.5</v>
      </c>
      <c r="E62" s="539">
        <v>1.5</v>
      </c>
      <c r="F62" s="538">
        <v>1.5</v>
      </c>
      <c r="G62" s="539">
        <v>1.5</v>
      </c>
      <c r="H62" s="540">
        <v>1.5</v>
      </c>
      <c r="I62" s="539">
        <v>1.5</v>
      </c>
      <c r="J62" s="540">
        <v>1.5</v>
      </c>
      <c r="K62" s="539">
        <v>1.5</v>
      </c>
      <c r="L62" s="540">
        <v>1.5</v>
      </c>
      <c r="M62" s="539">
        <v>1.5</v>
      </c>
      <c r="N62" s="540">
        <v>1.5</v>
      </c>
      <c r="O62" s="539">
        <v>1.5</v>
      </c>
      <c r="P62" s="540">
        <v>1.5</v>
      </c>
      <c r="Q62" s="539">
        <v>1.5</v>
      </c>
      <c r="R62" s="540">
        <v>1.5</v>
      </c>
      <c r="S62" s="539">
        <v>1.5</v>
      </c>
    </row>
    <row r="63" spans="2:20" x14ac:dyDescent="0.2">
      <c r="B63" s="641"/>
      <c r="C63" s="109" t="s">
        <v>226</v>
      </c>
      <c r="D63" s="508">
        <v>0.93</v>
      </c>
      <c r="E63" s="509">
        <v>0.93</v>
      </c>
      <c r="F63" s="510">
        <v>0.93</v>
      </c>
      <c r="G63" s="509">
        <v>0.93</v>
      </c>
      <c r="H63" s="508">
        <v>0.93</v>
      </c>
      <c r="I63" s="509">
        <v>0.93</v>
      </c>
      <c r="J63" s="508">
        <v>0.93</v>
      </c>
      <c r="K63" s="509">
        <v>0.93</v>
      </c>
      <c r="L63" s="508">
        <v>0.93</v>
      </c>
      <c r="M63" s="509">
        <v>0.93</v>
      </c>
      <c r="N63" s="508">
        <v>0.93</v>
      </c>
      <c r="O63" s="509">
        <v>0.93</v>
      </c>
      <c r="P63" s="511">
        <v>0.93</v>
      </c>
      <c r="Q63" s="400">
        <v>0.93</v>
      </c>
      <c r="R63" s="511">
        <v>0.93</v>
      </c>
      <c r="S63" s="400">
        <v>0.93</v>
      </c>
    </row>
    <row r="64" spans="2:20" x14ac:dyDescent="0.2">
      <c r="B64" s="641"/>
      <c r="C64" s="109" t="s">
        <v>227</v>
      </c>
      <c r="D64" s="508">
        <v>0.04</v>
      </c>
      <c r="E64" s="509">
        <v>0.04</v>
      </c>
      <c r="F64" s="510">
        <v>0.04</v>
      </c>
      <c r="G64" s="509">
        <v>0.04</v>
      </c>
      <c r="H64" s="508">
        <v>0.04</v>
      </c>
      <c r="I64" s="509">
        <v>0.04</v>
      </c>
      <c r="J64" s="508">
        <v>0.04</v>
      </c>
      <c r="K64" s="509">
        <v>0.04</v>
      </c>
      <c r="L64" s="508">
        <v>0.04</v>
      </c>
      <c r="M64" s="509">
        <v>0.04</v>
      </c>
      <c r="N64" s="508">
        <v>0.04</v>
      </c>
      <c r="O64" s="509">
        <v>0.04</v>
      </c>
      <c r="P64" s="511">
        <v>0.04</v>
      </c>
      <c r="Q64" s="400">
        <v>0.04</v>
      </c>
      <c r="R64" s="511">
        <v>0.04</v>
      </c>
      <c r="S64" s="400">
        <v>0.04</v>
      </c>
    </row>
    <row r="65" spans="2:21" x14ac:dyDescent="0.2">
      <c r="B65" s="641"/>
      <c r="C65" s="109" t="s">
        <v>228</v>
      </c>
      <c r="D65" s="508">
        <v>0.03</v>
      </c>
      <c r="E65" s="509">
        <v>0.03</v>
      </c>
      <c r="F65" s="510">
        <v>0.03</v>
      </c>
      <c r="G65" s="509">
        <v>0.03</v>
      </c>
      <c r="H65" s="508">
        <v>0.03</v>
      </c>
      <c r="I65" s="509">
        <v>0.03</v>
      </c>
      <c r="J65" s="508">
        <v>0.03</v>
      </c>
      <c r="K65" s="509">
        <v>0.03</v>
      </c>
      <c r="L65" s="508">
        <v>0.03</v>
      </c>
      <c r="M65" s="509">
        <v>0.03</v>
      </c>
      <c r="N65" s="508">
        <v>0.03</v>
      </c>
      <c r="O65" s="509">
        <v>0.03</v>
      </c>
      <c r="P65" s="511">
        <v>0.03</v>
      </c>
      <c r="Q65" s="400">
        <v>0.03</v>
      </c>
      <c r="R65" s="511">
        <v>0.03</v>
      </c>
      <c r="S65" s="400">
        <v>0.03</v>
      </c>
    </row>
    <row r="66" spans="2:21" x14ac:dyDescent="0.2">
      <c r="B66" s="641"/>
      <c r="C66" s="109" t="s">
        <v>230</v>
      </c>
      <c r="D66" s="373">
        <v>50</v>
      </c>
      <c r="E66" s="374">
        <v>90</v>
      </c>
      <c r="F66" s="501">
        <v>50</v>
      </c>
      <c r="G66" s="374">
        <v>90</v>
      </c>
      <c r="H66" s="373">
        <v>50</v>
      </c>
      <c r="I66" s="374">
        <v>90</v>
      </c>
      <c r="J66" s="373">
        <v>50</v>
      </c>
      <c r="K66" s="374">
        <v>90</v>
      </c>
      <c r="L66" s="373">
        <v>50</v>
      </c>
      <c r="M66" s="374">
        <v>90</v>
      </c>
      <c r="N66" s="373">
        <v>50</v>
      </c>
      <c r="O66" s="374">
        <v>90</v>
      </c>
      <c r="P66" s="373">
        <v>50</v>
      </c>
      <c r="Q66" s="374">
        <v>90</v>
      </c>
      <c r="R66" s="373">
        <v>50</v>
      </c>
      <c r="S66" s="374">
        <v>90</v>
      </c>
      <c r="U66" s="372"/>
    </row>
    <row r="67" spans="2:21" x14ac:dyDescent="0.2">
      <c r="B67" s="641"/>
      <c r="C67" s="109" t="s">
        <v>229</v>
      </c>
      <c r="D67" s="508">
        <v>0.31</v>
      </c>
      <c r="E67" s="509">
        <v>0.25</v>
      </c>
      <c r="F67" s="508">
        <v>0.31</v>
      </c>
      <c r="G67" s="509">
        <v>0.25</v>
      </c>
      <c r="H67" s="508">
        <v>0.31</v>
      </c>
      <c r="I67" s="509">
        <v>0.25</v>
      </c>
      <c r="J67" s="508">
        <v>0.31</v>
      </c>
      <c r="K67" s="509">
        <v>0.25</v>
      </c>
      <c r="L67" s="508">
        <v>0.31</v>
      </c>
      <c r="M67" s="509">
        <v>0.25</v>
      </c>
      <c r="N67" s="508">
        <v>0.31</v>
      </c>
      <c r="O67" s="509">
        <v>0.25</v>
      </c>
      <c r="P67" s="511">
        <v>0.31</v>
      </c>
      <c r="Q67" s="400">
        <v>0.25</v>
      </c>
      <c r="R67" s="511">
        <v>0.31</v>
      </c>
      <c r="S67" s="400">
        <v>0.25</v>
      </c>
    </row>
    <row r="68" spans="2:21" x14ac:dyDescent="0.2">
      <c r="B68" s="641"/>
      <c r="C68" s="109" t="s">
        <v>233</v>
      </c>
      <c r="D68" s="453" t="s">
        <v>243</v>
      </c>
      <c r="E68" s="524" t="s">
        <v>243</v>
      </c>
      <c r="F68" s="453" t="s">
        <v>243</v>
      </c>
      <c r="G68" s="524" t="s">
        <v>243</v>
      </c>
      <c r="H68" s="453" t="s">
        <v>243</v>
      </c>
      <c r="I68" s="524" t="s">
        <v>243</v>
      </c>
      <c r="J68" s="453" t="s">
        <v>243</v>
      </c>
      <c r="K68" s="524" t="s">
        <v>243</v>
      </c>
      <c r="L68" s="453" t="s">
        <v>243</v>
      </c>
      <c r="M68" s="524" t="s">
        <v>243</v>
      </c>
      <c r="N68" s="453" t="s">
        <v>243</v>
      </c>
      <c r="O68" s="524" t="s">
        <v>243</v>
      </c>
      <c r="P68" s="525" t="s">
        <v>243</v>
      </c>
      <c r="Q68" s="526" t="s">
        <v>243</v>
      </c>
      <c r="R68" s="525" t="s">
        <v>243</v>
      </c>
      <c r="S68" s="526" t="s">
        <v>243</v>
      </c>
    </row>
    <row r="69" spans="2:21" x14ac:dyDescent="0.2">
      <c r="B69" s="641"/>
      <c r="C69" s="109" t="s">
        <v>242</v>
      </c>
      <c r="D69" s="360">
        <v>15</v>
      </c>
      <c r="E69" s="502">
        <v>15</v>
      </c>
      <c r="F69" s="503">
        <v>15</v>
      </c>
      <c r="G69" s="502">
        <v>15</v>
      </c>
      <c r="H69" s="360">
        <v>15</v>
      </c>
      <c r="I69" s="502">
        <v>15</v>
      </c>
      <c r="J69" s="360">
        <v>15</v>
      </c>
      <c r="K69" s="502">
        <v>15</v>
      </c>
      <c r="L69" s="360">
        <v>15</v>
      </c>
      <c r="M69" s="502">
        <v>15</v>
      </c>
      <c r="N69" s="360">
        <v>15</v>
      </c>
      <c r="O69" s="502">
        <v>15</v>
      </c>
      <c r="P69" s="316">
        <v>15</v>
      </c>
      <c r="Q69" s="507">
        <v>15</v>
      </c>
      <c r="R69" s="316">
        <v>15</v>
      </c>
      <c r="S69" s="507">
        <v>15</v>
      </c>
    </row>
    <row r="70" spans="2:21" x14ac:dyDescent="0.2">
      <c r="B70" s="641"/>
      <c r="C70" s="109" t="s">
        <v>244</v>
      </c>
      <c r="D70" s="360">
        <v>2700</v>
      </c>
      <c r="E70" s="502">
        <v>2700</v>
      </c>
      <c r="F70" s="503">
        <v>2700</v>
      </c>
      <c r="G70" s="502">
        <v>2700</v>
      </c>
      <c r="H70" s="360">
        <v>2700</v>
      </c>
      <c r="I70" s="502">
        <v>2700</v>
      </c>
      <c r="J70" s="360">
        <v>2700</v>
      </c>
      <c r="K70" s="502">
        <v>2700</v>
      </c>
      <c r="L70" s="360">
        <v>2700</v>
      </c>
      <c r="M70" s="502">
        <v>2700</v>
      </c>
      <c r="N70" s="360">
        <v>2700</v>
      </c>
      <c r="O70" s="502">
        <v>2700</v>
      </c>
      <c r="P70" s="316">
        <v>2700</v>
      </c>
      <c r="Q70" s="507">
        <v>2700</v>
      </c>
      <c r="R70" s="316">
        <v>2700</v>
      </c>
      <c r="S70" s="507">
        <v>2700</v>
      </c>
    </row>
    <row r="71" spans="2:21" x14ac:dyDescent="0.2">
      <c r="B71" s="641"/>
      <c r="C71" s="109" t="s">
        <v>317</v>
      </c>
      <c r="D71" s="360">
        <v>1030</v>
      </c>
      <c r="E71" s="502">
        <v>1030</v>
      </c>
      <c r="F71" s="360">
        <v>1030</v>
      </c>
      <c r="G71" s="502">
        <v>1030</v>
      </c>
      <c r="H71" s="360">
        <v>1030</v>
      </c>
      <c r="I71" s="502">
        <v>1030</v>
      </c>
      <c r="J71" s="360">
        <v>1030</v>
      </c>
      <c r="K71" s="502">
        <v>1030</v>
      </c>
      <c r="L71" s="360">
        <v>1030</v>
      </c>
      <c r="M71" s="502">
        <v>1030</v>
      </c>
      <c r="N71" s="360">
        <v>1030</v>
      </c>
      <c r="O71" s="502">
        <v>1030</v>
      </c>
      <c r="P71" s="316">
        <v>1030</v>
      </c>
      <c r="Q71" s="507">
        <v>1030</v>
      </c>
      <c r="R71" s="316">
        <v>1030</v>
      </c>
      <c r="S71" s="507">
        <v>1030</v>
      </c>
    </row>
    <row r="72" spans="2:21" x14ac:dyDescent="0.2">
      <c r="B72" s="641"/>
      <c r="C72" s="109" t="s">
        <v>245</v>
      </c>
      <c r="D72" s="360">
        <f>D69/10^6*D70*1000</f>
        <v>40.5</v>
      </c>
      <c r="E72" s="502">
        <f t="shared" ref="E72:G72" si="93">E69/10^6*E70*1000</f>
        <v>40.5</v>
      </c>
      <c r="F72" s="503">
        <f>F69/10^6*F70*1000</f>
        <v>40.5</v>
      </c>
      <c r="G72" s="502">
        <f t="shared" si="93"/>
        <v>40.5</v>
      </c>
      <c r="H72" s="360">
        <f>H69/10^6*H70*1000</f>
        <v>40.5</v>
      </c>
      <c r="I72" s="502">
        <f t="shared" ref="I72:O72" si="94">I69/10^6*I70*1000</f>
        <v>40.5</v>
      </c>
      <c r="J72" s="360">
        <f t="shared" si="94"/>
        <v>40.5</v>
      </c>
      <c r="K72" s="502">
        <f t="shared" si="94"/>
        <v>40.5</v>
      </c>
      <c r="L72" s="360">
        <f t="shared" si="94"/>
        <v>40.5</v>
      </c>
      <c r="M72" s="502">
        <f t="shared" si="94"/>
        <v>40.5</v>
      </c>
      <c r="N72" s="360">
        <f t="shared" si="94"/>
        <v>40.5</v>
      </c>
      <c r="O72" s="502">
        <f t="shared" si="94"/>
        <v>40.5</v>
      </c>
      <c r="P72" s="316">
        <f t="shared" ref="P72:Q72" si="95">P69/10^6*P70*1000</f>
        <v>40.5</v>
      </c>
      <c r="Q72" s="507">
        <f t="shared" si="95"/>
        <v>40.5</v>
      </c>
      <c r="R72" s="316">
        <f t="shared" ref="R72:S72" si="96">R69/10^6*R70*1000</f>
        <v>40.5</v>
      </c>
      <c r="S72" s="507">
        <f t="shared" si="96"/>
        <v>40.5</v>
      </c>
    </row>
    <row r="73" spans="2:21" x14ac:dyDescent="0.2">
      <c r="B73" s="641"/>
      <c r="C73" s="109" t="s">
        <v>234</v>
      </c>
      <c r="D73" s="551">
        <f t="shared" ref="D73:I73" si="97">D66*2+D69</f>
        <v>115</v>
      </c>
      <c r="E73" s="552">
        <f t="shared" si="97"/>
        <v>195</v>
      </c>
      <c r="F73" s="553">
        <f t="shared" si="97"/>
        <v>115</v>
      </c>
      <c r="G73" s="552">
        <f t="shared" si="97"/>
        <v>195</v>
      </c>
      <c r="H73" s="551">
        <f t="shared" si="97"/>
        <v>115</v>
      </c>
      <c r="I73" s="552">
        <f t="shared" si="97"/>
        <v>195</v>
      </c>
      <c r="J73" s="551">
        <f t="shared" ref="J73:O73" si="98">J66*2+J69</f>
        <v>115</v>
      </c>
      <c r="K73" s="552">
        <f t="shared" si="98"/>
        <v>195</v>
      </c>
      <c r="L73" s="551">
        <f t="shared" si="98"/>
        <v>115</v>
      </c>
      <c r="M73" s="552">
        <f t="shared" si="98"/>
        <v>195</v>
      </c>
      <c r="N73" s="551">
        <f t="shared" si="98"/>
        <v>115</v>
      </c>
      <c r="O73" s="552">
        <f t="shared" si="98"/>
        <v>195</v>
      </c>
      <c r="P73" s="543">
        <f t="shared" ref="P73:Q73" si="99">P66*2+P69</f>
        <v>115</v>
      </c>
      <c r="Q73" s="544">
        <f t="shared" si="99"/>
        <v>195</v>
      </c>
      <c r="R73" s="543">
        <f t="shared" ref="R73:S73" si="100">R66*2+R69</f>
        <v>115</v>
      </c>
      <c r="S73" s="544">
        <f t="shared" si="100"/>
        <v>195</v>
      </c>
    </row>
    <row r="74" spans="2:21" x14ac:dyDescent="0.2">
      <c r="B74" s="641"/>
      <c r="C74" s="109" t="s">
        <v>246</v>
      </c>
      <c r="D74" s="454">
        <v>206</v>
      </c>
      <c r="E74" s="536">
        <v>206</v>
      </c>
      <c r="F74" s="537">
        <v>154</v>
      </c>
      <c r="G74" s="536">
        <v>154</v>
      </c>
      <c r="H74" s="454">
        <v>158</v>
      </c>
      <c r="I74" s="536">
        <v>158</v>
      </c>
      <c r="J74" s="360">
        <v>190</v>
      </c>
      <c r="K74" s="502">
        <v>190</v>
      </c>
      <c r="L74" s="360">
        <v>210</v>
      </c>
      <c r="M74" s="502">
        <v>210</v>
      </c>
      <c r="N74" s="360">
        <v>160</v>
      </c>
      <c r="O74" s="502">
        <v>160</v>
      </c>
      <c r="P74" s="398">
        <v>135</v>
      </c>
      <c r="Q74" s="398">
        <v>135</v>
      </c>
      <c r="R74" s="316">
        <v>210</v>
      </c>
      <c r="S74" s="507">
        <v>210</v>
      </c>
    </row>
    <row r="75" spans="2:21" x14ac:dyDescent="0.2">
      <c r="B75" s="641"/>
      <c r="C75" s="109" t="s">
        <v>247</v>
      </c>
      <c r="D75" s="554">
        <f>D82*D63</f>
        <v>14.637476781839254</v>
      </c>
      <c r="E75" s="555">
        <f t="shared" ref="E75:O75" si="101">E82*E63</f>
        <v>28.638541529685504</v>
      </c>
      <c r="F75" s="556">
        <f>F82*F63</f>
        <v>14.903440359729615</v>
      </c>
      <c r="G75" s="555">
        <f>G82*G63</f>
        <v>29.158905051644904</v>
      </c>
      <c r="H75" s="554">
        <f>H82*H63</f>
        <v>14.959846422998947</v>
      </c>
      <c r="I75" s="555">
        <f t="shared" si="101"/>
        <v>29.269264740650112</v>
      </c>
      <c r="J75" s="554">
        <f>J82*J63</f>
        <v>14.866534859583812</v>
      </c>
      <c r="K75" s="555">
        <f t="shared" si="101"/>
        <v>29.086698638316154</v>
      </c>
      <c r="L75" s="554">
        <f t="shared" si="101"/>
        <v>14.892672997491243</v>
      </c>
      <c r="M75" s="555">
        <f t="shared" si="101"/>
        <v>29.137838473352431</v>
      </c>
      <c r="N75" s="554">
        <f t="shared" si="101"/>
        <v>11.900115243297883</v>
      </c>
      <c r="O75" s="555">
        <f t="shared" si="101"/>
        <v>23.282834171669776</v>
      </c>
      <c r="P75" s="546">
        <f t="shared" ref="P75:Q75" si="102">P82*P63</f>
        <v>13.112497800000002</v>
      </c>
      <c r="Q75" s="547">
        <f t="shared" si="102"/>
        <v>25.654887000000002</v>
      </c>
      <c r="R75" s="546">
        <f>R82*R63</f>
        <v>14.892672997491243</v>
      </c>
      <c r="S75" s="547">
        <f t="shared" ref="S75" si="103">S82*S63</f>
        <v>29.137838473352431</v>
      </c>
      <c r="T75" s="369"/>
    </row>
    <row r="76" spans="2:21" x14ac:dyDescent="0.2">
      <c r="B76" s="641"/>
      <c r="C76" s="109" t="s">
        <v>236</v>
      </c>
      <c r="D76" s="497">
        <f>D82*D64</f>
        <v>0.62956889384254855</v>
      </c>
      <c r="E76" s="497">
        <f t="shared" ref="E76:G76" si="104">E82*E64</f>
        <v>1.2317652270832473</v>
      </c>
      <c r="F76" s="497">
        <f>F82*F64</f>
        <v>0.64100818751525224</v>
      </c>
      <c r="G76" s="497">
        <f t="shared" si="104"/>
        <v>1.2541464538341893</v>
      </c>
      <c r="H76" s="497">
        <f>H82*H64</f>
        <v>0.64343425475264282</v>
      </c>
      <c r="I76" s="497">
        <f t="shared" ref="I76:O76" si="105">I82*I64</f>
        <v>1.258893107124736</v>
      </c>
      <c r="J76" s="497">
        <f t="shared" si="105"/>
        <v>0.63942085417564776</v>
      </c>
      <c r="K76" s="497">
        <f t="shared" si="105"/>
        <v>1.2510408016480066</v>
      </c>
      <c r="L76" s="497">
        <f t="shared" si="105"/>
        <v>0.64054507516091364</v>
      </c>
      <c r="M76" s="497">
        <f t="shared" si="105"/>
        <v>1.2532403644452659</v>
      </c>
      <c r="N76" s="497">
        <f t="shared" si="105"/>
        <v>0.51183291369023154</v>
      </c>
      <c r="O76" s="497">
        <f t="shared" si="105"/>
        <v>1.0014122224374098</v>
      </c>
      <c r="P76" s="497">
        <f t="shared" ref="P76:Q76" si="106">P82*P64</f>
        <v>0.56397839999999999</v>
      </c>
      <c r="Q76" s="497">
        <f t="shared" si="106"/>
        <v>1.1034360000000001</v>
      </c>
      <c r="R76" s="497">
        <f t="shared" ref="R76:S76" si="107">R82*R64</f>
        <v>0.64054507516091364</v>
      </c>
      <c r="S76" s="497">
        <f t="shared" si="107"/>
        <v>1.2532403644452659</v>
      </c>
    </row>
    <row r="77" spans="2:21" x14ac:dyDescent="0.2">
      <c r="B77" s="641"/>
      <c r="C77" s="109" t="s">
        <v>237</v>
      </c>
      <c r="D77" s="497">
        <f>D82*D65</f>
        <v>0.47217667038191136</v>
      </c>
      <c r="E77" s="497">
        <f t="shared" ref="E77:G77" si="108">E82*E65</f>
        <v>0.92382392031243554</v>
      </c>
      <c r="F77" s="497">
        <f>F82*F65</f>
        <v>0.48075614063643918</v>
      </c>
      <c r="G77" s="497">
        <f t="shared" si="108"/>
        <v>0.94060984037564188</v>
      </c>
      <c r="H77" s="497">
        <f>H82*H65</f>
        <v>0.48257569106448212</v>
      </c>
      <c r="I77" s="497">
        <f t="shared" ref="I77:O77" si="109">I82*I65</f>
        <v>0.94416983034355184</v>
      </c>
      <c r="J77" s="497">
        <f t="shared" si="109"/>
        <v>0.47956564063173579</v>
      </c>
      <c r="K77" s="497">
        <f t="shared" si="109"/>
        <v>0.93828060123600487</v>
      </c>
      <c r="L77" s="497">
        <f t="shared" si="109"/>
        <v>0.48040880637068523</v>
      </c>
      <c r="M77" s="497">
        <f t="shared" si="109"/>
        <v>0.9399302733339493</v>
      </c>
      <c r="N77" s="497">
        <f t="shared" si="109"/>
        <v>0.38387468526767365</v>
      </c>
      <c r="O77" s="497">
        <f t="shared" si="109"/>
        <v>0.75105916682805729</v>
      </c>
      <c r="P77" s="497">
        <f t="shared" ref="P77:Q77" si="110">P82*P65</f>
        <v>0.42298380000000002</v>
      </c>
      <c r="Q77" s="497">
        <f t="shared" si="110"/>
        <v>0.82757700000000001</v>
      </c>
      <c r="R77" s="497">
        <f t="shared" ref="R77:S77" si="111">R82*R65</f>
        <v>0.48040880637068523</v>
      </c>
      <c r="S77" s="497">
        <f t="shared" si="111"/>
        <v>0.9399302733339493</v>
      </c>
    </row>
    <row r="78" spans="2:21" x14ac:dyDescent="0.2">
      <c r="B78" s="641"/>
      <c r="C78" s="109" t="s">
        <v>321</v>
      </c>
      <c r="D78" s="554">
        <f>(D75/1000)*D74</f>
        <v>3.0153202170588864</v>
      </c>
      <c r="E78" s="555">
        <f t="shared" ref="E78:O78" si="112">(E75/1000)*E74</f>
        <v>5.8995395551152141</v>
      </c>
      <c r="F78" s="556">
        <f>(F75/1000)*F74</f>
        <v>2.2951298153983606</v>
      </c>
      <c r="G78" s="555">
        <f t="shared" ref="G78" si="113">(G75/1000)*G74</f>
        <v>4.4904713779533152</v>
      </c>
      <c r="H78" s="554">
        <f>(H75/1000)*H74</f>
        <v>2.3636557348338338</v>
      </c>
      <c r="I78" s="555">
        <f t="shared" si="112"/>
        <v>4.6245438290227172</v>
      </c>
      <c r="J78" s="554">
        <f>(J75/1000)*J74</f>
        <v>2.8246416233209239</v>
      </c>
      <c r="K78" s="555">
        <f t="shared" si="112"/>
        <v>5.5264727412800694</v>
      </c>
      <c r="L78" s="554">
        <f t="shared" si="112"/>
        <v>3.127461329473161</v>
      </c>
      <c r="M78" s="555">
        <f t="shared" si="112"/>
        <v>6.1189460794040107</v>
      </c>
      <c r="N78" s="554">
        <f t="shared" si="112"/>
        <v>1.9040184389276613</v>
      </c>
      <c r="O78" s="555">
        <f t="shared" si="112"/>
        <v>3.7252534674671645</v>
      </c>
      <c r="P78" s="546">
        <f t="shared" ref="P78:Q78" si="114">(P75/1000)*P74</f>
        <v>1.7701872030000001</v>
      </c>
      <c r="Q78" s="547">
        <f t="shared" si="114"/>
        <v>3.4634097450000003</v>
      </c>
      <c r="R78" s="546">
        <f>(R75/1000)*R74</f>
        <v>3.127461329473161</v>
      </c>
      <c r="S78" s="547">
        <f t="shared" ref="S78" si="115">(S75/1000)*S74</f>
        <v>6.1189460794040107</v>
      </c>
    </row>
    <row r="79" spans="2:21" x14ac:dyDescent="0.2">
      <c r="B79" s="641"/>
      <c r="C79" s="109" t="s">
        <v>250</v>
      </c>
      <c r="D79" s="554">
        <f>D78*100*100/1000</f>
        <v>30.153202170588866</v>
      </c>
      <c r="E79" s="555">
        <f t="shared" ref="E79:O79" si="116">E78*100*100/1000</f>
        <v>58.995395551152136</v>
      </c>
      <c r="F79" s="556">
        <f>F78*100*100/1000</f>
        <v>22.951298153983608</v>
      </c>
      <c r="G79" s="555">
        <f t="shared" ref="G79" si="117">G78*100*100/1000</f>
        <v>44.904713779533154</v>
      </c>
      <c r="H79" s="554">
        <f>H78*100*100/1000</f>
        <v>23.636557348338339</v>
      </c>
      <c r="I79" s="555">
        <f t="shared" si="116"/>
        <v>46.245438290227177</v>
      </c>
      <c r="J79" s="554">
        <f>J78*100*100/1000</f>
        <v>28.246416233209239</v>
      </c>
      <c r="K79" s="555">
        <f>K78*100*100/1000</f>
        <v>55.264727412800696</v>
      </c>
      <c r="L79" s="554">
        <f t="shared" si="116"/>
        <v>31.274613294731608</v>
      </c>
      <c r="M79" s="555">
        <f t="shared" si="116"/>
        <v>61.189460794040109</v>
      </c>
      <c r="N79" s="554">
        <f t="shared" si="116"/>
        <v>19.040184389276611</v>
      </c>
      <c r="O79" s="555">
        <f t="shared" si="116"/>
        <v>37.252534674671637</v>
      </c>
      <c r="P79" s="546">
        <f t="shared" ref="P79:Q79" si="118">P78*100*100/1000</f>
        <v>17.701872030000001</v>
      </c>
      <c r="Q79" s="547">
        <f t="shared" si="118"/>
        <v>34.634097449999999</v>
      </c>
      <c r="R79" s="546">
        <f>R78*100*100/1000</f>
        <v>31.274613294731608</v>
      </c>
      <c r="S79" s="547">
        <f t="shared" ref="S79" si="119">S78*100*100/1000</f>
        <v>61.189460794040109</v>
      </c>
    </row>
    <row r="80" spans="2:21" x14ac:dyDescent="0.2">
      <c r="B80" s="641"/>
      <c r="C80" s="109" t="s">
        <v>251</v>
      </c>
      <c r="D80" s="554">
        <f t="shared" ref="D80:O80" si="120">D79*D4</f>
        <v>108.55152781411992</v>
      </c>
      <c r="E80" s="555">
        <f t="shared" si="120"/>
        <v>212.3834239841477</v>
      </c>
      <c r="F80" s="556">
        <f t="shared" si="120"/>
        <v>82.624673354340985</v>
      </c>
      <c r="G80" s="555">
        <f t="shared" si="120"/>
        <v>161.65696960631936</v>
      </c>
      <c r="H80" s="554">
        <f t="shared" si="120"/>
        <v>85.09160645401802</v>
      </c>
      <c r="I80" s="555">
        <f t="shared" si="120"/>
        <v>166.48357784481783</v>
      </c>
      <c r="J80" s="554">
        <f t="shared" si="120"/>
        <v>101.68709843955327</v>
      </c>
      <c r="K80" s="555">
        <f t="shared" si="120"/>
        <v>198.95301868608252</v>
      </c>
      <c r="L80" s="554">
        <f t="shared" si="120"/>
        <v>112.58860786103379</v>
      </c>
      <c r="M80" s="555">
        <f t="shared" si="120"/>
        <v>220.28205885854439</v>
      </c>
      <c r="N80" s="554">
        <f t="shared" si="120"/>
        <v>60.928590045685155</v>
      </c>
      <c r="O80" s="555">
        <f t="shared" si="120"/>
        <v>119.20811095894925</v>
      </c>
      <c r="P80" s="546">
        <f t="shared" ref="P80:Q80" si="121">P79*P4</f>
        <v>53.105616089999998</v>
      </c>
      <c r="Q80" s="547">
        <f t="shared" si="121"/>
        <v>103.90229235</v>
      </c>
      <c r="R80" s="546">
        <f t="shared" ref="R80:S80" si="122">R79*R4</f>
        <v>115.71606919050696</v>
      </c>
      <c r="S80" s="547">
        <f t="shared" si="122"/>
        <v>226.40100493794841</v>
      </c>
      <c r="T80" s="375"/>
    </row>
    <row r="81" spans="2:21" x14ac:dyDescent="0.2">
      <c r="B81" s="641"/>
      <c r="C81" s="109" t="s">
        <v>238</v>
      </c>
      <c r="D81" s="361">
        <f>(D63*D60+D64*D61+D65*D62)*10^6/1000</f>
        <v>4562.0934336416567</v>
      </c>
      <c r="E81" s="362">
        <f t="shared" ref="E81:O81" si="123">(E63*E60+E64*E61+E65*E62)*10^6/1000</f>
        <v>4562.0934336416567</v>
      </c>
      <c r="F81" s="363">
        <f>(F63*F60+F64*F61+F65*F62)*10^6/1000</f>
        <v>4644.9868660525526</v>
      </c>
      <c r="G81" s="362">
        <f t="shared" ref="G81" si="124">(G63*G60+G64*G61+G65*G62)*10^6/1000</f>
        <v>4644.9868660525526</v>
      </c>
      <c r="H81" s="361">
        <f>(H63*H60+H64*H61+H65*H62)*10^6/1000</f>
        <v>4662.5670634249473</v>
      </c>
      <c r="I81" s="362">
        <f t="shared" si="123"/>
        <v>4662.5670634249473</v>
      </c>
      <c r="J81" s="361">
        <f t="shared" si="123"/>
        <v>4633.4844505481724</v>
      </c>
      <c r="K81" s="362">
        <f>(K63*K60+K64*K61+K65*K62)*10^6/1000</f>
        <v>4633.4844505481724</v>
      </c>
      <c r="L81" s="361">
        <f t="shared" si="123"/>
        <v>4641.6309794269109</v>
      </c>
      <c r="M81" s="362">
        <f t="shared" si="123"/>
        <v>4641.6309794269109</v>
      </c>
      <c r="N81" s="361">
        <f t="shared" si="123"/>
        <v>3708.9341571755913</v>
      </c>
      <c r="O81" s="362">
        <f t="shared" si="123"/>
        <v>3708.9341571755913</v>
      </c>
      <c r="P81" s="496">
        <f t="shared" ref="P81:Q81" si="125">(P63*P60+P64*P61+P65*P62)*10^6/1000</f>
        <v>4086.8</v>
      </c>
      <c r="Q81" s="497">
        <f t="shared" si="125"/>
        <v>4086.8</v>
      </c>
      <c r="R81" s="496">
        <f>(R63*R60+R64*R61+R65*R62)*10^6/1000</f>
        <v>4641.6309794269109</v>
      </c>
      <c r="S81" s="497">
        <f t="shared" ref="S81" si="126">(S63*S60+S64*S61+S65*S62)*10^6/1000</f>
        <v>4641.6309794269109</v>
      </c>
      <c r="T81" s="143"/>
    </row>
    <row r="82" spans="2:21" x14ac:dyDescent="0.2">
      <c r="B82" s="641"/>
      <c r="C82" s="109" t="s">
        <v>239</v>
      </c>
      <c r="D82" s="361">
        <f>D66/10^6*(1-D67)*D81/10000*10^6</f>
        <v>15.739222346063713</v>
      </c>
      <c r="E82" s="362">
        <f t="shared" ref="E82:O82" si="127">E66/10^6*(1-E67)*E81/10000*10^6</f>
        <v>30.794130677081185</v>
      </c>
      <c r="F82" s="363">
        <f>F66/10^6*(1-F67)*F81/10000*10^6</f>
        <v>16.025204687881306</v>
      </c>
      <c r="G82" s="362">
        <f>G66/10^6*(1-G67)*G81/10000*10^6</f>
        <v>31.353661345854732</v>
      </c>
      <c r="H82" s="361">
        <f>H66/10^6*(1-H67)*H81/10000*10^6</f>
        <v>16.085856368816071</v>
      </c>
      <c r="I82" s="362">
        <f t="shared" si="127"/>
        <v>31.472327678118397</v>
      </c>
      <c r="J82" s="361">
        <f>J66/10^6*(1-J67)*J81/10000*10^6</f>
        <v>15.985521354391194</v>
      </c>
      <c r="K82" s="362">
        <f>K66/10^6*(1-K67)*K81/10000*10^6</f>
        <v>31.276020041200162</v>
      </c>
      <c r="L82" s="361">
        <f t="shared" si="127"/>
        <v>16.013626879022841</v>
      </c>
      <c r="M82" s="362">
        <f t="shared" si="127"/>
        <v>31.331009111131646</v>
      </c>
      <c r="N82" s="361">
        <f t="shared" si="127"/>
        <v>12.795822842255788</v>
      </c>
      <c r="O82" s="362">
        <f t="shared" si="127"/>
        <v>25.035305560935242</v>
      </c>
      <c r="P82" s="496">
        <f t="shared" ref="P82:Q82" si="128">P66/10^6*(1-P67)*P81/10000*10^6</f>
        <v>14.099460000000001</v>
      </c>
      <c r="Q82" s="497">
        <f t="shared" si="128"/>
        <v>27.585900000000002</v>
      </c>
      <c r="R82" s="496">
        <f>R66/10^6*(1-R67)*R81/10000*10^6</f>
        <v>16.013626879022841</v>
      </c>
      <c r="S82" s="497">
        <f>S66/10^6*(1-S67)*S81/10000*10^6</f>
        <v>31.331009111131646</v>
      </c>
      <c r="T82" s="143"/>
    </row>
    <row r="83" spans="2:21" x14ac:dyDescent="0.2">
      <c r="B83" s="641"/>
      <c r="C83" s="109" t="s">
        <v>252</v>
      </c>
      <c r="D83" s="361">
        <f>D82/1000000*10000*2+D72/1000</f>
        <v>0.35528444692127426</v>
      </c>
      <c r="E83" s="362">
        <f t="shared" ref="E83:N83" si="129">E82/1000000*10000*2+E72/1000</f>
        <v>0.65638261354162375</v>
      </c>
      <c r="F83" s="363">
        <f>F82/1000000*10000*2+F72/1000</f>
        <v>0.3610040937576261</v>
      </c>
      <c r="G83" s="362">
        <f t="shared" si="129"/>
        <v>0.66757322691709464</v>
      </c>
      <c r="H83" s="361">
        <f>H82/1000000*10000*2+H72/1000</f>
        <v>0.36221712737632139</v>
      </c>
      <c r="I83" s="362">
        <f t="shared" si="129"/>
        <v>0.66994655356236787</v>
      </c>
      <c r="J83" s="361">
        <f t="shared" si="129"/>
        <v>0.36021042708782386</v>
      </c>
      <c r="K83" s="362">
        <f>K82/1000000*10000*2+K72/1000</f>
        <v>0.66602040082400327</v>
      </c>
      <c r="L83" s="361">
        <f t="shared" si="129"/>
        <v>0.3607725375804568</v>
      </c>
      <c r="M83" s="362">
        <f t="shared" si="129"/>
        <v>0.66712018222263292</v>
      </c>
      <c r="N83" s="361">
        <f t="shared" si="129"/>
        <v>0.29641645684511575</v>
      </c>
      <c r="O83" s="362">
        <f>O82/1000000*10000*2+O72/1000</f>
        <v>0.54120611121870477</v>
      </c>
      <c r="P83" s="496">
        <f t="shared" ref="P83" si="130">P82/1000000*10000*2+P72/1000</f>
        <v>0.32248919999999998</v>
      </c>
      <c r="Q83" s="497">
        <f>Q82/1000000*10000*2+Q72/1000</f>
        <v>0.59221800000000002</v>
      </c>
      <c r="R83" s="496">
        <f t="shared" ref="R83:S83" si="131">R82/1000000*10000*2+R72/1000</f>
        <v>0.3607725375804568</v>
      </c>
      <c r="S83" s="497">
        <f t="shared" si="131"/>
        <v>0.66712018222263292</v>
      </c>
      <c r="T83" s="318"/>
    </row>
    <row r="84" spans="2:21" x14ac:dyDescent="0.2">
      <c r="B84" s="371"/>
      <c r="F84" s="503"/>
      <c r="Q84" s="507"/>
    </row>
    <row r="85" spans="2:21" ht="13.15" customHeight="1" x14ac:dyDescent="0.2">
      <c r="B85" s="641" t="s">
        <v>192</v>
      </c>
      <c r="C85" s="109" t="s">
        <v>255</v>
      </c>
      <c r="D85" s="454" t="s">
        <v>22</v>
      </c>
      <c r="E85" s="536" t="s">
        <v>22</v>
      </c>
      <c r="F85" s="454" t="s">
        <v>22</v>
      </c>
      <c r="G85" s="536" t="s">
        <v>22</v>
      </c>
      <c r="H85" s="454" t="s">
        <v>22</v>
      </c>
      <c r="I85" s="536" t="s">
        <v>22</v>
      </c>
      <c r="J85" s="454" t="s">
        <v>22</v>
      </c>
      <c r="K85" s="536" t="s">
        <v>22</v>
      </c>
      <c r="L85" s="454" t="s">
        <v>22</v>
      </c>
      <c r="M85" s="536" t="s">
        <v>22</v>
      </c>
      <c r="N85" s="454" t="s">
        <v>22</v>
      </c>
      <c r="O85" s="536" t="s">
        <v>22</v>
      </c>
      <c r="P85" s="540" t="s">
        <v>22</v>
      </c>
      <c r="Q85" s="539" t="s">
        <v>22</v>
      </c>
      <c r="R85" s="316" t="s">
        <v>593</v>
      </c>
      <c r="S85" s="316" t="s">
        <v>593</v>
      </c>
    </row>
    <row r="86" spans="2:21" x14ac:dyDescent="0.2">
      <c r="B86" s="641"/>
      <c r="C86" s="109" t="s">
        <v>256</v>
      </c>
      <c r="D86" s="557">
        <v>0.6</v>
      </c>
      <c r="E86" s="558">
        <v>0.6</v>
      </c>
      <c r="F86" s="557">
        <v>0.6</v>
      </c>
      <c r="G86" s="558">
        <v>0.6</v>
      </c>
      <c r="H86" s="557">
        <v>0.6</v>
      </c>
      <c r="I86" s="558">
        <v>0.6</v>
      </c>
      <c r="J86" s="557">
        <v>0.6</v>
      </c>
      <c r="K86" s="558">
        <v>0.6</v>
      </c>
      <c r="L86" s="557">
        <v>0.6</v>
      </c>
      <c r="M86" s="558">
        <v>0.6</v>
      </c>
      <c r="N86" s="557">
        <v>0.6</v>
      </c>
      <c r="O86" s="558">
        <v>0.6</v>
      </c>
      <c r="P86" s="559">
        <v>0.6</v>
      </c>
      <c r="Q86" s="560">
        <v>0.6</v>
      </c>
      <c r="R86" s="559">
        <v>0</v>
      </c>
      <c r="S86" s="560">
        <v>0</v>
      </c>
    </row>
    <row r="87" spans="2:21" x14ac:dyDescent="0.2">
      <c r="B87" s="641"/>
      <c r="C87" s="109" t="s">
        <v>253</v>
      </c>
      <c r="D87" s="454">
        <v>1500</v>
      </c>
      <c r="E87" s="536">
        <v>1500</v>
      </c>
      <c r="F87" s="561">
        <v>1500</v>
      </c>
      <c r="G87" s="562">
        <v>1500</v>
      </c>
      <c r="H87" s="561">
        <v>1500</v>
      </c>
      <c r="I87" s="562">
        <v>1500</v>
      </c>
      <c r="J87" s="561">
        <v>1500</v>
      </c>
      <c r="K87" s="562">
        <v>1500</v>
      </c>
      <c r="L87" s="561">
        <v>1500</v>
      </c>
      <c r="M87" s="562">
        <v>1500</v>
      </c>
      <c r="N87" s="561">
        <v>1500</v>
      </c>
      <c r="O87" s="562">
        <v>1500</v>
      </c>
      <c r="P87" s="563">
        <v>1500</v>
      </c>
      <c r="Q87" s="564">
        <v>1500</v>
      </c>
      <c r="R87" s="563">
        <v>2900</v>
      </c>
      <c r="S87" s="564">
        <v>2900</v>
      </c>
    </row>
    <row r="88" spans="2:21" x14ac:dyDescent="0.2">
      <c r="B88" s="641"/>
      <c r="C88" s="109" t="s">
        <v>304</v>
      </c>
      <c r="D88" s="360">
        <v>15</v>
      </c>
      <c r="E88" s="502">
        <v>15</v>
      </c>
      <c r="F88" s="360">
        <v>15</v>
      </c>
      <c r="G88" s="502">
        <v>15</v>
      </c>
      <c r="H88" s="360">
        <v>15</v>
      </c>
      <c r="I88" s="502">
        <v>15</v>
      </c>
      <c r="J88" s="360">
        <v>15</v>
      </c>
      <c r="K88" s="502">
        <v>15</v>
      </c>
      <c r="L88" s="360">
        <v>15</v>
      </c>
      <c r="M88" s="502">
        <v>15</v>
      </c>
      <c r="N88" s="360">
        <v>15</v>
      </c>
      <c r="O88" s="502">
        <v>15</v>
      </c>
      <c r="P88" s="316">
        <v>15</v>
      </c>
      <c r="Q88" s="507">
        <v>15</v>
      </c>
      <c r="R88" s="316">
        <v>15</v>
      </c>
      <c r="S88" s="507">
        <v>15</v>
      </c>
    </row>
    <row r="89" spans="2:21" x14ac:dyDescent="0.2">
      <c r="B89" s="641"/>
      <c r="C89" s="109" t="s">
        <v>254</v>
      </c>
      <c r="D89" s="532">
        <f>D87*D88/1000000</f>
        <v>2.2499999999999999E-2</v>
      </c>
      <c r="E89" s="533">
        <f>E87*E88/1000000</f>
        <v>2.2499999999999999E-2</v>
      </c>
      <c r="F89" s="565">
        <f t="shared" ref="F89:O89" si="132">F87*F88/1000000</f>
        <v>2.2499999999999999E-2</v>
      </c>
      <c r="G89" s="566">
        <f t="shared" si="132"/>
        <v>2.2499999999999999E-2</v>
      </c>
      <c r="H89" s="565">
        <f t="shared" si="132"/>
        <v>2.2499999999999999E-2</v>
      </c>
      <c r="I89" s="566">
        <f t="shared" si="132"/>
        <v>2.2499999999999999E-2</v>
      </c>
      <c r="J89" s="565">
        <f t="shared" si="132"/>
        <v>2.2499999999999999E-2</v>
      </c>
      <c r="K89" s="566">
        <f t="shared" si="132"/>
        <v>2.2499999999999999E-2</v>
      </c>
      <c r="L89" s="565">
        <f t="shared" si="132"/>
        <v>2.2499999999999999E-2</v>
      </c>
      <c r="M89" s="566">
        <f t="shared" si="132"/>
        <v>2.2499999999999999E-2</v>
      </c>
      <c r="N89" s="565">
        <f t="shared" si="132"/>
        <v>2.2499999999999999E-2</v>
      </c>
      <c r="O89" s="566">
        <f t="shared" si="132"/>
        <v>2.2499999999999999E-2</v>
      </c>
      <c r="P89" s="567">
        <f t="shared" ref="P89:Q89" si="133">P87*P88/1000000</f>
        <v>2.2499999999999999E-2</v>
      </c>
      <c r="Q89" s="568">
        <f t="shared" si="133"/>
        <v>2.2499999999999999E-2</v>
      </c>
      <c r="R89" s="567">
        <f t="shared" ref="R89:S89" si="134">R87*R88/1000000</f>
        <v>4.3499999999999997E-2</v>
      </c>
      <c r="S89" s="568">
        <f t="shared" si="134"/>
        <v>4.3499999999999997E-2</v>
      </c>
    </row>
    <row r="90" spans="2:21" x14ac:dyDescent="0.2">
      <c r="B90" s="371"/>
      <c r="F90" s="537"/>
      <c r="G90" s="536"/>
      <c r="H90" s="454"/>
      <c r="I90" s="536"/>
      <c r="J90" s="454"/>
      <c r="K90" s="536"/>
      <c r="L90" s="454"/>
      <c r="M90" s="536"/>
      <c r="N90" s="454"/>
      <c r="O90" s="536"/>
      <c r="P90" s="538"/>
      <c r="Q90" s="538"/>
      <c r="R90" s="540"/>
      <c r="S90" s="539"/>
    </row>
    <row r="91" spans="2:21" ht="12.75" customHeight="1" x14ac:dyDescent="0.2">
      <c r="B91" s="641" t="s">
        <v>195</v>
      </c>
      <c r="C91" s="109" t="s">
        <v>257</v>
      </c>
      <c r="D91" s="360" t="s">
        <v>629</v>
      </c>
      <c r="E91" s="502" t="s">
        <v>629</v>
      </c>
      <c r="F91" s="360" t="s">
        <v>629</v>
      </c>
      <c r="G91" s="502" t="s">
        <v>629</v>
      </c>
      <c r="H91" s="360" t="s">
        <v>629</v>
      </c>
      <c r="I91" s="502" t="s">
        <v>629</v>
      </c>
      <c r="J91" s="360" t="s">
        <v>629</v>
      </c>
      <c r="K91" s="502" t="s">
        <v>629</v>
      </c>
      <c r="L91" s="360" t="s">
        <v>629</v>
      </c>
      <c r="M91" s="502" t="s">
        <v>629</v>
      </c>
      <c r="N91" s="360" t="s">
        <v>629</v>
      </c>
      <c r="O91" s="502" t="s">
        <v>629</v>
      </c>
      <c r="P91" s="398" t="s">
        <v>607</v>
      </c>
      <c r="Q91" s="398" t="s">
        <v>607</v>
      </c>
      <c r="R91" s="316" t="s">
        <v>593</v>
      </c>
      <c r="S91" s="507" t="s">
        <v>593</v>
      </c>
    </row>
    <row r="92" spans="2:21" x14ac:dyDescent="0.2">
      <c r="B92" s="641"/>
      <c r="C92" s="109" t="s">
        <v>313</v>
      </c>
      <c r="D92" s="376">
        <f t="shared" ref="D92:O92" si="135">(D66*D67+D40*D41+D86*D88)*2</f>
        <v>97.238460601351349</v>
      </c>
      <c r="E92" s="377">
        <f t="shared" si="135"/>
        <v>127.07850025477128</v>
      </c>
      <c r="F92" s="376">
        <f t="shared" si="135"/>
        <v>85.717005560049429</v>
      </c>
      <c r="G92" s="377">
        <f t="shared" si="135"/>
        <v>111.77375067122594</v>
      </c>
      <c r="H92" s="376">
        <f t="shared" si="135"/>
        <v>86.813268851144841</v>
      </c>
      <c r="I92" s="377">
        <f t="shared" si="135"/>
        <v>113.22999340165387</v>
      </c>
      <c r="J92" s="376">
        <f t="shared" si="135"/>
        <v>84.287240517751641</v>
      </c>
      <c r="K92" s="377">
        <f t="shared" si="135"/>
        <v>109.87546071430839</v>
      </c>
      <c r="L92" s="376">
        <f t="shared" si="135"/>
        <v>81.073399424652365</v>
      </c>
      <c r="M92" s="377">
        <f t="shared" si="135"/>
        <v>105.60708633413932</v>
      </c>
      <c r="N92" s="376">
        <f t="shared" si="135"/>
        <v>79.460087764756551</v>
      </c>
      <c r="O92" s="377">
        <f t="shared" si="135"/>
        <v>103.46225184763941</v>
      </c>
      <c r="P92" s="396">
        <f t="shared" ref="P92:Q92" si="136">(P66*P67+P40*P41+P86*P88)*2</f>
        <v>91.435637879444982</v>
      </c>
      <c r="Q92" s="397">
        <f t="shared" si="136"/>
        <v>119.61793291062506</v>
      </c>
      <c r="R92" s="396">
        <f>(R66*R67+R40*R41+R86*R88)*2</f>
        <v>31</v>
      </c>
      <c r="S92" s="397">
        <f t="shared" ref="S92" si="137">(S66*S67+S40*S41+S86*S88)*2</f>
        <v>45</v>
      </c>
    </row>
    <row r="93" spans="2:21" x14ac:dyDescent="0.2">
      <c r="B93" s="641"/>
      <c r="C93" s="109" t="s">
        <v>303</v>
      </c>
      <c r="D93" s="396">
        <v>1.5</v>
      </c>
      <c r="E93" s="397">
        <v>1.5</v>
      </c>
      <c r="F93" s="569">
        <v>1.5</v>
      </c>
      <c r="G93" s="397">
        <v>1.5</v>
      </c>
      <c r="H93" s="396">
        <v>1.5</v>
      </c>
      <c r="I93" s="397">
        <v>1.5</v>
      </c>
      <c r="J93" s="396">
        <v>1.5</v>
      </c>
      <c r="K93" s="397">
        <v>1.5</v>
      </c>
      <c r="L93" s="396">
        <v>1.5</v>
      </c>
      <c r="M93" s="397">
        <v>1.5</v>
      </c>
      <c r="N93" s="396">
        <v>1.5</v>
      </c>
      <c r="O93" s="397">
        <v>1.5</v>
      </c>
      <c r="P93" s="396">
        <v>1.5</v>
      </c>
      <c r="Q93" s="397">
        <v>1.5</v>
      </c>
      <c r="R93" s="396">
        <v>2.9</v>
      </c>
      <c r="S93" s="397">
        <v>2.9</v>
      </c>
    </row>
    <row r="94" spans="2:21" x14ac:dyDescent="0.2">
      <c r="B94" s="641"/>
      <c r="C94" s="109" t="s">
        <v>609</v>
      </c>
      <c r="D94" s="376">
        <f t="shared" ref="D94:O94" si="138">D92*D93</f>
        <v>145.85769090202703</v>
      </c>
      <c r="E94" s="377">
        <f t="shared" si="138"/>
        <v>190.61775038215694</v>
      </c>
      <c r="F94" s="570">
        <f t="shared" si="138"/>
        <v>128.57550834007415</v>
      </c>
      <c r="G94" s="377">
        <f t="shared" si="138"/>
        <v>167.66062600683892</v>
      </c>
      <c r="H94" s="376">
        <f t="shared" si="138"/>
        <v>130.21990327671728</v>
      </c>
      <c r="I94" s="377">
        <f t="shared" si="138"/>
        <v>169.84499010248081</v>
      </c>
      <c r="J94" s="376">
        <f t="shared" si="138"/>
        <v>126.43086077662747</v>
      </c>
      <c r="K94" s="377">
        <f t="shared" si="138"/>
        <v>164.8131910714626</v>
      </c>
      <c r="L94" s="376">
        <f t="shared" si="138"/>
        <v>121.61009913697855</v>
      </c>
      <c r="M94" s="377">
        <f t="shared" si="138"/>
        <v>158.41062950120897</v>
      </c>
      <c r="N94" s="376">
        <f t="shared" si="138"/>
        <v>119.19013164713482</v>
      </c>
      <c r="O94" s="377">
        <f t="shared" si="138"/>
        <v>155.1933777714591</v>
      </c>
      <c r="P94" s="396">
        <f t="shared" ref="P94:Q94" si="139">P92*P93</f>
        <v>137.15345681916747</v>
      </c>
      <c r="Q94" s="397">
        <f t="shared" si="139"/>
        <v>179.42689936593757</v>
      </c>
      <c r="R94" s="396">
        <f t="shared" ref="R94:S94" si="140">R92*R93</f>
        <v>89.899999999999991</v>
      </c>
      <c r="S94" s="397">
        <f t="shared" si="140"/>
        <v>130.5</v>
      </c>
      <c r="U94" s="495"/>
    </row>
    <row r="95" spans="2:21" x14ac:dyDescent="0.2">
      <c r="B95" s="641"/>
      <c r="C95" s="109" t="s">
        <v>610</v>
      </c>
      <c r="D95" s="508">
        <v>0</v>
      </c>
      <c r="E95" s="509">
        <v>0</v>
      </c>
      <c r="F95" s="510">
        <v>0</v>
      </c>
      <c r="G95" s="509">
        <v>0</v>
      </c>
      <c r="H95" s="508">
        <v>0</v>
      </c>
      <c r="I95" s="509">
        <v>0</v>
      </c>
      <c r="J95" s="508">
        <v>0</v>
      </c>
      <c r="K95" s="509">
        <v>0</v>
      </c>
      <c r="L95" s="508">
        <v>0</v>
      </c>
      <c r="M95" s="509">
        <v>0</v>
      </c>
      <c r="N95" s="509">
        <v>0</v>
      </c>
      <c r="O95" s="509">
        <v>0</v>
      </c>
      <c r="P95" s="399">
        <v>0</v>
      </c>
      <c r="Q95" s="400">
        <v>0</v>
      </c>
      <c r="R95" s="511">
        <v>0</v>
      </c>
      <c r="S95" s="400">
        <v>0</v>
      </c>
    </row>
    <row r="96" spans="2:21" x14ac:dyDescent="0.2">
      <c r="F96" s="503"/>
      <c r="N96" s="502"/>
    </row>
    <row r="97" spans="2:19" x14ac:dyDescent="0.2">
      <c r="F97" s="503"/>
      <c r="N97" s="502"/>
    </row>
    <row r="98" spans="2:19" ht="12.75" customHeight="1" x14ac:dyDescent="0.2">
      <c r="B98" s="640" t="s">
        <v>307</v>
      </c>
      <c r="C98" s="378" t="s">
        <v>45</v>
      </c>
      <c r="D98" s="361">
        <f t="shared" ref="D98:S98" si="141">(D77*10000/1000*2)*D7</f>
        <v>43.497929498555862</v>
      </c>
      <c r="E98" s="362">
        <f t="shared" si="141"/>
        <v>43.49792949855587</v>
      </c>
      <c r="F98" s="361">
        <f t="shared" si="141"/>
        <v>58.185542056509796</v>
      </c>
      <c r="G98" s="362">
        <f t="shared" si="141"/>
        <v>58.185542056509775</v>
      </c>
      <c r="H98" s="361">
        <f t="shared" si="141"/>
        <v>56.712490358876629</v>
      </c>
      <c r="I98" s="362">
        <f t="shared" si="141"/>
        <v>56.712490358876629</v>
      </c>
      <c r="J98" s="361">
        <f t="shared" si="141"/>
        <v>47.160913035276359</v>
      </c>
      <c r="K98" s="362">
        <f t="shared" si="141"/>
        <v>47.160913035276351</v>
      </c>
      <c r="L98" s="361">
        <f t="shared" si="141"/>
        <v>42.669397508107188</v>
      </c>
      <c r="M98" s="362">
        <f t="shared" si="141"/>
        <v>42.669397508107181</v>
      </c>
      <c r="N98" s="362">
        <f t="shared" si="141"/>
        <v>63.004032258064527</v>
      </c>
      <c r="O98" s="362">
        <f t="shared" si="141"/>
        <v>63.004032258064512</v>
      </c>
      <c r="P98" s="497">
        <f t="shared" ref="P98:Q98" si="142">(P77*10000/1000*2)*P7</f>
        <v>79.649542015133434</v>
      </c>
      <c r="Q98" s="497">
        <f t="shared" si="142"/>
        <v>79.64954201513342</v>
      </c>
      <c r="R98" s="496">
        <f t="shared" si="141"/>
        <v>41.516170548428612</v>
      </c>
      <c r="S98" s="497">
        <f t="shared" si="141"/>
        <v>41.516170548428612</v>
      </c>
    </row>
    <row r="99" spans="2:19" x14ac:dyDescent="0.2">
      <c r="B99" s="640"/>
      <c r="C99" s="378" t="s">
        <v>46</v>
      </c>
      <c r="D99" s="361">
        <f t="shared" ref="D99:S99" si="143">(D76*10000/1000*2)*D7</f>
        <v>57.997239331407826</v>
      </c>
      <c r="E99" s="362">
        <f t="shared" si="143"/>
        <v>57.997239331407819</v>
      </c>
      <c r="F99" s="361">
        <f t="shared" si="143"/>
        <v>77.580722742013066</v>
      </c>
      <c r="G99" s="362">
        <f t="shared" si="143"/>
        <v>77.580722742013037</v>
      </c>
      <c r="H99" s="361">
        <f t="shared" si="143"/>
        <v>75.616653811835519</v>
      </c>
      <c r="I99" s="362">
        <f t="shared" si="143"/>
        <v>75.616653811835533</v>
      </c>
      <c r="J99" s="361">
        <f t="shared" si="143"/>
        <v>62.881217380368483</v>
      </c>
      <c r="K99" s="362">
        <f t="shared" si="143"/>
        <v>62.881217380368476</v>
      </c>
      <c r="L99" s="361">
        <f t="shared" si="143"/>
        <v>56.89253001080958</v>
      </c>
      <c r="M99" s="362">
        <f t="shared" si="143"/>
        <v>56.892530010809587</v>
      </c>
      <c r="N99" s="362">
        <f t="shared" si="143"/>
        <v>84.005376344086031</v>
      </c>
      <c r="O99" s="362">
        <f t="shared" si="143"/>
        <v>84.005376344086031</v>
      </c>
      <c r="P99" s="497">
        <f t="shared" ref="P99:Q99" si="144">(P76*10000/1000*2)*P7</f>
        <v>106.19938935351122</v>
      </c>
      <c r="Q99" s="497">
        <f t="shared" si="144"/>
        <v>106.19938935351124</v>
      </c>
      <c r="R99" s="496">
        <f t="shared" si="143"/>
        <v>55.354894064571475</v>
      </c>
      <c r="S99" s="497">
        <f t="shared" si="143"/>
        <v>55.354894064571489</v>
      </c>
    </row>
    <row r="100" spans="2:19" x14ac:dyDescent="0.2">
      <c r="B100" s="640"/>
      <c r="C100" s="378" t="s">
        <v>48</v>
      </c>
      <c r="D100" s="361">
        <f t="shared" ref="D100:S100" si="145">(D51*10000/1000*2)*D7</f>
        <v>36.117677961649605</v>
      </c>
      <c r="E100" s="362">
        <f t="shared" si="145"/>
        <v>35.73749187784275</v>
      </c>
      <c r="F100" s="361">
        <f t="shared" si="145"/>
        <v>36.117677961649598</v>
      </c>
      <c r="G100" s="362">
        <f t="shared" si="145"/>
        <v>35.73749187784275</v>
      </c>
      <c r="H100" s="361">
        <f t="shared" si="145"/>
        <v>36.117677961649612</v>
      </c>
      <c r="I100" s="362">
        <f t="shared" si="145"/>
        <v>35.737491877842757</v>
      </c>
      <c r="J100" s="361">
        <f t="shared" si="145"/>
        <v>28.143645164921757</v>
      </c>
      <c r="K100" s="362">
        <f t="shared" si="145"/>
        <v>27.847396268448904</v>
      </c>
      <c r="L100" s="361">
        <f t="shared" si="145"/>
        <v>23.053836996797617</v>
      </c>
      <c r="M100" s="362">
        <f t="shared" si="145"/>
        <v>22.811165028410279</v>
      </c>
      <c r="N100" s="361">
        <f t="shared" si="145"/>
        <v>40.632387706855802</v>
      </c>
      <c r="O100" s="362">
        <f t="shared" si="145"/>
        <v>40.204678362573112</v>
      </c>
      <c r="P100" s="496">
        <f t="shared" ref="P100:Q100" si="146">(P51*10000/1000*2)*P7</f>
        <v>44.579533941236072</v>
      </c>
      <c r="Q100" s="497">
        <f t="shared" si="146"/>
        <v>44.110275689223066</v>
      </c>
      <c r="R100" s="496">
        <f t="shared" si="145"/>
        <v>0</v>
      </c>
      <c r="S100" s="497">
        <f t="shared" si="145"/>
        <v>0</v>
      </c>
    </row>
    <row r="101" spans="2:19" x14ac:dyDescent="0.2">
      <c r="B101" s="640"/>
      <c r="C101" s="378" t="s">
        <v>49</v>
      </c>
      <c r="D101" s="361">
        <f t="shared" ref="D101:S101" si="147">(D50*10000/1000*2)*D7</f>
        <v>18.058838980824802</v>
      </c>
      <c r="E101" s="362">
        <f t="shared" si="147"/>
        <v>8.9343729694606875</v>
      </c>
      <c r="F101" s="361">
        <f t="shared" si="147"/>
        <v>18.058838980824799</v>
      </c>
      <c r="G101" s="362">
        <f t="shared" si="147"/>
        <v>8.9343729694606875</v>
      </c>
      <c r="H101" s="361">
        <f t="shared" si="147"/>
        <v>18.058838980824806</v>
      </c>
      <c r="I101" s="362">
        <f t="shared" si="147"/>
        <v>8.9343729694606893</v>
      </c>
      <c r="J101" s="361">
        <f t="shared" si="147"/>
        <v>14.071822582460879</v>
      </c>
      <c r="K101" s="362">
        <f t="shared" si="147"/>
        <v>6.961849067112226</v>
      </c>
      <c r="L101" s="361">
        <f t="shared" si="147"/>
        <v>11.526918498398809</v>
      </c>
      <c r="M101" s="362">
        <f t="shared" si="147"/>
        <v>5.7027912571025698</v>
      </c>
      <c r="N101" s="361">
        <f t="shared" si="147"/>
        <v>20.316193853427901</v>
      </c>
      <c r="O101" s="362">
        <f t="shared" si="147"/>
        <v>10.051169590643278</v>
      </c>
      <c r="P101" s="496">
        <f t="shared" ref="P101:Q101" si="148">(P50*10000/1000*2)*P7</f>
        <v>22.289766970618036</v>
      </c>
      <c r="Q101" s="497">
        <f t="shared" si="148"/>
        <v>11.027568922305766</v>
      </c>
      <c r="R101" s="496">
        <f t="shared" si="147"/>
        <v>0</v>
      </c>
      <c r="S101" s="497">
        <f t="shared" si="147"/>
        <v>0</v>
      </c>
    </row>
    <row r="102" spans="2:19" x14ac:dyDescent="0.2">
      <c r="B102" s="640"/>
      <c r="C102" s="379" t="s">
        <v>47</v>
      </c>
      <c r="D102" s="361">
        <f t="shared" ref="D102:I102" si="149">(D49*10000/1000*2)*D7</f>
        <v>848.76543209876559</v>
      </c>
      <c r="E102" s="362">
        <f t="shared" si="149"/>
        <v>848.76543209876536</v>
      </c>
      <c r="F102" s="361">
        <f t="shared" si="149"/>
        <v>848.76543209876536</v>
      </c>
      <c r="G102" s="362">
        <f t="shared" si="149"/>
        <v>848.76543209876525</v>
      </c>
      <c r="H102" s="361">
        <f t="shared" si="149"/>
        <v>848.7654320987657</v>
      </c>
      <c r="I102" s="362">
        <f t="shared" si="149"/>
        <v>848.76543209876547</v>
      </c>
      <c r="J102" s="361">
        <f>(J49*10000/1000*2)*J7*0.95</f>
        <v>628.30687830687816</v>
      </c>
      <c r="K102" s="362">
        <f>(K49*10000/1000*2)*K7*0.95</f>
        <v>628.30687830687839</v>
      </c>
      <c r="L102" s="361">
        <f>(L49*10000/1000*2)*L7*0.9</f>
        <v>487.58865248226965</v>
      </c>
      <c r="M102" s="362">
        <f>(M49*10000/1000*2)*M7*0.9</f>
        <v>487.58865248226954</v>
      </c>
      <c r="N102" s="496">
        <f>(N49*10000/1000*2)*N7</f>
        <v>954.8611111111112</v>
      </c>
      <c r="O102" s="497">
        <f>(O49*10000/1000*2)*O7</f>
        <v>954.86111111111131</v>
      </c>
      <c r="P102" s="496"/>
      <c r="Q102" s="497"/>
    </row>
    <row r="103" spans="2:19" x14ac:dyDescent="0.2">
      <c r="B103" s="640"/>
      <c r="C103" s="109" t="s">
        <v>199</v>
      </c>
      <c r="F103" s="503"/>
      <c r="J103" s="361">
        <f>(J49*10000/1000*2)*J7*0.05</f>
        <v>33.068783068783063</v>
      </c>
      <c r="K103" s="362">
        <f>(K49*10000/1000*2)*K7*0.05</f>
        <v>33.068783068783077</v>
      </c>
      <c r="L103" s="361">
        <f>(L49*10000/1000*2)*L7*0.1</f>
        <v>54.176516942474407</v>
      </c>
      <c r="M103" s="362">
        <f>(M49*10000/1000*2)*M7*0.1</f>
        <v>54.176516942474393</v>
      </c>
      <c r="P103" s="316"/>
      <c r="Q103" s="507"/>
    </row>
    <row r="104" spans="2:19" x14ac:dyDescent="0.2">
      <c r="B104" s="640"/>
      <c r="C104" s="379" t="s">
        <v>573</v>
      </c>
      <c r="F104" s="503"/>
      <c r="J104" s="361"/>
      <c r="K104" s="362"/>
      <c r="L104" s="361"/>
      <c r="M104" s="362"/>
      <c r="P104" s="496">
        <f>(P49*10000/1000*2)*P7</f>
        <v>1047.6190476190479</v>
      </c>
      <c r="Q104" s="497">
        <f>(Q49*10000/1000*2)*Q7</f>
        <v>1047.6190476190477</v>
      </c>
    </row>
    <row r="105" spans="2:19" x14ac:dyDescent="0.2">
      <c r="B105" s="640"/>
      <c r="C105" s="379" t="s">
        <v>594</v>
      </c>
      <c r="F105" s="503"/>
      <c r="J105" s="361"/>
      <c r="K105" s="362"/>
      <c r="L105" s="361"/>
      <c r="M105" s="362"/>
      <c r="P105" s="496"/>
      <c r="Q105" s="497"/>
      <c r="R105" s="496">
        <f>R7*10*R40</f>
        <v>864.18421140253997</v>
      </c>
      <c r="S105" s="496">
        <f>S7*10*S40</f>
        <v>441.69415249463157</v>
      </c>
    </row>
    <row r="106" spans="2:19" x14ac:dyDescent="0.2">
      <c r="B106" s="640"/>
      <c r="C106" s="109" t="s">
        <v>595</v>
      </c>
      <c r="D106" s="361">
        <f t="shared" ref="D106:O106" si="150">D94*D7</f>
        <v>671.83619539555889</v>
      </c>
      <c r="E106" s="362">
        <f t="shared" si="150"/>
        <v>448.75853964098599</v>
      </c>
      <c r="F106" s="361">
        <f t="shared" si="150"/>
        <v>778.06969226171816</v>
      </c>
      <c r="G106" s="362">
        <f t="shared" si="150"/>
        <v>518.56912329589056</v>
      </c>
      <c r="H106" s="361">
        <f t="shared" si="150"/>
        <v>765.17478458398705</v>
      </c>
      <c r="I106" s="362">
        <f t="shared" si="150"/>
        <v>510.09532682195299</v>
      </c>
      <c r="J106" s="361">
        <f t="shared" si="150"/>
        <v>621.66618340370303</v>
      </c>
      <c r="K106" s="362">
        <f t="shared" si="150"/>
        <v>414.20128269456586</v>
      </c>
      <c r="L106" s="361">
        <f t="shared" si="150"/>
        <v>540.06396138710511</v>
      </c>
      <c r="M106" s="362">
        <f t="shared" si="150"/>
        <v>359.56316715500975</v>
      </c>
      <c r="N106" s="361">
        <f t="shared" si="150"/>
        <v>978.11332543362892</v>
      </c>
      <c r="O106" s="362">
        <f t="shared" si="150"/>
        <v>650.93464078506281</v>
      </c>
      <c r="P106" s="496">
        <f t="shared" ref="P106:Q106" si="151">P94*P7</f>
        <v>1291.3272353975574</v>
      </c>
      <c r="Q106" s="497">
        <f t="shared" si="151"/>
        <v>863.44052334056892</v>
      </c>
    </row>
    <row r="107" spans="2:19" x14ac:dyDescent="0.2">
      <c r="B107" s="640"/>
      <c r="C107" s="109" t="s">
        <v>596</v>
      </c>
      <c r="D107" s="361"/>
      <c r="E107" s="362"/>
      <c r="F107" s="361"/>
      <c r="G107" s="362"/>
      <c r="H107" s="361"/>
      <c r="I107" s="362"/>
      <c r="J107" s="361"/>
      <c r="K107" s="362"/>
      <c r="L107" s="361"/>
      <c r="M107" s="362"/>
      <c r="N107" s="361"/>
      <c r="O107" s="362"/>
      <c r="P107" s="496"/>
      <c r="Q107" s="497"/>
      <c r="R107" s="496">
        <f>R94*R7+R89*1000*R7</f>
        <v>576.41086900549408</v>
      </c>
      <c r="S107" s="496">
        <f>S94*S7+S89*1000*S7</f>
        <v>384.27391267032942</v>
      </c>
    </row>
    <row r="108" spans="2:19" x14ac:dyDescent="0.2">
      <c r="B108" s="640"/>
      <c r="C108" s="109" t="s">
        <v>581</v>
      </c>
      <c r="D108" s="361">
        <f t="shared" ref="D108:S108" si="152">D72*D7</f>
        <v>186.54735136179232</v>
      </c>
      <c r="E108" s="362">
        <f t="shared" si="152"/>
        <v>95.346424029360506</v>
      </c>
      <c r="F108" s="361">
        <f t="shared" si="152"/>
        <v>245.08417616559441</v>
      </c>
      <c r="G108" s="362">
        <f t="shared" si="152"/>
        <v>125.26524559574821</v>
      </c>
      <c r="H108" s="361">
        <f t="shared" si="152"/>
        <v>237.97881887378327</v>
      </c>
      <c r="I108" s="362">
        <f t="shared" si="152"/>
        <v>121.63361853548925</v>
      </c>
      <c r="J108" s="361">
        <f t="shared" si="152"/>
        <v>199.14030698827915</v>
      </c>
      <c r="K108" s="362">
        <f t="shared" si="152"/>
        <v>101.78282357178712</v>
      </c>
      <c r="L108" s="361">
        <f t="shared" si="152"/>
        <v>179.85833899815364</v>
      </c>
      <c r="M108" s="362">
        <f t="shared" si="152"/>
        <v>91.927595487945197</v>
      </c>
      <c r="N108" s="361">
        <f t="shared" si="152"/>
        <v>332.35628766095277</v>
      </c>
      <c r="O108" s="362">
        <f t="shared" si="152"/>
        <v>169.87099147115359</v>
      </c>
      <c r="P108" s="496">
        <f t="shared" ref="P108:Q108" si="153">P72*P7</f>
        <v>381.31560258488662</v>
      </c>
      <c r="Q108" s="497">
        <f t="shared" si="153"/>
        <v>194.89464132116427</v>
      </c>
      <c r="R108" s="496">
        <f t="shared" si="152"/>
        <v>174.99730280901434</v>
      </c>
      <c r="S108" s="497">
        <f t="shared" si="152"/>
        <v>89.443065880162891</v>
      </c>
    </row>
    <row r="109" spans="2:19" x14ac:dyDescent="0.2">
      <c r="B109" s="640"/>
      <c r="C109" s="109" t="s">
        <v>305</v>
      </c>
      <c r="D109" s="361">
        <f t="shared" ref="D109:O109" si="154">D46*D7</f>
        <v>410.86478374004633</v>
      </c>
      <c r="E109" s="362">
        <f t="shared" si="154"/>
        <v>209.99755613380142</v>
      </c>
      <c r="F109" s="361">
        <f t="shared" si="154"/>
        <v>539.79033367829686</v>
      </c>
      <c r="G109" s="362">
        <f t="shared" si="154"/>
        <v>275.89283721335158</v>
      </c>
      <c r="H109" s="361">
        <f t="shared" si="154"/>
        <v>524.14100354423374</v>
      </c>
      <c r="I109" s="362">
        <f t="shared" si="154"/>
        <v>267.89429070038619</v>
      </c>
      <c r="J109" s="361">
        <f t="shared" si="154"/>
        <v>438.6003798359136</v>
      </c>
      <c r="K109" s="362">
        <f t="shared" si="154"/>
        <v>224.17352747168917</v>
      </c>
      <c r="L109" s="361">
        <f t="shared" si="154"/>
        <v>396.13244046013097</v>
      </c>
      <c r="M109" s="362">
        <f t="shared" si="154"/>
        <v>202.46769179073362</v>
      </c>
      <c r="N109" s="361">
        <f t="shared" si="154"/>
        <v>732.00446566313553</v>
      </c>
      <c r="O109" s="362">
        <f t="shared" si="154"/>
        <v>374.13561578338027</v>
      </c>
      <c r="P109" s="496"/>
      <c r="Q109" s="497"/>
      <c r="R109" s="496">
        <f>R46*R7</f>
        <v>385.42615828553284</v>
      </c>
      <c r="S109" s="497">
        <f>S46*S7</f>
        <v>196.99559201260567</v>
      </c>
    </row>
    <row r="110" spans="2:19" x14ac:dyDescent="0.2">
      <c r="B110" s="640"/>
      <c r="C110" s="109" t="s">
        <v>580</v>
      </c>
      <c r="D110" s="361"/>
      <c r="E110" s="362"/>
      <c r="F110" s="361"/>
      <c r="G110" s="362"/>
      <c r="H110" s="361"/>
      <c r="I110" s="362"/>
      <c r="J110" s="361"/>
      <c r="K110" s="362"/>
      <c r="L110" s="361"/>
      <c r="M110" s="362"/>
      <c r="N110" s="361"/>
      <c r="O110" s="362"/>
      <c r="P110" s="496">
        <f>P46*P7</f>
        <v>381.31560258488662</v>
      </c>
      <c r="Q110" s="497">
        <f>Q46*Q7</f>
        <v>194.89464132116427</v>
      </c>
      <c r="R110" s="496"/>
      <c r="S110" s="497"/>
    </row>
    <row r="111" spans="2:19" x14ac:dyDescent="0.2">
      <c r="B111" s="640"/>
      <c r="C111" s="109" t="s">
        <v>306</v>
      </c>
      <c r="D111" s="361">
        <f t="shared" ref="D111:O111" si="155">D89*2*D7*1000</f>
        <v>207.27483484643591</v>
      </c>
      <c r="E111" s="362">
        <f t="shared" si="155"/>
        <v>105.94047114373389</v>
      </c>
      <c r="F111" s="361">
        <f t="shared" si="155"/>
        <v>272.31575129510486</v>
      </c>
      <c r="G111" s="362">
        <f t="shared" si="155"/>
        <v>139.18360621749801</v>
      </c>
      <c r="H111" s="361">
        <f t="shared" si="155"/>
        <v>264.42090985975921</v>
      </c>
      <c r="I111" s="362">
        <f t="shared" si="155"/>
        <v>135.14846503943249</v>
      </c>
      <c r="J111" s="361">
        <f t="shared" si="155"/>
        <v>221.2670077647546</v>
      </c>
      <c r="K111" s="362">
        <f t="shared" si="155"/>
        <v>113.09202619087456</v>
      </c>
      <c r="L111" s="361">
        <f t="shared" si="155"/>
        <v>199.84259888683735</v>
      </c>
      <c r="M111" s="362">
        <f t="shared" si="155"/>
        <v>102.14177276438353</v>
      </c>
      <c r="N111" s="361">
        <f t="shared" si="155"/>
        <v>369.28476406772529</v>
      </c>
      <c r="O111" s="362">
        <f t="shared" si="155"/>
        <v>188.74554607905955</v>
      </c>
      <c r="P111" s="496">
        <f t="shared" ref="P111:Q111" si="156">P89*2*P7*1000</f>
        <v>423.68400287209624</v>
      </c>
      <c r="Q111" s="497">
        <f t="shared" si="156"/>
        <v>216.54960146796029</v>
      </c>
      <c r="R111" s="496"/>
      <c r="S111" s="497"/>
    </row>
    <row r="112" spans="2:19" x14ac:dyDescent="0.2">
      <c r="B112" s="640"/>
      <c r="C112" s="109" t="s">
        <v>319</v>
      </c>
      <c r="D112" s="361">
        <f>(D98+D99+'CAM Characteristics'!C22*1000)*(1-D5)/D5</f>
        <v>1449.9309832851957</v>
      </c>
      <c r="E112" s="362">
        <f>(E98+E99+'CAM Characteristics'!C22*1000)*(1-E5)/E5</f>
        <v>1449.9309832851957</v>
      </c>
      <c r="F112" s="361">
        <f>(F98+F99+'CAM Characteristics'!D22*1000)*(1-F5)/F5</f>
        <v>1939.5180685503265</v>
      </c>
      <c r="G112" s="362">
        <f>(G98+G99+'CAM Characteristics'!D22*1000)*(1-G5)/G5</f>
        <v>1939.5180685503265</v>
      </c>
      <c r="H112" s="362">
        <f>(H98+H99+'CAM Characteristics'!E22*1000)*(1-H5)/H5</f>
        <v>1890.4163452958878</v>
      </c>
      <c r="I112" s="362">
        <f>(I98+I99+'CAM Characteristics'!E22*1000)*(1-I5)/I5</f>
        <v>1890.4163452958878</v>
      </c>
      <c r="J112" s="362">
        <f>(J98+J99+'CAM Characteristics'!F22*1000)*(1-J5)/J5</f>
        <v>1572.0304345092118</v>
      </c>
      <c r="K112" s="362">
        <f>(K98+K99+'CAM Characteristics'!F22*1000)*(1-K5)/K5</f>
        <v>1572.0304345092118</v>
      </c>
      <c r="L112" s="362">
        <f>(L98+L99+'CAM Characteristics'!G22*1000)*(1-L5)/L5</f>
        <v>1422.3132502702395</v>
      </c>
      <c r="M112" s="362">
        <f>(M98+M99+'CAM Characteristics'!G22*1000)*(1-M5)/M5</f>
        <v>1422.3132502702395</v>
      </c>
      <c r="N112" s="362">
        <f>(N98+N99+'CAM Characteristics'!H22*1000)*(1-N5)/N5</f>
        <v>2100.1344086021504</v>
      </c>
      <c r="O112" s="362">
        <f>(O98+O99+'CAM Characteristics'!H22*1000)*(1-O5)/O5</f>
        <v>2100.1344086021504</v>
      </c>
      <c r="P112" s="497">
        <f>(P98+P99+'CAM Characteristics'!I22*1000)*(1-P5)/P5</f>
        <v>2654.9847338377804</v>
      </c>
      <c r="Q112" s="497">
        <f>(Q98+Q99+'CAM Characteristics'!I22*1000)*(1-Q5)/Q5</f>
        <v>2654.9847338377804</v>
      </c>
      <c r="R112" s="497">
        <f>(R98+R99+'CAM Characteristics'!J22*1000)*(1-R5)/R5</f>
        <v>1419.6223873643228</v>
      </c>
      <c r="S112" s="497">
        <f>(S98+S99+'CAM Characteristics'!J22*1000)*(1-S5)/S5</f>
        <v>1419.6223873643228</v>
      </c>
    </row>
    <row r="113" spans="2:19" x14ac:dyDescent="0.2">
      <c r="B113" s="640"/>
      <c r="C113" s="109" t="s">
        <v>320</v>
      </c>
      <c r="D113" s="361">
        <f t="shared" ref="D113:O113" si="157">SUM(D100:D103)*(1-D5)/D5</f>
        <v>902.94194904124004</v>
      </c>
      <c r="E113" s="362">
        <f t="shared" si="157"/>
        <v>893.43729694606884</v>
      </c>
      <c r="F113" s="361">
        <f t="shared" si="157"/>
        <v>902.9419490412397</v>
      </c>
      <c r="G113" s="362">
        <f t="shared" si="157"/>
        <v>893.43729694606873</v>
      </c>
      <c r="H113" s="361">
        <f t="shared" si="157"/>
        <v>902.94194904124015</v>
      </c>
      <c r="I113" s="362">
        <f t="shared" si="157"/>
        <v>893.43729694606895</v>
      </c>
      <c r="J113" s="361">
        <f t="shared" si="157"/>
        <v>703.59112912304386</v>
      </c>
      <c r="K113" s="362">
        <f t="shared" si="157"/>
        <v>696.18490671122265</v>
      </c>
      <c r="L113" s="361">
        <f t="shared" si="157"/>
        <v>576.34592491994056</v>
      </c>
      <c r="M113" s="362">
        <f t="shared" si="157"/>
        <v>570.27912571025672</v>
      </c>
      <c r="N113" s="361">
        <f t="shared" si="157"/>
        <v>1015.8096926713949</v>
      </c>
      <c r="O113" s="362">
        <f t="shared" si="157"/>
        <v>1005.1169590643277</v>
      </c>
      <c r="P113" s="496">
        <f>SUM(P100:P104)*(1-P5)/P5</f>
        <v>1114.4883485309019</v>
      </c>
      <c r="Q113" s="497">
        <f>SUM(Q100:Q104)*(1-Q5)/Q5</f>
        <v>1102.7568922305766</v>
      </c>
      <c r="R113" s="496">
        <f>SUM(R100:R103)*(1-R5)/R5</f>
        <v>0</v>
      </c>
      <c r="S113" s="497">
        <f>SUM(S100:S103)*(1-S5)/S5</f>
        <v>0</v>
      </c>
    </row>
    <row r="114" spans="2:19" x14ac:dyDescent="0.2">
      <c r="F114" s="503"/>
    </row>
  </sheetData>
  <mergeCells count="22">
    <mergeCell ref="R1:S1"/>
    <mergeCell ref="R2:S2"/>
    <mergeCell ref="B91:B95"/>
    <mergeCell ref="N1:O1"/>
    <mergeCell ref="H2:I2"/>
    <mergeCell ref="J2:K2"/>
    <mergeCell ref="L2:M2"/>
    <mergeCell ref="N2:O2"/>
    <mergeCell ref="L1:M1"/>
    <mergeCell ref="P1:Q1"/>
    <mergeCell ref="P2:Q2"/>
    <mergeCell ref="B98:B113"/>
    <mergeCell ref="B85:B89"/>
    <mergeCell ref="H1:I1"/>
    <mergeCell ref="J1:K1"/>
    <mergeCell ref="D1:E1"/>
    <mergeCell ref="D2:E2"/>
    <mergeCell ref="F1:G1"/>
    <mergeCell ref="F2:G2"/>
    <mergeCell ref="B4:B31"/>
    <mergeCell ref="B33:B57"/>
    <mergeCell ref="B59:B83"/>
  </mergeCells>
  <phoneticPr fontId="8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FAAE8-36FB-4922-A869-BAEEB714A4F0}">
  <dimension ref="A1:XFC144"/>
  <sheetViews>
    <sheetView tabSelected="1" zoomScale="130" zoomScaleNormal="130" workbookViewId="0">
      <selection activeCell="F16" sqref="F16"/>
    </sheetView>
  </sheetViews>
  <sheetFormatPr baseColWidth="10" defaultRowHeight="12.75" x14ac:dyDescent="0.2"/>
  <cols>
    <col min="1" max="1" width="20.42578125" customWidth="1"/>
    <col min="2" max="2" width="44.42578125" bestFit="1" customWidth="1"/>
    <col min="3" max="10" width="15.7109375" customWidth="1"/>
    <col min="11" max="11" width="18" bestFit="1" customWidth="1"/>
    <col min="12" max="13" width="20.7109375" customWidth="1"/>
    <col min="14" max="14" width="18.85546875" bestFit="1" customWidth="1"/>
    <col min="15" max="15" width="18" bestFit="1" customWidth="1"/>
  </cols>
  <sheetData>
    <row r="1" spans="1:17" ht="13.5" thickBot="1" x14ac:dyDescent="0.25"/>
    <row r="2" spans="1:17" ht="13.5" thickBot="1" x14ac:dyDescent="0.25">
      <c r="B2" s="167"/>
      <c r="C2" s="571" t="s">
        <v>0</v>
      </c>
      <c r="D2" s="571" t="s">
        <v>1</v>
      </c>
      <c r="E2" s="571" t="s">
        <v>2</v>
      </c>
      <c r="F2" s="571" t="s">
        <v>3</v>
      </c>
      <c r="G2" s="571" t="s">
        <v>200</v>
      </c>
      <c r="H2" s="571" t="s">
        <v>5</v>
      </c>
      <c r="I2" s="571" t="s">
        <v>606</v>
      </c>
      <c r="J2" s="571" t="s">
        <v>582</v>
      </c>
      <c r="L2" s="577" t="s">
        <v>730</v>
      </c>
      <c r="M2" s="576" t="s">
        <v>265</v>
      </c>
      <c r="P2" s="167"/>
      <c r="Q2" s="167"/>
    </row>
    <row r="3" spans="1:17" x14ac:dyDescent="0.2">
      <c r="B3" s="1" t="s">
        <v>119</v>
      </c>
      <c r="C3" s="167">
        <v>1</v>
      </c>
      <c r="D3" s="167">
        <v>1</v>
      </c>
      <c r="E3" s="167">
        <v>1</v>
      </c>
      <c r="F3" s="167">
        <v>1</v>
      </c>
      <c r="G3" s="167">
        <v>1</v>
      </c>
      <c r="H3" s="167">
        <v>1</v>
      </c>
      <c r="J3" s="167">
        <v>1</v>
      </c>
      <c r="L3" s="380" t="s">
        <v>119</v>
      </c>
      <c r="M3" s="381">
        <v>6.94</v>
      </c>
      <c r="P3" s="167"/>
      <c r="Q3" s="167"/>
    </row>
    <row r="4" spans="1:17" x14ac:dyDescent="0.2">
      <c r="B4" s="1" t="s">
        <v>124</v>
      </c>
      <c r="C4" s="167">
        <v>0.9</v>
      </c>
      <c r="D4" s="167">
        <v>0.5</v>
      </c>
      <c r="E4" s="167">
        <v>0.6</v>
      </c>
      <c r="F4" s="167">
        <v>0.8</v>
      </c>
      <c r="G4" s="167">
        <v>0.9</v>
      </c>
      <c r="H4" s="167"/>
      <c r="I4" s="167">
        <v>0.4</v>
      </c>
      <c r="J4" s="167">
        <v>0.9</v>
      </c>
      <c r="L4" s="380" t="s">
        <v>124</v>
      </c>
      <c r="M4" s="381">
        <v>58.693399999999997</v>
      </c>
      <c r="P4" s="167"/>
      <c r="Q4" s="167"/>
    </row>
    <row r="5" spans="1:17" x14ac:dyDescent="0.2">
      <c r="B5" s="1" t="s">
        <v>121</v>
      </c>
      <c r="C5" s="167"/>
      <c r="D5" s="167">
        <v>0.3</v>
      </c>
      <c r="E5" s="167">
        <v>0.2</v>
      </c>
      <c r="F5" s="167">
        <v>0.1</v>
      </c>
      <c r="G5" s="167">
        <v>0.05</v>
      </c>
      <c r="H5" s="167"/>
      <c r="I5" s="167">
        <v>0.2</v>
      </c>
      <c r="J5" s="167">
        <v>0.05</v>
      </c>
      <c r="L5" s="380" t="s">
        <v>121</v>
      </c>
      <c r="M5" s="381">
        <v>54.938043</v>
      </c>
      <c r="P5" s="167"/>
      <c r="Q5" s="167"/>
    </row>
    <row r="6" spans="1:17" x14ac:dyDescent="0.2">
      <c r="B6" s="1" t="s">
        <v>123</v>
      </c>
      <c r="C6" s="167">
        <v>7.0000000000000007E-2</v>
      </c>
      <c r="D6" s="167">
        <v>0.2</v>
      </c>
      <c r="E6" s="167">
        <v>0.2</v>
      </c>
      <c r="F6" s="167">
        <v>0.1</v>
      </c>
      <c r="G6" s="167">
        <v>0.05</v>
      </c>
      <c r="H6" s="167"/>
      <c r="J6" s="167">
        <v>0.05</v>
      </c>
      <c r="L6" s="380" t="s">
        <v>123</v>
      </c>
      <c r="M6" s="381">
        <v>58.933194</v>
      </c>
      <c r="P6" s="167"/>
      <c r="Q6" s="167"/>
    </row>
    <row r="7" spans="1:17" x14ac:dyDescent="0.2">
      <c r="B7" s="1" t="s">
        <v>120</v>
      </c>
      <c r="C7" s="167">
        <v>0.03</v>
      </c>
      <c r="D7" s="167"/>
      <c r="E7" s="167"/>
      <c r="F7" s="167"/>
      <c r="G7" s="167"/>
      <c r="H7" s="167"/>
      <c r="J7" s="167"/>
      <c r="L7" s="380" t="s">
        <v>120</v>
      </c>
      <c r="M7" s="381">
        <v>26.981538400000002</v>
      </c>
      <c r="P7" s="167"/>
      <c r="Q7" s="167"/>
    </row>
    <row r="8" spans="1:17" x14ac:dyDescent="0.2">
      <c r="B8" s="1" t="s">
        <v>122</v>
      </c>
      <c r="C8" s="167"/>
      <c r="D8" s="167"/>
      <c r="E8" s="167"/>
      <c r="F8" s="167"/>
      <c r="G8" s="167"/>
      <c r="H8" s="167">
        <v>1</v>
      </c>
      <c r="I8">
        <v>0.4</v>
      </c>
      <c r="J8" s="167"/>
      <c r="L8" s="380" t="s">
        <v>122</v>
      </c>
      <c r="M8" s="381">
        <v>55.844999999999999</v>
      </c>
      <c r="P8" s="167"/>
      <c r="Q8" s="167"/>
    </row>
    <row r="9" spans="1:17" x14ac:dyDescent="0.2">
      <c r="B9" s="1" t="s">
        <v>127</v>
      </c>
      <c r="C9" s="167"/>
      <c r="D9" s="167"/>
      <c r="E9" s="167"/>
      <c r="F9" s="167"/>
      <c r="G9" s="167"/>
      <c r="H9" s="167">
        <v>1</v>
      </c>
      <c r="J9" s="167"/>
      <c r="L9" s="380" t="s">
        <v>127</v>
      </c>
      <c r="M9" s="381">
        <v>30.973761998000001</v>
      </c>
      <c r="P9" s="167"/>
      <c r="Q9" s="167"/>
    </row>
    <row r="10" spans="1:17" x14ac:dyDescent="0.2">
      <c r="B10" s="1" t="s">
        <v>125</v>
      </c>
      <c r="C10" s="167">
        <v>2</v>
      </c>
      <c r="D10" s="167">
        <v>2</v>
      </c>
      <c r="E10" s="167">
        <v>2</v>
      </c>
      <c r="F10" s="167">
        <v>2</v>
      </c>
      <c r="G10" s="167">
        <v>2</v>
      </c>
      <c r="H10" s="167">
        <v>4</v>
      </c>
      <c r="I10" s="167">
        <v>2</v>
      </c>
      <c r="J10" s="167">
        <v>2</v>
      </c>
      <c r="L10" s="380" t="s">
        <v>125</v>
      </c>
      <c r="M10" s="381">
        <v>15.999000000000001</v>
      </c>
      <c r="P10" s="167"/>
      <c r="Q10" s="167"/>
    </row>
    <row r="11" spans="1:17" x14ac:dyDescent="0.2">
      <c r="B11" s="574" t="s">
        <v>323</v>
      </c>
      <c r="C11" s="575"/>
      <c r="D11" s="575"/>
      <c r="E11" s="575"/>
      <c r="F11" s="575"/>
      <c r="G11" s="575"/>
      <c r="H11" s="575"/>
      <c r="I11" s="48">
        <v>1</v>
      </c>
      <c r="J11" s="575"/>
      <c r="L11" s="380" t="s">
        <v>323</v>
      </c>
      <c r="M11" s="381">
        <v>22.989799999999999</v>
      </c>
      <c r="P11" s="167"/>
      <c r="Q11" s="167"/>
    </row>
    <row r="12" spans="1:17" x14ac:dyDescent="0.2">
      <c r="B12" s="167"/>
      <c r="C12" s="167"/>
      <c r="D12" s="167"/>
      <c r="E12" s="167"/>
      <c r="F12" s="167"/>
      <c r="G12" s="167"/>
      <c r="H12" s="167"/>
      <c r="J12" s="167"/>
      <c r="L12" s="382" t="s">
        <v>126</v>
      </c>
      <c r="M12" s="381">
        <v>32.06</v>
      </c>
      <c r="P12" s="167"/>
      <c r="Q12" s="167"/>
    </row>
    <row r="13" spans="1:17" x14ac:dyDescent="0.2">
      <c r="B13" s="167" t="s">
        <v>265</v>
      </c>
      <c r="C13" s="171">
        <f t="shared" ref="C13:H13" si="0">C3*$M$3+C4*$M$4+C5*$M$5+C6*$M$6+C7*$M$7+C8*$M$8+C9*$M$9+C10*$M$10</f>
        <v>96.696829731999998</v>
      </c>
      <c r="D13" s="171">
        <f t="shared" si="0"/>
        <v>96.552751700000002</v>
      </c>
      <c r="E13" s="171">
        <f t="shared" si="0"/>
        <v>96.928287400000002</v>
      </c>
      <c r="F13" s="171">
        <f>F3*$M$3+F4*$M$4+F5*$M$5+F6*$M$6+F7*$M$7+F8*$M$8+F9*$M$9+F10*$M$10</f>
        <v>97.279843700000001</v>
      </c>
      <c r="G13" s="171">
        <f t="shared" si="0"/>
        <v>97.45562185</v>
      </c>
      <c r="H13" s="171">
        <f t="shared" si="0"/>
        <v>157.75476199799999</v>
      </c>
      <c r="I13" s="171">
        <f>I3*$M$3+I4*$M$4+I5*$M$5+I6*$M$6+I7*$M$7+I8*$M$8+I9*$M$9+I10*$M$10+I11*$M$11</f>
        <v>111.79076860000001</v>
      </c>
      <c r="J13" s="171">
        <f>J3*$M$3+J4*$M$4+J5*$M$5+J6*$M$6+J7*$M$7+J8*$M$8+J9*$M$9+J10*$M$10</f>
        <v>97.45562185</v>
      </c>
      <c r="L13" s="382" t="s">
        <v>301</v>
      </c>
      <c r="M13" s="381">
        <v>14.0067</v>
      </c>
      <c r="P13" s="167"/>
      <c r="Q13" s="167"/>
    </row>
    <row r="14" spans="1:17" x14ac:dyDescent="0.2">
      <c r="B14" s="167" t="s">
        <v>129</v>
      </c>
      <c r="C14" s="170">
        <v>3.6</v>
      </c>
      <c r="D14" s="170">
        <v>3.6</v>
      </c>
      <c r="E14" s="170">
        <v>3.6</v>
      </c>
      <c r="F14" s="170">
        <v>3.6</v>
      </c>
      <c r="G14" s="170">
        <v>3.6</v>
      </c>
      <c r="H14" s="170">
        <v>3.2</v>
      </c>
      <c r="I14" s="572">
        <v>3</v>
      </c>
      <c r="J14" s="170">
        <v>3.6</v>
      </c>
      <c r="L14" s="255" t="s">
        <v>302</v>
      </c>
      <c r="M14" s="381">
        <v>1.008</v>
      </c>
      <c r="P14" s="167"/>
      <c r="Q14" s="167"/>
    </row>
    <row r="15" spans="1:17" x14ac:dyDescent="0.2">
      <c r="B15" s="167" t="s">
        <v>272</v>
      </c>
      <c r="C15" s="167">
        <v>101</v>
      </c>
      <c r="D15" s="167">
        <v>99</v>
      </c>
      <c r="E15" s="167">
        <v>99</v>
      </c>
      <c r="F15" s="167">
        <v>100</v>
      </c>
      <c r="G15" s="167">
        <v>100</v>
      </c>
      <c r="H15" s="167">
        <v>272</v>
      </c>
      <c r="I15" s="573"/>
      <c r="J15" s="167">
        <v>100</v>
      </c>
      <c r="L15" s="255" t="s">
        <v>323</v>
      </c>
      <c r="M15" s="381">
        <v>22.989769280000001</v>
      </c>
      <c r="P15" s="167"/>
      <c r="Q15" s="167"/>
    </row>
    <row r="16" spans="1:17" x14ac:dyDescent="0.2">
      <c r="A16" s="94"/>
      <c r="B16" s="169" t="s">
        <v>128</v>
      </c>
      <c r="C16" s="167">
        <v>3</v>
      </c>
      <c r="D16" s="167">
        <v>3</v>
      </c>
      <c r="E16" s="167">
        <v>3</v>
      </c>
      <c r="F16" s="167">
        <v>3</v>
      </c>
      <c r="G16" s="167">
        <v>3</v>
      </c>
      <c r="H16" s="167">
        <v>4</v>
      </c>
      <c r="I16" s="573"/>
      <c r="J16" s="167">
        <v>3</v>
      </c>
      <c r="L16" s="255" t="s">
        <v>116</v>
      </c>
      <c r="M16" s="383">
        <v>12.010999999999999</v>
      </c>
      <c r="P16" s="167"/>
      <c r="Q16" s="167"/>
    </row>
    <row r="17" spans="1:17 16383:16383" x14ac:dyDescent="0.2">
      <c r="A17" s="94"/>
      <c r="B17" s="169" t="s">
        <v>273</v>
      </c>
      <c r="C17" s="33">
        <f>C13*C16/(6.02*10^23)/(C15*10^(-24))</f>
        <v>4.7710682082168354</v>
      </c>
      <c r="D17" s="33">
        <f t="shared" ref="D17:G17" si="1">D13*D16/(6.02*10^23)/(D15*10^(-24))</f>
        <v>4.8602009312393033</v>
      </c>
      <c r="E17" s="33">
        <f t="shared" si="1"/>
        <v>4.8791043692741374</v>
      </c>
      <c r="F17" s="33">
        <f t="shared" si="1"/>
        <v>4.8478327425249166</v>
      </c>
      <c r="G17" s="33">
        <f t="shared" si="1"/>
        <v>4.8565924509966782</v>
      </c>
      <c r="H17" s="33">
        <f>H13*H16/(6.02*10^23)/(H15*10^(-24))</f>
        <v>3.8536926421242916</v>
      </c>
      <c r="I17" s="70">
        <v>4.26</v>
      </c>
      <c r="J17" s="33">
        <f t="shared" ref="J17" si="2">J13*J16/(6.02*10^23)/(J15*10^(-24))</f>
        <v>4.8565924509966782</v>
      </c>
      <c r="L17" s="255" t="s">
        <v>592</v>
      </c>
      <c r="M17" s="254">
        <v>47.866999999999997</v>
      </c>
      <c r="P17" s="167"/>
      <c r="Q17" s="167"/>
    </row>
    <row r="18" spans="1:17 16383:16383" x14ac:dyDescent="0.2">
      <c r="A18" s="94"/>
      <c r="B18" s="169" t="s">
        <v>274</v>
      </c>
      <c r="C18" s="169">
        <v>206</v>
      </c>
      <c r="D18" s="169">
        <v>154</v>
      </c>
      <c r="E18" s="169">
        <v>158</v>
      </c>
      <c r="F18" s="169">
        <v>190</v>
      </c>
      <c r="G18" s="168">
        <v>210</v>
      </c>
      <c r="H18" s="168">
        <v>160</v>
      </c>
      <c r="I18" s="168">
        <v>135</v>
      </c>
      <c r="J18" s="168">
        <v>210</v>
      </c>
      <c r="L18" s="255"/>
      <c r="M18" s="254"/>
      <c r="P18" s="167"/>
      <c r="Q18" s="167"/>
    </row>
    <row r="19" spans="1:17 16383:16383" x14ac:dyDescent="0.2">
      <c r="A19" s="94"/>
      <c r="B19" s="169" t="s">
        <v>130</v>
      </c>
      <c r="C19" s="169">
        <f t="shared" ref="C19:H19" si="3">C18*C14</f>
        <v>741.6</v>
      </c>
      <c r="D19" s="169">
        <f t="shared" si="3"/>
        <v>554.4</v>
      </c>
      <c r="E19" s="169">
        <f t="shared" si="3"/>
        <v>568.80000000000007</v>
      </c>
      <c r="F19" s="169">
        <f t="shared" si="3"/>
        <v>684</v>
      </c>
      <c r="G19" s="169">
        <f t="shared" si="3"/>
        <v>756</v>
      </c>
      <c r="H19" s="169">
        <f t="shared" si="3"/>
        <v>512</v>
      </c>
      <c r="I19" s="168">
        <f t="shared" ref="I19" si="4">I18*I14</f>
        <v>405</v>
      </c>
      <c r="J19" s="169">
        <f>J18*J14</f>
        <v>756</v>
      </c>
      <c r="L19" s="384" t="s">
        <v>336</v>
      </c>
      <c r="M19" s="383">
        <f>2*M3+M16+3*M10</f>
        <v>73.888000000000005</v>
      </c>
      <c r="P19" s="167"/>
      <c r="Q19" s="167"/>
      <c r="XFC19" s="169">
        <f>XFC18*XFC14</f>
        <v>0</v>
      </c>
    </row>
    <row r="20" spans="1:17 16383:16383" x14ac:dyDescent="0.2">
      <c r="A20" s="94"/>
      <c r="B20" s="169"/>
      <c r="C20" s="169"/>
      <c r="D20" s="169"/>
      <c r="E20" s="169"/>
      <c r="F20" s="169"/>
      <c r="G20" s="167"/>
      <c r="H20" s="167"/>
      <c r="I20" s="573"/>
      <c r="J20" s="167"/>
      <c r="L20" s="384" t="s">
        <v>567</v>
      </c>
      <c r="M20" s="383">
        <f>2*M15+M16+3*M10</f>
        <v>105.98753856</v>
      </c>
      <c r="P20" s="167"/>
      <c r="Q20" s="167"/>
    </row>
    <row r="21" spans="1:17 16383:16383" x14ac:dyDescent="0.2">
      <c r="A21" s="94"/>
      <c r="B21" s="169" t="s">
        <v>276</v>
      </c>
      <c r="C21" s="173">
        <f>C19/1000</f>
        <v>0.74160000000000004</v>
      </c>
      <c r="D21" s="173">
        <f t="shared" ref="D21:H21" si="5">D19/1000</f>
        <v>0.5544</v>
      </c>
      <c r="E21" s="173">
        <f t="shared" si="5"/>
        <v>0.56880000000000008</v>
      </c>
      <c r="F21" s="173">
        <f t="shared" si="5"/>
        <v>0.68400000000000005</v>
      </c>
      <c r="G21" s="173">
        <f t="shared" si="5"/>
        <v>0.75600000000000001</v>
      </c>
      <c r="H21" s="173">
        <f t="shared" si="5"/>
        <v>0.51200000000000001</v>
      </c>
      <c r="I21" s="174">
        <f t="shared" ref="I21" si="6">I19/1000</f>
        <v>0.40500000000000003</v>
      </c>
      <c r="J21" s="173">
        <f>J19/1000</f>
        <v>0.75600000000000001</v>
      </c>
      <c r="L21" s="382" t="s">
        <v>131</v>
      </c>
      <c r="M21" s="381">
        <f>M3+M10+M14</f>
        <v>23.946999999999999</v>
      </c>
      <c r="P21" s="167"/>
      <c r="Q21" s="167"/>
    </row>
    <row r="22" spans="1:17 16383:16383" x14ac:dyDescent="0.2">
      <c r="A22" s="94"/>
      <c r="B22" s="169" t="s">
        <v>275</v>
      </c>
      <c r="C22" s="173">
        <f>1/C21</f>
        <v>1.348435814455232</v>
      </c>
      <c r="D22" s="173">
        <f>1/D21</f>
        <v>1.8037518037518037</v>
      </c>
      <c r="E22" s="173">
        <f t="shared" ref="E22:H22" si="7">1/E21</f>
        <v>1.7580872011251756</v>
      </c>
      <c r="F22" s="173">
        <f t="shared" si="7"/>
        <v>1.4619883040935671</v>
      </c>
      <c r="G22" s="173">
        <f t="shared" si="7"/>
        <v>1.3227513227513228</v>
      </c>
      <c r="H22" s="173">
        <f t="shared" si="7"/>
        <v>1.953125</v>
      </c>
      <c r="I22" s="173">
        <f t="shared" ref="I22" si="8">1/I21</f>
        <v>2.4691358024691357</v>
      </c>
      <c r="J22" s="173">
        <f>1/J21</f>
        <v>1.3227513227513228</v>
      </c>
      <c r="L22" s="382" t="s">
        <v>53</v>
      </c>
      <c r="M22" s="381">
        <f>M4+M12+4*M10</f>
        <v>154.74940000000001</v>
      </c>
      <c r="P22" s="167"/>
      <c r="Q22" s="167"/>
    </row>
    <row r="23" spans="1:17 16383:16383" x14ac:dyDescent="0.2">
      <c r="A23" s="94"/>
      <c r="B23" s="169"/>
      <c r="C23" s="169"/>
      <c r="D23" s="169"/>
      <c r="E23" s="169"/>
      <c r="F23" s="169"/>
      <c r="G23" s="167"/>
      <c r="H23" s="167"/>
      <c r="I23" s="167"/>
      <c r="J23" s="167"/>
      <c r="L23" s="382" t="s">
        <v>132</v>
      </c>
      <c r="M23" s="381">
        <f>M5+M12+4*M10</f>
        <v>150.994043</v>
      </c>
      <c r="P23" s="167"/>
      <c r="Q23" s="167"/>
    </row>
    <row r="24" spans="1:17 16383:16383" x14ac:dyDescent="0.2">
      <c r="A24" s="94"/>
      <c r="B24" s="169" t="s">
        <v>278</v>
      </c>
      <c r="C24" s="173">
        <f>(1*1000)/C13</f>
        <v>10.341600678859368</v>
      </c>
      <c r="D24" s="173">
        <f t="shared" ref="D24:H24" si="9">(1*1000)/D13</f>
        <v>10.357032631313396</v>
      </c>
      <c r="E24" s="173">
        <f t="shared" si="9"/>
        <v>10.31690569207354</v>
      </c>
      <c r="F24" s="173">
        <f>(1*1000)/F13</f>
        <v>10.279621779449878</v>
      </c>
      <c r="G24" s="173">
        <f t="shared" si="9"/>
        <v>10.261080695161558</v>
      </c>
      <c r="H24" s="173">
        <f t="shared" si="9"/>
        <v>6.3389528616110997</v>
      </c>
      <c r="I24" s="173">
        <f>(1*1000)/I13</f>
        <v>8.9452824461571865</v>
      </c>
      <c r="J24" s="173">
        <f>(1*1000)/J13</f>
        <v>10.261080695161558</v>
      </c>
      <c r="L24" s="382" t="s">
        <v>133</v>
      </c>
      <c r="M24" s="381">
        <f>M6+M12+4*M10</f>
        <v>154.989194</v>
      </c>
      <c r="P24" s="167"/>
      <c r="Q24" s="167"/>
    </row>
    <row r="25" spans="1:17 16383:16383" x14ac:dyDescent="0.2">
      <c r="A25" s="94"/>
      <c r="B25" s="169" t="s">
        <v>277</v>
      </c>
      <c r="C25" s="173">
        <f>(C22*1000)/C13</f>
        <v>13.944984734168514</v>
      </c>
      <c r="D25" s="173">
        <f t="shared" ref="D25:H25" si="10">(D22*1000)/D13</f>
        <v>18.681516290247828</v>
      </c>
      <c r="E25" s="173">
        <f t="shared" si="10"/>
        <v>18.138019852449961</v>
      </c>
      <c r="F25" s="173">
        <f t="shared" si="10"/>
        <v>15.028686812061222</v>
      </c>
      <c r="G25" s="173">
        <f t="shared" si="10"/>
        <v>13.572858062383014</v>
      </c>
      <c r="H25" s="173">
        <f t="shared" si="10"/>
        <v>12.380767307834178</v>
      </c>
      <c r="I25" s="173">
        <f t="shared" ref="I25" si="11">(I22*1000)/I13</f>
        <v>22.087117151005398</v>
      </c>
      <c r="J25" s="173">
        <f>(J22*1000)/J13</f>
        <v>13.572858062383014</v>
      </c>
      <c r="L25" s="382" t="s">
        <v>560</v>
      </c>
      <c r="M25" s="385">
        <f>2*M7+3*(M12+4*M10)</f>
        <v>342.13107680000002</v>
      </c>
      <c r="P25" s="167"/>
      <c r="Q25" s="167"/>
    </row>
    <row r="26" spans="1:17 16383:16383" x14ac:dyDescent="0.2">
      <c r="A26" s="94"/>
      <c r="B26" s="169"/>
      <c r="C26" s="173"/>
      <c r="D26" s="173"/>
      <c r="E26" s="173"/>
      <c r="F26" s="173"/>
      <c r="G26" s="173"/>
      <c r="H26" s="173"/>
      <c r="I26" s="173"/>
      <c r="J26" s="173"/>
      <c r="L26" s="382" t="s">
        <v>134</v>
      </c>
      <c r="M26" s="381">
        <f>M8+M12+4*M10</f>
        <v>151.90100000000001</v>
      </c>
      <c r="P26" s="167"/>
      <c r="Q26" s="167"/>
    </row>
    <row r="27" spans="1:17 16383:16383" x14ac:dyDescent="0.2">
      <c r="A27" s="94"/>
      <c r="B27" s="169" t="s">
        <v>282</v>
      </c>
      <c r="C27" s="173">
        <f>C$24*C3*$M3</f>
        <v>71.770708711284016</v>
      </c>
      <c r="D27" s="173">
        <f t="shared" ref="C27:J34" si="12">D$24*D3*$M3</f>
        <v>71.877806461314975</v>
      </c>
      <c r="E27" s="173">
        <f t="shared" si="12"/>
        <v>71.599325502990368</v>
      </c>
      <c r="F27" s="173">
        <f t="shared" si="12"/>
        <v>71.340575149382161</v>
      </c>
      <c r="G27" s="173">
        <f t="shared" si="12"/>
        <v>71.211900024421212</v>
      </c>
      <c r="H27" s="173">
        <f t="shared" si="12"/>
        <v>43.992332859581033</v>
      </c>
      <c r="I27" s="173">
        <f t="shared" si="12"/>
        <v>0</v>
      </c>
      <c r="J27" s="173">
        <f t="shared" si="12"/>
        <v>71.211900024421212</v>
      </c>
      <c r="L27" s="382" t="s">
        <v>135</v>
      </c>
      <c r="M27" s="381">
        <f>M14*3+M9+4*M10</f>
        <v>97.993761997999997</v>
      </c>
      <c r="P27" s="167"/>
      <c r="Q27" s="167"/>
    </row>
    <row r="28" spans="1:17 16383:16383" x14ac:dyDescent="0.2">
      <c r="A28" s="94"/>
      <c r="B28" s="169" t="s">
        <v>279</v>
      </c>
      <c r="C28" s="173">
        <f t="shared" si="12"/>
        <v>546.285334756108</v>
      </c>
      <c r="D28" s="173">
        <f t="shared" si="12"/>
        <v>303.94472952136482</v>
      </c>
      <c r="E28" s="173">
        <f t="shared" si="12"/>
        <v>363.32056352828943</v>
      </c>
      <c r="F28" s="173">
        <f>F$24*F4*$M4</f>
        <v>482.67676235997078</v>
      </c>
      <c r="G28" s="173">
        <f t="shared" si="12"/>
        <v>542.03194230605584</v>
      </c>
      <c r="H28" s="173">
        <f t="shared" si="12"/>
        <v>0</v>
      </c>
      <c r="I28" s="173">
        <f t="shared" si="12"/>
        <v>210.01161629011287</v>
      </c>
      <c r="J28" s="173">
        <f t="shared" si="12"/>
        <v>542.03194230605584</v>
      </c>
      <c r="L28" s="380" t="s">
        <v>378</v>
      </c>
      <c r="M28" s="381">
        <f>2*(M13+4*M14)+M14+M9+4*M10</f>
        <v>132.05516199800002</v>
      </c>
      <c r="P28" s="167"/>
      <c r="Q28" s="167"/>
    </row>
    <row r="29" spans="1:17 16383:16383" x14ac:dyDescent="0.2">
      <c r="A29" s="94"/>
      <c r="B29" s="169" t="s">
        <v>280</v>
      </c>
      <c r="C29" s="173">
        <f t="shared" si="12"/>
        <v>0</v>
      </c>
      <c r="D29" s="173">
        <f t="shared" si="12"/>
        <v>170.69853121544955</v>
      </c>
      <c r="E29" s="173">
        <f t="shared" si="12"/>
        <v>113.35812170761619</v>
      </c>
      <c r="F29" s="173">
        <f t="shared" si="12"/>
        <v>56.474230334315401</v>
      </c>
      <c r="G29" s="173">
        <f t="shared" si="12"/>
        <v>28.186184622862783</v>
      </c>
      <c r="H29" s="173">
        <f t="shared" si="12"/>
        <v>0</v>
      </c>
      <c r="I29" s="173">
        <f t="shared" si="12"/>
        <v>98.287262334825741</v>
      </c>
      <c r="J29" s="173">
        <f t="shared" si="12"/>
        <v>28.186184622862783</v>
      </c>
      <c r="L29" s="382" t="s">
        <v>380</v>
      </c>
      <c r="M29" s="383">
        <f>3*M8+4*M10</f>
        <v>231.53100000000001</v>
      </c>
      <c r="P29" s="167"/>
      <c r="Q29" s="167"/>
    </row>
    <row r="30" spans="1:17 16383:16383" x14ac:dyDescent="0.2">
      <c r="A30" s="94"/>
      <c r="B30" s="169" t="s">
        <v>281</v>
      </c>
      <c r="C30" s="173">
        <f t="shared" si="12"/>
        <v>42.662449135442564</v>
      </c>
      <c r="D30" s="173">
        <f t="shared" si="12"/>
        <v>122.07460266510458</v>
      </c>
      <c r="E30" s="173">
        <f t="shared" si="12"/>
        <v>121.60164092613485</v>
      </c>
      <c r="F30" s="173">
        <f t="shared" si="12"/>
        <v>60.581094457494494</v>
      </c>
      <c r="G30" s="173">
        <f t="shared" si="12"/>
        <v>30.235912962880551</v>
      </c>
      <c r="H30" s="173">
        <f t="shared" si="12"/>
        <v>0</v>
      </c>
      <c r="I30" s="173">
        <f t="shared" si="12"/>
        <v>0</v>
      </c>
      <c r="J30" s="173">
        <f t="shared" si="12"/>
        <v>30.235912962880551</v>
      </c>
      <c r="L30" s="255" t="s">
        <v>590</v>
      </c>
      <c r="M30" s="383">
        <f>2*M7+3*M10</f>
        <v>101.9600768</v>
      </c>
      <c r="P30" s="167"/>
      <c r="Q30" s="167"/>
    </row>
    <row r="31" spans="1:17 16383:16383" x14ac:dyDescent="0.2">
      <c r="A31" s="94"/>
      <c r="B31" s="169" t="s">
        <v>284</v>
      </c>
      <c r="C31" s="173">
        <f t="shared" si="12"/>
        <v>8.3709688750233031</v>
      </c>
      <c r="D31" s="173">
        <f t="shared" si="12"/>
        <v>0</v>
      </c>
      <c r="E31" s="173">
        <f t="shared" si="12"/>
        <v>0</v>
      </c>
      <c r="F31" s="173">
        <f t="shared" si="12"/>
        <v>0</v>
      </c>
      <c r="G31" s="173">
        <f t="shared" si="12"/>
        <v>0</v>
      </c>
      <c r="H31" s="173">
        <f t="shared" si="12"/>
        <v>0</v>
      </c>
      <c r="I31" s="173">
        <f t="shared" si="12"/>
        <v>0</v>
      </c>
      <c r="J31" s="173">
        <f t="shared" si="12"/>
        <v>0</v>
      </c>
      <c r="L31" s="384" t="s">
        <v>591</v>
      </c>
      <c r="M31" s="254">
        <f>M17+2*M10</f>
        <v>79.864999999999995</v>
      </c>
      <c r="P31" s="167"/>
      <c r="Q31" s="167"/>
    </row>
    <row r="32" spans="1:17 16383:16383" x14ac:dyDescent="0.2">
      <c r="A32" s="94"/>
      <c r="B32" s="169" t="s">
        <v>285</v>
      </c>
      <c r="C32" s="173">
        <f t="shared" si="12"/>
        <v>0</v>
      </c>
      <c r="D32" s="173">
        <f t="shared" si="12"/>
        <v>0</v>
      </c>
      <c r="E32" s="173">
        <f t="shared" si="12"/>
        <v>0</v>
      </c>
      <c r="F32" s="173">
        <f t="shared" si="12"/>
        <v>0</v>
      </c>
      <c r="G32" s="173">
        <f t="shared" si="12"/>
        <v>0</v>
      </c>
      <c r="H32" s="173">
        <f t="shared" si="12"/>
        <v>353.99882255667188</v>
      </c>
      <c r="I32" s="173">
        <f t="shared" si="12"/>
        <v>199.81971928225923</v>
      </c>
      <c r="J32" s="173">
        <f t="shared" si="12"/>
        <v>0</v>
      </c>
      <c r="L32" s="255" t="s">
        <v>341</v>
      </c>
      <c r="M32" s="254">
        <f>2*M10</f>
        <v>31.998000000000001</v>
      </c>
      <c r="P32" s="167"/>
      <c r="Q32" s="167"/>
    </row>
    <row r="33" spans="1:17" x14ac:dyDescent="0.2">
      <c r="A33" s="94"/>
      <c r="B33" s="169" t="s">
        <v>286</v>
      </c>
      <c r="C33" s="173">
        <f t="shared" si="12"/>
        <v>0</v>
      </c>
      <c r="D33" s="173">
        <f t="shared" si="12"/>
        <v>0</v>
      </c>
      <c r="E33" s="173">
        <f t="shared" si="12"/>
        <v>0</v>
      </c>
      <c r="F33" s="173">
        <f t="shared" si="12"/>
        <v>0</v>
      </c>
      <c r="G33" s="173">
        <f t="shared" si="12"/>
        <v>0</v>
      </c>
      <c r="H33" s="173">
        <f t="shared" si="12"/>
        <v>196.34121725208323</v>
      </c>
      <c r="I33" s="173">
        <f t="shared" si="12"/>
        <v>0</v>
      </c>
      <c r="J33" s="173">
        <f t="shared" si="12"/>
        <v>0</v>
      </c>
      <c r="L33" s="255"/>
      <c r="M33" s="254"/>
      <c r="P33" s="167"/>
      <c r="Q33" s="167"/>
    </row>
    <row r="34" spans="1:17" x14ac:dyDescent="0.2">
      <c r="A34" s="94"/>
      <c r="B34" s="169" t="s">
        <v>283</v>
      </c>
      <c r="C34" s="173">
        <f t="shared" si="12"/>
        <v>330.91053852214208</v>
      </c>
      <c r="D34" s="173">
        <f t="shared" si="12"/>
        <v>331.40433013676608</v>
      </c>
      <c r="E34" s="173">
        <f t="shared" si="12"/>
        <v>330.12034833496915</v>
      </c>
      <c r="F34" s="173">
        <f t="shared" si="12"/>
        <v>328.92733769883722</v>
      </c>
      <c r="G34" s="173">
        <f t="shared" si="12"/>
        <v>328.33406008377955</v>
      </c>
      <c r="H34" s="173">
        <f t="shared" si="12"/>
        <v>405.66762733166394</v>
      </c>
      <c r="I34" s="173">
        <f t="shared" si="12"/>
        <v>286.23114771213767</v>
      </c>
      <c r="J34" s="173">
        <f t="shared" si="12"/>
        <v>328.33406008377955</v>
      </c>
      <c r="L34" s="382" t="s">
        <v>136</v>
      </c>
      <c r="M34" s="381">
        <f>M15+M10+M14</f>
        <v>39.996769280000002</v>
      </c>
      <c r="P34" s="167"/>
      <c r="Q34" s="167"/>
    </row>
    <row r="35" spans="1:17" x14ac:dyDescent="0.2">
      <c r="A35" s="94"/>
      <c r="B35" s="169" t="s">
        <v>565</v>
      </c>
      <c r="C35" s="173"/>
      <c r="D35" s="173"/>
      <c r="E35" s="173"/>
      <c r="F35" s="173"/>
      <c r="G35" s="173"/>
      <c r="H35" s="173"/>
      <c r="I35" s="173">
        <f>I$24*I11*$M11</f>
        <v>205.65025438066448</v>
      </c>
      <c r="J35" s="173"/>
      <c r="L35" s="382" t="s">
        <v>55</v>
      </c>
      <c r="M35" s="381">
        <f>M13+M14*5+M10</f>
        <v>35.045700000000004</v>
      </c>
      <c r="P35" s="167"/>
      <c r="Q35" s="167"/>
    </row>
    <row r="36" spans="1:17" x14ac:dyDescent="0.2">
      <c r="A36" s="94"/>
      <c r="C36" s="169"/>
      <c r="D36" s="169"/>
      <c r="E36" s="169"/>
      <c r="F36" s="169"/>
      <c r="G36" s="167"/>
      <c r="H36" s="167"/>
      <c r="I36" s="167"/>
      <c r="J36" s="167"/>
      <c r="L36" s="382" t="s">
        <v>326</v>
      </c>
      <c r="M36" s="381">
        <f>2*M15+M12+4*M10</f>
        <v>142.03553856000002</v>
      </c>
      <c r="P36" s="167"/>
      <c r="Q36" s="167"/>
    </row>
    <row r="37" spans="1:17" x14ac:dyDescent="0.2">
      <c r="A37" s="94"/>
      <c r="B37" s="33" t="s">
        <v>372</v>
      </c>
      <c r="C37" s="173">
        <f t="shared" ref="C37:J37" si="13">C27/$M3*$M19*0.5</f>
        <v>382.06009547978056</v>
      </c>
      <c r="D37" s="173">
        <f t="shared" si="13"/>
        <v>382.63021353124213</v>
      </c>
      <c r="E37" s="173">
        <f t="shared" si="13"/>
        <v>381.14776388796491</v>
      </c>
      <c r="F37" s="173">
        <f t="shared" si="13"/>
        <v>379.77034701999639</v>
      </c>
      <c r="G37" s="173">
        <f t="shared" si="13"/>
        <v>379.08536520204859</v>
      </c>
      <c r="H37" s="173">
        <f t="shared" si="13"/>
        <v>234.1862745193605</v>
      </c>
      <c r="I37" s="173">
        <f t="shared" si="13"/>
        <v>0</v>
      </c>
      <c r="J37" s="173">
        <f t="shared" si="13"/>
        <v>379.08536520204859</v>
      </c>
      <c r="L37" s="382" t="s">
        <v>331</v>
      </c>
      <c r="M37" s="381">
        <f>2*(M13+4*M14)+M12+4*M10</f>
        <v>132.13339999999999</v>
      </c>
      <c r="P37" s="167"/>
      <c r="Q37" s="167"/>
    </row>
    <row r="38" spans="1:17" x14ac:dyDescent="0.2">
      <c r="A38" s="94"/>
      <c r="B38" s="33" t="s">
        <v>295</v>
      </c>
      <c r="C38" s="174">
        <f t="shared" ref="C38:J41" si="14">C27/$M3*$M21</f>
        <v>247.65031145664528</v>
      </c>
      <c r="D38" s="174">
        <f t="shared" si="14"/>
        <v>248.0198604220619</v>
      </c>
      <c r="E38" s="174">
        <f t="shared" si="14"/>
        <v>247.05894060808507</v>
      </c>
      <c r="F38" s="174">
        <f t="shared" si="14"/>
        <v>246.16610275248627</v>
      </c>
      <c r="G38" s="174">
        <f t="shared" si="14"/>
        <v>245.7220994070338</v>
      </c>
      <c r="H38" s="174">
        <f t="shared" si="14"/>
        <v>151.79890417700099</v>
      </c>
      <c r="I38" s="174">
        <f t="shared" si="14"/>
        <v>0</v>
      </c>
      <c r="J38" s="174">
        <f t="shared" si="14"/>
        <v>245.7220994070338</v>
      </c>
      <c r="K38" s="167"/>
      <c r="L38" s="382" t="s">
        <v>338</v>
      </c>
      <c r="M38" s="381">
        <f>2*M14+M10</f>
        <v>18.015000000000001</v>
      </c>
      <c r="P38" s="167"/>
      <c r="Q38" s="167"/>
    </row>
    <row r="39" spans="1:17" x14ac:dyDescent="0.2">
      <c r="A39" s="94"/>
      <c r="B39" s="33" t="s">
        <v>296</v>
      </c>
      <c r="C39" s="174">
        <f t="shared" si="14"/>
        <v>1440.320850083772</v>
      </c>
      <c r="D39" s="174">
        <f t="shared" si="14"/>
        <v>801.37229273808475</v>
      </c>
      <c r="E39" s="174">
        <f t="shared" si="14"/>
        <v>957.92097942297903</v>
      </c>
      <c r="F39" s="174">
        <f t="shared" si="14"/>
        <v>1272.6122420774409</v>
      </c>
      <c r="G39" s="174">
        <f t="shared" si="14"/>
        <v>1429.1064728350509</v>
      </c>
      <c r="H39" s="174">
        <f t="shared" si="14"/>
        <v>0</v>
      </c>
      <c r="I39" s="174">
        <f t="shared" si="14"/>
        <v>553.71083654934284</v>
      </c>
      <c r="J39" s="174">
        <f t="shared" si="14"/>
        <v>1429.1064728350509</v>
      </c>
      <c r="K39" s="167"/>
      <c r="L39" s="382" t="s">
        <v>334</v>
      </c>
      <c r="M39" s="381">
        <f>M16+2*M10</f>
        <v>44.009</v>
      </c>
    </row>
    <row r="40" spans="1:17" x14ac:dyDescent="0.2">
      <c r="B40" s="33" t="s">
        <v>297</v>
      </c>
      <c r="C40" s="174">
        <f t="shared" si="14"/>
        <v>0</v>
      </c>
      <c r="D40" s="174">
        <f t="shared" si="14"/>
        <v>469.15506914548143</v>
      </c>
      <c r="E40" s="174">
        <f t="shared" si="14"/>
        <v>311.55826033917941</v>
      </c>
      <c r="F40" s="174">
        <f t="shared" si="14"/>
        <v>155.21616529899916</v>
      </c>
      <c r="G40" s="174">
        <f t="shared" si="14"/>
        <v>77.468102985584721</v>
      </c>
      <c r="H40" s="174">
        <f t="shared" si="14"/>
        <v>0</v>
      </c>
      <c r="I40" s="174">
        <f t="shared" si="14"/>
        <v>270.13687246444067</v>
      </c>
      <c r="J40" s="174">
        <f t="shared" si="14"/>
        <v>77.468102985584721</v>
      </c>
      <c r="K40" s="167"/>
      <c r="L40" s="382" t="s">
        <v>397</v>
      </c>
      <c r="M40" s="386">
        <f>M13+3*M14</f>
        <v>17.0307</v>
      </c>
    </row>
    <row r="41" spans="1:17" x14ac:dyDescent="0.2">
      <c r="B41" s="33" t="s">
        <v>298</v>
      </c>
      <c r="C41" s="174">
        <f t="shared" si="14"/>
        <v>112.19854477203864</v>
      </c>
      <c r="D41" s="174">
        <f t="shared" si="14"/>
        <v>321.04562795179248</v>
      </c>
      <c r="E41" s="174">
        <f t="shared" si="14"/>
        <v>319.80177955769807</v>
      </c>
      <c r="F41" s="174">
        <f t="shared" si="14"/>
        <v>159.32302942217825</v>
      </c>
      <c r="G41" s="174">
        <f t="shared" si="14"/>
        <v>79.517831325602486</v>
      </c>
      <c r="H41" s="174">
        <f t="shared" si="14"/>
        <v>0</v>
      </c>
      <c r="I41" s="174">
        <f t="shared" si="14"/>
        <v>0</v>
      </c>
      <c r="J41" s="174">
        <f t="shared" si="14"/>
        <v>79.517831325602486</v>
      </c>
      <c r="L41" s="387" t="s">
        <v>447</v>
      </c>
      <c r="M41" s="386">
        <f>5*M16+9*M14+M13+M10</f>
        <v>99.132699999999986</v>
      </c>
    </row>
    <row r="42" spans="1:17" x14ac:dyDescent="0.2">
      <c r="B42" s="33" t="s">
        <v>561</v>
      </c>
      <c r="C42" s="174">
        <f>C31/$M7*$M25*0.5</f>
        <v>53.072744641406501</v>
      </c>
      <c r="D42" s="174">
        <f t="shared" ref="D42:J44" si="15">D31/$M7*$M25</f>
        <v>0</v>
      </c>
      <c r="E42" s="174">
        <f t="shared" si="15"/>
        <v>0</v>
      </c>
      <c r="F42" s="174">
        <f t="shared" si="15"/>
        <v>0</v>
      </c>
      <c r="G42" s="174">
        <f t="shared" si="15"/>
        <v>0</v>
      </c>
      <c r="H42" s="174">
        <f t="shared" si="15"/>
        <v>0</v>
      </c>
      <c r="I42" s="174">
        <f t="shared" si="15"/>
        <v>0</v>
      </c>
      <c r="J42" s="174">
        <f t="shared" si="15"/>
        <v>0</v>
      </c>
      <c r="L42" s="255" t="s">
        <v>135</v>
      </c>
      <c r="M42" s="254">
        <f>3*M14+M9+4*M10</f>
        <v>97.993761997999997</v>
      </c>
    </row>
    <row r="43" spans="1:17" ht="13.5" thickBot="1" x14ac:dyDescent="0.25">
      <c r="B43" s="33" t="s">
        <v>299</v>
      </c>
      <c r="C43" s="174">
        <f>C32/$M8*$M26</f>
        <v>0</v>
      </c>
      <c r="D43" s="174">
        <f t="shared" si="15"/>
        <v>0</v>
      </c>
      <c r="E43" s="174">
        <f t="shared" si="15"/>
        <v>0</v>
      </c>
      <c r="F43" s="174">
        <f t="shared" si="15"/>
        <v>0</v>
      </c>
      <c r="G43" s="174">
        <f t="shared" si="15"/>
        <v>0</v>
      </c>
      <c r="H43" s="174">
        <f t="shared" si="15"/>
        <v>962.8932786315878</v>
      </c>
      <c r="I43" s="174">
        <f t="shared" si="15"/>
        <v>543.5189395414892</v>
      </c>
      <c r="J43" s="174">
        <f t="shared" si="15"/>
        <v>0</v>
      </c>
      <c r="L43" s="258" t="s">
        <v>593</v>
      </c>
      <c r="M43" s="256">
        <f>1.3*M3+0.3*M7+1.7*M17+3*(M9+4*M10)</f>
        <v>383.39964751399998</v>
      </c>
    </row>
    <row r="44" spans="1:17" x14ac:dyDescent="0.2">
      <c r="B44" s="33" t="s">
        <v>300</v>
      </c>
      <c r="C44" s="174">
        <f>C33/$M9*$M27</f>
        <v>0</v>
      </c>
      <c r="D44" s="174">
        <f t="shared" si="15"/>
        <v>0</v>
      </c>
      <c r="E44" s="174">
        <f t="shared" si="15"/>
        <v>0</v>
      </c>
      <c r="F44" s="174">
        <f t="shared" si="15"/>
        <v>0</v>
      </c>
      <c r="G44" s="174">
        <f t="shared" si="15"/>
        <v>0</v>
      </c>
      <c r="H44" s="174">
        <f t="shared" si="15"/>
        <v>621.17783803725911</v>
      </c>
      <c r="I44" s="174">
        <f t="shared" si="15"/>
        <v>0</v>
      </c>
      <c r="J44" s="174">
        <f t="shared" si="15"/>
        <v>0</v>
      </c>
    </row>
    <row r="46" spans="1:17" x14ac:dyDescent="0.2">
      <c r="B46" s="169" t="s">
        <v>287</v>
      </c>
      <c r="C46" s="98">
        <f t="shared" ref="C46:J53" si="16">C$25*C3*$M3</f>
        <v>96.778194055129489</v>
      </c>
      <c r="D46" s="98">
        <f t="shared" si="16"/>
        <v>129.64972305431994</v>
      </c>
      <c r="E46" s="98">
        <f t="shared" si="16"/>
        <v>125.87785777600274</v>
      </c>
      <c r="F46" s="98">
        <f t="shared" si="16"/>
        <v>104.29908647570488</v>
      </c>
      <c r="G46" s="98">
        <f t="shared" si="16"/>
        <v>94.195634952938121</v>
      </c>
      <c r="H46" s="98">
        <f t="shared" si="16"/>
        <v>85.922525116369201</v>
      </c>
      <c r="I46" s="98">
        <f t="shared" si="16"/>
        <v>0</v>
      </c>
      <c r="J46" s="98">
        <f t="shared" si="16"/>
        <v>94.195634952938121</v>
      </c>
    </row>
    <row r="47" spans="1:17" x14ac:dyDescent="0.2">
      <c r="B47" s="169" t="s">
        <v>288</v>
      </c>
      <c r="C47" s="98">
        <f t="shared" si="16"/>
        <v>736.63071029680168</v>
      </c>
      <c r="D47" s="98">
        <f t="shared" si="16"/>
        <v>548.24085411501585</v>
      </c>
      <c r="E47" s="98">
        <f t="shared" si="16"/>
        <v>638.74923264467191</v>
      </c>
      <c r="F47" s="98">
        <f t="shared" si="16"/>
        <v>705.66778122802725</v>
      </c>
      <c r="G47" s="98">
        <f t="shared" si="16"/>
        <v>716.97346865880399</v>
      </c>
      <c r="H47" s="98">
        <f t="shared" si="16"/>
        <v>0</v>
      </c>
      <c r="I47" s="98">
        <f t="shared" si="16"/>
        <v>518.54720071632801</v>
      </c>
      <c r="J47" s="98">
        <f t="shared" si="16"/>
        <v>716.97346865880399</v>
      </c>
    </row>
    <row r="48" spans="1:17" x14ac:dyDescent="0.2">
      <c r="B48" s="169" t="s">
        <v>289</v>
      </c>
      <c r="C48" s="98">
        <f t="shared" si="16"/>
        <v>0</v>
      </c>
      <c r="D48" s="98">
        <f t="shared" si="16"/>
        <v>307.89778357765067</v>
      </c>
      <c r="E48" s="98">
        <f t="shared" si="16"/>
        <v>199.29346291774993</v>
      </c>
      <c r="F48" s="98">
        <f t="shared" si="16"/>
        <v>82.564664231455239</v>
      </c>
      <c r="G48" s="98">
        <f t="shared" si="16"/>
        <v>37.283312993204738</v>
      </c>
      <c r="H48" s="98">
        <f t="shared" si="16"/>
        <v>0</v>
      </c>
      <c r="I48" s="98">
        <f t="shared" si="16"/>
        <v>242.68459835759441</v>
      </c>
      <c r="J48" s="98">
        <f t="shared" si="16"/>
        <v>37.283312993204738</v>
      </c>
    </row>
    <row r="49" spans="2:10" x14ac:dyDescent="0.2">
      <c r="B49" s="169" t="s">
        <v>290</v>
      </c>
      <c r="C49" s="98">
        <f t="shared" si="16"/>
        <v>57.527574346605405</v>
      </c>
      <c r="D49" s="98">
        <f t="shared" si="16"/>
        <v>220.19228474946712</v>
      </c>
      <c r="E49" s="98">
        <f t="shared" si="16"/>
        <v>213.786288548057</v>
      </c>
      <c r="F49" s="98">
        <f t="shared" si="16"/>
        <v>88.568851546044556</v>
      </c>
      <c r="G49" s="98">
        <f t="shared" si="16"/>
        <v>39.994593866244116</v>
      </c>
      <c r="H49" s="98">
        <f t="shared" si="16"/>
        <v>0</v>
      </c>
      <c r="I49" s="98">
        <f t="shared" si="16"/>
        <v>0</v>
      </c>
      <c r="J49" s="98">
        <f t="shared" si="16"/>
        <v>39.994593866244116</v>
      </c>
    </row>
    <row r="50" spans="2:10" x14ac:dyDescent="0.2">
      <c r="B50" s="169" t="s">
        <v>291</v>
      </c>
      <c r="C50" s="98">
        <f t="shared" si="16"/>
        <v>11.287714232771448</v>
      </c>
      <c r="D50" s="98">
        <f t="shared" si="16"/>
        <v>0</v>
      </c>
      <c r="E50" s="98">
        <f t="shared" si="16"/>
        <v>0</v>
      </c>
      <c r="F50" s="98">
        <f t="shared" si="16"/>
        <v>0</v>
      </c>
      <c r="G50" s="98">
        <f t="shared" si="16"/>
        <v>0</v>
      </c>
      <c r="H50" s="98">
        <f t="shared" si="16"/>
        <v>0</v>
      </c>
      <c r="I50" s="98">
        <f t="shared" si="16"/>
        <v>0</v>
      </c>
      <c r="J50" s="98">
        <f t="shared" si="16"/>
        <v>0</v>
      </c>
    </row>
    <row r="51" spans="2:10" x14ac:dyDescent="0.2">
      <c r="B51" s="169" t="s">
        <v>292</v>
      </c>
      <c r="C51" s="98">
        <f t="shared" si="16"/>
        <v>0</v>
      </c>
      <c r="D51" s="98">
        <f t="shared" si="16"/>
        <v>0</v>
      </c>
      <c r="E51" s="98">
        <f t="shared" si="16"/>
        <v>0</v>
      </c>
      <c r="F51" s="98">
        <f t="shared" si="16"/>
        <v>0</v>
      </c>
      <c r="G51" s="98">
        <f t="shared" si="16"/>
        <v>0</v>
      </c>
      <c r="H51" s="98">
        <f t="shared" si="16"/>
        <v>691.40395030599962</v>
      </c>
      <c r="I51" s="98">
        <f t="shared" si="16"/>
        <v>493.38202291915854</v>
      </c>
      <c r="J51" s="98">
        <f t="shared" si="16"/>
        <v>0</v>
      </c>
    </row>
    <row r="52" spans="2:10" x14ac:dyDescent="0.2">
      <c r="B52" s="169" t="s">
        <v>293</v>
      </c>
      <c r="C52" s="98">
        <f t="shared" si="16"/>
        <v>0</v>
      </c>
      <c r="D52" s="98">
        <f t="shared" si="16"/>
        <v>0</v>
      </c>
      <c r="E52" s="98">
        <f t="shared" si="16"/>
        <v>0</v>
      </c>
      <c r="F52" s="98">
        <f t="shared" si="16"/>
        <v>0</v>
      </c>
      <c r="G52" s="98">
        <f t="shared" si="16"/>
        <v>0</v>
      </c>
      <c r="H52" s="98">
        <f t="shared" si="16"/>
        <v>383.47893994547502</v>
      </c>
      <c r="I52" s="98">
        <f t="shared" si="16"/>
        <v>0</v>
      </c>
      <c r="J52" s="98">
        <f t="shared" si="16"/>
        <v>0</v>
      </c>
    </row>
    <row r="53" spans="2:10" x14ac:dyDescent="0.2">
      <c r="B53" s="169" t="s">
        <v>294</v>
      </c>
      <c r="C53" s="98">
        <f t="shared" si="16"/>
        <v>446.21162152392412</v>
      </c>
      <c r="D53" s="98">
        <f t="shared" si="16"/>
        <v>597.77115825534997</v>
      </c>
      <c r="E53" s="98">
        <f t="shared" si="16"/>
        <v>580.38035923869393</v>
      </c>
      <c r="F53" s="98">
        <f t="shared" si="16"/>
        <v>480.88792061233499</v>
      </c>
      <c r="G53" s="98">
        <f t="shared" si="16"/>
        <v>434.30431228013168</v>
      </c>
      <c r="H53" s="98">
        <f t="shared" si="16"/>
        <v>792.31958463215608</v>
      </c>
      <c r="I53" s="98">
        <f t="shared" si="16"/>
        <v>706.74357459787075</v>
      </c>
      <c r="J53" s="98">
        <f t="shared" si="16"/>
        <v>434.30431228013168</v>
      </c>
    </row>
    <row r="54" spans="2:10" x14ac:dyDescent="0.2">
      <c r="B54" s="169" t="s">
        <v>566</v>
      </c>
      <c r="C54" s="98"/>
      <c r="D54" s="98"/>
      <c r="E54" s="98"/>
      <c r="F54" s="98"/>
      <c r="G54" s="98"/>
      <c r="H54" s="98"/>
      <c r="I54" s="98">
        <f>I$25*I11*$M11</f>
        <v>507.77840587818389</v>
      </c>
      <c r="J54" s="98"/>
    </row>
    <row r="56" spans="2:10" x14ac:dyDescent="0.2">
      <c r="B56" s="33" t="s">
        <v>373</v>
      </c>
      <c r="C56" s="8">
        <f t="shared" ref="C56:J56" si="17">C46/$M3*$M19*0.5</f>
        <v>515.18351601912161</v>
      </c>
      <c r="D56" s="8">
        <f t="shared" si="17"/>
        <v>690.16993782691577</v>
      </c>
      <c r="E56" s="8">
        <f t="shared" si="17"/>
        <v>670.09100542891144</v>
      </c>
      <c r="F56" s="8">
        <f t="shared" si="17"/>
        <v>555.21980558478981</v>
      </c>
      <c r="G56" s="8">
        <f t="shared" si="17"/>
        <v>501.43566825667813</v>
      </c>
      <c r="H56" s="8">
        <f t="shared" si="17"/>
        <v>457.39506742062594</v>
      </c>
      <c r="I56" s="8">
        <f t="shared" si="17"/>
        <v>0</v>
      </c>
      <c r="J56" s="8">
        <f t="shared" si="17"/>
        <v>501.43566825667813</v>
      </c>
    </row>
    <row r="57" spans="2:10" x14ac:dyDescent="0.2">
      <c r="B57" s="33" t="s">
        <v>44</v>
      </c>
      <c r="C57" s="69">
        <f t="shared" ref="C57:J57" si="18">C46/$M3*$M21</f>
        <v>333.9405494291334</v>
      </c>
      <c r="D57" s="69">
        <f t="shared" si="18"/>
        <v>447.36627060256473</v>
      </c>
      <c r="E57" s="69">
        <f t="shared" si="18"/>
        <v>434.35116140661921</v>
      </c>
      <c r="F57" s="69">
        <f t="shared" si="18"/>
        <v>359.89196308843009</v>
      </c>
      <c r="G57" s="69">
        <f t="shared" si="18"/>
        <v>325.02923201988602</v>
      </c>
      <c r="H57" s="69">
        <f t="shared" si="18"/>
        <v>296.48223472070504</v>
      </c>
      <c r="I57" s="69">
        <f t="shared" si="18"/>
        <v>0</v>
      </c>
      <c r="J57" s="69">
        <f t="shared" si="18"/>
        <v>325.02923201988602</v>
      </c>
    </row>
    <row r="58" spans="2:10" x14ac:dyDescent="0.2">
      <c r="B58" s="33" t="s">
        <v>578</v>
      </c>
      <c r="C58" s="69"/>
      <c r="D58" s="69"/>
      <c r="E58" s="69"/>
      <c r="F58" s="69"/>
      <c r="G58" s="69"/>
      <c r="H58" s="69"/>
      <c r="I58" s="69">
        <f>I54/$M11*$M20*0.5</f>
        <v>1170.479590360711</v>
      </c>
      <c r="J58" s="69"/>
    </row>
    <row r="59" spans="2:10" x14ac:dyDescent="0.2">
      <c r="B59" s="33" t="s">
        <v>308</v>
      </c>
      <c r="C59" s="69">
        <f t="shared" ref="C59:J64" si="19">C47/$M4*$M22</f>
        <v>1942.1802185595636</v>
      </c>
      <c r="D59" s="69">
        <f t="shared" si="19"/>
        <v>1445.4767185030387</v>
      </c>
      <c r="E59" s="69">
        <f t="shared" si="19"/>
        <v>1684.1086136128322</v>
      </c>
      <c r="F59" s="69">
        <f t="shared" si="19"/>
        <v>1860.5442135635096</v>
      </c>
      <c r="G59" s="69">
        <f t="shared" si="19"/>
        <v>1890.3524772950407</v>
      </c>
      <c r="H59" s="69">
        <f t="shared" si="19"/>
        <v>0</v>
      </c>
      <c r="I59" s="69">
        <f t="shared" si="19"/>
        <v>1367.1872507391179</v>
      </c>
      <c r="J59" s="69">
        <f t="shared" si="19"/>
        <v>1890.3524772950407</v>
      </c>
    </row>
    <row r="60" spans="2:10" x14ac:dyDescent="0.2">
      <c r="B60" s="33" t="s">
        <v>309</v>
      </c>
      <c r="C60" s="69">
        <f t="shared" si="19"/>
        <v>0</v>
      </c>
      <c r="D60" s="69">
        <f t="shared" si="19"/>
        <v>846.23930221046419</v>
      </c>
      <c r="E60" s="69">
        <f t="shared" si="19"/>
        <v>547.74658990713669</v>
      </c>
      <c r="F60" s="69">
        <f t="shared" si="19"/>
        <v>226.92421827339052</v>
      </c>
      <c r="G60" s="69">
        <f t="shared" si="19"/>
        <v>102.47103569521789</v>
      </c>
      <c r="H60" s="69">
        <f t="shared" si="19"/>
        <v>0</v>
      </c>
      <c r="I60" s="69">
        <f t="shared" si="19"/>
        <v>667.00462336898931</v>
      </c>
      <c r="J60" s="69">
        <f t="shared" si="19"/>
        <v>102.47103569521789</v>
      </c>
    </row>
    <row r="61" spans="2:10" x14ac:dyDescent="0.2">
      <c r="B61" s="33" t="s">
        <v>310</v>
      </c>
      <c r="C61" s="69">
        <f t="shared" si="19"/>
        <v>151.29253610037577</v>
      </c>
      <c r="D61" s="69">
        <f t="shared" si="19"/>
        <v>579.08663050467624</v>
      </c>
      <c r="E61" s="69">
        <f t="shared" si="19"/>
        <v>562.23941553744373</v>
      </c>
      <c r="F61" s="69">
        <f t="shared" si="19"/>
        <v>232.92840558797982</v>
      </c>
      <c r="G61" s="69">
        <f t="shared" si="19"/>
        <v>105.18231656825726</v>
      </c>
      <c r="H61" s="69">
        <f t="shared" si="19"/>
        <v>0</v>
      </c>
      <c r="I61" s="69">
        <f t="shared" si="19"/>
        <v>0</v>
      </c>
      <c r="J61" s="69">
        <f t="shared" si="19"/>
        <v>105.18231656825726</v>
      </c>
    </row>
    <row r="62" spans="2:10" x14ac:dyDescent="0.2">
      <c r="B62" s="33" t="s">
        <v>562</v>
      </c>
      <c r="C62" s="69">
        <f t="shared" si="19"/>
        <v>143.13037929181908</v>
      </c>
      <c r="D62" s="69">
        <f t="shared" si="19"/>
        <v>0</v>
      </c>
      <c r="E62" s="69">
        <f t="shared" si="19"/>
        <v>0</v>
      </c>
      <c r="F62" s="69">
        <f t="shared" si="19"/>
        <v>0</v>
      </c>
      <c r="G62" s="69">
        <f t="shared" si="19"/>
        <v>0</v>
      </c>
      <c r="H62" s="69">
        <f t="shared" si="19"/>
        <v>0</v>
      </c>
      <c r="I62" s="69">
        <f t="shared" si="19"/>
        <v>0</v>
      </c>
      <c r="J62" s="69">
        <f t="shared" si="19"/>
        <v>0</v>
      </c>
    </row>
    <row r="63" spans="2:10" x14ac:dyDescent="0.2">
      <c r="B63" s="33" t="s">
        <v>311</v>
      </c>
      <c r="C63" s="69">
        <f t="shared" si="19"/>
        <v>0</v>
      </c>
      <c r="D63" s="69">
        <f t="shared" si="19"/>
        <v>0</v>
      </c>
      <c r="E63" s="69">
        <f t="shared" si="19"/>
        <v>0</v>
      </c>
      <c r="F63" s="69">
        <f t="shared" si="19"/>
        <v>0</v>
      </c>
      <c r="G63" s="69">
        <f t="shared" si="19"/>
        <v>0</v>
      </c>
      <c r="H63" s="69">
        <f t="shared" si="19"/>
        <v>1880.6509348273194</v>
      </c>
      <c r="I63" s="69">
        <f t="shared" si="19"/>
        <v>1342.0220729419484</v>
      </c>
      <c r="J63" s="69">
        <f t="shared" si="19"/>
        <v>0</v>
      </c>
    </row>
    <row r="64" spans="2:10" x14ac:dyDescent="0.2">
      <c r="B64" s="33" t="s">
        <v>312</v>
      </c>
      <c r="C64" s="69">
        <f t="shared" si="19"/>
        <v>0</v>
      </c>
      <c r="D64" s="69">
        <f t="shared" si="19"/>
        <v>0</v>
      </c>
      <c r="E64" s="69">
        <f t="shared" si="19"/>
        <v>0</v>
      </c>
      <c r="F64" s="69">
        <f t="shared" si="19"/>
        <v>0</v>
      </c>
      <c r="G64" s="69">
        <f t="shared" si="19"/>
        <v>0</v>
      </c>
      <c r="H64" s="69">
        <f t="shared" si="19"/>
        <v>1213.2379649165216</v>
      </c>
      <c r="I64" s="69">
        <f t="shared" si="19"/>
        <v>0</v>
      </c>
      <c r="J64" s="69">
        <f t="shared" si="19"/>
        <v>0</v>
      </c>
    </row>
    <row r="66" spans="1:13" x14ac:dyDescent="0.2">
      <c r="B66" s="70" t="s">
        <v>324</v>
      </c>
      <c r="C66" s="69"/>
      <c r="D66" s="69">
        <f>D4*$M$4+D5*$M$5+D6*$M$6+D7*$M$7+2*($M$10+$M$14)</f>
        <v>91.628751699999995</v>
      </c>
      <c r="E66" s="69">
        <f>E4*$M$4+E5*$M$5+E6*$M$6+E7*$M$7+2*($M$10+$M$14)</f>
        <v>92.00428740000001</v>
      </c>
      <c r="F66" s="69">
        <f>F4*$M$4+F5*$M$5+F6*$M$6+F7*$M$7+2*($M$10+$M$14)</f>
        <v>92.355843700000008</v>
      </c>
      <c r="G66" s="69">
        <f>G4*$M$4+G5*$M$5+G6*$M$6+G7*$M$7+2*($M$10+$M$14)</f>
        <v>92.531621849999993</v>
      </c>
      <c r="J66" s="69">
        <f>J4*$M$4+J5*$M$5+J6*$M$6+J7*$M$7+2*($M$10+$M$14)</f>
        <v>92.531621849999993</v>
      </c>
    </row>
    <row r="67" spans="1:13" x14ac:dyDescent="0.2">
      <c r="B67" s="70" t="s">
        <v>325</v>
      </c>
      <c r="C67" s="69">
        <f>C4*$M$4+C5*$M$5+C6*$M$6+C7*$M$7+2*($M$10+$M$14)</f>
        <v>91.772829731999991</v>
      </c>
    </row>
    <row r="68" spans="1:13" x14ac:dyDescent="0.2">
      <c r="B68" s="70" t="s">
        <v>611</v>
      </c>
      <c r="C68" s="69"/>
      <c r="I68" s="69">
        <f>I4*$M$4+I5*$M$5+I6*$M$6+I7*$M$7+I8*$M$8+2*($M$10+$M$14)</f>
        <v>90.81696860000001</v>
      </c>
    </row>
    <row r="69" spans="1:13" x14ac:dyDescent="0.2">
      <c r="B69" s="70" t="s">
        <v>328</v>
      </c>
      <c r="C69" s="8"/>
      <c r="D69" s="8">
        <f>D25*D66</f>
        <v>1711.7640175386232</v>
      </c>
      <c r="E69" s="8">
        <f t="shared" ref="E69:F69" si="20">E25*E66</f>
        <v>1668.7755913717119</v>
      </c>
      <c r="F69" s="8">
        <f t="shared" si="20"/>
        <v>1387.9870502309777</v>
      </c>
      <c r="G69" s="8">
        <f>G25*G66</f>
        <v>1255.9185696521488</v>
      </c>
      <c r="J69" s="8">
        <f t="shared" ref="J69" si="21">J25*J66</f>
        <v>1255.9185696521488</v>
      </c>
    </row>
    <row r="70" spans="1:13" x14ac:dyDescent="0.2">
      <c r="B70" s="70" t="s">
        <v>329</v>
      </c>
      <c r="C70" s="8">
        <f>C67*C25</f>
        <v>1279.7707096241861</v>
      </c>
      <c r="D70" s="8"/>
      <c r="E70" s="8"/>
      <c r="F70" s="8"/>
      <c r="G70" s="8"/>
      <c r="J70" s="8"/>
    </row>
    <row r="71" spans="1:13" x14ac:dyDescent="0.2">
      <c r="B71" s="70" t="s">
        <v>612</v>
      </c>
      <c r="C71" s="8"/>
      <c r="D71" s="8"/>
      <c r="E71" s="8"/>
      <c r="F71" s="8"/>
      <c r="G71" s="8"/>
      <c r="I71" s="8">
        <f>I25*I68</f>
        <v>2005.8850247673788</v>
      </c>
      <c r="J71" s="8"/>
    </row>
    <row r="72" spans="1:13" x14ac:dyDescent="0.2">
      <c r="K72" s="101"/>
    </row>
    <row r="73" spans="1:13" x14ac:dyDescent="0.2">
      <c r="K73" s="101"/>
    </row>
    <row r="74" spans="1:13" ht="12.75" customHeight="1" x14ac:dyDescent="0.2">
      <c r="A74" s="655" t="s">
        <v>614</v>
      </c>
      <c r="B74" s="70" t="s">
        <v>327</v>
      </c>
      <c r="C74" s="101">
        <v>2.0299999999999998</v>
      </c>
      <c r="D74">
        <v>2</v>
      </c>
      <c r="E74">
        <v>2</v>
      </c>
      <c r="F74">
        <v>2</v>
      </c>
      <c r="G74">
        <v>2</v>
      </c>
      <c r="I74">
        <v>2</v>
      </c>
      <c r="J74">
        <v>2</v>
      </c>
      <c r="K74" s="101"/>
    </row>
    <row r="75" spans="1:13" x14ac:dyDescent="0.2">
      <c r="A75" s="655"/>
      <c r="B75" s="70" t="s">
        <v>392</v>
      </c>
      <c r="C75" s="69">
        <f>C25*C74</f>
        <v>28.30831901036208</v>
      </c>
      <c r="D75" s="69">
        <f>D25*D74</f>
        <v>37.363032580495656</v>
      </c>
      <c r="E75" s="69">
        <f>E25*E74</f>
        <v>36.276039704899922</v>
      </c>
      <c r="F75" s="69">
        <f>F25*F74</f>
        <v>30.057373624122445</v>
      </c>
      <c r="G75" s="69">
        <f>G25*G74</f>
        <v>27.145716124766029</v>
      </c>
      <c r="H75" s="69"/>
      <c r="I75" s="69">
        <f>I25*I74</f>
        <v>44.174234302010795</v>
      </c>
      <c r="J75" s="69">
        <f>J25*J74</f>
        <v>27.145716124766029</v>
      </c>
      <c r="K75" s="101"/>
    </row>
    <row r="76" spans="1:13" x14ac:dyDescent="0.2">
      <c r="A76" s="655"/>
      <c r="B76" s="70" t="s">
        <v>393</v>
      </c>
      <c r="C76" s="69">
        <f>C75*$M$34</f>
        <v>1132.24130416209</v>
      </c>
      <c r="D76" s="69">
        <f>D75*$M$34</f>
        <v>1494.4005937232077</v>
      </c>
      <c r="E76" s="69">
        <f>E75*$M$34</f>
        <v>1450.9243904690015</v>
      </c>
      <c r="F76" s="69">
        <f>F75*$M$34</f>
        <v>1202.1978380067828</v>
      </c>
      <c r="G76" s="69">
        <f>G75*$M$34</f>
        <v>1085.7409447826426</v>
      </c>
      <c r="H76" s="69"/>
      <c r="I76" s="69">
        <f>I75*$M$34</f>
        <v>1766.8266574981876</v>
      </c>
      <c r="J76" s="69">
        <f>J75*$M$34</f>
        <v>1085.7409447826426</v>
      </c>
      <c r="K76" s="101"/>
      <c r="L76" s="8"/>
      <c r="M76" s="8"/>
    </row>
    <row r="77" spans="1:13" x14ac:dyDescent="0.2">
      <c r="A77" s="655"/>
      <c r="B77" s="70" t="s">
        <v>330</v>
      </c>
      <c r="C77" s="177">
        <f>1/3</f>
        <v>0.33333333333333331</v>
      </c>
      <c r="D77" s="8">
        <f>1/3</f>
        <v>0.33333333333333331</v>
      </c>
      <c r="E77" s="8">
        <f>1/3</f>
        <v>0.33333333333333331</v>
      </c>
      <c r="F77" s="8">
        <f>1/3</f>
        <v>0.33333333333333331</v>
      </c>
      <c r="G77" s="8">
        <f>1/3</f>
        <v>0.33333333333333331</v>
      </c>
      <c r="I77" s="8">
        <f>1/3</f>
        <v>0.33333333333333331</v>
      </c>
      <c r="J77" s="8">
        <f>1/3</f>
        <v>0.33333333333333331</v>
      </c>
      <c r="K77" s="101"/>
    </row>
    <row r="78" spans="1:13" x14ac:dyDescent="0.2">
      <c r="A78" s="655"/>
      <c r="B78" s="70" t="s">
        <v>394</v>
      </c>
      <c r="C78" s="355">
        <f>C25*C77</f>
        <v>4.6483282447228378</v>
      </c>
      <c r="D78" s="179">
        <f>D25*D77</f>
        <v>6.2271720967492756</v>
      </c>
      <c r="E78" s="179">
        <f>E25*E77</f>
        <v>6.0460066174833198</v>
      </c>
      <c r="F78" s="179">
        <f>F25*F77</f>
        <v>5.0095622706870735</v>
      </c>
      <c r="G78" s="179">
        <f>G25*G77</f>
        <v>4.5242860207943378</v>
      </c>
      <c r="I78" s="179">
        <f>I25*I77</f>
        <v>7.3623723836684656</v>
      </c>
      <c r="J78" s="179">
        <f>J25*J77</f>
        <v>4.5242860207943378</v>
      </c>
      <c r="K78" s="101"/>
    </row>
    <row r="79" spans="1:13" x14ac:dyDescent="0.2">
      <c r="A79" s="655"/>
      <c r="B79" s="70" t="s">
        <v>395</v>
      </c>
      <c r="C79" s="356">
        <f>C78*$M$35</f>
        <v>162.90391716608318</v>
      </c>
      <c r="D79" s="171">
        <f>D78*$M$35</f>
        <v>218.23560515104612</v>
      </c>
      <c r="E79" s="171">
        <f>E78*$M$35</f>
        <v>211.88653411433521</v>
      </c>
      <c r="F79" s="171">
        <f>F78*$M$35</f>
        <v>175.56361646981799</v>
      </c>
      <c r="G79" s="171">
        <f>G78*$M$35</f>
        <v>158.55677059895214</v>
      </c>
      <c r="I79" s="171">
        <f>I78*$M$35</f>
        <v>258.01949384632996</v>
      </c>
      <c r="J79" s="171">
        <f>J78*$M$35</f>
        <v>158.55677059895214</v>
      </c>
      <c r="K79" s="101"/>
    </row>
    <row r="80" spans="1:13" ht="12.75" customHeight="1" x14ac:dyDescent="0.2">
      <c r="A80" s="655"/>
      <c r="B80" s="70" t="s">
        <v>398</v>
      </c>
      <c r="C80" s="101">
        <v>1.0149999999999999</v>
      </c>
      <c r="D80">
        <v>1</v>
      </c>
      <c r="E80">
        <v>1</v>
      </c>
      <c r="F80">
        <v>1</v>
      </c>
      <c r="G80">
        <v>1</v>
      </c>
      <c r="I80">
        <v>1</v>
      </c>
      <c r="J80">
        <v>1</v>
      </c>
      <c r="K80" s="101"/>
    </row>
    <row r="81" spans="1:11 16383:16383" x14ac:dyDescent="0.2">
      <c r="A81" s="655"/>
      <c r="B81" s="70" t="s">
        <v>399</v>
      </c>
      <c r="C81" s="69">
        <f>C25*C80</f>
        <v>14.15415950518104</v>
      </c>
      <c r="D81" s="69">
        <f>D25*D80</f>
        <v>18.681516290247828</v>
      </c>
      <c r="E81" s="69">
        <f>E25*E80</f>
        <v>18.138019852449961</v>
      </c>
      <c r="F81" s="69">
        <f>F25*F80</f>
        <v>15.028686812061222</v>
      </c>
      <c r="G81" s="69">
        <f>G25*G80</f>
        <v>13.572858062383014</v>
      </c>
      <c r="I81" s="69">
        <f>I25*I80</f>
        <v>22.087117151005398</v>
      </c>
      <c r="J81" s="69">
        <f>J25*J80</f>
        <v>13.572858062383014</v>
      </c>
      <c r="K81" s="101"/>
    </row>
    <row r="82" spans="1:11 16383:16383" x14ac:dyDescent="0.2">
      <c r="A82" s="655"/>
      <c r="B82" s="70" t="s">
        <v>400</v>
      </c>
      <c r="C82" s="69">
        <f>C81*$M$36</f>
        <v>2010.3936681825323</v>
      </c>
      <c r="D82" s="69">
        <f>D81*$M$36</f>
        <v>2653.4392274027637</v>
      </c>
      <c r="E82" s="69">
        <f>E81*$M$36</f>
        <v>2576.2434181547023</v>
      </c>
      <c r="F82" s="69">
        <f>F81*$M$36</f>
        <v>2134.6076252006856</v>
      </c>
      <c r="G82" s="69">
        <f>G81*$M$36</f>
        <v>1927.8282046890099</v>
      </c>
      <c r="I82" s="69">
        <f>I81*$M$36</f>
        <v>3137.1555797808651</v>
      </c>
      <c r="J82" s="69">
        <f>J81*$M$36</f>
        <v>1927.8282046890099</v>
      </c>
      <c r="K82" s="101"/>
    </row>
    <row r="83" spans="1:11 16383:16383" x14ac:dyDescent="0.2">
      <c r="A83" s="655"/>
      <c r="B83" s="70" t="s">
        <v>401</v>
      </c>
      <c r="C83" s="177">
        <f>1/3</f>
        <v>0.33333333333333331</v>
      </c>
      <c r="D83" s="8">
        <f>1/3</f>
        <v>0.33333333333333331</v>
      </c>
      <c r="E83" s="8">
        <f>1/3</f>
        <v>0.33333333333333331</v>
      </c>
      <c r="F83" s="8">
        <f>1/3</f>
        <v>0.33333333333333331</v>
      </c>
      <c r="G83" s="8">
        <f>1/3</f>
        <v>0.33333333333333331</v>
      </c>
      <c r="I83" s="8">
        <f>1/3</f>
        <v>0.33333333333333331</v>
      </c>
      <c r="J83" s="8">
        <f>1/3</f>
        <v>0.33333333333333331</v>
      </c>
      <c r="K83" s="101"/>
    </row>
    <row r="84" spans="1:11 16383:16383" x14ac:dyDescent="0.2">
      <c r="A84" s="655"/>
      <c r="B84" s="70" t="s">
        <v>402</v>
      </c>
      <c r="C84" s="177">
        <f>C25*C83</f>
        <v>4.6483282447228378</v>
      </c>
      <c r="D84" s="8">
        <f t="shared" ref="D84:G84" si="22">D25*D83</f>
        <v>6.2271720967492756</v>
      </c>
      <c r="E84" s="8">
        <f t="shared" si="22"/>
        <v>6.0460066174833198</v>
      </c>
      <c r="F84" s="8">
        <f t="shared" si="22"/>
        <v>5.0095622706870735</v>
      </c>
      <c r="G84" s="8">
        <f t="shared" si="22"/>
        <v>4.5242860207943378</v>
      </c>
      <c r="I84" s="8">
        <f t="shared" ref="I84" si="23">I25*I83</f>
        <v>7.3623723836684656</v>
      </c>
      <c r="J84" s="8">
        <f t="shared" ref="J84" si="24">J25*J83</f>
        <v>4.5242860207943378</v>
      </c>
    </row>
    <row r="85" spans="1:11 16383:16383" x14ac:dyDescent="0.2">
      <c r="A85" s="655"/>
      <c r="B85" s="70" t="s">
        <v>403</v>
      </c>
      <c r="C85" s="177">
        <f>C84*$M$40</f>
        <v>79.164283837401229</v>
      </c>
      <c r="D85" s="8">
        <f>D84*$M$40</f>
        <v>106.05309982810789</v>
      </c>
      <c r="E85" s="8">
        <f>E84*$M$40</f>
        <v>102.96772490037317</v>
      </c>
      <c r="F85" s="8">
        <f>F84*$M$40</f>
        <v>85.316352163390334</v>
      </c>
      <c r="G85" s="8">
        <f>G84*$M$40</f>
        <v>77.05175793434212</v>
      </c>
      <c r="I85" s="8">
        <f>I84*$M$40</f>
        <v>125.38635535454253</v>
      </c>
      <c r="J85" s="8">
        <f>J84*$M$40</f>
        <v>77.05175793434212</v>
      </c>
    </row>
    <row r="86" spans="1:11 16383:16383" x14ac:dyDescent="0.2">
      <c r="A86" s="655"/>
      <c r="B86" s="70" t="s">
        <v>337</v>
      </c>
      <c r="C86" s="177">
        <f>1/3</f>
        <v>0.33333333333333331</v>
      </c>
      <c r="D86" s="8">
        <f>1/3</f>
        <v>0.33333333333333331</v>
      </c>
      <c r="E86" s="8">
        <f>1/3</f>
        <v>0.33333333333333331</v>
      </c>
      <c r="F86" s="8">
        <f>1/3</f>
        <v>0.33333333333333331</v>
      </c>
      <c r="G86" s="8">
        <f>1/3</f>
        <v>0.33333333333333331</v>
      </c>
      <c r="I86" s="8">
        <f>1/3</f>
        <v>0.33333333333333331</v>
      </c>
      <c r="J86" s="8">
        <f>1/3</f>
        <v>0.33333333333333331</v>
      </c>
      <c r="XFC86">
        <f>1/3</f>
        <v>0.33333333333333331</v>
      </c>
    </row>
    <row r="87" spans="1:11 16383:16383" x14ac:dyDescent="0.2">
      <c r="A87" s="655"/>
      <c r="B87" s="70" t="s">
        <v>339</v>
      </c>
      <c r="C87" s="177">
        <f>C25*C86</f>
        <v>4.6483282447228378</v>
      </c>
      <c r="D87" s="8">
        <f t="shared" ref="D87:G87" si="25">D25*D86</f>
        <v>6.2271720967492756</v>
      </c>
      <c r="E87" s="8">
        <f t="shared" si="25"/>
        <v>6.0460066174833198</v>
      </c>
      <c r="F87" s="8">
        <f t="shared" si="25"/>
        <v>5.0095622706870735</v>
      </c>
      <c r="G87" s="8">
        <f t="shared" si="25"/>
        <v>4.5242860207943378</v>
      </c>
      <c r="I87" s="8">
        <f t="shared" ref="I87" si="26">I25*I86</f>
        <v>7.3623723836684656</v>
      </c>
      <c r="J87" s="8">
        <f t="shared" ref="J87" si="27">J25*J86</f>
        <v>4.5242860207943378</v>
      </c>
    </row>
    <row r="88" spans="1:11 16383:16383" x14ac:dyDescent="0.2">
      <c r="A88" s="655"/>
      <c r="B88" s="70" t="s">
        <v>340</v>
      </c>
      <c r="C88" s="177">
        <f>C87*$M$38</f>
        <v>83.739633328681919</v>
      </c>
      <c r="D88" s="8">
        <f>D87*$M$38</f>
        <v>112.1825053229382</v>
      </c>
      <c r="E88" s="8">
        <f>E87*$M$38</f>
        <v>108.91880921396201</v>
      </c>
      <c r="F88" s="8">
        <f>F87*$M$38</f>
        <v>90.247264306427638</v>
      </c>
      <c r="G88" s="8">
        <f>G87*$M$38</f>
        <v>81.505012664609993</v>
      </c>
      <c r="I88" s="8">
        <f>I87*$M$38</f>
        <v>132.63313849178741</v>
      </c>
      <c r="J88" s="8">
        <f>J87*$M$38</f>
        <v>81.505012664609993</v>
      </c>
    </row>
    <row r="89" spans="1:11 16383:16383" x14ac:dyDescent="0.2">
      <c r="A89" s="180"/>
      <c r="B89" s="70"/>
      <c r="C89" s="178"/>
      <c r="D89" s="178"/>
      <c r="E89" s="178"/>
    </row>
    <row r="90" spans="1:11 16383:16383" x14ac:dyDescent="0.2">
      <c r="A90" s="655" t="s">
        <v>410</v>
      </c>
      <c r="B90" s="70" t="s">
        <v>335</v>
      </c>
      <c r="C90" s="101">
        <v>0.24249999999999999</v>
      </c>
      <c r="D90">
        <v>0.25</v>
      </c>
      <c r="E90">
        <v>0.25</v>
      </c>
      <c r="F90">
        <v>0.25</v>
      </c>
      <c r="G90">
        <v>0.25</v>
      </c>
      <c r="I90">
        <v>0.25</v>
      </c>
      <c r="J90">
        <v>0.25</v>
      </c>
    </row>
    <row r="91" spans="1:11 16383:16383" x14ac:dyDescent="0.2">
      <c r="A91" s="656"/>
      <c r="B91" s="70" t="s">
        <v>421</v>
      </c>
      <c r="C91" s="177">
        <f>C25*C90</f>
        <v>3.3816587980358648</v>
      </c>
      <c r="D91" s="8">
        <f>D25*D90</f>
        <v>4.6703790725619569</v>
      </c>
      <c r="E91" s="8">
        <f>E25*E90</f>
        <v>4.5345049631124903</v>
      </c>
      <c r="F91" s="8">
        <f>F25*F90</f>
        <v>3.7571717030153056</v>
      </c>
      <c r="G91" s="8">
        <f>G25*G90</f>
        <v>3.3932145155957536</v>
      </c>
      <c r="I91" s="8">
        <f>I25*I90</f>
        <v>5.5217792877513494</v>
      </c>
      <c r="J91" s="8">
        <f>J25*J90</f>
        <v>3.3932145155957536</v>
      </c>
    </row>
    <row r="92" spans="1:11 16383:16383" x14ac:dyDescent="0.2">
      <c r="A92" s="656"/>
      <c r="B92" s="70" t="s">
        <v>422</v>
      </c>
      <c r="C92" s="177">
        <f>C91*$M$10*2</f>
        <v>108.2063182195516</v>
      </c>
      <c r="D92" s="8">
        <f>D91*$M$10*2</f>
        <v>149.44278956383749</v>
      </c>
      <c r="E92" s="8">
        <f>E91*$M$10*2</f>
        <v>145.09508980967348</v>
      </c>
      <c r="F92" s="8">
        <f>F91*$M$10*2</f>
        <v>120.22198015308375</v>
      </c>
      <c r="G92" s="8">
        <f>G91*$M$10*2</f>
        <v>108.57607807003292</v>
      </c>
      <c r="I92" s="8">
        <f>I91*$M$10*2</f>
        <v>176.68589364946769</v>
      </c>
      <c r="J92" s="8">
        <f>J91*$M$10*2</f>
        <v>108.57607807003292</v>
      </c>
    </row>
    <row r="93" spans="1:11 16383:16383" x14ac:dyDescent="0.2">
      <c r="A93" s="656"/>
      <c r="B93" s="70" t="s">
        <v>337</v>
      </c>
      <c r="C93" s="101">
        <v>1.5149999999999999</v>
      </c>
      <c r="D93">
        <v>1.5</v>
      </c>
      <c r="E93">
        <v>1.5</v>
      </c>
      <c r="F93">
        <v>1.5</v>
      </c>
      <c r="G93">
        <v>1.5</v>
      </c>
      <c r="I93">
        <v>1.5</v>
      </c>
      <c r="J93">
        <v>1.5</v>
      </c>
    </row>
    <row r="94" spans="1:11 16383:16383" x14ac:dyDescent="0.2">
      <c r="A94" s="656"/>
      <c r="B94" s="70" t="s">
        <v>339</v>
      </c>
      <c r="C94" s="177">
        <f>C25*C93</f>
        <v>21.126651872265299</v>
      </c>
      <c r="D94" s="8">
        <f t="shared" ref="D94:G94" si="28">D25*D93</f>
        <v>28.022274435371742</v>
      </c>
      <c r="E94" s="8">
        <f t="shared" si="28"/>
        <v>27.207029778674944</v>
      </c>
      <c r="F94" s="8">
        <f t="shared" si="28"/>
        <v>22.543030218091832</v>
      </c>
      <c r="G94" s="8">
        <f t="shared" si="28"/>
        <v>20.359287093574522</v>
      </c>
      <c r="I94" s="8">
        <f t="shared" ref="I94" si="29">I25*I93</f>
        <v>33.130675726508095</v>
      </c>
      <c r="J94" s="8">
        <f t="shared" ref="J94" si="30">J25*J93</f>
        <v>20.359287093574522</v>
      </c>
    </row>
    <row r="95" spans="1:11 16383:16383" x14ac:dyDescent="0.2">
      <c r="A95" s="656"/>
      <c r="B95" s="70" t="s">
        <v>340</v>
      </c>
      <c r="C95" s="177">
        <f>C94*$M$38</f>
        <v>380.59663347885936</v>
      </c>
      <c r="D95" s="8">
        <f>D94*$M$38</f>
        <v>504.82127395322192</v>
      </c>
      <c r="E95" s="8">
        <f>E94*$M$38</f>
        <v>490.13464146282911</v>
      </c>
      <c r="F95" s="8">
        <f>F94*$M$38</f>
        <v>406.11268937892436</v>
      </c>
      <c r="G95" s="8">
        <f>G94*$M$38</f>
        <v>366.77255699074504</v>
      </c>
      <c r="I95" s="8">
        <f>I94*$M$38</f>
        <v>596.8491232130433</v>
      </c>
      <c r="J95" s="8">
        <f>J94*$M$38</f>
        <v>366.77255699074504</v>
      </c>
    </row>
    <row r="97" spans="1:10" x14ac:dyDescent="0.2">
      <c r="A97" s="655" t="s">
        <v>613</v>
      </c>
      <c r="B97" s="70" t="s">
        <v>335</v>
      </c>
      <c r="C97" s="101">
        <v>0.24249999999999999</v>
      </c>
      <c r="D97">
        <v>0.25</v>
      </c>
      <c r="E97">
        <v>0.25</v>
      </c>
      <c r="F97">
        <v>0.25</v>
      </c>
      <c r="G97">
        <v>0.25</v>
      </c>
      <c r="I97">
        <v>0.25</v>
      </c>
      <c r="J97">
        <v>0.25</v>
      </c>
    </row>
    <row r="98" spans="1:10" x14ac:dyDescent="0.2">
      <c r="A98" s="655"/>
      <c r="B98" s="70" t="s">
        <v>421</v>
      </c>
      <c r="C98" s="177">
        <f>C25*C97</f>
        <v>3.3816587980358648</v>
      </c>
      <c r="D98" s="177">
        <f t="shared" ref="D98:G98" si="31">D25*D97</f>
        <v>4.6703790725619569</v>
      </c>
      <c r="E98" s="177">
        <f t="shared" si="31"/>
        <v>4.5345049631124903</v>
      </c>
      <c r="F98" s="177">
        <f t="shared" si="31"/>
        <v>3.7571717030153056</v>
      </c>
      <c r="G98" s="177">
        <f t="shared" si="31"/>
        <v>3.3932145155957536</v>
      </c>
      <c r="I98" s="8">
        <f>I25*I97</f>
        <v>5.5217792877513494</v>
      </c>
      <c r="J98" s="8">
        <f>J25*J97</f>
        <v>3.3932145155957536</v>
      </c>
    </row>
    <row r="99" spans="1:10" x14ac:dyDescent="0.2">
      <c r="A99" s="655"/>
      <c r="B99" s="70" t="s">
        <v>422</v>
      </c>
      <c r="C99" s="177">
        <f>C98*$M$10*2</f>
        <v>108.2063182195516</v>
      </c>
      <c r="D99" s="8">
        <f>D98*$M$10*2</f>
        <v>149.44278956383749</v>
      </c>
      <c r="E99" s="8">
        <f>E98*$M$10*2</f>
        <v>145.09508980967348</v>
      </c>
      <c r="F99" s="8">
        <f>F98*$M$10*2</f>
        <v>120.22198015308375</v>
      </c>
      <c r="G99" s="8">
        <f>G98*$M$10*2</f>
        <v>108.57607807003292</v>
      </c>
      <c r="I99" s="8">
        <f>I98*$M$10*2</f>
        <v>176.68589364946769</v>
      </c>
      <c r="J99" s="8">
        <f>J98*$M$10*2</f>
        <v>108.57607807003292</v>
      </c>
    </row>
    <row r="100" spans="1:10" ht="12.75" customHeight="1" x14ac:dyDescent="0.2">
      <c r="A100" s="655"/>
      <c r="B100" s="70" t="s">
        <v>369</v>
      </c>
      <c r="C100" s="101">
        <v>0.5</v>
      </c>
      <c r="D100">
        <v>0.5</v>
      </c>
      <c r="E100">
        <v>0.5</v>
      </c>
      <c r="F100">
        <v>0.5</v>
      </c>
      <c r="G100">
        <v>0.5</v>
      </c>
      <c r="I100">
        <v>0.5</v>
      </c>
      <c r="J100">
        <v>0.5</v>
      </c>
    </row>
    <row r="101" spans="1:10" x14ac:dyDescent="0.2">
      <c r="A101" s="655"/>
      <c r="B101" s="70" t="s">
        <v>370</v>
      </c>
      <c r="C101" s="177">
        <f>C25*C100</f>
        <v>6.9724923670842571</v>
      </c>
      <c r="D101" s="8">
        <f>D25*D100</f>
        <v>9.3407581451239139</v>
      </c>
      <c r="E101" s="8">
        <f>E25*E100</f>
        <v>9.0690099262249806</v>
      </c>
      <c r="F101" s="8">
        <f>F25*F100</f>
        <v>7.5143434060306111</v>
      </c>
      <c r="G101" s="8">
        <f>G25*G100</f>
        <v>6.7864290311915072</v>
      </c>
      <c r="I101" s="8">
        <f>I25*I100</f>
        <v>11.043558575502699</v>
      </c>
      <c r="J101" s="8">
        <f>J25*J100</f>
        <v>6.7864290311915072</v>
      </c>
    </row>
    <row r="102" spans="1:10" x14ac:dyDescent="0.2">
      <c r="A102" s="655"/>
      <c r="B102" s="70" t="s">
        <v>371</v>
      </c>
      <c r="C102" s="177">
        <f>C101*$M$39</f>
        <v>306.85241658301106</v>
      </c>
      <c r="D102" s="8">
        <f>D101*$M$39</f>
        <v>411.07742520875831</v>
      </c>
      <c r="E102" s="8">
        <f>E101*$M$39</f>
        <v>399.11805784323519</v>
      </c>
      <c r="F102" s="8">
        <f>F101*$M$39</f>
        <v>330.69873895600119</v>
      </c>
      <c r="G102" s="8">
        <f>G101*$M$39</f>
        <v>298.66395523370704</v>
      </c>
      <c r="I102" s="8">
        <f>I101*$M$39</f>
        <v>486.0159693492983</v>
      </c>
      <c r="J102" s="8">
        <f>J101*$M$39</f>
        <v>298.66395523370704</v>
      </c>
    </row>
    <row r="103" spans="1:10" x14ac:dyDescent="0.2">
      <c r="A103" s="655"/>
      <c r="B103" s="70" t="s">
        <v>337</v>
      </c>
      <c r="C103" s="101">
        <v>1.0149999999999999</v>
      </c>
      <c r="D103">
        <v>1</v>
      </c>
      <c r="E103">
        <v>1</v>
      </c>
      <c r="F103">
        <v>1</v>
      </c>
      <c r="G103">
        <v>1</v>
      </c>
      <c r="I103">
        <v>1</v>
      </c>
      <c r="J103">
        <v>1</v>
      </c>
    </row>
    <row r="104" spans="1:10" x14ac:dyDescent="0.2">
      <c r="A104" s="655"/>
      <c r="B104" s="70" t="s">
        <v>339</v>
      </c>
      <c r="C104" s="177">
        <f>C25*C103</f>
        <v>14.15415950518104</v>
      </c>
      <c r="D104" s="8">
        <f>D25*D103</f>
        <v>18.681516290247828</v>
      </c>
      <c r="E104" s="8">
        <f>E25*E103</f>
        <v>18.138019852449961</v>
      </c>
      <c r="F104" s="8">
        <f>F25*F103</f>
        <v>15.028686812061222</v>
      </c>
      <c r="G104" s="8">
        <f>G25*G103</f>
        <v>13.572858062383014</v>
      </c>
      <c r="I104" s="8">
        <f>I25*I103</f>
        <v>22.087117151005398</v>
      </c>
      <c r="J104" s="8">
        <f>J25*J103</f>
        <v>13.572858062383014</v>
      </c>
    </row>
    <row r="105" spans="1:10" x14ac:dyDescent="0.2">
      <c r="A105" s="655"/>
      <c r="B105" s="70" t="s">
        <v>340</v>
      </c>
      <c r="C105" s="177">
        <f>C104*$M$38</f>
        <v>254.98718348583645</v>
      </c>
      <c r="D105" s="8">
        <f>D104*$M$38</f>
        <v>336.54751596881465</v>
      </c>
      <c r="E105" s="8">
        <f>E104*$M$38</f>
        <v>326.75642764188603</v>
      </c>
      <c r="F105" s="8">
        <f>F104*$M$38</f>
        <v>270.74179291928294</v>
      </c>
      <c r="G105" s="8">
        <f>G104*$M$38</f>
        <v>244.51503799383002</v>
      </c>
      <c r="I105" s="8">
        <f>I104*$M$38</f>
        <v>397.89941547536228</v>
      </c>
      <c r="J105" s="8">
        <f>J104*$M$38</f>
        <v>244.51503799383002</v>
      </c>
    </row>
    <row r="107" spans="1:10" ht="12.75" customHeight="1" x14ac:dyDescent="0.2">
      <c r="A107" s="655" t="s">
        <v>411</v>
      </c>
      <c r="B107" s="70" t="s">
        <v>568</v>
      </c>
      <c r="H107" s="8">
        <v>0.5</v>
      </c>
    </row>
    <row r="108" spans="1:10" x14ac:dyDescent="0.2">
      <c r="A108" s="655"/>
      <c r="B108" s="70" t="s">
        <v>569</v>
      </c>
      <c r="H108" s="8">
        <f>H25*H107</f>
        <v>6.1903836539170891</v>
      </c>
    </row>
    <row r="109" spans="1:10" x14ac:dyDescent="0.2">
      <c r="A109" s="655"/>
      <c r="B109" s="70" t="s">
        <v>570</v>
      </c>
      <c r="H109" s="8">
        <f>H108*$M$19</f>
        <v>457.39506742062594</v>
      </c>
    </row>
    <row r="110" spans="1:10" x14ac:dyDescent="0.2">
      <c r="A110" s="655"/>
      <c r="B110" s="70" t="s">
        <v>381</v>
      </c>
      <c r="H110" s="8">
        <f>1/3</f>
        <v>0.33333333333333331</v>
      </c>
    </row>
    <row r="111" spans="1:10" x14ac:dyDescent="0.2">
      <c r="A111" s="655"/>
      <c r="B111" s="70" t="s">
        <v>412</v>
      </c>
      <c r="H111" s="8">
        <f>H25*H110</f>
        <v>4.1269224359447261</v>
      </c>
    </row>
    <row r="112" spans="1:10" x14ac:dyDescent="0.2">
      <c r="A112" s="655"/>
      <c r="B112" s="70" t="s">
        <v>413</v>
      </c>
      <c r="H112" s="8">
        <f>H111*$M$29</f>
        <v>955.51047851671842</v>
      </c>
    </row>
    <row r="113" spans="1:8" x14ac:dyDescent="0.2">
      <c r="A113" s="655"/>
      <c r="B113" s="70" t="s">
        <v>382</v>
      </c>
      <c r="H113" s="8">
        <v>1</v>
      </c>
    </row>
    <row r="114" spans="1:8" x14ac:dyDescent="0.2">
      <c r="A114" s="655"/>
      <c r="B114" s="70" t="s">
        <v>414</v>
      </c>
      <c r="H114" s="8">
        <f>H25*H113</f>
        <v>12.380767307834178</v>
      </c>
    </row>
    <row r="115" spans="1:8" x14ac:dyDescent="0.2">
      <c r="A115" s="655"/>
      <c r="B115" s="70" t="s">
        <v>415</v>
      </c>
      <c r="H115" s="8">
        <f>H114*$M$28</f>
        <v>1634.9442324955849</v>
      </c>
    </row>
    <row r="116" spans="1:8" x14ac:dyDescent="0.2">
      <c r="A116" s="655"/>
      <c r="B116" s="70" t="s">
        <v>369</v>
      </c>
      <c r="H116" s="8">
        <v>0.5</v>
      </c>
    </row>
    <row r="117" spans="1:8" x14ac:dyDescent="0.2">
      <c r="A117" s="655"/>
      <c r="B117" s="70" t="s">
        <v>370</v>
      </c>
      <c r="H117" s="8">
        <f>H25*H116</f>
        <v>6.1903836539170891</v>
      </c>
    </row>
    <row r="118" spans="1:8" x14ac:dyDescent="0.2">
      <c r="A118" s="655"/>
      <c r="B118" s="70" t="s">
        <v>371</v>
      </c>
      <c r="H118" s="8">
        <f>H117*$M$39</f>
        <v>272.43259422523715</v>
      </c>
    </row>
    <row r="119" spans="1:8" x14ac:dyDescent="0.2">
      <c r="A119" s="655"/>
      <c r="B119" s="70" t="s">
        <v>337</v>
      </c>
      <c r="H119" s="8">
        <v>1.5</v>
      </c>
    </row>
    <row r="120" spans="1:8" x14ac:dyDescent="0.2">
      <c r="A120" s="655"/>
      <c r="B120" s="70" t="s">
        <v>339</v>
      </c>
      <c r="H120" s="8">
        <f>H25*H119</f>
        <v>18.571150961751268</v>
      </c>
    </row>
    <row r="121" spans="1:8" x14ac:dyDescent="0.2">
      <c r="A121" s="655"/>
      <c r="B121" s="70" t="s">
        <v>340</v>
      </c>
      <c r="H121" s="8">
        <f>H120*$M$38</f>
        <v>334.55928457594911</v>
      </c>
    </row>
    <row r="122" spans="1:8" x14ac:dyDescent="0.2">
      <c r="A122" s="655"/>
      <c r="B122" s="70" t="s">
        <v>401</v>
      </c>
      <c r="H122" s="8">
        <v>2</v>
      </c>
    </row>
    <row r="123" spans="1:8" x14ac:dyDescent="0.2">
      <c r="A123" s="655"/>
      <c r="B123" s="70" t="s">
        <v>402</v>
      </c>
      <c r="H123" s="8">
        <f>H25*H122</f>
        <v>24.761534615668356</v>
      </c>
    </row>
    <row r="124" spans="1:8" x14ac:dyDescent="0.2">
      <c r="A124" s="655"/>
      <c r="B124" s="70" t="s">
        <v>403</v>
      </c>
      <c r="H124" s="8">
        <f>H123*$M$40</f>
        <v>421.70626757906308</v>
      </c>
    </row>
    <row r="125" spans="1:8" x14ac:dyDescent="0.2">
      <c r="A125" s="655"/>
      <c r="B125" s="70" t="s">
        <v>407</v>
      </c>
      <c r="H125" s="8">
        <f>1/6</f>
        <v>0.16666666666666666</v>
      </c>
    </row>
    <row r="126" spans="1:8" x14ac:dyDescent="0.2">
      <c r="A126" s="655"/>
      <c r="B126" s="70" t="s">
        <v>408</v>
      </c>
      <c r="H126" s="8">
        <f>H25*H125</f>
        <v>2.063461217972363</v>
      </c>
    </row>
    <row r="127" spans="1:8" x14ac:dyDescent="0.2">
      <c r="A127" s="655"/>
      <c r="B127" s="70" t="s">
        <v>409</v>
      </c>
      <c r="H127" s="8">
        <f>H126*$M$10*2</f>
        <v>66.026632052679673</v>
      </c>
    </row>
    <row r="129" spans="1:10" x14ac:dyDescent="0.2">
      <c r="B129" s="169"/>
      <c r="J129" s="8"/>
    </row>
    <row r="130" spans="1:10" x14ac:dyDescent="0.2">
      <c r="A130" s="655" t="s">
        <v>598</v>
      </c>
      <c r="B130" s="70" t="s">
        <v>597</v>
      </c>
      <c r="J130" s="8">
        <f>1000/M43</f>
        <v>2.6082444428003408</v>
      </c>
    </row>
    <row r="131" spans="1:10" x14ac:dyDescent="0.2">
      <c r="A131" s="656"/>
      <c r="B131" s="70" t="s">
        <v>583</v>
      </c>
      <c r="J131">
        <v>0.65</v>
      </c>
    </row>
    <row r="132" spans="1:10" x14ac:dyDescent="0.2">
      <c r="A132" s="656"/>
      <c r="B132" s="70" t="s">
        <v>584</v>
      </c>
      <c r="J132">
        <v>0.15</v>
      </c>
    </row>
    <row r="133" spans="1:10" x14ac:dyDescent="0.2">
      <c r="A133" s="656"/>
      <c r="B133" s="70" t="s">
        <v>585</v>
      </c>
      <c r="J133">
        <v>0.85</v>
      </c>
    </row>
    <row r="134" spans="1:10" x14ac:dyDescent="0.2">
      <c r="A134" s="656"/>
      <c r="B134" s="70" t="s">
        <v>586</v>
      </c>
      <c r="J134">
        <v>3</v>
      </c>
    </row>
    <row r="135" spans="1:10" x14ac:dyDescent="0.2">
      <c r="A135" s="656"/>
      <c r="B135" s="70" t="s">
        <v>587</v>
      </c>
      <c r="J135">
        <v>0.85</v>
      </c>
    </row>
    <row r="136" spans="1:10" x14ac:dyDescent="0.2">
      <c r="A136" s="656"/>
      <c r="B136" s="70" t="s">
        <v>588</v>
      </c>
      <c r="J136">
        <v>4.5</v>
      </c>
    </row>
    <row r="137" spans="1:10" x14ac:dyDescent="0.2">
      <c r="A137" s="656"/>
      <c r="B137" s="70" t="s">
        <v>589</v>
      </c>
      <c r="J137">
        <v>0.65</v>
      </c>
    </row>
    <row r="138" spans="1:10" x14ac:dyDescent="0.2">
      <c r="A138" s="656"/>
      <c r="B138" s="70" t="s">
        <v>599</v>
      </c>
      <c r="J138" s="8">
        <f>$J$130*J131*M19</f>
        <v>125.26667750326055</v>
      </c>
    </row>
    <row r="139" spans="1:10" x14ac:dyDescent="0.2">
      <c r="A139" s="656"/>
      <c r="B139" s="70" t="s">
        <v>600</v>
      </c>
      <c r="J139" s="8">
        <f>$J$130*J132*M30</f>
        <v>39.890520555164393</v>
      </c>
    </row>
    <row r="140" spans="1:10" x14ac:dyDescent="0.2">
      <c r="A140" s="656"/>
      <c r="B140" s="70" t="s">
        <v>601</v>
      </c>
      <c r="J140" s="8">
        <f>$J$130*J133*M31</f>
        <v>177.0613260606118</v>
      </c>
    </row>
    <row r="141" spans="1:10" x14ac:dyDescent="0.2">
      <c r="A141" s="656"/>
      <c r="B141" s="70" t="s">
        <v>602</v>
      </c>
      <c r="J141" s="8">
        <f>$J$130*J134*M42</f>
        <v>766.77505548114812</v>
      </c>
    </row>
    <row r="142" spans="1:10" x14ac:dyDescent="0.2">
      <c r="A142" s="656"/>
      <c r="B142" s="70" t="s">
        <v>603</v>
      </c>
      <c r="J142" s="8">
        <f>$J$130*J135*M32</f>
        <v>70.939814828616505</v>
      </c>
    </row>
    <row r="143" spans="1:10" x14ac:dyDescent="0.2">
      <c r="A143" s="656"/>
      <c r="B143" s="70" t="s">
        <v>604</v>
      </c>
      <c r="J143" s="8">
        <f>$J$130*J136*M38</f>
        <v>211.44385636671663</v>
      </c>
    </row>
    <row r="144" spans="1:10" x14ac:dyDescent="0.2">
      <c r="A144" s="656"/>
      <c r="B144" s="70" t="s">
        <v>605</v>
      </c>
      <c r="J144" s="8">
        <f>$J$130*J137*M39</f>
        <v>74.611049294080132</v>
      </c>
    </row>
  </sheetData>
  <mergeCells count="5">
    <mergeCell ref="A90:A95"/>
    <mergeCell ref="A74:A88"/>
    <mergeCell ref="A107:A127"/>
    <mergeCell ref="A97:A105"/>
    <mergeCell ref="A130:A144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80C0A-1E94-4903-BBFD-0D167D82DCD9}">
  <dimension ref="A1:S110"/>
  <sheetViews>
    <sheetView zoomScaleNormal="100" workbookViewId="0">
      <pane ySplit="1" topLeftCell="A2" activePane="bottomLeft" state="frozen"/>
      <selection pane="bottomLeft" activeCell="F9" sqref="F9:G9"/>
    </sheetView>
  </sheetViews>
  <sheetFormatPr baseColWidth="10" defaultColWidth="11.42578125" defaultRowHeight="15" x14ac:dyDescent="0.25"/>
  <cols>
    <col min="1" max="1" width="11.42578125" style="62"/>
    <col min="2" max="2" width="3.7109375" style="62" bestFit="1" customWidth="1"/>
    <col min="3" max="3" width="39.28515625" style="63" bestFit="1" customWidth="1"/>
    <col min="4" max="15" width="10.7109375" style="63" customWidth="1"/>
    <col min="16" max="19" width="10.7109375" customWidth="1"/>
  </cols>
  <sheetData>
    <row r="1" spans="1:19" s="60" customFormat="1" ht="21.4" customHeight="1" thickBot="1" x14ac:dyDescent="0.3">
      <c r="A1" s="76"/>
      <c r="B1" s="77"/>
      <c r="C1" s="433"/>
      <c r="D1" s="683" t="s">
        <v>0</v>
      </c>
      <c r="E1" s="684"/>
      <c r="F1" s="683" t="s">
        <v>1</v>
      </c>
      <c r="G1" s="684"/>
      <c r="H1" s="683" t="s">
        <v>2</v>
      </c>
      <c r="I1" s="684"/>
      <c r="J1" s="683" t="s">
        <v>3</v>
      </c>
      <c r="K1" s="684"/>
      <c r="L1" s="683" t="s">
        <v>200</v>
      </c>
      <c r="M1" s="684"/>
      <c r="N1" s="683" t="s">
        <v>5</v>
      </c>
      <c r="O1" s="684"/>
      <c r="P1" s="668" t="s">
        <v>616</v>
      </c>
      <c r="Q1" s="669"/>
      <c r="R1" s="699" t="s">
        <v>636</v>
      </c>
      <c r="S1" s="699"/>
    </row>
    <row r="2" spans="1:19" s="60" customFormat="1" ht="30" x14ac:dyDescent="0.25">
      <c r="A2" s="76"/>
      <c r="B2" s="689" t="s">
        <v>201</v>
      </c>
      <c r="C2" s="351" t="s">
        <v>559</v>
      </c>
      <c r="D2" s="349" t="s">
        <v>557</v>
      </c>
      <c r="E2" s="350" t="s">
        <v>558</v>
      </c>
      <c r="F2" s="349" t="s">
        <v>557</v>
      </c>
      <c r="G2" s="350" t="s">
        <v>558</v>
      </c>
      <c r="H2" s="349" t="s">
        <v>557</v>
      </c>
      <c r="I2" s="350" t="s">
        <v>558</v>
      </c>
      <c r="J2" s="349" t="s">
        <v>557</v>
      </c>
      <c r="K2" s="350" t="s">
        <v>558</v>
      </c>
      <c r="L2" s="349" t="s">
        <v>557</v>
      </c>
      <c r="M2" s="350" t="s">
        <v>558</v>
      </c>
      <c r="N2" s="429" t="s">
        <v>557</v>
      </c>
      <c r="O2" s="350" t="s">
        <v>558</v>
      </c>
      <c r="P2" s="430" t="s">
        <v>656</v>
      </c>
      <c r="Q2" s="431" t="s">
        <v>657</v>
      </c>
      <c r="R2" s="432" t="s">
        <v>656</v>
      </c>
      <c r="S2" s="431" t="s">
        <v>657</v>
      </c>
    </row>
    <row r="3" spans="1:19" s="60" customFormat="1" ht="15" customHeight="1" x14ac:dyDescent="0.25">
      <c r="A3" s="76"/>
      <c r="B3" s="689"/>
      <c r="C3" s="83" t="s">
        <v>27</v>
      </c>
      <c r="D3" s="691">
        <f>'Cell parameters'!E4</f>
        <v>3.6</v>
      </c>
      <c r="E3" s="686"/>
      <c r="F3" s="685">
        <f>'Cell parameters'!G4</f>
        <v>3.6</v>
      </c>
      <c r="G3" s="686"/>
      <c r="H3" s="685">
        <f>'Cell parameters'!I4</f>
        <v>3.6</v>
      </c>
      <c r="I3" s="686">
        <v>3.6</v>
      </c>
      <c r="J3" s="685">
        <f>'Cell parameters'!K4</f>
        <v>3.6</v>
      </c>
      <c r="K3" s="686">
        <v>3.6</v>
      </c>
      <c r="L3" s="685">
        <f>'Cell parameters'!M4</f>
        <v>3.6</v>
      </c>
      <c r="M3" s="686">
        <v>3.6</v>
      </c>
      <c r="N3" s="685">
        <f>'Cell parameters'!O4</f>
        <v>3.2</v>
      </c>
      <c r="O3" s="686">
        <v>3.2</v>
      </c>
      <c r="P3" s="674">
        <f>'Cell parameters'!Q4</f>
        <v>3</v>
      </c>
      <c r="Q3" s="675"/>
      <c r="R3" s="700">
        <f>'Cell parameters'!S4</f>
        <v>3.7</v>
      </c>
      <c r="S3" s="700"/>
    </row>
    <row r="4" spans="1:19" s="60" customFormat="1" ht="15" customHeight="1" x14ac:dyDescent="0.25">
      <c r="A4" s="76"/>
      <c r="B4" s="689"/>
      <c r="C4" s="83" t="s">
        <v>315</v>
      </c>
      <c r="D4" s="288">
        <f>'Cell parameters'!D6</f>
        <v>0.21710305562823984</v>
      </c>
      <c r="E4" s="289">
        <f>'Cell parameters'!E6</f>
        <v>0.42476684796829539</v>
      </c>
      <c r="F4" s="299">
        <f>'Cell parameters'!F6</f>
        <v>0.16524934670868197</v>
      </c>
      <c r="G4" s="289">
        <f>'Cell parameters'!G6</f>
        <v>0.32331393921263873</v>
      </c>
      <c r="H4" s="299">
        <f>'Cell parameters'!H6</f>
        <v>0.17018321290803604</v>
      </c>
      <c r="I4" s="289">
        <f>'Cell parameters'!I6</f>
        <v>0.33296715568963564</v>
      </c>
      <c r="J4" s="299">
        <f>'Cell parameters'!J6</f>
        <v>0.20337419687910654</v>
      </c>
      <c r="K4" s="289">
        <f>'Cell parameters'!K6</f>
        <v>0.39790603737216501</v>
      </c>
      <c r="L4" s="299">
        <f>'Cell parameters'!L6</f>
        <v>0.22517721572206759</v>
      </c>
      <c r="M4" s="289">
        <f>'Cell parameters'!M6</f>
        <v>0.44056411771708875</v>
      </c>
      <c r="N4" s="414">
        <f>'Cell parameters'!N6</f>
        <v>0.12185718009137031</v>
      </c>
      <c r="O4" s="415">
        <f>'Cell parameters'!O6</f>
        <v>0.23841622191789849</v>
      </c>
      <c r="P4" s="414">
        <f>'Cell parameters'!P6</f>
        <v>0.10621123217999999</v>
      </c>
      <c r="Q4" s="415">
        <f>'Cell parameters'!Q6</f>
        <v>0.20780458469999999</v>
      </c>
      <c r="R4" s="392">
        <f>'Cell parameters'!R6</f>
        <v>0.23143213838101392</v>
      </c>
      <c r="S4" s="392">
        <f>'Cell parameters'!S6</f>
        <v>0.4528020098758968</v>
      </c>
    </row>
    <row r="5" spans="1:19" s="60" customFormat="1" ht="15" customHeight="1" x14ac:dyDescent="0.25">
      <c r="A5" s="76"/>
      <c r="B5" s="689"/>
      <c r="C5" s="83" t="s">
        <v>314</v>
      </c>
      <c r="D5" s="288">
        <f>'Cell parameters'!D30</f>
        <v>0.93223128491709983</v>
      </c>
      <c r="E5" s="289">
        <f>'Cell parameters'!E30</f>
        <v>1.5063206587870335</v>
      </c>
      <c r="F5" s="299">
        <f>'Cell parameters'!F30</f>
        <v>0.85656567763270319</v>
      </c>
      <c r="G5" s="289">
        <f>'Cell parameters'!G30</f>
        <v>1.3809552108458982</v>
      </c>
      <c r="H5" s="299">
        <f>'Cell parameters'!H30</f>
        <v>0.86552249588703845</v>
      </c>
      <c r="I5" s="289">
        <f>'Cell parameters'!I30</f>
        <v>1.3963218093184988</v>
      </c>
      <c r="J5" s="299">
        <f>'Cell parameters'!J30</f>
        <v>0.8453644294577416</v>
      </c>
      <c r="K5" s="289">
        <f>'Cell parameters'!K30</f>
        <v>1.3618629604747015</v>
      </c>
      <c r="L5" s="299">
        <f>'Cell parameters'!L30</f>
        <v>0.8229727065206458</v>
      </c>
      <c r="M5" s="289">
        <f>'Cell parameters'!M30</f>
        <v>1.3243859610960627</v>
      </c>
      <c r="N5" s="414">
        <f>'Cell parameters'!N30</f>
        <v>0.74778042479780316</v>
      </c>
      <c r="O5" s="415">
        <f>'Cell parameters'!O30</f>
        <v>1.1804290547273473</v>
      </c>
      <c r="P5" s="414">
        <f>'Cell parameters'!P30</f>
        <v>0.7556672943860554</v>
      </c>
      <c r="Q5" s="415">
        <f>'Cell parameters'!Q30</f>
        <v>1.2207297367469128</v>
      </c>
      <c r="R5" s="392">
        <f>'Cell parameters'!R30</f>
        <v>0.64759744671216912</v>
      </c>
      <c r="S5" s="392">
        <f>'Cell parameters'!S30</f>
        <v>1.0521950044368524</v>
      </c>
    </row>
    <row r="6" spans="1:19" s="60" customFormat="1" ht="15" customHeight="1" x14ac:dyDescent="0.25">
      <c r="A6" s="76"/>
      <c r="B6" s="689"/>
      <c r="C6" s="84" t="s">
        <v>552</v>
      </c>
      <c r="D6" s="85">
        <f>'Cell parameters'!D31</f>
        <v>0.23288539994401292</v>
      </c>
      <c r="E6" s="295">
        <f>'Cell parameters'!E31</f>
        <v>0.28198965837084078</v>
      </c>
      <c r="F6" s="300">
        <f>'Cell parameters'!F31</f>
        <v>0.19292081275703551</v>
      </c>
      <c r="G6" s="295">
        <f>'Cell parameters'!G31</f>
        <v>0.23412340724258113</v>
      </c>
      <c r="H6" s="300">
        <f>'Cell parameters'!H31</f>
        <v>0.19662482918323487</v>
      </c>
      <c r="I6" s="295">
        <f>'Cell parameters'!I31</f>
        <v>0.23846018408331424</v>
      </c>
      <c r="J6" s="300">
        <f>'Cell parameters'!J31</f>
        <v>0.24057576802653122</v>
      </c>
      <c r="K6" s="295">
        <f>'Cell parameters'!K31</f>
        <v>0.29217773661563406</v>
      </c>
      <c r="L6" s="300">
        <f>'Cell parameters'!L31</f>
        <v>0.27361443938289171</v>
      </c>
      <c r="M6" s="295">
        <f>'Cell parameters'!M31</f>
        <v>0.33265538193449107</v>
      </c>
      <c r="N6" s="300">
        <f>'Cell parameters'!N31</f>
        <v>0.16295850499739947</v>
      </c>
      <c r="O6" s="295">
        <f>'Cell parameters'!O31</f>
        <v>0.20197420672008731</v>
      </c>
      <c r="P6" s="300">
        <f>'Cell parameters'!P31</f>
        <v>0.14055290333332698</v>
      </c>
      <c r="Q6" s="295">
        <f>'Cell parameters'!Q31</f>
        <v>0.17022980471809623</v>
      </c>
      <c r="R6" s="402">
        <f>'Cell parameters'!R31</f>
        <v>0.3573703688240083</v>
      </c>
      <c r="S6" s="402">
        <f>'Cell parameters'!S31</f>
        <v>0.43034039124548207</v>
      </c>
    </row>
    <row r="7" spans="1:19" s="60" customFormat="1" ht="15" customHeight="1" x14ac:dyDescent="0.25">
      <c r="A7" s="76"/>
      <c r="B7" s="689"/>
      <c r="C7" s="293" t="s">
        <v>549</v>
      </c>
      <c r="D7" s="294">
        <f>'Cell parameters'!D25</f>
        <v>23.333020641811697</v>
      </c>
      <c r="E7" s="296">
        <f>'Cell parameters'!E25</f>
        <v>28.342992697532477</v>
      </c>
      <c r="F7" s="301">
        <f>'Cell parameters'!F25</f>
        <v>20.488869899977377</v>
      </c>
      <c r="G7" s="296">
        <f>'Cell parameters'!G25</f>
        <v>25.075129857938936</v>
      </c>
      <c r="H7" s="301">
        <f>'Cell parameters'!H25</f>
        <v>20.376138191406898</v>
      </c>
      <c r="I7" s="296">
        <f>'Cell parameters'!I25</f>
        <v>24.907408301069783</v>
      </c>
      <c r="J7" s="301">
        <f>'Cell parameters'!J25</f>
        <v>25.018564927155797</v>
      </c>
      <c r="K7" s="296">
        <f>'Cell parameters'!K25</f>
        <v>30.639640270938926</v>
      </c>
      <c r="L7" s="301">
        <f>'Cell parameters'!L25</f>
        <v>28.824259852934706</v>
      </c>
      <c r="M7" s="296">
        <f>'Cell parameters'!M25</f>
        <v>35.389898786448953</v>
      </c>
      <c r="N7" s="301">
        <f>'Cell parameters'!N25</f>
        <v>17.838831007909818</v>
      </c>
      <c r="O7" s="296">
        <f>'Cell parameters'!O25</f>
        <v>21.938589868846734</v>
      </c>
      <c r="P7" s="301">
        <f>'Cell parameters'!P25</f>
        <v>14.346545913452809</v>
      </c>
      <c r="Q7" s="296">
        <f>'Cell parameters'!Q25</f>
        <v>17.5279011102756</v>
      </c>
      <c r="R7" s="294">
        <f>'Cell parameters'!R25</f>
        <v>36.715820555130279</v>
      </c>
      <c r="S7" s="294">
        <f>'Cell parameters'!S25</f>
        <v>50.672891804407662</v>
      </c>
    </row>
    <row r="8" spans="1:19" s="60" customFormat="1" ht="8.1" customHeight="1" x14ac:dyDescent="0.25">
      <c r="A8" s="76"/>
      <c r="B8" s="77"/>
      <c r="C8" s="78"/>
      <c r="D8" s="78"/>
      <c r="E8" s="90"/>
      <c r="F8" s="302"/>
      <c r="G8" s="91"/>
      <c r="H8" s="302"/>
      <c r="I8" s="91"/>
      <c r="J8" s="302"/>
      <c r="K8" s="91"/>
      <c r="L8" s="302"/>
      <c r="M8" s="91"/>
      <c r="N8" s="302"/>
      <c r="O8" s="91"/>
      <c r="P8" s="302"/>
      <c r="Q8" s="91"/>
    </row>
    <row r="9" spans="1:19" s="60" customFormat="1" ht="15" customHeight="1" x14ac:dyDescent="0.25">
      <c r="A9" s="76"/>
      <c r="B9" s="690" t="s">
        <v>52</v>
      </c>
      <c r="C9" s="82" t="s">
        <v>42</v>
      </c>
      <c r="D9" s="694" t="s">
        <v>0</v>
      </c>
      <c r="E9" s="671"/>
      <c r="F9" s="670" t="s">
        <v>1</v>
      </c>
      <c r="G9" s="671"/>
      <c r="H9" s="670" t="s">
        <v>2</v>
      </c>
      <c r="I9" s="671"/>
      <c r="J9" s="670" t="s">
        <v>3</v>
      </c>
      <c r="K9" s="671"/>
      <c r="L9" s="670" t="s">
        <v>200</v>
      </c>
      <c r="M9" s="671"/>
      <c r="N9" s="670" t="s">
        <v>555</v>
      </c>
      <c r="O9" s="671"/>
      <c r="P9" s="670" t="s">
        <v>619</v>
      </c>
      <c r="Q9" s="671"/>
      <c r="R9" s="694" t="s">
        <v>200</v>
      </c>
      <c r="S9" s="671"/>
    </row>
    <row r="10" spans="1:19" s="60" customFormat="1" ht="15" customHeight="1" x14ac:dyDescent="0.25">
      <c r="A10" s="76"/>
      <c r="B10" s="690"/>
      <c r="C10" s="82" t="s">
        <v>258</v>
      </c>
      <c r="D10" s="692" t="s">
        <v>264</v>
      </c>
      <c r="E10" s="673"/>
      <c r="F10" s="672" t="s">
        <v>259</v>
      </c>
      <c r="G10" s="673"/>
      <c r="H10" s="672" t="s">
        <v>260</v>
      </c>
      <c r="I10" s="673"/>
      <c r="J10" s="672" t="s">
        <v>261</v>
      </c>
      <c r="K10" s="673"/>
      <c r="L10" s="672" t="s">
        <v>262</v>
      </c>
      <c r="M10" s="673"/>
      <c r="N10" s="672" t="s">
        <v>263</v>
      </c>
      <c r="O10" s="673"/>
      <c r="P10" s="672" t="s">
        <v>615</v>
      </c>
      <c r="Q10" s="673"/>
      <c r="R10" s="692" t="s">
        <v>262</v>
      </c>
      <c r="S10" s="673"/>
    </row>
    <row r="11" spans="1:19" s="60" customFormat="1" ht="15" customHeight="1" x14ac:dyDescent="0.25">
      <c r="A11" s="76"/>
      <c r="B11" s="690"/>
      <c r="C11" s="83" t="s">
        <v>551</v>
      </c>
      <c r="D11" s="692" t="s">
        <v>43</v>
      </c>
      <c r="E11" s="673"/>
      <c r="F11" s="672" t="s">
        <v>43</v>
      </c>
      <c r="G11" s="673"/>
      <c r="H11" s="672" t="s">
        <v>43</v>
      </c>
      <c r="I11" s="673" t="s">
        <v>43</v>
      </c>
      <c r="J11" s="672" t="s">
        <v>43</v>
      </c>
      <c r="K11" s="673" t="s">
        <v>43</v>
      </c>
      <c r="L11" s="672" t="s">
        <v>43</v>
      </c>
      <c r="M11" s="673" t="s">
        <v>43</v>
      </c>
      <c r="N11" s="672" t="s">
        <v>43</v>
      </c>
      <c r="O11" s="673" t="s">
        <v>43</v>
      </c>
      <c r="P11" s="672" t="s">
        <v>43</v>
      </c>
      <c r="Q11" s="673" t="s">
        <v>43</v>
      </c>
      <c r="R11" s="692" t="s">
        <v>43</v>
      </c>
      <c r="S11" s="673" t="s">
        <v>43</v>
      </c>
    </row>
    <row r="12" spans="1:19" s="60" customFormat="1" ht="15" customHeight="1" x14ac:dyDescent="0.25">
      <c r="A12" s="76"/>
      <c r="B12" s="690"/>
      <c r="C12" s="162" t="s">
        <v>40</v>
      </c>
      <c r="D12" s="163">
        <f>'Cell parameters'!D66</f>
        <v>50</v>
      </c>
      <c r="E12" s="297">
        <f>'Cell parameters'!E66</f>
        <v>90</v>
      </c>
      <c r="F12" s="303">
        <f>'Cell parameters'!F66</f>
        <v>50</v>
      </c>
      <c r="G12" s="297">
        <f>'Cell parameters'!G66</f>
        <v>90</v>
      </c>
      <c r="H12" s="303">
        <f>'Cell parameters'!H66</f>
        <v>50</v>
      </c>
      <c r="I12" s="297">
        <f>'Cell parameters'!I66</f>
        <v>90</v>
      </c>
      <c r="J12" s="303">
        <f>'Cell parameters'!J66</f>
        <v>50</v>
      </c>
      <c r="K12" s="297">
        <f>'Cell parameters'!K66</f>
        <v>90</v>
      </c>
      <c r="L12" s="303">
        <f>'Cell parameters'!L66</f>
        <v>50</v>
      </c>
      <c r="M12" s="297">
        <f>'Cell parameters'!M66</f>
        <v>90</v>
      </c>
      <c r="N12" s="303">
        <f>'Cell parameters'!N66</f>
        <v>50</v>
      </c>
      <c r="O12" s="297">
        <f>'Cell parameters'!O66</f>
        <v>90</v>
      </c>
      <c r="P12" s="303">
        <f>'Cell parameters'!P66</f>
        <v>50</v>
      </c>
      <c r="Q12" s="297">
        <f>'Cell parameters'!Q66</f>
        <v>90</v>
      </c>
      <c r="R12" s="163">
        <f>'Cell parameters'!R66</f>
        <v>50</v>
      </c>
      <c r="S12" s="163">
        <f>'Cell parameters'!S66</f>
        <v>90</v>
      </c>
    </row>
    <row r="13" spans="1:19" s="60" customFormat="1" x14ac:dyDescent="0.25">
      <c r="A13" s="76"/>
      <c r="B13" s="690"/>
      <c r="C13" s="83" t="s">
        <v>41</v>
      </c>
      <c r="D13" s="284">
        <f>'Cell parameters'!D67*100</f>
        <v>31</v>
      </c>
      <c r="E13" s="285">
        <f>'Cell parameters'!E67*100</f>
        <v>25</v>
      </c>
      <c r="F13" s="304">
        <f>'Cell parameters'!F67*100</f>
        <v>31</v>
      </c>
      <c r="G13" s="285">
        <f>'Cell parameters'!G67*100</f>
        <v>25</v>
      </c>
      <c r="H13" s="304">
        <f>'Cell parameters'!H67*100</f>
        <v>31</v>
      </c>
      <c r="I13" s="285">
        <f>'Cell parameters'!I67*100</f>
        <v>25</v>
      </c>
      <c r="J13" s="304">
        <f>'Cell parameters'!J67*100</f>
        <v>31</v>
      </c>
      <c r="K13" s="285">
        <f>'Cell parameters'!K67*100</f>
        <v>25</v>
      </c>
      <c r="L13" s="304">
        <f>'Cell parameters'!L67*100</f>
        <v>31</v>
      </c>
      <c r="M13" s="285">
        <f>'Cell parameters'!M67*100</f>
        <v>25</v>
      </c>
      <c r="N13" s="410">
        <f>'Cell parameters'!N67*100</f>
        <v>31</v>
      </c>
      <c r="O13" s="411">
        <f>'Cell parameters'!O67*100</f>
        <v>25</v>
      </c>
      <c r="P13" s="410">
        <f>'Cell parameters'!P67*100</f>
        <v>31</v>
      </c>
      <c r="Q13" s="411">
        <f>'Cell parameters'!Q67*100</f>
        <v>25</v>
      </c>
      <c r="R13" s="391">
        <f>'Cell parameters'!R67*100</f>
        <v>31</v>
      </c>
      <c r="S13" s="391">
        <f>'Cell parameters'!S67*100</f>
        <v>25</v>
      </c>
    </row>
    <row r="14" spans="1:19" s="60" customFormat="1" x14ac:dyDescent="0.25">
      <c r="A14" s="76"/>
      <c r="B14" s="690"/>
      <c r="C14" s="83" t="s">
        <v>553</v>
      </c>
      <c r="D14" s="692">
        <v>15</v>
      </c>
      <c r="E14" s="673"/>
      <c r="F14" s="672">
        <v>15</v>
      </c>
      <c r="G14" s="673"/>
      <c r="H14" s="672">
        <v>15</v>
      </c>
      <c r="I14" s="673">
        <v>15</v>
      </c>
      <c r="J14" s="672">
        <v>15</v>
      </c>
      <c r="K14" s="673">
        <v>15</v>
      </c>
      <c r="L14" s="672">
        <v>15</v>
      </c>
      <c r="M14" s="673">
        <v>15</v>
      </c>
      <c r="N14" s="672">
        <v>15</v>
      </c>
      <c r="O14" s="673">
        <v>15</v>
      </c>
      <c r="P14" s="672">
        <v>15</v>
      </c>
      <c r="Q14" s="673">
        <v>15</v>
      </c>
      <c r="R14" s="692">
        <v>15</v>
      </c>
      <c r="S14" s="692">
        <v>15</v>
      </c>
    </row>
    <row r="15" spans="1:19" s="60" customFormat="1" x14ac:dyDescent="0.25">
      <c r="A15" s="76"/>
      <c r="B15" s="690"/>
      <c r="C15" s="84" t="s">
        <v>554</v>
      </c>
      <c r="D15" s="693">
        <f>'CAM Characteristics'!C18</f>
        <v>206</v>
      </c>
      <c r="E15" s="677"/>
      <c r="F15" s="693">
        <f>'CAM Characteristics'!D18</f>
        <v>154</v>
      </c>
      <c r="G15" s="677"/>
      <c r="H15" s="693">
        <f>'CAM Characteristics'!E18</f>
        <v>158</v>
      </c>
      <c r="I15" s="677"/>
      <c r="J15" s="693">
        <f>'CAM Characteristics'!F18</f>
        <v>190</v>
      </c>
      <c r="K15" s="677"/>
      <c r="L15" s="693">
        <f>'CAM Characteristics'!G18</f>
        <v>210</v>
      </c>
      <c r="M15" s="677"/>
      <c r="N15" s="676">
        <f>'CAM Characteristics'!H18</f>
        <v>160</v>
      </c>
      <c r="O15" s="677"/>
      <c r="P15" s="676">
        <f>'CAM Characteristics'!I18</f>
        <v>135</v>
      </c>
      <c r="Q15" s="677"/>
      <c r="R15" s="693">
        <f>'CAM Characteristics'!J18</f>
        <v>210</v>
      </c>
      <c r="S15" s="677"/>
    </row>
    <row r="16" spans="1:19" s="60" customFormat="1" ht="8.1" customHeight="1" x14ac:dyDescent="0.25">
      <c r="A16" s="76"/>
      <c r="B16" s="77"/>
      <c r="C16" s="78"/>
      <c r="D16" s="78"/>
      <c r="E16" s="90"/>
      <c r="F16" s="302"/>
      <c r="G16" s="91"/>
      <c r="H16" s="302"/>
      <c r="I16" s="91"/>
      <c r="J16" s="302"/>
      <c r="K16" s="91"/>
      <c r="L16" s="302"/>
      <c r="M16" s="91"/>
      <c r="N16" s="302"/>
      <c r="O16" s="91"/>
      <c r="P16" s="302"/>
      <c r="Q16" s="91"/>
    </row>
    <row r="17" spans="1:19" s="60" customFormat="1" x14ac:dyDescent="0.25">
      <c r="A17" s="76"/>
      <c r="B17" s="690" t="s">
        <v>28</v>
      </c>
      <c r="C17" s="82" t="s">
        <v>29</v>
      </c>
      <c r="D17" s="694" t="s">
        <v>59</v>
      </c>
      <c r="E17" s="671"/>
      <c r="F17" s="670" t="s">
        <v>59</v>
      </c>
      <c r="G17" s="671"/>
      <c r="H17" s="670" t="s">
        <v>59</v>
      </c>
      <c r="I17" s="671" t="s">
        <v>19</v>
      </c>
      <c r="J17" s="670" t="s">
        <v>196</v>
      </c>
      <c r="K17" s="671" t="s">
        <v>20</v>
      </c>
      <c r="L17" s="670" t="s">
        <v>213</v>
      </c>
      <c r="M17" s="671" t="s">
        <v>21</v>
      </c>
      <c r="N17" s="670" t="s">
        <v>59</v>
      </c>
      <c r="O17" s="671"/>
      <c r="P17" s="670" t="s">
        <v>564</v>
      </c>
      <c r="Q17" s="671" t="s">
        <v>19</v>
      </c>
      <c r="R17" s="694" t="s">
        <v>574</v>
      </c>
      <c r="S17" s="694" t="s">
        <v>19</v>
      </c>
    </row>
    <row r="18" spans="1:19" s="61" customFormat="1" x14ac:dyDescent="0.2">
      <c r="A18" s="79"/>
      <c r="B18" s="690"/>
      <c r="C18" s="83" t="s">
        <v>550</v>
      </c>
      <c r="D18" s="286" t="s">
        <v>30</v>
      </c>
      <c r="E18" s="287" t="s">
        <v>31</v>
      </c>
      <c r="F18" s="305" t="s">
        <v>30</v>
      </c>
      <c r="G18" s="287" t="s">
        <v>31</v>
      </c>
      <c r="H18" s="305" t="s">
        <v>32</v>
      </c>
      <c r="I18" s="287" t="s">
        <v>33</v>
      </c>
      <c r="J18" s="305" t="s">
        <v>34</v>
      </c>
      <c r="K18" s="287" t="s">
        <v>35</v>
      </c>
      <c r="L18" s="305" t="s">
        <v>36</v>
      </c>
      <c r="M18" s="287" t="s">
        <v>37</v>
      </c>
      <c r="N18" s="413" t="s">
        <v>38</v>
      </c>
      <c r="O18" s="298" t="s">
        <v>39</v>
      </c>
      <c r="P18" s="413" t="s">
        <v>38</v>
      </c>
      <c r="Q18" s="411" t="s">
        <v>39</v>
      </c>
      <c r="R18" s="352" t="s">
        <v>575</v>
      </c>
      <c r="S18" s="352" t="s">
        <v>575</v>
      </c>
    </row>
    <row r="19" spans="1:19" s="61" customFormat="1" x14ac:dyDescent="0.2">
      <c r="A19" s="79"/>
      <c r="B19" s="690"/>
      <c r="C19" s="83" t="s">
        <v>40</v>
      </c>
      <c r="D19" s="284">
        <f>'Cell parameters'!D40</f>
        <v>68.912086573359076</v>
      </c>
      <c r="E19" s="285">
        <f>'Cell parameters'!E40</f>
        <v>118.66388936068755</v>
      </c>
      <c r="F19" s="304">
        <f>'Cell parameters'!F40</f>
        <v>52.452865085784907</v>
      </c>
      <c r="G19" s="285">
        <f>'Cell parameters'!G40</f>
        <v>90.321760502270251</v>
      </c>
      <c r="H19" s="304">
        <f>'Cell parameters'!H40</f>
        <v>54.018955501635489</v>
      </c>
      <c r="I19" s="285">
        <f>'Cell parameters'!I40</f>
        <v>93.018506299359004</v>
      </c>
      <c r="J19" s="304">
        <f>'Cell parameters'!J40</f>
        <v>50.410343596788067</v>
      </c>
      <c r="K19" s="285">
        <f>'Cell parameters'!K40</f>
        <v>86.806408730200729</v>
      </c>
      <c r="L19" s="304">
        <f>'Cell parameters'!L40</f>
        <v>45.819142035217673</v>
      </c>
      <c r="M19" s="285">
        <f>'Cell parameters'!M40</f>
        <v>78.902011729887647</v>
      </c>
      <c r="N19" s="410">
        <f>'Cell parameters'!N40</f>
        <v>43.514411092509363</v>
      </c>
      <c r="O19" s="298">
        <f>'Cell parameters'!O40</f>
        <v>74.930096014147054</v>
      </c>
      <c r="P19" s="410">
        <f>'Cell parameters'!P40</f>
        <v>60.622339827778546</v>
      </c>
      <c r="Q19" s="411">
        <f>'Cell parameters'!Q40</f>
        <v>104.8480239085649</v>
      </c>
      <c r="R19" s="391">
        <f>'Cell parameters'!R40</f>
        <v>20</v>
      </c>
      <c r="S19" s="391">
        <f>'Cell parameters'!S40</f>
        <v>20</v>
      </c>
    </row>
    <row r="20" spans="1:19" s="60" customFormat="1" x14ac:dyDescent="0.25">
      <c r="A20" s="76"/>
      <c r="B20" s="690"/>
      <c r="C20" s="83" t="s">
        <v>41</v>
      </c>
      <c r="D20" s="86">
        <f>'Cell parameters'!D41*100</f>
        <v>35</v>
      </c>
      <c r="E20" s="298">
        <f>'Cell parameters'!E41*100</f>
        <v>27</v>
      </c>
      <c r="F20" s="306">
        <f>'Cell parameters'!F41*100</f>
        <v>35</v>
      </c>
      <c r="G20" s="298">
        <f>'Cell parameters'!G41*100</f>
        <v>27</v>
      </c>
      <c r="H20" s="306">
        <f>'Cell parameters'!H41*100</f>
        <v>35</v>
      </c>
      <c r="I20" s="298">
        <f>'Cell parameters'!I41*100</f>
        <v>27</v>
      </c>
      <c r="J20" s="306">
        <f>'Cell parameters'!J41*100</f>
        <v>35</v>
      </c>
      <c r="K20" s="298">
        <f>'Cell parameters'!K41*100</f>
        <v>27</v>
      </c>
      <c r="L20" s="306">
        <f>'Cell parameters'!L41*100</f>
        <v>35</v>
      </c>
      <c r="M20" s="298">
        <f>'Cell parameters'!M41*100</f>
        <v>27</v>
      </c>
      <c r="N20" s="306">
        <f>'Cell parameters'!N41*100</f>
        <v>35</v>
      </c>
      <c r="O20" s="298">
        <f>'Cell parameters'!O41*100</f>
        <v>27</v>
      </c>
      <c r="P20" s="306">
        <f>'Cell parameters'!P41*100</f>
        <v>35</v>
      </c>
      <c r="Q20" s="298">
        <f>'Cell parameters'!Q41*100</f>
        <v>27</v>
      </c>
      <c r="R20" s="86">
        <f>'Cell parameters'!R41*100</f>
        <v>0</v>
      </c>
      <c r="S20" s="86">
        <f>'Cell parameters'!S41*100</f>
        <v>0</v>
      </c>
    </row>
    <row r="21" spans="1:19" s="60" customFormat="1" ht="15" customHeight="1" x14ac:dyDescent="0.25">
      <c r="A21" s="76"/>
      <c r="B21" s="690"/>
      <c r="C21" s="83" t="s">
        <v>571</v>
      </c>
      <c r="D21" s="682">
        <v>10</v>
      </c>
      <c r="E21" s="660"/>
      <c r="F21" s="659">
        <v>10</v>
      </c>
      <c r="G21" s="660"/>
      <c r="H21" s="659">
        <v>10</v>
      </c>
      <c r="I21" s="660">
        <v>10</v>
      </c>
      <c r="J21" s="659">
        <v>10</v>
      </c>
      <c r="K21" s="660">
        <v>10</v>
      </c>
      <c r="L21" s="659">
        <v>10</v>
      </c>
      <c r="M21" s="660">
        <v>10</v>
      </c>
      <c r="N21" s="659">
        <v>10</v>
      </c>
      <c r="O21" s="660">
        <v>10</v>
      </c>
      <c r="P21" s="678">
        <f>'Cell parameters'!Q43</f>
        <v>15</v>
      </c>
      <c r="Q21" s="679"/>
      <c r="R21" s="701">
        <f>'Cell parameters'!S43</f>
        <v>10</v>
      </c>
      <c r="S21" s="701"/>
    </row>
    <row r="22" spans="1:19" s="60" customFormat="1" ht="15" customHeight="1" x14ac:dyDescent="0.25">
      <c r="A22" s="76"/>
      <c r="B22" s="690"/>
      <c r="C22" s="84" t="s">
        <v>554</v>
      </c>
      <c r="D22" s="693">
        <v>360</v>
      </c>
      <c r="E22" s="677"/>
      <c r="F22" s="693">
        <v>360</v>
      </c>
      <c r="G22" s="677"/>
      <c r="H22" s="676">
        <v>360</v>
      </c>
      <c r="I22" s="677">
        <v>360</v>
      </c>
      <c r="J22" s="672">
        <f>'Cell parameters'!J48</f>
        <v>462</v>
      </c>
      <c r="K22" s="673">
        <v>462</v>
      </c>
      <c r="L22" s="672">
        <f>'Cell parameters'!L48</f>
        <v>564</v>
      </c>
      <c r="M22" s="673"/>
      <c r="N22" s="676">
        <v>360</v>
      </c>
      <c r="O22" s="677">
        <v>360</v>
      </c>
      <c r="P22" s="657">
        <f>'Cell parameters'!Q48</f>
        <v>350</v>
      </c>
      <c r="Q22" s="658"/>
      <c r="R22" s="702">
        <f>'Cell parameters'!S48</f>
        <v>3860</v>
      </c>
      <c r="S22" s="702"/>
    </row>
    <row r="23" spans="1:19" s="60" customFormat="1" ht="15" customHeight="1" x14ac:dyDescent="0.25">
      <c r="A23" s="76"/>
      <c r="B23" s="690"/>
      <c r="C23" s="83" t="s">
        <v>635</v>
      </c>
      <c r="D23" s="682">
        <v>15</v>
      </c>
      <c r="E23" s="660"/>
      <c r="F23" s="682">
        <v>15</v>
      </c>
      <c r="G23" s="660"/>
      <c r="H23" s="659">
        <v>15</v>
      </c>
      <c r="I23" s="660">
        <v>10</v>
      </c>
      <c r="J23" s="682">
        <v>15</v>
      </c>
      <c r="K23" s="660">
        <v>10</v>
      </c>
      <c r="L23" s="682">
        <v>15</v>
      </c>
      <c r="M23" s="660">
        <v>10</v>
      </c>
      <c r="N23" s="659">
        <v>15</v>
      </c>
      <c r="O23" s="660">
        <v>10</v>
      </c>
      <c r="P23" s="659">
        <v>15</v>
      </c>
      <c r="Q23" s="660">
        <v>10</v>
      </c>
      <c r="R23" s="682">
        <v>15</v>
      </c>
      <c r="S23" s="682">
        <v>10</v>
      </c>
    </row>
    <row r="24" spans="1:19" s="60" customFormat="1" ht="8.1" customHeight="1" x14ac:dyDescent="0.25">
      <c r="A24" s="76"/>
      <c r="B24" s="80"/>
      <c r="C24" s="78"/>
      <c r="D24" s="78"/>
      <c r="E24" s="90"/>
      <c r="F24" s="74"/>
      <c r="G24" s="91"/>
      <c r="H24" s="74"/>
      <c r="I24" s="91"/>
      <c r="J24" s="74"/>
      <c r="K24" s="91"/>
      <c r="L24" s="74"/>
      <c r="M24" s="91"/>
      <c r="N24" s="302"/>
      <c r="O24" s="91"/>
      <c r="P24" s="74"/>
      <c r="Q24" s="74"/>
    </row>
    <row r="25" spans="1:19" s="60" customFormat="1" ht="15" customHeight="1" x14ac:dyDescent="0.25">
      <c r="A25" s="76"/>
      <c r="B25" s="697" t="s">
        <v>423</v>
      </c>
      <c r="C25" s="87" t="s">
        <v>638</v>
      </c>
      <c r="D25" s="663">
        <f>'CAM Characteristics'!C46</f>
        <v>96.778194055129489</v>
      </c>
      <c r="E25" s="664"/>
      <c r="F25" s="663">
        <f>'CAM Characteristics'!D46</f>
        <v>129.64972305431994</v>
      </c>
      <c r="G25" s="664"/>
      <c r="H25" s="663">
        <f>'CAM Characteristics'!E46</f>
        <v>125.87785777600274</v>
      </c>
      <c r="I25" s="664"/>
      <c r="J25" s="663">
        <f>'CAM Characteristics'!F46</f>
        <v>104.29908647570488</v>
      </c>
      <c r="K25" s="664"/>
      <c r="L25" s="663">
        <f>'CAM Characteristics'!G46</f>
        <v>94.195634952938121</v>
      </c>
      <c r="M25" s="664"/>
      <c r="N25" s="667">
        <f>'CAM Characteristics'!H46</f>
        <v>85.922525116369201</v>
      </c>
      <c r="O25" s="664"/>
      <c r="P25" s="401"/>
      <c r="Q25" s="401"/>
      <c r="R25" s="663">
        <f>'CAM Characteristics'!J46</f>
        <v>94.195634952938121</v>
      </c>
      <c r="S25" s="664"/>
    </row>
    <row r="26" spans="1:19" s="60" customFormat="1" ht="15" customHeight="1" x14ac:dyDescent="0.25">
      <c r="A26" s="76"/>
      <c r="B26" s="697"/>
      <c r="C26" s="87" t="s">
        <v>639</v>
      </c>
      <c r="D26" s="665"/>
      <c r="E26" s="666"/>
      <c r="F26" s="665"/>
      <c r="G26" s="666"/>
      <c r="H26" s="665"/>
      <c r="I26" s="666"/>
      <c r="J26" s="665"/>
      <c r="K26" s="666"/>
      <c r="L26" s="665"/>
      <c r="M26" s="666"/>
      <c r="N26" s="681"/>
      <c r="O26" s="666"/>
      <c r="P26" s="663">
        <f>'CAM Characteristics'!I54</f>
        <v>507.77840587818389</v>
      </c>
      <c r="Q26" s="664"/>
      <c r="R26" s="665"/>
      <c r="S26" s="666"/>
    </row>
    <row r="27" spans="1:19" s="60" customFormat="1" ht="15" customHeight="1" x14ac:dyDescent="0.25">
      <c r="A27" s="76"/>
      <c r="B27" s="697"/>
      <c r="C27" s="88" t="s">
        <v>640</v>
      </c>
      <c r="D27" s="663">
        <f>'CAM Characteristics'!C47</f>
        <v>736.63071029680168</v>
      </c>
      <c r="E27" s="664"/>
      <c r="F27" s="663">
        <f>'CAM Characteristics'!D47</f>
        <v>548.24085411501585</v>
      </c>
      <c r="G27" s="664"/>
      <c r="H27" s="663">
        <f>'CAM Characteristics'!E47</f>
        <v>638.74923264467191</v>
      </c>
      <c r="I27" s="664"/>
      <c r="J27" s="663">
        <f>'CAM Characteristics'!F47</f>
        <v>705.66778122802725</v>
      </c>
      <c r="K27" s="664"/>
      <c r="L27" s="663">
        <f>'CAM Characteristics'!G47</f>
        <v>716.97346865880399</v>
      </c>
      <c r="M27" s="664"/>
      <c r="N27" s="681"/>
      <c r="O27" s="666"/>
      <c r="P27" s="663">
        <f>'CAM Characteristics'!I47</f>
        <v>518.54720071632801</v>
      </c>
      <c r="Q27" s="664"/>
      <c r="R27" s="663">
        <f>'CAM Characteristics'!J47</f>
        <v>716.97346865880399</v>
      </c>
      <c r="S27" s="664"/>
    </row>
    <row r="28" spans="1:19" s="60" customFormat="1" ht="15" customHeight="1" x14ac:dyDescent="0.25">
      <c r="A28" s="76"/>
      <c r="B28" s="697"/>
      <c r="C28" s="88" t="s">
        <v>641</v>
      </c>
      <c r="D28" s="695"/>
      <c r="E28" s="696"/>
      <c r="F28" s="663">
        <f>'CAM Characteristics'!D48</f>
        <v>307.89778357765067</v>
      </c>
      <c r="G28" s="664"/>
      <c r="H28" s="663">
        <f>'CAM Characteristics'!E48</f>
        <v>199.29346291774993</v>
      </c>
      <c r="I28" s="664"/>
      <c r="J28" s="663">
        <f>'CAM Characteristics'!F48</f>
        <v>82.564664231455239</v>
      </c>
      <c r="K28" s="664"/>
      <c r="L28" s="663">
        <f>'CAM Characteristics'!G48</f>
        <v>37.283312993204738</v>
      </c>
      <c r="M28" s="664"/>
      <c r="N28" s="681"/>
      <c r="O28" s="666"/>
      <c r="P28" s="663">
        <f>'CAM Characteristics'!I48</f>
        <v>242.68459835759441</v>
      </c>
      <c r="Q28" s="664"/>
      <c r="R28" s="663">
        <f>'CAM Characteristics'!J48</f>
        <v>37.283312993204738</v>
      </c>
      <c r="S28" s="664"/>
    </row>
    <row r="29" spans="1:19" s="60" customFormat="1" ht="15" customHeight="1" x14ac:dyDescent="0.25">
      <c r="A29" s="76"/>
      <c r="B29" s="697"/>
      <c r="C29" s="88" t="s">
        <v>642</v>
      </c>
      <c r="D29" s="663">
        <f>'CAM Characteristics'!C49</f>
        <v>57.527574346605405</v>
      </c>
      <c r="E29" s="664"/>
      <c r="F29" s="663">
        <f>'CAM Characteristics'!D49</f>
        <v>220.19228474946712</v>
      </c>
      <c r="G29" s="664"/>
      <c r="H29" s="663">
        <f>'CAM Characteristics'!E49</f>
        <v>213.786288548057</v>
      </c>
      <c r="I29" s="664"/>
      <c r="J29" s="663">
        <f>'CAM Characteristics'!F49</f>
        <v>88.568851546044556</v>
      </c>
      <c r="K29" s="664"/>
      <c r="L29" s="663">
        <f>'CAM Characteristics'!G49</f>
        <v>39.994593866244116</v>
      </c>
      <c r="M29" s="664"/>
      <c r="N29" s="681"/>
      <c r="O29" s="666"/>
      <c r="P29" s="665"/>
      <c r="Q29" s="666"/>
      <c r="R29" s="663">
        <f>'CAM Characteristics'!J49</f>
        <v>39.994593866244116</v>
      </c>
      <c r="S29" s="664"/>
    </row>
    <row r="30" spans="1:19" s="60" customFormat="1" ht="15" customHeight="1" x14ac:dyDescent="0.25">
      <c r="A30" s="76"/>
      <c r="B30" s="697"/>
      <c r="C30" s="88" t="s">
        <v>643</v>
      </c>
      <c r="D30" s="663">
        <f>'CAM Characteristics'!C50</f>
        <v>11.287714232771448</v>
      </c>
      <c r="E30" s="664"/>
      <c r="F30" s="665"/>
      <c r="G30" s="666"/>
      <c r="H30" s="665"/>
      <c r="I30" s="666"/>
      <c r="J30" s="665"/>
      <c r="K30" s="666"/>
      <c r="L30" s="665"/>
      <c r="M30" s="666"/>
      <c r="N30" s="681"/>
      <c r="O30" s="666"/>
      <c r="P30" s="665"/>
      <c r="Q30" s="666"/>
      <c r="R30" s="665"/>
      <c r="S30" s="666"/>
    </row>
    <row r="31" spans="1:19" s="60" customFormat="1" ht="15" customHeight="1" x14ac:dyDescent="0.25">
      <c r="A31" s="76"/>
      <c r="B31" s="697"/>
      <c r="C31" s="88" t="s">
        <v>644</v>
      </c>
      <c r="D31" s="695"/>
      <c r="E31" s="696"/>
      <c r="F31" s="695"/>
      <c r="G31" s="696"/>
      <c r="H31" s="695"/>
      <c r="I31" s="696"/>
      <c r="J31" s="695"/>
      <c r="K31" s="696"/>
      <c r="L31" s="695"/>
      <c r="M31" s="696"/>
      <c r="N31" s="663">
        <f>'CAM Characteristics'!H51</f>
        <v>691.40395030599962</v>
      </c>
      <c r="O31" s="664"/>
      <c r="P31" s="663">
        <f>'CAM Characteristics'!I51</f>
        <v>493.38202291915854</v>
      </c>
      <c r="Q31" s="664"/>
      <c r="R31" s="695"/>
      <c r="S31" s="696"/>
    </row>
    <row r="32" spans="1:19" s="60" customFormat="1" ht="15" customHeight="1" x14ac:dyDescent="0.25">
      <c r="A32" s="76"/>
      <c r="B32" s="697"/>
      <c r="C32" s="88" t="s">
        <v>645</v>
      </c>
      <c r="D32" s="695"/>
      <c r="E32" s="696"/>
      <c r="F32" s="695"/>
      <c r="G32" s="696"/>
      <c r="H32" s="695"/>
      <c r="I32" s="696"/>
      <c r="J32" s="695"/>
      <c r="K32" s="696"/>
      <c r="L32" s="695"/>
      <c r="M32" s="696"/>
      <c r="N32" s="663">
        <f>'CAM Characteristics'!H52</f>
        <v>383.47893994547502</v>
      </c>
      <c r="O32" s="664"/>
      <c r="P32" s="665"/>
      <c r="Q32" s="666"/>
      <c r="R32" s="695"/>
      <c r="S32" s="696"/>
    </row>
    <row r="33" spans="1:19" s="60" customFormat="1" ht="15" customHeight="1" x14ac:dyDescent="0.25">
      <c r="A33" s="76"/>
      <c r="B33" s="697"/>
      <c r="C33" s="88" t="s">
        <v>646</v>
      </c>
      <c r="D33" s="663">
        <f>'CAM Characteristics'!C53</f>
        <v>446.21162152392412</v>
      </c>
      <c r="E33" s="664"/>
      <c r="F33" s="663">
        <f>'CAM Characteristics'!D53</f>
        <v>597.77115825534997</v>
      </c>
      <c r="G33" s="664"/>
      <c r="H33" s="663">
        <f>'CAM Characteristics'!E53</f>
        <v>580.38035923869393</v>
      </c>
      <c r="I33" s="664"/>
      <c r="J33" s="663">
        <f>'CAM Characteristics'!F53</f>
        <v>480.88792061233499</v>
      </c>
      <c r="K33" s="664"/>
      <c r="L33" s="663">
        <f>'CAM Characteristics'!G53</f>
        <v>434.30431228013168</v>
      </c>
      <c r="M33" s="664"/>
      <c r="N33" s="663">
        <f>'CAM Characteristics'!H53</f>
        <v>792.31958463215608</v>
      </c>
      <c r="O33" s="664"/>
      <c r="P33" s="667">
        <f>'CAM Characteristics'!I53</f>
        <v>706.74357459787075</v>
      </c>
      <c r="Q33" s="664"/>
      <c r="R33" s="663">
        <f>'CAM Characteristics'!J53</f>
        <v>434.30431228013168</v>
      </c>
      <c r="S33" s="664"/>
    </row>
    <row r="34" spans="1:19" s="60" customFormat="1" ht="15" customHeight="1" x14ac:dyDescent="0.25">
      <c r="A34" s="76"/>
      <c r="B34" s="697"/>
      <c r="C34" s="88" t="s">
        <v>467</v>
      </c>
      <c r="D34" s="661">
        <f>'Cell parameters'!E98</f>
        <v>43.49792949855587</v>
      </c>
      <c r="E34" s="680"/>
      <c r="F34" s="661">
        <f>'Cell parameters'!G98</f>
        <v>58.185542056509775</v>
      </c>
      <c r="G34" s="680"/>
      <c r="H34" s="661">
        <f>'Cell parameters'!I98</f>
        <v>56.712490358876629</v>
      </c>
      <c r="I34" s="680"/>
      <c r="J34" s="661">
        <f>'Cell parameters'!K98</f>
        <v>47.160913035276351</v>
      </c>
      <c r="K34" s="680"/>
      <c r="L34" s="661">
        <f>'Cell parameters'!M98</f>
        <v>42.669397508107181</v>
      </c>
      <c r="M34" s="680"/>
      <c r="N34" s="661">
        <f>'Cell parameters'!O98</f>
        <v>63.004032258064512</v>
      </c>
      <c r="O34" s="662"/>
      <c r="P34" s="661">
        <f>'Cell parameters'!Q98</f>
        <v>79.64954201513342</v>
      </c>
      <c r="Q34" s="662"/>
      <c r="R34" s="661">
        <f>'Cell parameters'!S98</f>
        <v>41.516170548428612</v>
      </c>
      <c r="S34" s="680"/>
    </row>
    <row r="35" spans="1:19" s="60" customFormat="1" ht="15" customHeight="1" x14ac:dyDescent="0.25">
      <c r="A35" s="76"/>
      <c r="B35" s="697"/>
      <c r="C35" s="88" t="s">
        <v>468</v>
      </c>
      <c r="D35" s="661">
        <f>'Cell parameters'!E99</f>
        <v>57.997239331407819</v>
      </c>
      <c r="E35" s="680"/>
      <c r="F35" s="661">
        <f>'Cell parameters'!G99</f>
        <v>77.580722742013037</v>
      </c>
      <c r="G35" s="680"/>
      <c r="H35" s="661">
        <f>'Cell parameters'!I99</f>
        <v>75.616653811835533</v>
      </c>
      <c r="I35" s="680"/>
      <c r="J35" s="661">
        <f>'Cell parameters'!K99</f>
        <v>62.881217380368476</v>
      </c>
      <c r="K35" s="680"/>
      <c r="L35" s="661">
        <f>'Cell parameters'!M99</f>
        <v>56.892530010809587</v>
      </c>
      <c r="M35" s="680"/>
      <c r="N35" s="661">
        <f>'Cell parameters'!O99</f>
        <v>84.005376344086031</v>
      </c>
      <c r="O35" s="662"/>
      <c r="P35" s="661">
        <f>'Cell parameters'!Q99</f>
        <v>106.19938935351124</v>
      </c>
      <c r="Q35" s="662"/>
      <c r="R35" s="661">
        <f>'Cell parameters'!S99</f>
        <v>55.354894064571489</v>
      </c>
      <c r="S35" s="680"/>
    </row>
    <row r="36" spans="1:19" s="60" customFormat="1" ht="15" customHeight="1" x14ac:dyDescent="0.25">
      <c r="A36" s="76"/>
      <c r="B36" s="697"/>
      <c r="C36" s="88" t="s">
        <v>469</v>
      </c>
      <c r="D36" s="661">
        <f>'Cell parameters'!E102</f>
        <v>848.76543209876536</v>
      </c>
      <c r="E36" s="680"/>
      <c r="F36" s="661">
        <f>'Cell parameters'!G102</f>
        <v>848.76543209876525</v>
      </c>
      <c r="G36" s="680"/>
      <c r="H36" s="661">
        <f>'Cell parameters'!I102</f>
        <v>848.76543209876547</v>
      </c>
      <c r="I36" s="680"/>
      <c r="J36" s="661">
        <f>'Cell parameters'!K102</f>
        <v>628.30687830687839</v>
      </c>
      <c r="K36" s="680"/>
      <c r="L36" s="661">
        <f>'Cell parameters'!M102</f>
        <v>487.58865248226954</v>
      </c>
      <c r="M36" s="680"/>
      <c r="N36" s="661">
        <f>'Cell parameters'!O102</f>
        <v>954.86111111111131</v>
      </c>
      <c r="O36" s="662"/>
      <c r="P36" s="687"/>
      <c r="Q36" s="698"/>
      <c r="R36" s="687"/>
      <c r="S36" s="698"/>
    </row>
    <row r="37" spans="1:19" s="60" customFormat="1" ht="15" customHeight="1" x14ac:dyDescent="0.25">
      <c r="A37" s="76"/>
      <c r="B37" s="697"/>
      <c r="C37" s="88" t="s">
        <v>470</v>
      </c>
      <c r="D37" s="282"/>
      <c r="E37" s="283"/>
      <c r="F37" s="687"/>
      <c r="G37" s="688"/>
      <c r="H37" s="687"/>
      <c r="I37" s="688"/>
      <c r="J37" s="661">
        <f>'Cell parameters'!K103</f>
        <v>33.068783068783077</v>
      </c>
      <c r="K37" s="680"/>
      <c r="L37" s="661">
        <f>'Cell parameters'!M103</f>
        <v>54.176516942474393</v>
      </c>
      <c r="M37" s="680"/>
      <c r="N37" s="687"/>
      <c r="O37" s="698"/>
      <c r="P37" s="687"/>
      <c r="Q37" s="698"/>
      <c r="R37" s="687"/>
      <c r="S37" s="698"/>
    </row>
    <row r="38" spans="1:19" s="60" customFormat="1" ht="15" customHeight="1" x14ac:dyDescent="0.25">
      <c r="A38" s="76"/>
      <c r="B38" s="697"/>
      <c r="C38" s="88" t="s">
        <v>572</v>
      </c>
      <c r="D38" s="282"/>
      <c r="E38" s="354"/>
      <c r="F38" s="353"/>
      <c r="G38" s="354"/>
      <c r="H38" s="353"/>
      <c r="I38" s="354"/>
      <c r="J38" s="353"/>
      <c r="K38" s="354"/>
      <c r="L38" s="353"/>
      <c r="M38" s="354"/>
      <c r="N38" s="353"/>
      <c r="O38" s="353"/>
      <c r="P38" s="661">
        <f>'Cell parameters'!Q104</f>
        <v>1047.6190476190477</v>
      </c>
      <c r="Q38" s="662"/>
      <c r="R38" s="389"/>
      <c r="S38" s="393"/>
    </row>
    <row r="39" spans="1:19" s="60" customFormat="1" ht="15" customHeight="1" x14ac:dyDescent="0.25">
      <c r="A39" s="76"/>
      <c r="B39" s="697"/>
      <c r="C39" s="88" t="s">
        <v>647</v>
      </c>
      <c r="D39" s="282"/>
      <c r="E39" s="393"/>
      <c r="F39" s="389"/>
      <c r="G39" s="393"/>
      <c r="H39" s="389"/>
      <c r="I39" s="393"/>
      <c r="J39" s="389"/>
      <c r="K39" s="393"/>
      <c r="L39" s="389"/>
      <c r="M39" s="393"/>
      <c r="N39" s="389"/>
      <c r="O39" s="389"/>
      <c r="P39" s="389"/>
      <c r="Q39" s="389"/>
      <c r="R39" s="412">
        <f>'Cell parameters'!R105</f>
        <v>864.18421140253997</v>
      </c>
      <c r="S39" s="412">
        <f>'Cell parameters'!S105</f>
        <v>441.69415249463157</v>
      </c>
    </row>
    <row r="40" spans="1:19" s="60" customFormat="1" ht="15" customHeight="1" x14ac:dyDescent="0.25">
      <c r="A40" s="76"/>
      <c r="B40" s="697"/>
      <c r="C40" s="88" t="s">
        <v>471</v>
      </c>
      <c r="D40" s="161">
        <f>'Cell parameters'!D100</f>
        <v>36.117677961649605</v>
      </c>
      <c r="E40" s="172">
        <f>'Cell parameters'!E100</f>
        <v>35.73749187784275</v>
      </c>
      <c r="F40" s="172">
        <f>'Cell parameters'!F100</f>
        <v>36.117677961649598</v>
      </c>
      <c r="G40" s="172">
        <f>'Cell parameters'!G100</f>
        <v>35.73749187784275</v>
      </c>
      <c r="H40" s="172">
        <f>'Cell parameters'!H100</f>
        <v>36.117677961649612</v>
      </c>
      <c r="I40" s="172">
        <f>'Cell parameters'!I100</f>
        <v>35.737491877842757</v>
      </c>
      <c r="J40" s="172">
        <f>'Cell parameters'!J100</f>
        <v>28.143645164921757</v>
      </c>
      <c r="K40" s="172">
        <f>'Cell parameters'!K100</f>
        <v>27.847396268448904</v>
      </c>
      <c r="L40" s="172">
        <f>'Cell parameters'!L100</f>
        <v>23.053836996797617</v>
      </c>
      <c r="M40" s="172">
        <f>'Cell parameters'!M100</f>
        <v>22.811165028410279</v>
      </c>
      <c r="N40" s="172">
        <f>'Cell parameters'!N100</f>
        <v>40.632387706855802</v>
      </c>
      <c r="O40" s="172">
        <f>'Cell parameters'!O100</f>
        <v>40.204678362573112</v>
      </c>
      <c r="P40" s="388">
        <f>'Cell parameters'!P100</f>
        <v>44.579533941236072</v>
      </c>
      <c r="Q40" s="388">
        <f>'Cell parameters'!Q100</f>
        <v>44.110275689223066</v>
      </c>
      <c r="R40" s="389"/>
      <c r="S40" s="393"/>
    </row>
    <row r="41" spans="1:19" s="60" customFormat="1" ht="15" customHeight="1" x14ac:dyDescent="0.25">
      <c r="A41" s="76"/>
      <c r="B41" s="697"/>
      <c r="C41" s="88" t="s">
        <v>472</v>
      </c>
      <c r="D41" s="161">
        <f>'Cell parameters'!D101</f>
        <v>18.058838980824802</v>
      </c>
      <c r="E41" s="172">
        <f>'Cell parameters'!E101</f>
        <v>8.9343729694606875</v>
      </c>
      <c r="F41" s="172">
        <f>'Cell parameters'!F101</f>
        <v>18.058838980824799</v>
      </c>
      <c r="G41" s="172">
        <f>'Cell parameters'!G101</f>
        <v>8.9343729694606875</v>
      </c>
      <c r="H41" s="172">
        <f>'Cell parameters'!H101</f>
        <v>18.058838980824806</v>
      </c>
      <c r="I41" s="172">
        <f>'Cell parameters'!I101</f>
        <v>8.9343729694606893</v>
      </c>
      <c r="J41" s="172">
        <f>'Cell parameters'!J101</f>
        <v>14.071822582460879</v>
      </c>
      <c r="K41" s="172">
        <f>'Cell parameters'!K101</f>
        <v>6.961849067112226</v>
      </c>
      <c r="L41" s="172">
        <f>'Cell parameters'!L101</f>
        <v>11.526918498398809</v>
      </c>
      <c r="M41" s="172">
        <f>'Cell parameters'!M101</f>
        <v>5.7027912571025698</v>
      </c>
      <c r="N41" s="172">
        <f>'Cell parameters'!N101</f>
        <v>20.316193853427901</v>
      </c>
      <c r="O41" s="172">
        <f>'Cell parameters'!O101</f>
        <v>10.051169590643278</v>
      </c>
      <c r="P41" s="388">
        <f>'Cell parameters'!P101</f>
        <v>22.289766970618036</v>
      </c>
      <c r="Q41" s="388">
        <f>'Cell parameters'!Q101</f>
        <v>11.027568922305766</v>
      </c>
      <c r="R41" s="389"/>
      <c r="S41" s="393"/>
    </row>
    <row r="42" spans="1:19" s="60" customFormat="1" ht="15" customHeight="1" x14ac:dyDescent="0.25">
      <c r="A42" s="76"/>
      <c r="B42" s="697"/>
      <c r="C42" s="88" t="s">
        <v>637</v>
      </c>
      <c r="D42" s="161">
        <f>'Cell parameters'!D106</f>
        <v>671.83619539555889</v>
      </c>
      <c r="E42" s="172">
        <f>'Cell parameters'!E106</f>
        <v>448.75853964098599</v>
      </c>
      <c r="F42" s="172">
        <f>'Cell parameters'!F106</f>
        <v>778.06969226171816</v>
      </c>
      <c r="G42" s="172">
        <f>'Cell parameters'!G106</f>
        <v>518.56912329589056</v>
      </c>
      <c r="H42" s="172">
        <f>'Cell parameters'!H106</f>
        <v>765.17478458398705</v>
      </c>
      <c r="I42" s="172">
        <f>'Cell parameters'!I106</f>
        <v>510.09532682195299</v>
      </c>
      <c r="J42" s="172">
        <f>'Cell parameters'!J106</f>
        <v>621.66618340370303</v>
      </c>
      <c r="K42" s="172">
        <f>'Cell parameters'!K106</f>
        <v>414.20128269456586</v>
      </c>
      <c r="L42" s="172">
        <f>'Cell parameters'!L106</f>
        <v>540.06396138710511</v>
      </c>
      <c r="M42" s="172">
        <f>'Cell parameters'!M106</f>
        <v>359.56316715500975</v>
      </c>
      <c r="N42" s="172">
        <f>'Cell parameters'!N106</f>
        <v>978.11332543362892</v>
      </c>
      <c r="O42" s="172">
        <f>'Cell parameters'!O106</f>
        <v>650.93464078506281</v>
      </c>
      <c r="P42" s="388">
        <f>'Cell parameters'!P106</f>
        <v>1291.3272353975574</v>
      </c>
      <c r="Q42" s="388">
        <f>'Cell parameters'!Q106</f>
        <v>863.44052334056892</v>
      </c>
      <c r="R42" s="390">
        <f>'Cell parameters'!R107</f>
        <v>576.41086900549408</v>
      </c>
      <c r="S42" s="390">
        <f>'Cell parameters'!S107</f>
        <v>384.27391267032942</v>
      </c>
    </row>
    <row r="43" spans="1:19" s="60" customFormat="1" ht="15" customHeight="1" x14ac:dyDescent="0.25">
      <c r="A43" s="76"/>
      <c r="B43" s="697"/>
      <c r="C43" s="88" t="s">
        <v>473</v>
      </c>
      <c r="D43" s="164">
        <f>'Cell parameters'!D108</f>
        <v>186.54735136179232</v>
      </c>
      <c r="E43" s="172">
        <f>'Cell parameters'!E108</f>
        <v>95.346424029360506</v>
      </c>
      <c r="F43" s="172">
        <f>'Cell parameters'!F108</f>
        <v>245.08417616559441</v>
      </c>
      <c r="G43" s="172">
        <f>'Cell parameters'!G108</f>
        <v>125.26524559574821</v>
      </c>
      <c r="H43" s="172">
        <f>'Cell parameters'!H108</f>
        <v>237.97881887378327</v>
      </c>
      <c r="I43" s="172">
        <f>'Cell parameters'!I108</f>
        <v>121.63361853548925</v>
      </c>
      <c r="J43" s="172">
        <f>'Cell parameters'!J108</f>
        <v>199.14030698827915</v>
      </c>
      <c r="K43" s="172">
        <f>'Cell parameters'!K108</f>
        <v>101.78282357178712</v>
      </c>
      <c r="L43" s="172">
        <f>'Cell parameters'!L108</f>
        <v>179.85833899815364</v>
      </c>
      <c r="M43" s="172">
        <f>'Cell parameters'!M108</f>
        <v>91.927595487945197</v>
      </c>
      <c r="N43" s="172">
        <f>'Cell parameters'!N108</f>
        <v>332.35628766095277</v>
      </c>
      <c r="O43" s="172">
        <f>'Cell parameters'!O108</f>
        <v>169.87099147115359</v>
      </c>
      <c r="P43" s="388">
        <f>'Cell parameters'!P108</f>
        <v>381.31560258488662</v>
      </c>
      <c r="Q43" s="388">
        <f>'Cell parameters'!Q108</f>
        <v>194.89464132116427</v>
      </c>
      <c r="R43" s="390">
        <f>'Cell parameters'!R108</f>
        <v>174.99730280901434</v>
      </c>
      <c r="S43" s="390">
        <f>'Cell parameters'!S108</f>
        <v>89.443065880162891</v>
      </c>
    </row>
    <row r="44" spans="1:19" s="60" customFormat="1" ht="15" customHeight="1" x14ac:dyDescent="0.25">
      <c r="A44" s="76"/>
      <c r="B44" s="697"/>
      <c r="C44" s="88" t="s">
        <v>474</v>
      </c>
      <c r="D44" s="172">
        <f>'Cell parameters'!D109</f>
        <v>410.86478374004633</v>
      </c>
      <c r="E44" s="172">
        <f>'Cell parameters'!E109</f>
        <v>209.99755613380142</v>
      </c>
      <c r="F44" s="172">
        <f>'Cell parameters'!F109</f>
        <v>539.79033367829686</v>
      </c>
      <c r="G44" s="172">
        <f>'Cell parameters'!G109</f>
        <v>275.89283721335158</v>
      </c>
      <c r="H44" s="172">
        <f>'Cell parameters'!H109</f>
        <v>524.14100354423374</v>
      </c>
      <c r="I44" s="172">
        <f>'Cell parameters'!I109</f>
        <v>267.89429070038619</v>
      </c>
      <c r="J44" s="172">
        <f>'Cell parameters'!J109</f>
        <v>438.6003798359136</v>
      </c>
      <c r="K44" s="172">
        <f>'Cell parameters'!K109</f>
        <v>224.17352747168917</v>
      </c>
      <c r="L44" s="172">
        <f>'Cell parameters'!L109</f>
        <v>396.13244046013097</v>
      </c>
      <c r="M44" s="172">
        <f>'Cell parameters'!M109</f>
        <v>202.46769179073362</v>
      </c>
      <c r="N44" s="172">
        <f>'Cell parameters'!N109</f>
        <v>732.00446566313553</v>
      </c>
      <c r="O44" s="172">
        <f>'Cell parameters'!O109</f>
        <v>374.13561578338027</v>
      </c>
      <c r="P44" s="401"/>
      <c r="Q44" s="401"/>
      <c r="R44" s="390">
        <f>'Cell parameters'!R109</f>
        <v>385.42615828553284</v>
      </c>
      <c r="S44" s="390">
        <f>'Cell parameters'!S109</f>
        <v>196.99559201260567</v>
      </c>
    </row>
    <row r="45" spans="1:19" s="60" customFormat="1" ht="15" customHeight="1" x14ac:dyDescent="0.25">
      <c r="A45" s="76"/>
      <c r="B45" s="697"/>
      <c r="C45" s="89" t="s">
        <v>475</v>
      </c>
      <c r="D45" s="172">
        <f>'Cell parameters'!D111</f>
        <v>207.27483484643591</v>
      </c>
      <c r="E45" s="172">
        <f>'Cell parameters'!E111</f>
        <v>105.94047114373389</v>
      </c>
      <c r="F45" s="172">
        <f>'Cell parameters'!F111</f>
        <v>272.31575129510486</v>
      </c>
      <c r="G45" s="172">
        <f>'Cell parameters'!G111</f>
        <v>139.18360621749801</v>
      </c>
      <c r="H45" s="172">
        <f>'Cell parameters'!H111</f>
        <v>264.42090985975921</v>
      </c>
      <c r="I45" s="172">
        <f>'Cell parameters'!I111</f>
        <v>135.14846503943249</v>
      </c>
      <c r="J45" s="172">
        <f>'Cell parameters'!J111</f>
        <v>221.2670077647546</v>
      </c>
      <c r="K45" s="172">
        <f>'Cell parameters'!K111</f>
        <v>113.09202619087456</v>
      </c>
      <c r="L45" s="172">
        <f>'Cell parameters'!L111</f>
        <v>199.84259888683735</v>
      </c>
      <c r="M45" s="172">
        <f>'Cell parameters'!M111</f>
        <v>102.14177276438353</v>
      </c>
      <c r="N45" s="172">
        <f>'Cell parameters'!N111</f>
        <v>369.28476406772529</v>
      </c>
      <c r="O45" s="172">
        <f>'Cell parameters'!O111</f>
        <v>188.74554607905955</v>
      </c>
      <c r="P45" s="388">
        <f>'Cell parameters'!P111</f>
        <v>423.68400287209624</v>
      </c>
      <c r="Q45" s="388">
        <f>'Cell parameters'!Q111</f>
        <v>216.54960146796029</v>
      </c>
      <c r="R45" s="389"/>
      <c r="S45" s="393"/>
    </row>
    <row r="46" spans="1:19" s="60" customFormat="1" ht="15" customHeight="1" x14ac:dyDescent="0.25">
      <c r="A46" s="76"/>
      <c r="B46" s="292"/>
      <c r="C46" s="88" t="s">
        <v>519</v>
      </c>
      <c r="D46" s="291">
        <f>'Cell parameters'!D28</f>
        <v>559.96198666994144</v>
      </c>
      <c r="E46" s="291">
        <f>'Cell parameters'!E28</f>
        <v>460.98182831402681</v>
      </c>
      <c r="F46" s="291">
        <f>'Cell parameters'!F28</f>
        <v>637.69278917692066</v>
      </c>
      <c r="G46" s="291">
        <f>'Cell parameters'!G28</f>
        <v>521.05830229481273</v>
      </c>
      <c r="H46" s="291">
        <f>'Cell parameters'!H28</f>
        <v>641.22084719221755</v>
      </c>
      <c r="I46" s="291">
        <f>'Cell parameters'!I28</f>
        <v>524.56700575460752</v>
      </c>
      <c r="J46" s="291">
        <f>'Cell parameters'!J28</f>
        <v>522.23637253541608</v>
      </c>
      <c r="K46" s="291">
        <f>'Cell parameters'!K28</f>
        <v>426.42813290442217</v>
      </c>
      <c r="L46" s="291">
        <f>'Cell parameters'!L28</f>
        <v>453.28499882606252</v>
      </c>
      <c r="M46" s="291">
        <f>'Cell parameters'!M28</f>
        <v>369.19022211508963</v>
      </c>
      <c r="N46" s="291">
        <f>'Cell parameters'!N28</f>
        <v>823.9780488576896</v>
      </c>
      <c r="O46" s="291">
        <f>'Cell parameters'!O28</f>
        <v>669.99771889041051</v>
      </c>
      <c r="P46" s="388">
        <f>'Cell parameters'!P28</f>
        <v>1092.8571662407992</v>
      </c>
      <c r="Q46" s="388">
        <f>'Cell parameters'!Q28</f>
        <v>894.5010251756853</v>
      </c>
      <c r="R46" s="390">
        <f>'Cell parameters'!R28</f>
        <v>346.23984846084716</v>
      </c>
      <c r="S46" s="390">
        <f>'Cell parameters'!S28</f>
        <v>250.87338994176369</v>
      </c>
    </row>
    <row r="47" spans="1:19" s="60" customFormat="1" x14ac:dyDescent="0.25">
      <c r="A47" s="76"/>
      <c r="B47" s="80"/>
      <c r="C47" s="78"/>
      <c r="D47" s="78"/>
      <c r="E47" s="78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43"/>
    </row>
    <row r="48" spans="1:19" s="60" customFormat="1" x14ac:dyDescent="0.25">
      <c r="A48" s="75"/>
      <c r="B48" s="73"/>
      <c r="C48" s="71"/>
      <c r="D48" s="78"/>
      <c r="E48" s="78"/>
      <c r="F48" s="81"/>
      <c r="G48" s="81"/>
      <c r="H48" s="81"/>
      <c r="I48" s="81"/>
      <c r="J48" s="81"/>
      <c r="K48" s="81"/>
      <c r="L48" s="81"/>
      <c r="M48" s="81"/>
      <c r="N48" s="81"/>
      <c r="O48" s="72"/>
      <c r="P48" s="81"/>
      <c r="Q48" s="81"/>
      <c r="R48" s="72"/>
      <c r="S48" s="43"/>
    </row>
    <row r="49" spans="1:19" s="60" customFormat="1" x14ac:dyDescent="0.25">
      <c r="A49" s="75"/>
      <c r="B49" s="73"/>
      <c r="C49" s="71"/>
      <c r="D49" s="390">
        <v>1500</v>
      </c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72"/>
      <c r="P49" s="81"/>
      <c r="Q49" s="81"/>
      <c r="R49" s="72"/>
      <c r="S49" s="43"/>
    </row>
    <row r="50" spans="1:19" ht="15" customHeight="1" x14ac:dyDescent="0.25">
      <c r="A50" s="175"/>
      <c r="B50" s="80"/>
      <c r="C50" s="78"/>
      <c r="D50" s="661">
        <v>3000</v>
      </c>
      <c r="E50" s="680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43"/>
    </row>
    <row r="51" spans="1:19" ht="15" customHeight="1" x14ac:dyDescent="0.25">
      <c r="A51" s="175"/>
      <c r="B51" s="80"/>
      <c r="C51" s="78"/>
      <c r="D51" s="78"/>
      <c r="E51" s="78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43"/>
    </row>
    <row r="52" spans="1:19" ht="15" customHeight="1" x14ac:dyDescent="0.25">
      <c r="A52" s="175"/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</row>
    <row r="53" spans="1:19" ht="15" customHeight="1" x14ac:dyDescent="0.25">
      <c r="A53" s="175"/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</row>
    <row r="54" spans="1:19" ht="15" customHeight="1" x14ac:dyDescent="0.25">
      <c r="A54" s="175"/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</row>
    <row r="55" spans="1:19" ht="15" customHeight="1" x14ac:dyDescent="0.25">
      <c r="A55" s="175"/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</row>
    <row r="56" spans="1:19" ht="15" customHeight="1" x14ac:dyDescent="0.25">
      <c r="A56" s="175"/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</row>
    <row r="57" spans="1:19" ht="15" customHeight="1" x14ac:dyDescent="0.25">
      <c r="A57" s="175"/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5"/>
      <c r="O57" s="175"/>
      <c r="P57" s="175"/>
      <c r="Q57" s="175"/>
    </row>
    <row r="58" spans="1:19" ht="15" customHeight="1" x14ac:dyDescent="0.25">
      <c r="A58" s="175"/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5"/>
      <c r="O58" s="175"/>
      <c r="P58" s="175"/>
      <c r="Q58" s="175"/>
    </row>
    <row r="59" spans="1:19" ht="15" customHeight="1" x14ac:dyDescent="0.25">
      <c r="A59" s="175"/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5"/>
      <c r="O59" s="175"/>
      <c r="P59" s="175"/>
      <c r="Q59" s="175"/>
    </row>
    <row r="60" spans="1:19" ht="15" customHeight="1" x14ac:dyDescent="0.25">
      <c r="A60" s="175"/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5"/>
      <c r="O60" s="175"/>
      <c r="P60" s="175"/>
      <c r="Q60" s="175"/>
    </row>
    <row r="61" spans="1:19" ht="15" customHeight="1" x14ac:dyDescent="0.25">
      <c r="A61" s="175"/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5"/>
      <c r="O61" s="175"/>
      <c r="P61" s="175"/>
      <c r="Q61" s="175"/>
      <c r="R61" s="6"/>
    </row>
    <row r="62" spans="1:19" ht="15" customHeight="1" x14ac:dyDescent="0.25">
      <c r="A62" s="175"/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5"/>
      <c r="O62" s="175"/>
      <c r="P62" s="175"/>
      <c r="Q62" s="175"/>
    </row>
    <row r="63" spans="1:19" ht="14.65" customHeight="1" x14ac:dyDescent="0.25">
      <c r="A63" s="175"/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5"/>
      <c r="O63" s="175"/>
      <c r="P63" s="175"/>
      <c r="Q63" s="175"/>
    </row>
    <row r="64" spans="1:19" ht="15" customHeight="1" x14ac:dyDescent="0.25">
      <c r="A64" s="175"/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5"/>
      <c r="O64" s="175"/>
      <c r="P64" s="175"/>
      <c r="Q64" s="175"/>
    </row>
    <row r="65" spans="1:17" ht="15" customHeight="1" x14ac:dyDescent="0.25">
      <c r="A65" s="175"/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5"/>
      <c r="O65" s="175"/>
      <c r="P65" s="175"/>
      <c r="Q65" s="175"/>
    </row>
    <row r="66" spans="1:17" ht="15" customHeight="1" x14ac:dyDescent="0.25">
      <c r="A66" s="175"/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5"/>
      <c r="O66" s="175"/>
      <c r="P66" s="175"/>
      <c r="Q66" s="175"/>
    </row>
    <row r="67" spans="1:17" ht="15" customHeight="1" x14ac:dyDescent="0.25">
      <c r="A67" s="175"/>
      <c r="B67" s="175"/>
      <c r="C67" s="175"/>
      <c r="D67" s="175"/>
      <c r="E67" s="175"/>
      <c r="F67" s="175"/>
      <c r="G67" s="175"/>
      <c r="H67" s="175"/>
      <c r="I67" s="175"/>
      <c r="J67" s="175"/>
      <c r="K67" s="175"/>
      <c r="L67" s="175"/>
      <c r="M67" s="175"/>
      <c r="N67" s="175"/>
      <c r="O67" s="175"/>
      <c r="P67" s="175"/>
      <c r="Q67" s="175"/>
    </row>
    <row r="68" spans="1:17" ht="15" customHeight="1" x14ac:dyDescent="0.25">
      <c r="A68" s="175"/>
      <c r="B68" s="175"/>
      <c r="C68" s="175"/>
      <c r="D68" s="175"/>
      <c r="E68" s="175"/>
      <c r="F68" s="175"/>
      <c r="G68" s="175"/>
      <c r="H68" s="175"/>
      <c r="I68" s="175"/>
      <c r="J68" s="175"/>
      <c r="K68" s="175"/>
      <c r="L68" s="175"/>
      <c r="M68" s="175"/>
      <c r="N68" s="175"/>
      <c r="O68" s="175"/>
      <c r="P68" s="175"/>
      <c r="Q68" s="175"/>
    </row>
    <row r="69" spans="1:17" ht="15" customHeight="1" x14ac:dyDescent="0.25">
      <c r="A69" s="175"/>
      <c r="B69" s="175"/>
      <c r="C69" s="175"/>
      <c r="D69" s="175"/>
      <c r="E69" s="175"/>
      <c r="F69" s="175"/>
      <c r="G69" s="175"/>
      <c r="H69" s="175"/>
      <c r="I69" s="175"/>
      <c r="J69" s="175"/>
      <c r="K69" s="175"/>
      <c r="L69" s="175"/>
      <c r="M69" s="175"/>
      <c r="N69" s="175"/>
      <c r="O69" s="175"/>
      <c r="P69" s="175"/>
      <c r="Q69" s="175"/>
    </row>
    <row r="70" spans="1:17" ht="15" customHeight="1" x14ac:dyDescent="0.25">
      <c r="A70" s="175"/>
      <c r="B70" s="175"/>
      <c r="C70" s="175"/>
      <c r="D70" s="175"/>
      <c r="E70" s="175"/>
      <c r="F70" s="175"/>
      <c r="G70" s="175"/>
      <c r="H70" s="175"/>
      <c r="I70" s="175"/>
      <c r="J70" s="175"/>
      <c r="K70" s="175"/>
      <c r="L70" s="175"/>
      <c r="M70" s="175"/>
      <c r="N70" s="175"/>
      <c r="O70" s="175"/>
      <c r="P70" s="175"/>
      <c r="Q70" s="175"/>
    </row>
    <row r="71" spans="1:17" ht="15" customHeight="1" x14ac:dyDescent="0.25">
      <c r="A71" s="175"/>
      <c r="B71" s="175"/>
      <c r="C71" s="175"/>
      <c r="D71" s="175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</row>
    <row r="72" spans="1:17" ht="15" customHeight="1" x14ac:dyDescent="0.25">
      <c r="A72" s="175"/>
      <c r="B72" s="175"/>
      <c r="C72" s="175"/>
      <c r="D72" s="175"/>
      <c r="E72" s="175"/>
      <c r="F72" s="175"/>
      <c r="G72" s="175"/>
      <c r="H72" s="175"/>
      <c r="I72" s="175"/>
      <c r="J72" s="175"/>
      <c r="K72" s="175"/>
      <c r="L72" s="175"/>
      <c r="M72" s="175"/>
      <c r="N72" s="175"/>
      <c r="O72" s="175"/>
      <c r="P72" s="175"/>
      <c r="Q72" s="175"/>
    </row>
    <row r="73" spans="1:17" ht="15" customHeight="1" x14ac:dyDescent="0.25">
      <c r="A73" s="175"/>
      <c r="B73" s="175"/>
      <c r="C73" s="175"/>
      <c r="D73" s="175"/>
      <c r="E73" s="175"/>
      <c r="F73" s="175"/>
      <c r="G73" s="175"/>
      <c r="H73" s="175"/>
      <c r="I73" s="175"/>
      <c r="J73" s="175"/>
      <c r="K73" s="175"/>
      <c r="L73" s="175"/>
      <c r="M73" s="175"/>
      <c r="N73" s="175"/>
      <c r="O73" s="175"/>
      <c r="P73" s="175"/>
      <c r="Q73" s="175"/>
    </row>
    <row r="74" spans="1:17" ht="15" customHeight="1" x14ac:dyDescent="0.25">
      <c r="A74" s="175"/>
      <c r="B74" s="175"/>
      <c r="C74" s="175"/>
      <c r="D74" s="175"/>
      <c r="E74" s="175"/>
      <c r="F74" s="175"/>
      <c r="G74" s="175"/>
      <c r="H74" s="175"/>
      <c r="I74" s="175"/>
      <c r="J74" s="175"/>
      <c r="K74" s="175"/>
      <c r="L74" s="175"/>
      <c r="M74" s="175"/>
      <c r="N74" s="175"/>
      <c r="O74" s="175"/>
      <c r="P74" s="175"/>
      <c r="Q74" s="175"/>
    </row>
    <row r="75" spans="1:17" ht="15" customHeight="1" x14ac:dyDescent="0.25">
      <c r="A75" s="175"/>
      <c r="B75" s="175"/>
      <c r="C75" s="175"/>
      <c r="D75" s="175"/>
      <c r="E75" s="175"/>
      <c r="F75" s="175"/>
      <c r="G75" s="175"/>
      <c r="H75" s="175"/>
      <c r="I75" s="175"/>
      <c r="J75" s="175"/>
      <c r="K75" s="175"/>
      <c r="L75" s="175"/>
      <c r="M75" s="175"/>
      <c r="N75" s="175"/>
      <c r="O75" s="175"/>
      <c r="P75" s="175"/>
      <c r="Q75" s="175"/>
    </row>
    <row r="76" spans="1:17" ht="15" customHeight="1" x14ac:dyDescent="0.25">
      <c r="A76" s="175"/>
      <c r="B76" s="175"/>
      <c r="C76" s="175"/>
      <c r="D76" s="175"/>
      <c r="E76" s="175"/>
      <c r="F76" s="175"/>
      <c r="G76" s="175"/>
      <c r="H76" s="175"/>
      <c r="I76" s="175"/>
      <c r="J76" s="175"/>
      <c r="K76" s="175"/>
      <c r="L76" s="175"/>
      <c r="M76" s="175"/>
      <c r="N76" s="175"/>
      <c r="O76" s="175"/>
      <c r="P76" s="175"/>
      <c r="Q76" s="175"/>
    </row>
    <row r="77" spans="1:17" ht="15" customHeight="1" x14ac:dyDescent="0.25">
      <c r="A77" s="175"/>
      <c r="B77" s="175"/>
      <c r="C77" s="175"/>
      <c r="D77" s="175"/>
      <c r="E77" s="175"/>
      <c r="F77" s="175"/>
      <c r="G77" s="175"/>
      <c r="H77" s="175"/>
      <c r="I77" s="175"/>
      <c r="J77" s="175"/>
      <c r="K77" s="175"/>
      <c r="L77" s="175"/>
      <c r="M77" s="175"/>
      <c r="N77" s="175"/>
      <c r="O77" s="175"/>
      <c r="P77" s="175"/>
      <c r="Q77" s="175"/>
    </row>
    <row r="78" spans="1:17" ht="15" customHeight="1" x14ac:dyDescent="0.25">
      <c r="A78" s="175"/>
      <c r="B78" s="175"/>
      <c r="C78" s="175"/>
      <c r="D78" s="175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</row>
    <row r="79" spans="1:17" ht="15" customHeight="1" x14ac:dyDescent="0.25">
      <c r="A79" s="175"/>
      <c r="B79" s="175"/>
      <c r="C79" s="175"/>
      <c r="D79" s="175"/>
      <c r="E79" s="175"/>
      <c r="F79" s="175"/>
      <c r="G79" s="175"/>
      <c r="H79" s="175"/>
      <c r="I79" s="175"/>
      <c r="J79" s="175"/>
      <c r="K79" s="175"/>
      <c r="L79" s="175"/>
      <c r="M79" s="175"/>
      <c r="N79" s="175"/>
      <c r="O79" s="175"/>
      <c r="P79" s="175"/>
      <c r="Q79" s="175"/>
    </row>
    <row r="80" spans="1:17" ht="15" customHeight="1" x14ac:dyDescent="0.25">
      <c r="A80" s="175"/>
      <c r="B80" s="175"/>
      <c r="C80" s="175"/>
      <c r="D80" s="175"/>
      <c r="E80" s="175"/>
      <c r="F80" s="175"/>
      <c r="G80" s="175"/>
      <c r="H80" s="175"/>
      <c r="I80" s="175"/>
      <c r="J80" s="175"/>
      <c r="K80" s="175"/>
      <c r="L80" s="175"/>
      <c r="M80" s="175"/>
      <c r="N80" s="175"/>
      <c r="O80" s="175"/>
      <c r="P80" s="175"/>
      <c r="Q80" s="175"/>
    </row>
    <row r="81" spans="1:17" ht="15" customHeight="1" x14ac:dyDescent="0.25">
      <c r="A81" s="175"/>
      <c r="B81" s="175"/>
      <c r="C81" s="175"/>
      <c r="D81" s="175"/>
      <c r="E81" s="175"/>
      <c r="F81" s="175"/>
      <c r="G81" s="175"/>
      <c r="H81" s="175"/>
      <c r="I81" s="175"/>
      <c r="J81" s="175"/>
      <c r="K81" s="175"/>
      <c r="L81" s="175"/>
      <c r="M81" s="175"/>
      <c r="N81" s="175"/>
      <c r="O81" s="175"/>
      <c r="P81" s="175"/>
      <c r="Q81" s="175"/>
    </row>
    <row r="82" spans="1:17" ht="15" customHeight="1" x14ac:dyDescent="0.25">
      <c r="A82" s="175"/>
      <c r="B82" s="175"/>
      <c r="C82" s="175"/>
      <c r="D82" s="175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</row>
    <row r="83" spans="1:17" ht="15" customHeight="1" x14ac:dyDescent="0.25">
      <c r="A83" s="175"/>
      <c r="B83" s="175"/>
      <c r="C83" s="175"/>
      <c r="D83" s="175"/>
      <c r="E83" s="175"/>
      <c r="F83" s="175"/>
      <c r="G83" s="175"/>
      <c r="H83" s="175"/>
      <c r="I83" s="175"/>
      <c r="J83" s="175"/>
      <c r="K83" s="175"/>
      <c r="L83" s="175"/>
      <c r="M83" s="175"/>
      <c r="N83" s="175"/>
      <c r="O83" s="175"/>
      <c r="P83" s="175"/>
      <c r="Q83" s="175"/>
    </row>
    <row r="84" spans="1:17" ht="15" customHeight="1" x14ac:dyDescent="0.25">
      <c r="A84" s="175"/>
      <c r="B84" s="175"/>
      <c r="C84" s="175"/>
      <c r="D84" s="175"/>
      <c r="E84" s="175"/>
      <c r="F84" s="175"/>
      <c r="G84" s="175"/>
      <c r="H84" s="175"/>
      <c r="I84" s="175"/>
      <c r="J84" s="175"/>
      <c r="K84" s="175"/>
      <c r="L84" s="175"/>
      <c r="M84" s="175"/>
      <c r="N84" s="175"/>
      <c r="O84" s="175"/>
      <c r="P84" s="175"/>
      <c r="Q84" s="175"/>
    </row>
    <row r="85" spans="1:17" ht="15" customHeight="1" x14ac:dyDescent="0.25">
      <c r="A85" s="175"/>
      <c r="B85" s="175"/>
      <c r="C85" s="175"/>
      <c r="D85" s="175"/>
      <c r="E85" s="175"/>
      <c r="F85" s="175"/>
      <c r="G85" s="175"/>
      <c r="H85" s="175"/>
      <c r="I85" s="175"/>
      <c r="J85" s="175"/>
      <c r="K85" s="175"/>
      <c r="L85" s="175"/>
      <c r="M85" s="175"/>
      <c r="N85" s="175"/>
      <c r="O85" s="175"/>
      <c r="P85" s="175"/>
      <c r="Q85" s="175"/>
    </row>
    <row r="86" spans="1:17" ht="15" customHeight="1" x14ac:dyDescent="0.25">
      <c r="A86" s="175"/>
      <c r="B86" s="175"/>
      <c r="C86" s="175"/>
      <c r="D86" s="175"/>
      <c r="E86" s="175"/>
      <c r="F86" s="175"/>
      <c r="G86" s="175"/>
      <c r="H86" s="175"/>
      <c r="I86" s="175"/>
      <c r="J86" s="175"/>
      <c r="K86" s="175"/>
      <c r="L86" s="175"/>
      <c r="M86" s="175"/>
      <c r="N86" s="175"/>
      <c r="O86" s="175"/>
      <c r="P86" s="175"/>
      <c r="Q86" s="175"/>
    </row>
    <row r="87" spans="1:17" ht="15" customHeight="1" x14ac:dyDescent="0.25">
      <c r="A87" s="175"/>
      <c r="B87" s="175"/>
      <c r="C87" s="175"/>
      <c r="D87" s="175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</row>
    <row r="88" spans="1:17" ht="15" customHeight="1" x14ac:dyDescent="0.25">
      <c r="A88" s="175"/>
      <c r="B88" s="175"/>
      <c r="C88" s="175"/>
      <c r="D88" s="175"/>
      <c r="E88" s="175"/>
      <c r="F88" s="175"/>
      <c r="G88" s="175"/>
      <c r="H88" s="175"/>
      <c r="I88" s="175"/>
      <c r="J88" s="175"/>
      <c r="K88" s="175"/>
      <c r="L88" s="175"/>
      <c r="M88" s="175"/>
      <c r="N88" s="175"/>
      <c r="O88" s="175"/>
      <c r="P88" s="175"/>
      <c r="Q88" s="175"/>
    </row>
    <row r="89" spans="1:17" ht="15" customHeight="1" x14ac:dyDescent="0.25">
      <c r="A89" s="175"/>
      <c r="B89" s="175"/>
      <c r="C89" s="175"/>
      <c r="D89" s="175"/>
      <c r="E89" s="175"/>
      <c r="F89" s="175"/>
      <c r="G89" s="175"/>
      <c r="H89" s="175"/>
      <c r="I89" s="175"/>
      <c r="J89" s="175"/>
      <c r="K89" s="175"/>
      <c r="L89" s="175"/>
      <c r="M89" s="175"/>
      <c r="N89" s="175"/>
      <c r="O89" s="175"/>
      <c r="P89" s="175"/>
      <c r="Q89" s="175"/>
    </row>
    <row r="90" spans="1:17" ht="15" customHeight="1" x14ac:dyDescent="0.25">
      <c r="A90" s="175"/>
      <c r="B90" s="175"/>
      <c r="C90" s="175"/>
      <c r="D90" s="175"/>
      <c r="E90" s="175"/>
      <c r="F90" s="175"/>
      <c r="G90" s="175"/>
      <c r="H90" s="175"/>
      <c r="I90" s="175"/>
      <c r="J90" s="175"/>
      <c r="K90" s="175"/>
      <c r="L90" s="175"/>
      <c r="M90" s="175"/>
      <c r="N90" s="175"/>
      <c r="O90" s="175"/>
      <c r="P90" s="175"/>
      <c r="Q90" s="175"/>
    </row>
    <row r="91" spans="1:17" ht="15" customHeight="1" x14ac:dyDescent="0.25">
      <c r="A91" s="175"/>
      <c r="B91" s="175"/>
      <c r="C91" s="175"/>
      <c r="D91" s="175"/>
      <c r="E91" s="175"/>
      <c r="F91" s="175"/>
      <c r="G91" s="175"/>
      <c r="H91" s="175"/>
      <c r="I91" s="175"/>
      <c r="J91" s="175"/>
      <c r="K91" s="175"/>
      <c r="L91" s="175"/>
      <c r="M91" s="175"/>
      <c r="N91" s="175"/>
      <c r="O91" s="175"/>
      <c r="P91" s="175"/>
      <c r="Q91" s="175"/>
    </row>
    <row r="92" spans="1:17" ht="15" customHeight="1" x14ac:dyDescent="0.25">
      <c r="A92" s="175"/>
      <c r="B92" s="175"/>
      <c r="C92" s="175"/>
      <c r="D92" s="175"/>
      <c r="E92" s="175"/>
      <c r="F92" s="175"/>
      <c r="G92" s="175"/>
      <c r="H92" s="175"/>
      <c r="I92" s="175"/>
      <c r="J92" s="175"/>
      <c r="K92" s="175"/>
      <c r="L92" s="175"/>
      <c r="M92" s="175"/>
      <c r="N92" s="175"/>
      <c r="O92" s="175"/>
      <c r="P92" s="175"/>
      <c r="Q92" s="175"/>
    </row>
    <row r="93" spans="1:17" ht="15" customHeight="1" x14ac:dyDescent="0.25">
      <c r="A93" s="175"/>
      <c r="B93" s="175"/>
      <c r="C93" s="175"/>
      <c r="D93" s="175"/>
      <c r="E93" s="175"/>
      <c r="F93" s="175"/>
      <c r="G93" s="175"/>
      <c r="H93" s="175"/>
      <c r="I93" s="175"/>
      <c r="J93" s="175"/>
      <c r="K93" s="175"/>
      <c r="L93" s="175"/>
      <c r="M93" s="175"/>
      <c r="N93" s="175"/>
      <c r="O93" s="175"/>
      <c r="P93" s="175"/>
      <c r="Q93" s="175"/>
    </row>
    <row r="94" spans="1:17" ht="15" customHeight="1" x14ac:dyDescent="0.25">
      <c r="A94" s="175"/>
      <c r="B94" s="175"/>
      <c r="C94" s="175"/>
      <c r="D94" s="175"/>
      <c r="E94" s="175"/>
      <c r="F94" s="175"/>
      <c r="G94" s="175"/>
      <c r="H94" s="175"/>
      <c r="I94" s="175"/>
      <c r="J94" s="175"/>
      <c r="K94" s="175"/>
      <c r="L94" s="175"/>
      <c r="M94" s="175"/>
      <c r="N94" s="175"/>
      <c r="O94" s="175"/>
      <c r="P94" s="175"/>
      <c r="Q94" s="175"/>
    </row>
    <row r="95" spans="1:17" ht="15" customHeight="1" x14ac:dyDescent="0.25">
      <c r="A95" s="175"/>
      <c r="B95" s="175"/>
      <c r="C95" s="175"/>
      <c r="D95" s="175"/>
      <c r="E95" s="175"/>
      <c r="F95" s="175"/>
      <c r="G95" s="175"/>
      <c r="H95" s="175"/>
      <c r="I95" s="175"/>
      <c r="J95" s="175"/>
      <c r="K95" s="175"/>
      <c r="L95" s="175"/>
      <c r="M95" s="175"/>
      <c r="N95" s="175"/>
      <c r="O95" s="175"/>
      <c r="P95" s="175"/>
      <c r="Q95" s="175"/>
    </row>
    <row r="96" spans="1:17" ht="15" customHeight="1" x14ac:dyDescent="0.25">
      <c r="A96" s="175"/>
      <c r="B96" s="175"/>
      <c r="C96" s="175"/>
      <c r="D96" s="175"/>
      <c r="E96" s="175"/>
      <c r="F96" s="175"/>
      <c r="G96" s="175"/>
      <c r="H96" s="175"/>
      <c r="I96" s="175"/>
      <c r="J96" s="175"/>
      <c r="K96" s="175"/>
      <c r="L96" s="175"/>
      <c r="M96" s="175"/>
      <c r="N96" s="175"/>
      <c r="O96" s="175"/>
      <c r="P96" s="175"/>
      <c r="Q96" s="175"/>
    </row>
    <row r="97" spans="1:17" ht="15" customHeight="1" x14ac:dyDescent="0.25">
      <c r="A97" s="175"/>
      <c r="B97" s="175"/>
      <c r="C97" s="175"/>
      <c r="D97" s="175"/>
      <c r="E97" s="175"/>
      <c r="F97" s="175"/>
      <c r="G97" s="175"/>
      <c r="H97" s="175"/>
      <c r="I97" s="175"/>
      <c r="J97" s="175"/>
      <c r="K97" s="175"/>
      <c r="L97" s="175"/>
      <c r="M97" s="175"/>
      <c r="N97" s="175"/>
      <c r="O97" s="175"/>
      <c r="P97" s="175"/>
      <c r="Q97" s="175"/>
    </row>
    <row r="98" spans="1:17" ht="15" customHeight="1" x14ac:dyDescent="0.25">
      <c r="A98" s="175"/>
      <c r="B98" s="175"/>
      <c r="C98" s="175"/>
      <c r="D98" s="175"/>
      <c r="E98" s="175"/>
      <c r="F98" s="175"/>
      <c r="G98" s="175"/>
      <c r="H98" s="175"/>
      <c r="I98" s="175"/>
      <c r="J98" s="175"/>
      <c r="K98" s="175"/>
      <c r="L98" s="175"/>
      <c r="M98" s="175"/>
      <c r="N98" s="175"/>
      <c r="O98" s="175"/>
      <c r="P98" s="175"/>
      <c r="Q98" s="175"/>
    </row>
    <row r="99" spans="1:17" ht="15" customHeight="1" x14ac:dyDescent="0.25">
      <c r="A99" s="175"/>
      <c r="B99" s="175"/>
      <c r="C99" s="175"/>
      <c r="D99" s="175"/>
      <c r="E99" s="175"/>
      <c r="F99" s="175"/>
      <c r="G99" s="175"/>
      <c r="H99" s="175"/>
      <c r="I99" s="175"/>
      <c r="J99" s="175"/>
      <c r="K99" s="175"/>
      <c r="L99" s="175"/>
      <c r="M99" s="175"/>
      <c r="N99" s="175"/>
      <c r="O99" s="175"/>
      <c r="P99" s="175"/>
      <c r="Q99" s="175"/>
    </row>
    <row r="100" spans="1:17" ht="15" customHeight="1" x14ac:dyDescent="0.25">
      <c r="A100" s="175"/>
      <c r="B100" s="175"/>
      <c r="C100" s="175"/>
      <c r="D100" s="175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</row>
    <row r="101" spans="1:17" ht="15" customHeight="1" x14ac:dyDescent="0.25">
      <c r="A101" s="175"/>
      <c r="B101" s="175"/>
      <c r="C101" s="175"/>
      <c r="D101" s="175"/>
      <c r="E101" s="175"/>
      <c r="F101" s="175"/>
      <c r="G101" s="175"/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</row>
    <row r="102" spans="1:17" ht="15" customHeight="1" x14ac:dyDescent="0.25">
      <c r="A102" s="175"/>
      <c r="B102" s="175"/>
      <c r="C102" s="175"/>
      <c r="D102" s="175"/>
      <c r="E102" s="175"/>
      <c r="F102" s="175"/>
      <c r="G102" s="175"/>
      <c r="H102" s="175"/>
      <c r="I102" s="175"/>
      <c r="J102" s="175"/>
      <c r="K102" s="175"/>
      <c r="L102" s="175"/>
      <c r="M102" s="175"/>
      <c r="N102" s="175"/>
      <c r="O102" s="175"/>
      <c r="P102" s="175"/>
      <c r="Q102" s="175"/>
    </row>
    <row r="103" spans="1:17" ht="15" customHeight="1" x14ac:dyDescent="0.25">
      <c r="A103" s="175"/>
      <c r="B103" s="175"/>
      <c r="C103" s="175"/>
      <c r="D103" s="175"/>
      <c r="E103" s="175"/>
      <c r="F103" s="175"/>
      <c r="G103" s="175"/>
      <c r="H103" s="175"/>
      <c r="I103" s="175"/>
      <c r="J103" s="175"/>
      <c r="K103" s="175"/>
      <c r="L103" s="175"/>
      <c r="M103" s="175"/>
      <c r="N103" s="175"/>
      <c r="O103" s="175"/>
      <c r="P103" s="175"/>
      <c r="Q103" s="175"/>
    </row>
    <row r="104" spans="1:17" ht="15" customHeight="1" x14ac:dyDescent="0.25">
      <c r="A104" s="175"/>
      <c r="B104" s="175"/>
      <c r="C104" s="175"/>
      <c r="D104" s="175"/>
      <c r="E104" s="175"/>
      <c r="F104" s="175"/>
      <c r="G104" s="175"/>
      <c r="H104" s="175"/>
      <c r="I104" s="175"/>
      <c r="J104" s="175"/>
      <c r="K104" s="175"/>
      <c r="L104" s="175"/>
      <c r="M104" s="175"/>
      <c r="N104" s="175"/>
      <c r="O104" s="175"/>
      <c r="P104" s="175"/>
      <c r="Q104" s="175"/>
    </row>
    <row r="105" spans="1:17" ht="15" customHeight="1" x14ac:dyDescent="0.25">
      <c r="A105" s="175"/>
      <c r="B105" s="175"/>
      <c r="C105" s="175"/>
      <c r="D105" s="175"/>
      <c r="E105" s="175"/>
      <c r="F105" s="175"/>
      <c r="G105" s="175"/>
      <c r="H105" s="175"/>
      <c r="I105" s="175"/>
      <c r="J105" s="175"/>
      <c r="K105" s="175"/>
      <c r="L105" s="175"/>
      <c r="M105" s="175"/>
      <c r="N105" s="175"/>
      <c r="O105" s="175"/>
      <c r="P105" s="175"/>
      <c r="Q105" s="175"/>
    </row>
    <row r="106" spans="1:17" ht="15" customHeight="1" x14ac:dyDescent="0.25">
      <c r="A106" s="175"/>
      <c r="B106" s="175"/>
      <c r="C106" s="175"/>
      <c r="D106" s="175"/>
      <c r="E106" s="175"/>
      <c r="F106" s="175"/>
      <c r="G106" s="175"/>
      <c r="H106" s="175"/>
      <c r="I106" s="175"/>
      <c r="J106" s="175"/>
      <c r="K106" s="175"/>
      <c r="L106" s="175"/>
      <c r="M106" s="175"/>
      <c r="N106" s="175"/>
      <c r="O106" s="175"/>
      <c r="P106" s="175"/>
      <c r="Q106" s="175"/>
    </row>
    <row r="107" spans="1:17" ht="15" customHeight="1" x14ac:dyDescent="0.25">
      <c r="A107" s="175"/>
      <c r="B107" s="175"/>
      <c r="C107" s="175"/>
      <c r="D107" s="175"/>
      <c r="E107" s="175"/>
      <c r="F107" s="175"/>
      <c r="G107" s="175"/>
      <c r="H107" s="175"/>
      <c r="I107" s="175"/>
      <c r="J107" s="175"/>
      <c r="K107" s="175"/>
      <c r="L107" s="175"/>
      <c r="M107" s="175"/>
      <c r="N107" s="175"/>
      <c r="O107" s="175"/>
      <c r="P107" s="175"/>
      <c r="Q107" s="175"/>
    </row>
    <row r="108" spans="1:17" x14ac:dyDescent="0.25">
      <c r="C108" s="64" t="s">
        <v>23</v>
      </c>
      <c r="D108" s="64"/>
      <c r="E108" s="64"/>
      <c r="F108" s="65">
        <v>848.7654320987657</v>
      </c>
      <c r="G108" s="66">
        <v>848.76543209876559</v>
      </c>
      <c r="H108" s="65">
        <v>848.76543209876536</v>
      </c>
      <c r="I108" s="66">
        <v>848.76543209876559</v>
      </c>
      <c r="J108" s="65">
        <v>661.37566137566137</v>
      </c>
      <c r="K108" s="66">
        <v>661.37566137566125</v>
      </c>
      <c r="L108" s="65">
        <v>453.34652159577979</v>
      </c>
      <c r="M108" s="66">
        <v>453.34652159577985</v>
      </c>
      <c r="N108" s="65">
        <v>954.8611111111112</v>
      </c>
      <c r="O108" s="66">
        <v>954.8611111111112</v>
      </c>
    </row>
    <row r="110" spans="1:17" x14ac:dyDescent="0.25">
      <c r="F110" s="67"/>
    </row>
  </sheetData>
  <mergeCells count="196">
    <mergeCell ref="R34:S34"/>
    <mergeCell ref="R35:S35"/>
    <mergeCell ref="R36:S36"/>
    <mergeCell ref="R37:S37"/>
    <mergeCell ref="P36:Q36"/>
    <mergeCell ref="P37:Q37"/>
    <mergeCell ref="D50:E50"/>
    <mergeCell ref="R25:S25"/>
    <mergeCell ref="R26:S26"/>
    <mergeCell ref="R27:S27"/>
    <mergeCell ref="R28:S28"/>
    <mergeCell ref="R29:S29"/>
    <mergeCell ref="R30:S30"/>
    <mergeCell ref="R31:S31"/>
    <mergeCell ref="R32:S32"/>
    <mergeCell ref="R33:S33"/>
    <mergeCell ref="F28:G28"/>
    <mergeCell ref="F29:G29"/>
    <mergeCell ref="H28:I28"/>
    <mergeCell ref="H29:I29"/>
    <mergeCell ref="J29:K29"/>
    <mergeCell ref="L29:M29"/>
    <mergeCell ref="J27:K27"/>
    <mergeCell ref="F33:G33"/>
    <mergeCell ref="R1:S1"/>
    <mergeCell ref="R17:S17"/>
    <mergeCell ref="D26:E26"/>
    <mergeCell ref="F26:G26"/>
    <mergeCell ref="H26:I26"/>
    <mergeCell ref="J26:K26"/>
    <mergeCell ref="L26:M26"/>
    <mergeCell ref="N26:O26"/>
    <mergeCell ref="R3:S3"/>
    <mergeCell ref="R9:S9"/>
    <mergeCell ref="R10:S10"/>
    <mergeCell ref="R11:S11"/>
    <mergeCell ref="R14:S14"/>
    <mergeCell ref="R15:S15"/>
    <mergeCell ref="R21:S21"/>
    <mergeCell ref="R22:S22"/>
    <mergeCell ref="R23:S23"/>
    <mergeCell ref="N15:O15"/>
    <mergeCell ref="F11:G11"/>
    <mergeCell ref="H11:I11"/>
    <mergeCell ref="N14:O14"/>
    <mergeCell ref="L21:M21"/>
    <mergeCell ref="D22:E22"/>
    <mergeCell ref="F22:G22"/>
    <mergeCell ref="B25:B45"/>
    <mergeCell ref="D29:E29"/>
    <mergeCell ref="D34:E34"/>
    <mergeCell ref="D35:E35"/>
    <mergeCell ref="D23:E23"/>
    <mergeCell ref="F36:G36"/>
    <mergeCell ref="F37:G37"/>
    <mergeCell ref="H36:I36"/>
    <mergeCell ref="N27:O27"/>
    <mergeCell ref="H33:I33"/>
    <mergeCell ref="J30:K30"/>
    <mergeCell ref="J31:K31"/>
    <mergeCell ref="N37:O37"/>
    <mergeCell ref="L31:M31"/>
    <mergeCell ref="L32:M32"/>
    <mergeCell ref="L33:M33"/>
    <mergeCell ref="H31:I31"/>
    <mergeCell ref="H32:I32"/>
    <mergeCell ref="J32:K32"/>
    <mergeCell ref="J33:K33"/>
    <mergeCell ref="D25:E25"/>
    <mergeCell ref="D27:E27"/>
    <mergeCell ref="D28:E28"/>
    <mergeCell ref="H27:I27"/>
    <mergeCell ref="D1:E1"/>
    <mergeCell ref="F17:G17"/>
    <mergeCell ref="H17:I17"/>
    <mergeCell ref="J17:K17"/>
    <mergeCell ref="N17:O17"/>
    <mergeCell ref="D36:E36"/>
    <mergeCell ref="D9:E9"/>
    <mergeCell ref="D17:E17"/>
    <mergeCell ref="D10:E10"/>
    <mergeCell ref="D30:E30"/>
    <mergeCell ref="D31:E31"/>
    <mergeCell ref="D32:E32"/>
    <mergeCell ref="D33:E33"/>
    <mergeCell ref="L17:M17"/>
    <mergeCell ref="L15:M15"/>
    <mergeCell ref="L14:M14"/>
    <mergeCell ref="L22:M22"/>
    <mergeCell ref="F25:G25"/>
    <mergeCell ref="F27:G27"/>
    <mergeCell ref="H25:I25"/>
    <mergeCell ref="F30:G30"/>
    <mergeCell ref="F31:G31"/>
    <mergeCell ref="F32:G32"/>
    <mergeCell ref="H30:I30"/>
    <mergeCell ref="B2:B7"/>
    <mergeCell ref="F23:G23"/>
    <mergeCell ref="H23:I23"/>
    <mergeCell ref="J23:K23"/>
    <mergeCell ref="B17:B23"/>
    <mergeCell ref="B9:B15"/>
    <mergeCell ref="F21:G21"/>
    <mergeCell ref="H21:I21"/>
    <mergeCell ref="J21:K21"/>
    <mergeCell ref="J9:K9"/>
    <mergeCell ref="J14:K14"/>
    <mergeCell ref="H22:I22"/>
    <mergeCell ref="J22:K22"/>
    <mergeCell ref="D3:E3"/>
    <mergeCell ref="D11:E11"/>
    <mergeCell ref="D14:E14"/>
    <mergeCell ref="D15:E15"/>
    <mergeCell ref="D21:E21"/>
    <mergeCell ref="F15:G15"/>
    <mergeCell ref="H15:I15"/>
    <mergeCell ref="J15:K15"/>
    <mergeCell ref="F14:G14"/>
    <mergeCell ref="H14:I14"/>
    <mergeCell ref="J11:K11"/>
    <mergeCell ref="L35:M35"/>
    <mergeCell ref="F34:G34"/>
    <mergeCell ref="H37:I37"/>
    <mergeCell ref="J37:K37"/>
    <mergeCell ref="F35:G35"/>
    <mergeCell ref="L37:M37"/>
    <mergeCell ref="H34:I34"/>
    <mergeCell ref="H35:I35"/>
    <mergeCell ref="J34:K34"/>
    <mergeCell ref="N1:O1"/>
    <mergeCell ref="F1:G1"/>
    <mergeCell ref="N3:O3"/>
    <mergeCell ref="F9:G9"/>
    <mergeCell ref="H1:I1"/>
    <mergeCell ref="N9:O9"/>
    <mergeCell ref="N11:O11"/>
    <mergeCell ref="F10:G10"/>
    <mergeCell ref="H10:I10"/>
    <mergeCell ref="J10:K10"/>
    <mergeCell ref="L10:M10"/>
    <mergeCell ref="N10:O10"/>
    <mergeCell ref="J1:K1"/>
    <mergeCell ref="L1:M1"/>
    <mergeCell ref="F3:G3"/>
    <mergeCell ref="H3:I3"/>
    <mergeCell ref="J3:K3"/>
    <mergeCell ref="L3:M3"/>
    <mergeCell ref="L9:M9"/>
    <mergeCell ref="H9:I9"/>
    <mergeCell ref="L11:M11"/>
    <mergeCell ref="N21:O21"/>
    <mergeCell ref="L36:M36"/>
    <mergeCell ref="N36:O36"/>
    <mergeCell ref="L34:M34"/>
    <mergeCell ref="N34:O34"/>
    <mergeCell ref="J28:K28"/>
    <mergeCell ref="L28:M28"/>
    <mergeCell ref="N31:O31"/>
    <mergeCell ref="N33:O33"/>
    <mergeCell ref="N28:O28"/>
    <mergeCell ref="N32:O32"/>
    <mergeCell ref="J25:K25"/>
    <mergeCell ref="L25:M25"/>
    <mergeCell ref="L27:M27"/>
    <mergeCell ref="J35:K35"/>
    <mergeCell ref="J36:K36"/>
    <mergeCell ref="N22:O22"/>
    <mergeCell ref="L23:M23"/>
    <mergeCell ref="N23:O23"/>
    <mergeCell ref="N25:O25"/>
    <mergeCell ref="N35:O35"/>
    <mergeCell ref="N29:O29"/>
    <mergeCell ref="N30:O30"/>
    <mergeCell ref="L30:M30"/>
    <mergeCell ref="P1:Q1"/>
    <mergeCell ref="P9:Q9"/>
    <mergeCell ref="P10:Q10"/>
    <mergeCell ref="P11:Q11"/>
    <mergeCell ref="P3:Q3"/>
    <mergeCell ref="P17:Q17"/>
    <mergeCell ref="P14:Q14"/>
    <mergeCell ref="P15:Q15"/>
    <mergeCell ref="P21:Q21"/>
    <mergeCell ref="P22:Q22"/>
    <mergeCell ref="P23:Q23"/>
    <mergeCell ref="P38:Q38"/>
    <mergeCell ref="P27:Q27"/>
    <mergeCell ref="P28:Q28"/>
    <mergeCell ref="P29:Q29"/>
    <mergeCell ref="P26:Q26"/>
    <mergeCell ref="P31:Q31"/>
    <mergeCell ref="P30:Q30"/>
    <mergeCell ref="P33:Q33"/>
    <mergeCell ref="P34:Q34"/>
    <mergeCell ref="P35:Q35"/>
    <mergeCell ref="P32:Q32"/>
  </mergeCells>
  <phoneticPr fontId="8" type="noConversion"/>
  <conditionalFormatting sqref="D39:S46">
    <cfRule type="dataBar" priority="5">
      <dataBar>
        <cfvo type="num" val="0"/>
        <cfvo type="num" val="1500"/>
        <color theme="2"/>
      </dataBar>
      <extLst>
        <ext xmlns:x14="http://schemas.microsoft.com/office/spreadsheetml/2009/9/main" uri="{B025F937-C7B1-47D3-B67F-A62EFF666E3E}">
          <x14:id>{A02DDB4B-EA9C-4B0B-AD4A-0FF2D479C97A}</x14:id>
        </ext>
      </extLst>
    </cfRule>
  </conditionalFormatting>
  <conditionalFormatting sqref="D25:S38">
    <cfRule type="dataBar" priority="4">
      <dataBar>
        <cfvo type="num" val="0"/>
        <cfvo type="num" val="3000"/>
        <color theme="2"/>
      </dataBar>
      <extLst>
        <ext xmlns:x14="http://schemas.microsoft.com/office/spreadsheetml/2009/9/main" uri="{B025F937-C7B1-47D3-B67F-A62EFF666E3E}">
          <x14:id>{893BB767-438B-44FA-B85C-FE3B58D3DDEB}</x14:id>
        </ext>
      </extLst>
    </cfRule>
  </conditionalFormatting>
  <conditionalFormatting sqref="D49">
    <cfRule type="dataBar" priority="2">
      <dataBar>
        <cfvo type="num" val="0"/>
        <cfvo type="num" val="1500"/>
        <color theme="2"/>
      </dataBar>
      <extLst>
        <ext xmlns:x14="http://schemas.microsoft.com/office/spreadsheetml/2009/9/main" uri="{B025F937-C7B1-47D3-B67F-A62EFF666E3E}">
          <x14:id>{C3957072-6156-429B-8CC1-8926BAB73F52}</x14:id>
        </ext>
      </extLst>
    </cfRule>
  </conditionalFormatting>
  <conditionalFormatting sqref="D50">
    <cfRule type="dataBar" priority="1">
      <dataBar>
        <cfvo type="num" val="0"/>
        <cfvo type="num" val="3000"/>
        <color theme="2"/>
      </dataBar>
      <extLst>
        <ext xmlns:x14="http://schemas.microsoft.com/office/spreadsheetml/2009/9/main" uri="{B025F937-C7B1-47D3-B67F-A62EFF666E3E}">
          <x14:id>{20EB1ACB-4991-49D2-9155-6FDDEABA4D9A}</x14:id>
        </ext>
      </extLst>
    </cfRule>
  </conditionalFormatting>
  <pageMargins left="0.78740157499999996" right="0.78740157499999996" top="0.984251969" bottom="0.984251969" header="0.4921259845" footer="0.492125984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2DDB4B-EA9C-4B0B-AD4A-0FF2D479C97A}">
            <x14:dataBar minLength="0" maxLength="100" gradient="0">
              <x14:cfvo type="num">
                <xm:f>0</xm:f>
              </x14:cfvo>
              <x14:cfvo type="num">
                <xm:f>1500</xm:f>
              </x14:cfvo>
              <x14:negativeFillColor rgb="FFFF0000"/>
              <x14:axisColor rgb="FF000000"/>
            </x14:dataBar>
          </x14:cfRule>
          <xm:sqref>D39:S46</xm:sqref>
        </x14:conditionalFormatting>
        <x14:conditionalFormatting xmlns:xm="http://schemas.microsoft.com/office/excel/2006/main">
          <x14:cfRule type="dataBar" id="{893BB767-438B-44FA-B85C-FE3B58D3DDEB}">
            <x14:dataBar minLength="0" maxLength="100" gradient="0">
              <x14:cfvo type="num">
                <xm:f>0</xm:f>
              </x14:cfvo>
              <x14:cfvo type="num">
                <xm:f>3000</xm:f>
              </x14:cfvo>
              <x14:negativeFillColor rgb="FFFF0000"/>
              <x14:axisColor rgb="FF000000"/>
            </x14:dataBar>
          </x14:cfRule>
          <xm:sqref>D25:S38</xm:sqref>
        </x14:conditionalFormatting>
        <x14:conditionalFormatting xmlns:xm="http://schemas.microsoft.com/office/excel/2006/main">
          <x14:cfRule type="dataBar" id="{C3957072-6156-429B-8CC1-8926BAB73F52}">
            <x14:dataBar minLength="0" maxLength="100" gradient="0">
              <x14:cfvo type="num">
                <xm:f>0</xm:f>
              </x14:cfvo>
              <x14:cfvo type="num">
                <xm:f>1500</xm:f>
              </x14:cfvo>
              <x14:negativeFillColor rgb="FFFF0000"/>
              <x14:axisColor rgb="FF000000"/>
            </x14:dataBar>
          </x14:cfRule>
          <xm:sqref>D49</xm:sqref>
        </x14:conditionalFormatting>
        <x14:conditionalFormatting xmlns:xm="http://schemas.microsoft.com/office/excel/2006/main">
          <x14:cfRule type="dataBar" id="{20EB1ACB-4991-49D2-9155-6FDDEABA4D9A}">
            <x14:dataBar minLength="0" maxLength="100" gradient="0">
              <x14:cfvo type="num">
                <xm:f>0</xm:f>
              </x14:cfvo>
              <x14:cfvo type="num">
                <xm:f>3000</xm:f>
              </x14:cfvo>
              <x14:negativeFillColor rgb="FFFF0000"/>
              <x14:axisColor rgb="FF000000"/>
            </x14:dataBar>
          </x14:cfRule>
          <xm:sqref>D50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4B582-CA3C-43D2-B9D0-AB4A200D54D1}">
  <dimension ref="A2:M26"/>
  <sheetViews>
    <sheetView workbookViewId="0"/>
  </sheetViews>
  <sheetFormatPr baseColWidth="10" defaultRowHeight="12.75" x14ac:dyDescent="0.2"/>
  <cols>
    <col min="2" max="2" width="3.28515625" bestFit="1" customWidth="1"/>
    <col min="3" max="3" width="37" bestFit="1" customWidth="1"/>
    <col min="5" max="6" width="11.42578125" style="186"/>
    <col min="10" max="10" width="11.42578125" style="105"/>
  </cols>
  <sheetData>
    <row r="2" spans="1:13" ht="13.5" thickBot="1" x14ac:dyDescent="0.25">
      <c r="D2" s="40" t="s">
        <v>0</v>
      </c>
      <c r="E2" s="185" t="s">
        <v>118</v>
      </c>
      <c r="F2" s="185" t="s">
        <v>357</v>
      </c>
      <c r="G2" s="40" t="s">
        <v>1</v>
      </c>
      <c r="H2" s="40" t="s">
        <v>2</v>
      </c>
      <c r="I2" s="40" t="s">
        <v>3</v>
      </c>
      <c r="J2" s="95"/>
      <c r="K2" s="40" t="s">
        <v>350</v>
      </c>
      <c r="L2" s="40" t="s">
        <v>617</v>
      </c>
      <c r="M2" s="403" t="s">
        <v>618</v>
      </c>
    </row>
    <row r="3" spans="1:13" ht="12.75" customHeight="1" x14ac:dyDescent="0.2">
      <c r="A3" s="705" t="s">
        <v>358</v>
      </c>
      <c r="B3" s="704" t="s">
        <v>349</v>
      </c>
      <c r="C3" t="s">
        <v>345</v>
      </c>
      <c r="D3">
        <v>168.62</v>
      </c>
      <c r="E3" s="186">
        <v>168.62</v>
      </c>
      <c r="F3" s="186">
        <v>168.62</v>
      </c>
      <c r="G3">
        <v>168.62</v>
      </c>
      <c r="H3">
        <v>168.62</v>
      </c>
      <c r="I3">
        <v>168.62</v>
      </c>
      <c r="K3">
        <v>168.62</v>
      </c>
      <c r="M3">
        <v>168.62</v>
      </c>
    </row>
    <row r="4" spans="1:13" x14ac:dyDescent="0.2">
      <c r="A4" s="705"/>
      <c r="B4" s="704"/>
      <c r="C4" t="s">
        <v>346</v>
      </c>
      <c r="D4" s="8">
        <f>D3*3.78541/1000</f>
        <v>0.63829583420000002</v>
      </c>
      <c r="E4" s="187">
        <f t="shared" ref="E4:K4" si="0">E3*3.78541/1000</f>
        <v>0.63829583420000002</v>
      </c>
      <c r="F4" s="187">
        <f t="shared" si="0"/>
        <v>0.63829583420000002</v>
      </c>
      <c r="G4" s="8">
        <f t="shared" si="0"/>
        <v>0.63829583420000002</v>
      </c>
      <c r="H4" s="8">
        <f t="shared" si="0"/>
        <v>0.63829583420000002</v>
      </c>
      <c r="I4" s="8">
        <f t="shared" si="0"/>
        <v>0.63829583420000002</v>
      </c>
      <c r="J4" s="69"/>
      <c r="K4" s="8">
        <f t="shared" si="0"/>
        <v>0.63829583420000002</v>
      </c>
      <c r="M4" s="8">
        <f t="shared" ref="M4" si="1">M3*3.78541/1000</f>
        <v>0.63829583420000002</v>
      </c>
    </row>
    <row r="5" spans="1:13" x14ac:dyDescent="0.2">
      <c r="A5" s="705"/>
      <c r="B5" s="704"/>
      <c r="C5" t="s">
        <v>347</v>
      </c>
      <c r="D5">
        <v>38.618000000000002</v>
      </c>
      <c r="E5" s="186">
        <v>38.618000000000002</v>
      </c>
      <c r="F5" s="186">
        <v>38.618000000000002</v>
      </c>
      <c r="G5">
        <v>38.618000000000002</v>
      </c>
      <c r="H5">
        <v>38.618000000000002</v>
      </c>
      <c r="I5">
        <v>38.618000000000002</v>
      </c>
      <c r="K5">
        <v>38.618000000000002</v>
      </c>
      <c r="M5">
        <v>38.618000000000002</v>
      </c>
    </row>
    <row r="6" spans="1:13" x14ac:dyDescent="0.2">
      <c r="A6" s="705"/>
      <c r="B6" s="704"/>
      <c r="C6" t="s">
        <v>348</v>
      </c>
      <c r="D6" s="8">
        <f>D5*293.07107/1000</f>
        <v>11.317818581260003</v>
      </c>
      <c r="E6" s="187">
        <f t="shared" ref="E6:K6" si="2">E5*293.07107/1000</f>
        <v>11.317818581260003</v>
      </c>
      <c r="F6" s="187">
        <f t="shared" si="2"/>
        <v>11.317818581260003</v>
      </c>
      <c r="G6" s="8">
        <f t="shared" si="2"/>
        <v>11.317818581260003</v>
      </c>
      <c r="H6" s="8">
        <f t="shared" si="2"/>
        <v>11.317818581260003</v>
      </c>
      <c r="I6" s="8">
        <f t="shared" si="2"/>
        <v>11.317818581260003</v>
      </c>
      <c r="J6" s="69"/>
      <c r="K6" s="8">
        <f t="shared" si="2"/>
        <v>11.317818581260003</v>
      </c>
      <c r="M6" s="8">
        <f t="shared" ref="M6" si="3">M5*293.07107/1000</f>
        <v>11.317818581260003</v>
      </c>
    </row>
    <row r="7" spans="1:13" x14ac:dyDescent="0.2">
      <c r="A7" s="705"/>
      <c r="B7" s="704" t="s">
        <v>351</v>
      </c>
      <c r="C7" t="s">
        <v>352</v>
      </c>
      <c r="I7" t="s">
        <v>354</v>
      </c>
    </row>
    <row r="8" spans="1:13" ht="12.75" customHeight="1" x14ac:dyDescent="0.2">
      <c r="A8" s="705"/>
      <c r="B8" s="704"/>
      <c r="C8" t="s">
        <v>353</v>
      </c>
      <c r="E8" s="186" t="s">
        <v>354</v>
      </c>
      <c r="F8" s="186" t="s">
        <v>354</v>
      </c>
      <c r="G8" t="s">
        <v>354</v>
      </c>
      <c r="H8" t="s">
        <v>354</v>
      </c>
    </row>
    <row r="9" spans="1:13" x14ac:dyDescent="0.2">
      <c r="A9" s="705"/>
      <c r="B9" s="704"/>
      <c r="C9" t="s">
        <v>355</v>
      </c>
      <c r="D9">
        <v>24.765000000000001</v>
      </c>
      <c r="E9" s="186">
        <v>21.67</v>
      </c>
      <c r="F9" s="186">
        <v>21.67</v>
      </c>
      <c r="G9">
        <v>21.67</v>
      </c>
      <c r="H9">
        <v>21.67</v>
      </c>
      <c r="I9">
        <v>24.765000000000001</v>
      </c>
    </row>
    <row r="10" spans="1:13" x14ac:dyDescent="0.2">
      <c r="A10" s="705"/>
      <c r="B10" s="704"/>
      <c r="C10" t="s">
        <v>356</v>
      </c>
      <c r="D10" s="8">
        <f>D9*293.07107/1000</f>
        <v>7.2579050485500014</v>
      </c>
      <c r="E10" s="187">
        <f t="shared" ref="E10:I10" si="4">E9*293.07107/1000</f>
        <v>6.3508500869000013</v>
      </c>
      <c r="F10" s="187">
        <f t="shared" si="4"/>
        <v>6.3508500869000013</v>
      </c>
      <c r="G10" s="8">
        <f t="shared" si="4"/>
        <v>6.3508500869000013</v>
      </c>
      <c r="H10" s="8">
        <f t="shared" si="4"/>
        <v>6.3508500869000013</v>
      </c>
      <c r="I10" s="8">
        <f t="shared" si="4"/>
        <v>7.2579050485500014</v>
      </c>
      <c r="J10" s="69"/>
    </row>
    <row r="11" spans="1:13" ht="12.75" customHeight="1" x14ac:dyDescent="0.2">
      <c r="A11" s="184"/>
      <c r="B11" s="184"/>
      <c r="C11" s="101"/>
      <c r="D11" s="101"/>
      <c r="E11" s="188"/>
      <c r="F11" s="188"/>
      <c r="G11" s="101"/>
      <c r="H11" s="101"/>
      <c r="I11" s="101"/>
      <c r="K11" s="101"/>
      <c r="L11" s="101"/>
    </row>
    <row r="12" spans="1:13" x14ac:dyDescent="0.2">
      <c r="A12" s="706" t="s">
        <v>359</v>
      </c>
      <c r="B12" s="703" t="s">
        <v>351</v>
      </c>
      <c r="C12" s="101" t="s">
        <v>352</v>
      </c>
      <c r="D12" s="101"/>
      <c r="E12" s="188"/>
      <c r="F12" s="188" t="s">
        <v>354</v>
      </c>
      <c r="G12" s="101"/>
      <c r="H12" s="101"/>
      <c r="I12" s="101"/>
      <c r="K12" s="101"/>
      <c r="L12" s="101"/>
    </row>
    <row r="13" spans="1:13" x14ac:dyDescent="0.2">
      <c r="A13" s="703"/>
      <c r="B13" s="703"/>
      <c r="C13" s="101" t="s">
        <v>353</v>
      </c>
      <c r="D13" s="101"/>
      <c r="E13" s="188"/>
      <c r="F13" s="188"/>
      <c r="G13" s="101"/>
      <c r="H13" s="101"/>
      <c r="I13" s="101"/>
      <c r="K13" s="101"/>
      <c r="L13" s="101" t="s">
        <v>354</v>
      </c>
    </row>
    <row r="14" spans="1:13" x14ac:dyDescent="0.2">
      <c r="A14" s="703"/>
      <c r="B14" s="703"/>
      <c r="C14" s="101" t="s">
        <v>366</v>
      </c>
      <c r="D14" s="101"/>
      <c r="E14" s="188"/>
      <c r="F14" s="188">
        <v>4.5</v>
      </c>
      <c r="G14" s="101"/>
      <c r="H14" s="101"/>
      <c r="I14" s="101"/>
      <c r="K14" s="101"/>
      <c r="L14" s="101">
        <v>16</v>
      </c>
    </row>
    <row r="15" spans="1:13" x14ac:dyDescent="0.2">
      <c r="A15" s="703"/>
      <c r="B15" s="703"/>
      <c r="C15" s="101" t="s">
        <v>367</v>
      </c>
      <c r="D15" s="177"/>
      <c r="E15" s="189"/>
      <c r="F15" s="189">
        <f t="shared" ref="F15" si="5">F14*293.07107/1000</f>
        <v>1.3188198150000001</v>
      </c>
      <c r="G15" s="177"/>
      <c r="H15" s="177"/>
      <c r="I15" s="177"/>
      <c r="J15" s="69"/>
      <c r="K15" s="101"/>
      <c r="L15" s="101"/>
    </row>
    <row r="17" spans="1:13" x14ac:dyDescent="0.2">
      <c r="A17" s="705" t="s">
        <v>363</v>
      </c>
      <c r="B17" s="704" t="s">
        <v>349</v>
      </c>
      <c r="C17" t="s">
        <v>346</v>
      </c>
      <c r="D17" s="8">
        <f>D4</f>
        <v>0.63829583420000002</v>
      </c>
      <c r="E17" s="187">
        <f t="shared" ref="E17:K17" si="6">E4</f>
        <v>0.63829583420000002</v>
      </c>
      <c r="F17" s="187">
        <f t="shared" si="6"/>
        <v>0.63829583420000002</v>
      </c>
      <c r="G17" s="8">
        <f t="shared" si="6"/>
        <v>0.63829583420000002</v>
      </c>
      <c r="H17" s="8">
        <f t="shared" si="6"/>
        <v>0.63829583420000002</v>
      </c>
      <c r="I17" s="8">
        <f t="shared" si="6"/>
        <v>0.63829583420000002</v>
      </c>
      <c r="J17" s="69"/>
      <c r="K17" s="8">
        <f t="shared" si="6"/>
        <v>0.63829583420000002</v>
      </c>
      <c r="M17" s="8">
        <f t="shared" ref="M17" si="7">M4</f>
        <v>0.63829583420000002</v>
      </c>
    </row>
    <row r="18" spans="1:13" x14ac:dyDescent="0.2">
      <c r="A18" s="704"/>
      <c r="B18" s="704"/>
      <c r="C18" t="s">
        <v>360</v>
      </c>
      <c r="D18" s="8">
        <f>D17/'CAM Characteristics'!C21</f>
        <v>0.8607009630528587</v>
      </c>
      <c r="G18" s="8">
        <f>G17/'CAM Characteristics'!D21</f>
        <v>1.1513272622655124</v>
      </c>
      <c r="H18" s="8">
        <f>H17/'CAM Characteristics'!E21</f>
        <v>1.1221797366385371</v>
      </c>
      <c r="I18" s="8">
        <f>I17/'CAM Characteristics'!F21</f>
        <v>0.93318104415204672</v>
      </c>
      <c r="J18" s="69"/>
      <c r="K18" s="8">
        <f>K17/'CAM Characteristics'!G21</f>
        <v>0.84430665899470903</v>
      </c>
      <c r="M18" s="8">
        <f>M17/'CAM Characteristics'!I21</f>
        <v>1.5760390967901234</v>
      </c>
    </row>
    <row r="19" spans="1:13" x14ac:dyDescent="0.2">
      <c r="A19" s="704"/>
      <c r="B19" s="704"/>
      <c r="C19" t="s">
        <v>348</v>
      </c>
      <c r="D19" s="8">
        <f>D6</f>
        <v>11.317818581260003</v>
      </c>
      <c r="E19" s="187">
        <f t="shared" ref="E19:K19" si="8">E6</f>
        <v>11.317818581260003</v>
      </c>
      <c r="F19" s="187">
        <f t="shared" si="8"/>
        <v>11.317818581260003</v>
      </c>
      <c r="G19" s="8">
        <f t="shared" si="8"/>
        <v>11.317818581260003</v>
      </c>
      <c r="H19" s="8">
        <f t="shared" si="8"/>
        <v>11.317818581260003</v>
      </c>
      <c r="I19" s="8">
        <f t="shared" si="8"/>
        <v>11.317818581260003</v>
      </c>
      <c r="J19" s="69"/>
      <c r="K19" s="8">
        <f t="shared" si="8"/>
        <v>11.317818581260003</v>
      </c>
      <c r="M19" s="8">
        <f t="shared" ref="M19" si="9">M6</f>
        <v>11.317818581260003</v>
      </c>
    </row>
    <row r="20" spans="1:13" x14ac:dyDescent="0.2">
      <c r="A20" s="704"/>
      <c r="B20" s="704"/>
      <c r="C20" s="190" t="s">
        <v>361</v>
      </c>
      <c r="D20" s="191">
        <f>D19/'CAM Characteristics'!C21</f>
        <v>15.261351916477889</v>
      </c>
      <c r="E20" s="192"/>
      <c r="F20" s="192"/>
      <c r="G20" s="191">
        <f>G19/'CAM Characteristics'!D21</f>
        <v>20.414535680483411</v>
      </c>
      <c r="H20" s="191">
        <f>H19/'CAM Characteristics'!E21</f>
        <v>19.897711992369903</v>
      </c>
      <c r="I20" s="191">
        <f>I19/'CAM Characteristics'!F21</f>
        <v>16.546518393654974</v>
      </c>
      <c r="J20" s="106"/>
      <c r="K20" s="191">
        <f>K19/'CAM Characteristics'!G21</f>
        <v>14.970659499021167</v>
      </c>
      <c r="L20" s="190"/>
      <c r="M20" s="191">
        <f>M19/'CAM Characteristics'!I21</f>
        <v>27.945231064839511</v>
      </c>
    </row>
    <row r="21" spans="1:13" x14ac:dyDescent="0.2">
      <c r="A21" s="704"/>
      <c r="B21" s="704" t="s">
        <v>351</v>
      </c>
      <c r="C21" t="s">
        <v>352</v>
      </c>
      <c r="D21" t="s">
        <v>354</v>
      </c>
      <c r="I21" t="s">
        <v>354</v>
      </c>
      <c r="K21" t="s">
        <v>354</v>
      </c>
    </row>
    <row r="22" spans="1:13" x14ac:dyDescent="0.2">
      <c r="A22" s="704"/>
      <c r="B22" s="704"/>
      <c r="C22" t="s">
        <v>353</v>
      </c>
      <c r="E22" s="186" t="s">
        <v>354</v>
      </c>
      <c r="F22" s="186" t="s">
        <v>354</v>
      </c>
      <c r="G22" t="s">
        <v>354</v>
      </c>
      <c r="H22" t="s">
        <v>354</v>
      </c>
      <c r="L22" t="s">
        <v>354</v>
      </c>
    </row>
    <row r="23" spans="1:13" x14ac:dyDescent="0.2">
      <c r="A23" s="704"/>
      <c r="B23" s="704"/>
      <c r="C23" t="s">
        <v>356</v>
      </c>
      <c r="D23" s="8">
        <f t="shared" ref="D23:I23" si="10">D10</f>
        <v>7.2579050485500014</v>
      </c>
      <c r="E23" s="187">
        <f t="shared" si="10"/>
        <v>6.3508500869000013</v>
      </c>
      <c r="F23" s="187">
        <f t="shared" si="10"/>
        <v>6.3508500869000013</v>
      </c>
      <c r="G23" s="8">
        <f t="shared" si="10"/>
        <v>6.3508500869000013</v>
      </c>
      <c r="H23" s="8">
        <f t="shared" si="10"/>
        <v>6.3508500869000013</v>
      </c>
      <c r="I23" s="8">
        <f t="shared" si="10"/>
        <v>7.2579050485500014</v>
      </c>
      <c r="J23" s="69"/>
      <c r="K23" s="8">
        <f>I10</f>
        <v>7.2579050485500014</v>
      </c>
      <c r="L23" s="8">
        <f>E10</f>
        <v>6.3508500869000013</v>
      </c>
      <c r="M23" s="8">
        <f>F10</f>
        <v>6.3508500869000013</v>
      </c>
    </row>
    <row r="24" spans="1:13" x14ac:dyDescent="0.2">
      <c r="A24" s="704"/>
      <c r="B24" s="704"/>
      <c r="C24" s="190" t="s">
        <v>362</v>
      </c>
      <c r="D24" s="191">
        <f>D23/'CAM Characteristics'!C21</f>
        <v>9.7868191053802605</v>
      </c>
      <c r="E24" s="192"/>
      <c r="F24" s="192"/>
      <c r="G24" s="191">
        <f>G23/'CAM Characteristics'!D21</f>
        <v>11.455357299603177</v>
      </c>
      <c r="H24" s="191">
        <f>H23/'CAM Characteristics'!E21</f>
        <v>11.165348254043602</v>
      </c>
      <c r="I24" s="191">
        <f>I23/'CAM Characteristics'!F21</f>
        <v>10.610972293201757</v>
      </c>
      <c r="J24" s="106"/>
      <c r="K24" s="191">
        <f>K23/'CAM Characteristics'!G21</f>
        <v>9.600403503373018</v>
      </c>
      <c r="L24" s="191">
        <f>L23/'CAM Characteristics'!H21</f>
        <v>12.404004075976564</v>
      </c>
      <c r="M24" s="191">
        <f>K23/'CAM Characteristics'!I21</f>
        <v>17.920753206296297</v>
      </c>
    </row>
    <row r="25" spans="1:13" x14ac:dyDescent="0.2">
      <c r="B25" s="183"/>
    </row>
    <row r="26" spans="1:13" x14ac:dyDescent="0.2">
      <c r="B26" s="183"/>
    </row>
  </sheetData>
  <mergeCells count="8">
    <mergeCell ref="B12:B15"/>
    <mergeCell ref="B17:B20"/>
    <mergeCell ref="B7:B10"/>
    <mergeCell ref="A3:A10"/>
    <mergeCell ref="A17:A24"/>
    <mergeCell ref="B3:B6"/>
    <mergeCell ref="A12:A15"/>
    <mergeCell ref="B21:B24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C2456-3C58-452B-B274-D92E3CCA13F9}">
  <dimension ref="B2:J365"/>
  <sheetViews>
    <sheetView zoomScale="85" zoomScaleNormal="85" workbookViewId="0">
      <selection activeCell="L59" sqref="L59"/>
    </sheetView>
  </sheetViews>
  <sheetFormatPr baseColWidth="10" defaultRowHeight="12.75" x14ac:dyDescent="0.2"/>
  <cols>
    <col min="2" max="2" width="27.7109375" customWidth="1"/>
    <col min="3" max="3" width="19" bestFit="1" customWidth="1"/>
    <col min="4" max="4" width="27.7109375" customWidth="1"/>
    <col min="5" max="5" width="12.42578125" bestFit="1" customWidth="1"/>
    <col min="6" max="6" width="19" customWidth="1"/>
    <col min="7" max="7" width="27.7109375" customWidth="1"/>
    <col min="9" max="9" width="27.7109375" customWidth="1"/>
  </cols>
  <sheetData>
    <row r="2" spans="2:10" ht="13.5" thickBot="1" x14ac:dyDescent="0.25">
      <c r="B2" s="707" t="s">
        <v>387</v>
      </c>
      <c r="C2" s="707"/>
      <c r="D2" s="707"/>
      <c r="E2" s="707"/>
      <c r="G2" s="707" t="s">
        <v>454</v>
      </c>
      <c r="H2" s="707"/>
      <c r="I2" s="707"/>
      <c r="J2" s="707"/>
    </row>
    <row r="4" spans="2:10" x14ac:dyDescent="0.2">
      <c r="B4" t="s">
        <v>506</v>
      </c>
      <c r="C4" s="165">
        <f>LCIA!E49</f>
        <v>1.1034348530798701</v>
      </c>
      <c r="D4" t="s">
        <v>28</v>
      </c>
      <c r="E4" t="s">
        <v>266</v>
      </c>
      <c r="G4" t="s">
        <v>512</v>
      </c>
      <c r="H4" s="165">
        <f>LCIA!D49</f>
        <v>1.3138067327812863</v>
      </c>
      <c r="I4" t="s">
        <v>28</v>
      </c>
      <c r="J4" t="s">
        <v>266</v>
      </c>
    </row>
    <row r="5" spans="2:10" x14ac:dyDescent="0.2">
      <c r="B5" t="s">
        <v>506</v>
      </c>
      <c r="C5" s="165">
        <f>LCIA!E15+LCIA!E13+LCIA!E12+LCIA!E10</f>
        <v>1.5452774073145561</v>
      </c>
      <c r="D5" t="s">
        <v>52</v>
      </c>
      <c r="E5" t="s">
        <v>266</v>
      </c>
      <c r="G5" t="s">
        <v>512</v>
      </c>
      <c r="H5" s="165">
        <f>LCIA!D15+LCIA!D13+LCIA!D12+LCIA!D10</f>
        <v>1.636478334646988</v>
      </c>
      <c r="I5" t="s">
        <v>52</v>
      </c>
      <c r="J5" t="s">
        <v>266</v>
      </c>
    </row>
    <row r="6" spans="2:10" x14ac:dyDescent="0.2">
      <c r="B6" t="s">
        <v>506</v>
      </c>
      <c r="C6" s="165">
        <f>LCIA!E60</f>
        <v>0.10594047114373389</v>
      </c>
      <c r="D6" t="s">
        <v>632</v>
      </c>
      <c r="E6" t="s">
        <v>266</v>
      </c>
      <c r="G6" t="s">
        <v>512</v>
      </c>
      <c r="H6" s="165">
        <f>LCIA!D60</f>
        <v>0.20727483484643591</v>
      </c>
      <c r="I6" t="s">
        <v>61</v>
      </c>
      <c r="J6" t="s">
        <v>266</v>
      </c>
    </row>
    <row r="7" spans="2:10" x14ac:dyDescent="0.2">
      <c r="B7" t="s">
        <v>506</v>
      </c>
      <c r="C7" s="165">
        <f>LCIA!E61</f>
        <v>0.448758539640986</v>
      </c>
      <c r="D7" t="s">
        <v>630</v>
      </c>
      <c r="E7" t="s">
        <v>266</v>
      </c>
      <c r="G7" t="s">
        <v>512</v>
      </c>
      <c r="H7" s="165">
        <f>LCIA!D61</f>
        <v>0.67183619539555894</v>
      </c>
      <c r="I7" t="s">
        <v>195</v>
      </c>
      <c r="J7" t="s">
        <v>266</v>
      </c>
    </row>
    <row r="8" spans="2:10" x14ac:dyDescent="0.2">
      <c r="B8" t="s">
        <v>506</v>
      </c>
      <c r="C8" s="165">
        <f>LCIA!E64</f>
        <v>0.46098182831402679</v>
      </c>
      <c r="D8" t="s">
        <v>631</v>
      </c>
      <c r="E8" t="s">
        <v>266</v>
      </c>
      <c r="G8" t="s">
        <v>512</v>
      </c>
      <c r="H8" s="165">
        <f>LCIA!D64</f>
        <v>0.55996198666994146</v>
      </c>
      <c r="I8" t="s">
        <v>505</v>
      </c>
      <c r="J8" t="s">
        <v>266</v>
      </c>
    </row>
    <row r="9" spans="2:10" x14ac:dyDescent="0.2">
      <c r="C9" s="165"/>
      <c r="H9" s="165"/>
    </row>
    <row r="10" spans="2:10" x14ac:dyDescent="0.2">
      <c r="B10" t="s">
        <v>52</v>
      </c>
      <c r="C10" s="165">
        <f>LCIA!E10</f>
        <v>9.5346424029360499E-2</v>
      </c>
      <c r="D10" t="s">
        <v>198</v>
      </c>
      <c r="E10" s="7" t="s">
        <v>268</v>
      </c>
      <c r="G10" t="s">
        <v>52</v>
      </c>
      <c r="H10" s="165">
        <f>LCIA!D10</f>
        <v>0.18654735136179232</v>
      </c>
      <c r="I10" t="s">
        <v>267</v>
      </c>
      <c r="J10" t="s">
        <v>268</v>
      </c>
    </row>
    <row r="11" spans="2:10" x14ac:dyDescent="0.2">
      <c r="B11" t="s">
        <v>52</v>
      </c>
      <c r="C11" s="165">
        <f>LCIA!E15+LCIA!E13+LCIA!E12</f>
        <v>1.4499309832851957</v>
      </c>
      <c r="D11" t="s">
        <v>218</v>
      </c>
      <c r="E11" s="7" t="s">
        <v>268</v>
      </c>
      <c r="G11" t="s">
        <v>52</v>
      </c>
      <c r="H11" s="165">
        <f>LCIA!D15+LCIA!D13+LCIA!D12</f>
        <v>1.4499309832851957</v>
      </c>
      <c r="I11" t="s">
        <v>218</v>
      </c>
      <c r="J11" t="s">
        <v>268</v>
      </c>
    </row>
    <row r="12" spans="2:10" x14ac:dyDescent="0.2">
      <c r="B12" t="s">
        <v>271</v>
      </c>
      <c r="C12" s="165">
        <f>LCIA!E14</f>
        <v>1.4499309832851957</v>
      </c>
      <c r="D12" t="s">
        <v>218</v>
      </c>
      <c r="E12" s="7"/>
      <c r="G12" t="s">
        <v>271</v>
      </c>
      <c r="H12" s="165">
        <f>LCIA!D14</f>
        <v>1.4499309832851957</v>
      </c>
      <c r="I12" t="s">
        <v>218</v>
      </c>
    </row>
    <row r="13" spans="2:10" x14ac:dyDescent="0.2">
      <c r="C13" s="165"/>
      <c r="H13" s="165"/>
    </row>
    <row r="14" spans="2:10" x14ac:dyDescent="0.2">
      <c r="B14" t="s">
        <v>28</v>
      </c>
      <c r="C14" s="165">
        <f>LCIA!E50</f>
        <v>0.20999755613380142</v>
      </c>
      <c r="D14" t="s">
        <v>219</v>
      </c>
      <c r="E14" s="7" t="s">
        <v>268</v>
      </c>
      <c r="G14" t="s">
        <v>28</v>
      </c>
      <c r="H14" s="165">
        <f>LCIA!D50</f>
        <v>0.41086478374004631</v>
      </c>
      <c r="I14" t="s">
        <v>58</v>
      </c>
      <c r="J14" t="s">
        <v>268</v>
      </c>
    </row>
    <row r="15" spans="2:10" x14ac:dyDescent="0.2">
      <c r="B15" t="s">
        <v>28</v>
      </c>
      <c r="C15" s="165">
        <f>LCIA!E52-LCIA!E59</f>
        <v>0.89343729694606866</v>
      </c>
      <c r="D15" t="s">
        <v>197</v>
      </c>
      <c r="E15" s="7" t="s">
        <v>268</v>
      </c>
      <c r="G15" t="s">
        <v>28</v>
      </c>
      <c r="H15" s="165">
        <f>LCIA!D52</f>
        <v>1.8058838980824801</v>
      </c>
      <c r="I15" t="s">
        <v>197</v>
      </c>
      <c r="J15" t="s">
        <v>268</v>
      </c>
    </row>
    <row r="16" spans="2:10" x14ac:dyDescent="0.2">
      <c r="B16" t="s">
        <v>406</v>
      </c>
      <c r="C16" s="165">
        <f>LCIA!E59</f>
        <v>0.89343729694606888</v>
      </c>
      <c r="D16" t="s">
        <v>197</v>
      </c>
      <c r="E16" s="7"/>
      <c r="G16" t="s">
        <v>406</v>
      </c>
      <c r="H16" s="165">
        <f>LCIA!D59</f>
        <v>0.90294194904124003</v>
      </c>
      <c r="I16" t="s">
        <v>197</v>
      </c>
    </row>
    <row r="17" spans="2:10" x14ac:dyDescent="0.2">
      <c r="C17" s="165"/>
      <c r="H17" s="165"/>
    </row>
    <row r="18" spans="2:10" x14ac:dyDescent="0.2">
      <c r="B18" t="s">
        <v>197</v>
      </c>
      <c r="C18" s="165">
        <f>LCIA!E53</f>
        <v>0.84876543209876532</v>
      </c>
      <c r="D18" t="s">
        <v>59</v>
      </c>
      <c r="E18" s="7" t="s">
        <v>270</v>
      </c>
      <c r="G18" t="s">
        <v>197</v>
      </c>
      <c r="H18" s="165">
        <f>LCIA!D53</f>
        <v>0.84876543209876554</v>
      </c>
      <c r="I18" t="s">
        <v>59</v>
      </c>
      <c r="J18" t="s">
        <v>270</v>
      </c>
    </row>
    <row r="19" spans="2:10" x14ac:dyDescent="0.2">
      <c r="B19" t="s">
        <v>197</v>
      </c>
      <c r="C19" s="165">
        <f>LCIA!E54</f>
        <v>0</v>
      </c>
      <c r="D19" t="s">
        <v>193</v>
      </c>
      <c r="E19" t="s">
        <v>270</v>
      </c>
      <c r="G19" t="s">
        <v>197</v>
      </c>
      <c r="H19" s="165">
        <f>LCIA!D54</f>
        <v>0</v>
      </c>
      <c r="I19" t="s">
        <v>193</v>
      </c>
      <c r="J19" t="s">
        <v>270</v>
      </c>
    </row>
    <row r="20" spans="2:10" x14ac:dyDescent="0.2">
      <c r="B20" t="s">
        <v>197</v>
      </c>
      <c r="C20" s="165">
        <f>LCIA!E57</f>
        <v>8.9343729694606883E-3</v>
      </c>
      <c r="D20" t="s">
        <v>269</v>
      </c>
      <c r="E20" t="s">
        <v>270</v>
      </c>
      <c r="G20" t="s">
        <v>197</v>
      </c>
      <c r="H20" s="165">
        <f>LCIA!D57</f>
        <v>1.8058838980824804E-2</v>
      </c>
      <c r="I20" t="s">
        <v>269</v>
      </c>
      <c r="J20" t="s">
        <v>270</v>
      </c>
    </row>
    <row r="21" spans="2:10" x14ac:dyDescent="0.2">
      <c r="B21" s="165" t="s">
        <v>197</v>
      </c>
      <c r="C21" s="165">
        <f>LCIA!E58</f>
        <v>3.5737491877842753E-2</v>
      </c>
      <c r="D21" t="s">
        <v>69</v>
      </c>
      <c r="E21" t="s">
        <v>270</v>
      </c>
      <c r="G21" t="s">
        <v>197</v>
      </c>
      <c r="H21" s="165">
        <f>LCIA!D58</f>
        <v>3.6117677961649608E-2</v>
      </c>
      <c r="I21" t="s">
        <v>69</v>
      </c>
      <c r="J21" t="s">
        <v>270</v>
      </c>
    </row>
    <row r="22" spans="2:10" x14ac:dyDescent="0.2">
      <c r="B22" s="165" t="s">
        <v>197</v>
      </c>
      <c r="C22" s="165">
        <f>LCIA!E59</f>
        <v>0.89343729694606888</v>
      </c>
      <c r="D22" t="s">
        <v>405</v>
      </c>
      <c r="E22" t="s">
        <v>270</v>
      </c>
      <c r="G22" t="s">
        <v>197</v>
      </c>
      <c r="H22" s="165">
        <f>LCIA!D59</f>
        <v>0.90294194904124003</v>
      </c>
      <c r="I22" t="s">
        <v>405</v>
      </c>
      <c r="J22" t="s">
        <v>270</v>
      </c>
    </row>
    <row r="23" spans="2:10" x14ac:dyDescent="0.2">
      <c r="C23" s="166"/>
      <c r="H23" s="165"/>
    </row>
    <row r="24" spans="2:10" x14ac:dyDescent="0.2">
      <c r="B24" s="165" t="s">
        <v>218</v>
      </c>
      <c r="C24" s="166">
        <f>LCIA!E13</f>
        <v>4.3497929498555868E-2</v>
      </c>
      <c r="D24" t="s">
        <v>628</v>
      </c>
      <c r="E24" t="s">
        <v>270</v>
      </c>
      <c r="G24" t="s">
        <v>218</v>
      </c>
      <c r="H24" s="165">
        <f>LCIA!D13</f>
        <v>4.3497929498555861E-2</v>
      </c>
      <c r="I24" t="s">
        <v>67</v>
      </c>
      <c r="J24" t="s">
        <v>270</v>
      </c>
    </row>
    <row r="25" spans="2:10" x14ac:dyDescent="0.2">
      <c r="B25" s="165" t="s">
        <v>218</v>
      </c>
      <c r="C25" s="166">
        <f>LCIA!E12</f>
        <v>5.7997239331407817E-2</v>
      </c>
      <c r="D25" t="s">
        <v>269</v>
      </c>
      <c r="E25" t="s">
        <v>270</v>
      </c>
      <c r="G25" t="s">
        <v>218</v>
      </c>
      <c r="H25" s="165">
        <f>LCIA!D12</f>
        <v>5.7997239331407824E-2</v>
      </c>
      <c r="I25" t="s">
        <v>269</v>
      </c>
      <c r="J25" t="s">
        <v>270</v>
      </c>
    </row>
    <row r="26" spans="2:10" x14ac:dyDescent="0.2">
      <c r="B26" s="165" t="s">
        <v>218</v>
      </c>
      <c r="C26" s="166">
        <f>LCIA!E15</f>
        <v>1.348435814455232</v>
      </c>
      <c r="D26" t="s">
        <v>390</v>
      </c>
      <c r="E26" t="s">
        <v>270</v>
      </c>
      <c r="G26" t="s">
        <v>218</v>
      </c>
      <c r="H26" s="165">
        <f>LCIA!D15</f>
        <v>1.348435814455232</v>
      </c>
      <c r="I26" t="s">
        <v>390</v>
      </c>
      <c r="J26" t="s">
        <v>270</v>
      </c>
    </row>
    <row r="27" spans="2:10" x14ac:dyDescent="0.2">
      <c r="B27" s="165" t="s">
        <v>218</v>
      </c>
      <c r="C27" s="166">
        <f>LCIA!E14</f>
        <v>1.4499309832851957</v>
      </c>
      <c r="D27" t="s">
        <v>68</v>
      </c>
      <c r="E27" t="s">
        <v>270</v>
      </c>
      <c r="G27" t="s">
        <v>218</v>
      </c>
      <c r="H27" s="165">
        <f>LCIA!D14</f>
        <v>1.4499309832851957</v>
      </c>
      <c r="I27" t="s">
        <v>68</v>
      </c>
      <c r="J27" t="s">
        <v>270</v>
      </c>
    </row>
    <row r="28" spans="2:10" x14ac:dyDescent="0.2">
      <c r="C28" s="166"/>
      <c r="H28" s="165"/>
    </row>
    <row r="29" spans="2:10" x14ac:dyDescent="0.2">
      <c r="B29" t="s">
        <v>390</v>
      </c>
      <c r="C29" s="166">
        <f>LCIA!E16</f>
        <v>0</v>
      </c>
      <c r="D29" t="s">
        <v>336</v>
      </c>
      <c r="E29" t="s">
        <v>342</v>
      </c>
      <c r="G29" t="s">
        <v>390</v>
      </c>
      <c r="H29" s="165">
        <f>LCIA!D16</f>
        <v>0</v>
      </c>
      <c r="I29" t="s">
        <v>336</v>
      </c>
      <c r="J29" t="s">
        <v>342</v>
      </c>
    </row>
    <row r="30" spans="2:10" x14ac:dyDescent="0.2">
      <c r="B30" t="s">
        <v>390</v>
      </c>
      <c r="C30" s="165">
        <f>LCIA!E17</f>
        <v>0.33394054942913337</v>
      </c>
      <c r="D30" t="s">
        <v>131</v>
      </c>
      <c r="E30" t="s">
        <v>342</v>
      </c>
      <c r="G30" t="s">
        <v>390</v>
      </c>
      <c r="H30" s="165">
        <f>LCIA!D17</f>
        <v>0.33394054942913337</v>
      </c>
      <c r="I30" t="s">
        <v>131</v>
      </c>
      <c r="J30" t="s">
        <v>342</v>
      </c>
    </row>
    <row r="31" spans="2:10" x14ac:dyDescent="0.2">
      <c r="B31" t="s">
        <v>390</v>
      </c>
      <c r="C31" s="165">
        <f>LCIA!E19</f>
        <v>0.10820631821955161</v>
      </c>
      <c r="D31" t="s">
        <v>341</v>
      </c>
      <c r="E31" t="s">
        <v>342</v>
      </c>
      <c r="G31" t="s">
        <v>390</v>
      </c>
      <c r="H31" s="165">
        <f>LCIA!D19</f>
        <v>0.10820631821955161</v>
      </c>
      <c r="I31" t="s">
        <v>341</v>
      </c>
      <c r="J31" t="s">
        <v>342</v>
      </c>
    </row>
    <row r="32" spans="2:10" x14ac:dyDescent="0.2">
      <c r="B32" t="s">
        <v>390</v>
      </c>
      <c r="C32" s="165">
        <f>LCIA!E23</f>
        <v>1.2797707096241862</v>
      </c>
      <c r="D32" t="s">
        <v>556</v>
      </c>
      <c r="E32" t="s">
        <v>342</v>
      </c>
      <c r="G32" t="s">
        <v>390</v>
      </c>
      <c r="H32" s="165">
        <f>LCIA!D23</f>
        <v>1.2797707096241862</v>
      </c>
      <c r="I32" t="s">
        <v>389</v>
      </c>
      <c r="J32" t="s">
        <v>342</v>
      </c>
    </row>
    <row r="33" spans="2:10" x14ac:dyDescent="0.2">
      <c r="H33" s="165"/>
    </row>
    <row r="34" spans="2:10" x14ac:dyDescent="0.2">
      <c r="B34" t="s">
        <v>334</v>
      </c>
      <c r="C34" s="165">
        <f>LCIA!E21</f>
        <v>0</v>
      </c>
      <c r="D34" t="s">
        <v>390</v>
      </c>
      <c r="E34" t="s">
        <v>270</v>
      </c>
      <c r="G34" t="s">
        <v>334</v>
      </c>
      <c r="H34" s="165">
        <f>LCIA!D21</f>
        <v>0</v>
      </c>
      <c r="I34" t="s">
        <v>390</v>
      </c>
      <c r="J34" t="s">
        <v>270</v>
      </c>
    </row>
    <row r="35" spans="2:10" x14ac:dyDescent="0.2">
      <c r="B35" t="s">
        <v>343</v>
      </c>
      <c r="C35" s="165">
        <f>LCIA!E22</f>
        <v>0.38059663347885936</v>
      </c>
      <c r="D35" t="s">
        <v>390</v>
      </c>
      <c r="G35" t="s">
        <v>343</v>
      </c>
      <c r="H35" s="165">
        <f>LCIA!D22</f>
        <v>0.38059663347885936</v>
      </c>
      <c r="I35" t="s">
        <v>390</v>
      </c>
    </row>
    <row r="36" spans="2:10" x14ac:dyDescent="0.2">
      <c r="C36" s="165"/>
      <c r="H36" s="165"/>
    </row>
    <row r="37" spans="2:10" x14ac:dyDescent="0.2">
      <c r="B37" t="s">
        <v>556</v>
      </c>
      <c r="C37" s="165">
        <f>LCIA!E24</f>
        <v>1.9421802185595636</v>
      </c>
      <c r="D37" t="s">
        <v>53</v>
      </c>
      <c r="E37" t="s">
        <v>344</v>
      </c>
      <c r="G37" t="s">
        <v>389</v>
      </c>
      <c r="H37" s="165">
        <f>LCIA!D24</f>
        <v>1.9421802185595636</v>
      </c>
      <c r="I37" t="s">
        <v>53</v>
      </c>
      <c r="J37" t="s">
        <v>344</v>
      </c>
    </row>
    <row r="38" spans="2:10" x14ac:dyDescent="0.2">
      <c r="B38" t="s">
        <v>556</v>
      </c>
      <c r="C38" s="165">
        <f>LCIA!E25</f>
        <v>0</v>
      </c>
      <c r="D38" t="s">
        <v>132</v>
      </c>
      <c r="E38" t="s">
        <v>344</v>
      </c>
      <c r="G38" t="s">
        <v>389</v>
      </c>
      <c r="H38" s="165">
        <f>LCIA!D25</f>
        <v>0</v>
      </c>
      <c r="I38" t="s">
        <v>132</v>
      </c>
      <c r="J38" t="s">
        <v>344</v>
      </c>
    </row>
    <row r="39" spans="2:10" x14ac:dyDescent="0.2">
      <c r="B39" t="s">
        <v>556</v>
      </c>
      <c r="C39" s="165">
        <f>LCIA!E26</f>
        <v>0.15129253610037577</v>
      </c>
      <c r="D39" t="s">
        <v>133</v>
      </c>
      <c r="E39" t="s">
        <v>344</v>
      </c>
      <c r="G39" t="s">
        <v>389</v>
      </c>
      <c r="H39" s="165">
        <f>LCIA!D26</f>
        <v>0.15129253610037577</v>
      </c>
      <c r="I39" t="s">
        <v>133</v>
      </c>
      <c r="J39" t="s">
        <v>344</v>
      </c>
    </row>
    <row r="40" spans="2:10" x14ac:dyDescent="0.2">
      <c r="B40" t="s">
        <v>556</v>
      </c>
      <c r="C40" s="165">
        <f>LCIA!E27</f>
        <v>0.14313037929181907</v>
      </c>
      <c r="D40" t="s">
        <v>560</v>
      </c>
      <c r="E40" t="s">
        <v>344</v>
      </c>
      <c r="G40" t="s">
        <v>389</v>
      </c>
      <c r="H40" s="165">
        <f>LCIA!D27</f>
        <v>0.14313037929181907</v>
      </c>
      <c r="I40" t="s">
        <v>560</v>
      </c>
      <c r="J40" t="s">
        <v>344</v>
      </c>
    </row>
    <row r="41" spans="2:10" x14ac:dyDescent="0.2">
      <c r="B41" t="s">
        <v>556</v>
      </c>
      <c r="C41" s="165">
        <f>LCIA!E29</f>
        <v>1.13224130416209</v>
      </c>
      <c r="D41" t="s">
        <v>136</v>
      </c>
      <c r="E41" t="s">
        <v>344</v>
      </c>
      <c r="G41" t="s">
        <v>389</v>
      </c>
      <c r="H41" s="165">
        <f>LCIA!D29</f>
        <v>1.13224130416209</v>
      </c>
      <c r="I41" t="s">
        <v>136</v>
      </c>
      <c r="J41" t="s">
        <v>344</v>
      </c>
    </row>
    <row r="42" spans="2:10" x14ac:dyDescent="0.2">
      <c r="B42" t="s">
        <v>556</v>
      </c>
      <c r="C42" s="165">
        <f>LCIA!E30</f>
        <v>0.16290391716608318</v>
      </c>
      <c r="D42" t="s">
        <v>55</v>
      </c>
      <c r="E42" t="s">
        <v>344</v>
      </c>
      <c r="G42" t="s">
        <v>389</v>
      </c>
      <c r="H42" s="165">
        <f>LCIA!D30</f>
        <v>0.16290391716608318</v>
      </c>
      <c r="I42" t="s">
        <v>55</v>
      </c>
      <c r="J42" t="s">
        <v>344</v>
      </c>
    </row>
    <row r="43" spans="2:10" x14ac:dyDescent="0.2">
      <c r="H43" s="165"/>
    </row>
    <row r="44" spans="2:10" x14ac:dyDescent="0.2">
      <c r="B44" t="s">
        <v>397</v>
      </c>
      <c r="C44" s="165">
        <f>LCIA!E33</f>
        <v>7.9164283837401234E-2</v>
      </c>
      <c r="D44" t="s">
        <v>556</v>
      </c>
      <c r="G44" t="s">
        <v>397</v>
      </c>
      <c r="H44" s="165">
        <f>LCIA!D33</f>
        <v>7.9164283837401234E-2</v>
      </c>
      <c r="I44" t="s">
        <v>389</v>
      </c>
    </row>
    <row r="45" spans="2:10" x14ac:dyDescent="0.2">
      <c r="B45" t="s">
        <v>404</v>
      </c>
      <c r="C45" s="165">
        <f>LCIA!E34</f>
        <v>2.0103936681825325</v>
      </c>
      <c r="D45" t="s">
        <v>556</v>
      </c>
      <c r="G45" t="s">
        <v>404</v>
      </c>
      <c r="H45" s="165">
        <f>LCIA!D34</f>
        <v>2.0103936681825325</v>
      </c>
      <c r="I45" t="s">
        <v>389</v>
      </c>
    </row>
    <row r="46" spans="2:10" x14ac:dyDescent="0.2">
      <c r="B46" t="s">
        <v>338</v>
      </c>
      <c r="C46" s="165">
        <f>LCIA!E35</f>
        <v>8.3739633328681923E-2</v>
      </c>
      <c r="D46" t="s">
        <v>556</v>
      </c>
      <c r="G46" t="s">
        <v>338</v>
      </c>
      <c r="H46" s="165">
        <f>LCIA!D35</f>
        <v>8.3739633328681923E-2</v>
      </c>
      <c r="I46" t="s">
        <v>389</v>
      </c>
    </row>
    <row r="47" spans="2:10" x14ac:dyDescent="0.2">
      <c r="C47" s="165"/>
    </row>
    <row r="48" spans="2:10" x14ac:dyDescent="0.2">
      <c r="C48" s="165"/>
    </row>
    <row r="49" spans="2:10" x14ac:dyDescent="0.2">
      <c r="C49" s="165"/>
    </row>
    <row r="50" spans="2:10" ht="13.5" thickBot="1" x14ac:dyDescent="0.25">
      <c r="B50" s="707" t="s">
        <v>418</v>
      </c>
      <c r="C50" s="707"/>
      <c r="D50" s="707"/>
      <c r="E50" s="707"/>
      <c r="G50" s="707" t="s">
        <v>453</v>
      </c>
      <c r="H50" s="707"/>
      <c r="I50" s="707"/>
      <c r="J50" s="707"/>
    </row>
    <row r="52" spans="2:10" x14ac:dyDescent="0.2">
      <c r="B52" t="s">
        <v>507</v>
      </c>
      <c r="C52" s="165">
        <f>LCIA!G49</f>
        <v>1.1693301341594204</v>
      </c>
      <c r="D52" t="s">
        <v>28</v>
      </c>
      <c r="E52" t="s">
        <v>266</v>
      </c>
      <c r="G52" t="s">
        <v>513</v>
      </c>
      <c r="H52" s="165">
        <f>LCIA!F49</f>
        <v>1.4427322827195366</v>
      </c>
      <c r="I52" t="s">
        <v>28</v>
      </c>
      <c r="J52" t="s">
        <v>266</v>
      </c>
    </row>
    <row r="53" spans="2:10" x14ac:dyDescent="0.2">
      <c r="B53" t="s">
        <v>507</v>
      </c>
      <c r="C53" s="165">
        <f>LCIA!G15+LCIA!G13+LCIA!G12+LCIA!G10</f>
        <v>2.0647833141460747</v>
      </c>
      <c r="D53" t="s">
        <v>52</v>
      </c>
      <c r="E53" t="s">
        <v>266</v>
      </c>
      <c r="G53" t="s">
        <v>513</v>
      </c>
      <c r="H53" s="165">
        <f>LCIA!F15+LCIA!F13+LCIA!F12+LCIA!F10</f>
        <v>2.1846022447159212</v>
      </c>
      <c r="I53" t="s">
        <v>52</v>
      </c>
      <c r="J53" t="s">
        <v>266</v>
      </c>
    </row>
    <row r="54" spans="2:10" x14ac:dyDescent="0.2">
      <c r="B54" t="s">
        <v>507</v>
      </c>
      <c r="C54" s="165">
        <f>LCIA!G60</f>
        <v>0.13918360621749801</v>
      </c>
      <c r="D54" t="s">
        <v>632</v>
      </c>
      <c r="E54" t="s">
        <v>266</v>
      </c>
      <c r="G54" t="s">
        <v>513</v>
      </c>
      <c r="H54" s="165">
        <f>LCIA!F60</f>
        <v>0.27231575129510488</v>
      </c>
      <c r="I54" t="s">
        <v>61</v>
      </c>
      <c r="J54" t="s">
        <v>266</v>
      </c>
    </row>
    <row r="55" spans="2:10" x14ac:dyDescent="0.2">
      <c r="B55" t="s">
        <v>507</v>
      </c>
      <c r="C55" s="165">
        <f>LCIA!G61</f>
        <v>0.51856912329589055</v>
      </c>
      <c r="D55" t="s">
        <v>630</v>
      </c>
      <c r="E55" t="s">
        <v>266</v>
      </c>
      <c r="G55" t="s">
        <v>513</v>
      </c>
      <c r="H55" s="165">
        <f>LCIA!F61</f>
        <v>0.77806969226171818</v>
      </c>
      <c r="I55" t="s">
        <v>195</v>
      </c>
      <c r="J55" t="s">
        <v>266</v>
      </c>
    </row>
    <row r="56" spans="2:10" x14ac:dyDescent="0.2">
      <c r="B56" t="s">
        <v>507</v>
      </c>
      <c r="C56" s="165">
        <f>LCIA!G64</f>
        <v>0.52105830229481276</v>
      </c>
      <c r="D56" t="s">
        <v>631</v>
      </c>
      <c r="E56" t="s">
        <v>266</v>
      </c>
      <c r="G56" t="s">
        <v>513</v>
      </c>
      <c r="H56" s="165">
        <f>LCIA!F64</f>
        <v>0.63769278917692063</v>
      </c>
      <c r="I56" t="s">
        <v>505</v>
      </c>
      <c r="J56" t="s">
        <v>266</v>
      </c>
    </row>
    <row r="57" spans="2:10" x14ac:dyDescent="0.2">
      <c r="C57" s="165"/>
      <c r="H57" s="165"/>
    </row>
    <row r="58" spans="2:10" x14ac:dyDescent="0.2">
      <c r="B58" t="s">
        <v>52</v>
      </c>
      <c r="C58" s="165">
        <f>LCIA!G10</f>
        <v>0.1252652455957482</v>
      </c>
      <c r="D58" t="s">
        <v>198</v>
      </c>
      <c r="E58" s="7" t="s">
        <v>268</v>
      </c>
      <c r="G58" t="s">
        <v>52</v>
      </c>
      <c r="H58" s="165">
        <f>LCIA!F10</f>
        <v>0.24508417616559441</v>
      </c>
      <c r="I58" t="s">
        <v>267</v>
      </c>
      <c r="J58" t="s">
        <v>268</v>
      </c>
    </row>
    <row r="59" spans="2:10" x14ac:dyDescent="0.2">
      <c r="B59" t="s">
        <v>52</v>
      </c>
      <c r="C59" s="165">
        <f>LCIA!G15+LCIA!G13+LCIA!G12</f>
        <v>1.9395180685503266</v>
      </c>
      <c r="D59" t="s">
        <v>218</v>
      </c>
      <c r="E59" s="7" t="s">
        <v>268</v>
      </c>
      <c r="G59" t="s">
        <v>52</v>
      </c>
      <c r="H59" s="165">
        <f>LCIA!F15+LCIA!F13+LCIA!F12</f>
        <v>1.9395180685503266</v>
      </c>
      <c r="I59" t="s">
        <v>218</v>
      </c>
      <c r="J59" t="s">
        <v>268</v>
      </c>
    </row>
    <row r="60" spans="2:10" x14ac:dyDescent="0.2">
      <c r="B60" t="s">
        <v>271</v>
      </c>
      <c r="C60" s="165">
        <f>LCIA!G14</f>
        <v>1.9395180685503264</v>
      </c>
      <c r="D60" t="s">
        <v>218</v>
      </c>
      <c r="E60" s="7"/>
      <c r="G60" t="s">
        <v>271</v>
      </c>
      <c r="H60" s="165">
        <f>LCIA!F14</f>
        <v>1.9395180685503264</v>
      </c>
      <c r="I60" t="s">
        <v>218</v>
      </c>
    </row>
    <row r="61" spans="2:10" x14ac:dyDescent="0.2">
      <c r="C61" s="165"/>
      <c r="H61" s="165"/>
    </row>
    <row r="62" spans="2:10" x14ac:dyDescent="0.2">
      <c r="B62" t="s">
        <v>28</v>
      </c>
      <c r="C62" s="165">
        <f>LCIA!G50</f>
        <v>0.27589283721335156</v>
      </c>
      <c r="D62" t="s">
        <v>219</v>
      </c>
      <c r="E62" s="7" t="s">
        <v>268</v>
      </c>
      <c r="G62" t="s">
        <v>28</v>
      </c>
      <c r="H62" s="165">
        <f>LCIA!F50</f>
        <v>0.53979033367829687</v>
      </c>
      <c r="I62" t="s">
        <v>58</v>
      </c>
      <c r="J62" t="s">
        <v>268</v>
      </c>
    </row>
    <row r="63" spans="2:10" x14ac:dyDescent="0.2">
      <c r="B63" t="s">
        <v>28</v>
      </c>
      <c r="C63" s="165">
        <f>LCIA!G52-LCIA!G59</f>
        <v>0.89343729694606855</v>
      </c>
      <c r="D63" t="s">
        <v>197</v>
      </c>
      <c r="E63" s="7" t="s">
        <v>268</v>
      </c>
      <c r="G63" t="s">
        <v>28</v>
      </c>
      <c r="H63" s="165">
        <f>LCIA!F52</f>
        <v>1.8058838980824794</v>
      </c>
      <c r="I63" t="s">
        <v>197</v>
      </c>
      <c r="J63" t="s">
        <v>268</v>
      </c>
    </row>
    <row r="64" spans="2:10" x14ac:dyDescent="0.2">
      <c r="B64" t="s">
        <v>406</v>
      </c>
      <c r="C64" s="165">
        <f>LCIA!G59</f>
        <v>0.89343729694606877</v>
      </c>
      <c r="D64" t="s">
        <v>197</v>
      </c>
      <c r="E64" s="7"/>
      <c r="G64" t="s">
        <v>406</v>
      </c>
      <c r="H64" s="165">
        <f>LCIA!F59</f>
        <v>0.9029419490412397</v>
      </c>
      <c r="I64" t="s">
        <v>197</v>
      </c>
    </row>
    <row r="65" spans="2:10" x14ac:dyDescent="0.2">
      <c r="C65" s="165"/>
      <c r="H65" s="165"/>
    </row>
    <row r="66" spans="2:10" x14ac:dyDescent="0.2">
      <c r="B66" t="s">
        <v>197</v>
      </c>
      <c r="C66" s="165">
        <f>LCIA!G53</f>
        <v>0.8487654320987652</v>
      </c>
      <c r="D66" t="s">
        <v>59</v>
      </c>
      <c r="E66" s="7" t="s">
        <v>270</v>
      </c>
      <c r="G66" t="s">
        <v>197</v>
      </c>
      <c r="H66" s="165">
        <f>LCIA!F53</f>
        <v>0.84876543209876532</v>
      </c>
      <c r="I66" t="s">
        <v>59</v>
      </c>
      <c r="J66" t="s">
        <v>270</v>
      </c>
    </row>
    <row r="67" spans="2:10" x14ac:dyDescent="0.2">
      <c r="B67" t="s">
        <v>197</v>
      </c>
      <c r="C67" s="165">
        <f>LCIA!G54</f>
        <v>0</v>
      </c>
      <c r="D67" t="s">
        <v>193</v>
      </c>
      <c r="E67" t="s">
        <v>270</v>
      </c>
      <c r="G67" t="s">
        <v>197</v>
      </c>
      <c r="H67" s="165">
        <f>LCIA!F54</f>
        <v>0</v>
      </c>
      <c r="I67" t="s">
        <v>193</v>
      </c>
      <c r="J67" t="s">
        <v>270</v>
      </c>
    </row>
    <row r="68" spans="2:10" x14ac:dyDescent="0.2">
      <c r="B68" t="s">
        <v>197</v>
      </c>
      <c r="C68" s="165">
        <f>LCIA!G57</f>
        <v>8.9343729694606883E-3</v>
      </c>
      <c r="D68" t="s">
        <v>269</v>
      </c>
      <c r="E68" t="s">
        <v>270</v>
      </c>
      <c r="G68" t="s">
        <v>197</v>
      </c>
      <c r="H68" s="165">
        <f>LCIA!F57</f>
        <v>1.8058838980824801E-2</v>
      </c>
      <c r="I68" t="s">
        <v>269</v>
      </c>
      <c r="J68" t="s">
        <v>270</v>
      </c>
    </row>
    <row r="69" spans="2:10" x14ac:dyDescent="0.2">
      <c r="B69" s="165" t="s">
        <v>197</v>
      </c>
      <c r="C69" s="165">
        <f>LCIA!G58</f>
        <v>3.5737491877842753E-2</v>
      </c>
      <c r="D69" t="s">
        <v>69</v>
      </c>
      <c r="E69" t="s">
        <v>270</v>
      </c>
      <c r="G69" t="s">
        <v>197</v>
      </c>
      <c r="H69" s="165">
        <f>LCIA!F58</f>
        <v>3.6117677961649601E-2</v>
      </c>
      <c r="I69" t="s">
        <v>69</v>
      </c>
      <c r="J69" t="s">
        <v>270</v>
      </c>
    </row>
    <row r="70" spans="2:10" x14ac:dyDescent="0.2">
      <c r="B70" s="165" t="s">
        <v>197</v>
      </c>
      <c r="C70" s="165">
        <f>LCIA!G59</f>
        <v>0.89343729694606877</v>
      </c>
      <c r="D70" t="s">
        <v>405</v>
      </c>
      <c r="E70" t="s">
        <v>270</v>
      </c>
      <c r="G70" t="s">
        <v>197</v>
      </c>
      <c r="H70" s="165">
        <f>LCIA!F59</f>
        <v>0.9029419490412397</v>
      </c>
      <c r="I70" t="s">
        <v>405</v>
      </c>
      <c r="J70" t="s">
        <v>270</v>
      </c>
    </row>
    <row r="71" spans="2:10" x14ac:dyDescent="0.2">
      <c r="C71" s="166"/>
      <c r="H71" s="165"/>
    </row>
    <row r="72" spans="2:10" x14ac:dyDescent="0.2">
      <c r="B72" s="165" t="s">
        <v>218</v>
      </c>
      <c r="C72" s="166">
        <f>LCIA!G13</f>
        <v>5.8185542056509776E-2</v>
      </c>
      <c r="D72" t="s">
        <v>628</v>
      </c>
      <c r="E72" t="s">
        <v>270</v>
      </c>
      <c r="G72" t="s">
        <v>218</v>
      </c>
      <c r="H72" s="165">
        <f>LCIA!F13</f>
        <v>5.8185542056509797E-2</v>
      </c>
      <c r="I72" t="s">
        <v>67</v>
      </c>
      <c r="J72" t="s">
        <v>270</v>
      </c>
    </row>
    <row r="73" spans="2:10" x14ac:dyDescent="0.2">
      <c r="B73" s="165" t="s">
        <v>218</v>
      </c>
      <c r="C73" s="166">
        <f>LCIA!G12</f>
        <v>7.7580722742013039E-2</v>
      </c>
      <c r="D73" t="s">
        <v>269</v>
      </c>
      <c r="E73" t="s">
        <v>270</v>
      </c>
      <c r="G73" t="s">
        <v>218</v>
      </c>
      <c r="H73" s="165">
        <f>LCIA!F12</f>
        <v>7.7580722742013067E-2</v>
      </c>
      <c r="I73" t="s">
        <v>269</v>
      </c>
      <c r="J73" t="s">
        <v>270</v>
      </c>
    </row>
    <row r="74" spans="2:10" x14ac:dyDescent="0.2">
      <c r="B74" s="165" t="s">
        <v>218</v>
      </c>
      <c r="C74" s="166">
        <f>LCIA!G15</f>
        <v>1.8037518037518037</v>
      </c>
      <c r="D74" t="s">
        <v>390</v>
      </c>
      <c r="E74" t="s">
        <v>270</v>
      </c>
      <c r="G74" t="s">
        <v>218</v>
      </c>
      <c r="H74" s="165">
        <f>LCIA!F15</f>
        <v>1.8037518037518037</v>
      </c>
      <c r="I74" t="s">
        <v>390</v>
      </c>
      <c r="J74" t="s">
        <v>270</v>
      </c>
    </row>
    <row r="75" spans="2:10" x14ac:dyDescent="0.2">
      <c r="B75" s="165" t="s">
        <v>218</v>
      </c>
      <c r="C75" s="166">
        <f>LCIA!G14</f>
        <v>1.9395180685503264</v>
      </c>
      <c r="D75" t="s">
        <v>68</v>
      </c>
      <c r="E75" t="s">
        <v>270</v>
      </c>
      <c r="G75" t="s">
        <v>218</v>
      </c>
      <c r="H75" s="165">
        <f>LCIA!F14</f>
        <v>1.9395180685503264</v>
      </c>
      <c r="I75" t="s">
        <v>68</v>
      </c>
      <c r="J75" t="s">
        <v>270</v>
      </c>
    </row>
    <row r="76" spans="2:10" x14ac:dyDescent="0.2">
      <c r="C76" s="166"/>
      <c r="H76" s="165"/>
    </row>
    <row r="77" spans="2:10" x14ac:dyDescent="0.2">
      <c r="B77" t="s">
        <v>390</v>
      </c>
      <c r="C77" s="166">
        <f>LCIA!G16</f>
        <v>0.69016993782691582</v>
      </c>
      <c r="D77" t="s">
        <v>336</v>
      </c>
      <c r="E77" t="s">
        <v>342</v>
      </c>
      <c r="G77" t="s">
        <v>390</v>
      </c>
      <c r="H77" s="165">
        <f>LCIA!F16</f>
        <v>0.69016993782691582</v>
      </c>
      <c r="I77" t="s">
        <v>336</v>
      </c>
      <c r="J77" t="s">
        <v>342</v>
      </c>
    </row>
    <row r="78" spans="2:10" x14ac:dyDescent="0.2">
      <c r="B78" t="s">
        <v>390</v>
      </c>
      <c r="C78" s="165">
        <f>LCIA!G17</f>
        <v>0</v>
      </c>
      <c r="D78" t="s">
        <v>131</v>
      </c>
      <c r="E78" t="s">
        <v>342</v>
      </c>
      <c r="G78" t="s">
        <v>390</v>
      </c>
      <c r="H78" s="165">
        <f>LCIA!F17</f>
        <v>0</v>
      </c>
      <c r="I78" t="s">
        <v>131</v>
      </c>
      <c r="J78" t="s">
        <v>342</v>
      </c>
    </row>
    <row r="79" spans="2:10" x14ac:dyDescent="0.2">
      <c r="B79" t="s">
        <v>390</v>
      </c>
      <c r="C79" s="165">
        <f>LCIA!G19</f>
        <v>0.1494427895638375</v>
      </c>
      <c r="D79" t="s">
        <v>341</v>
      </c>
      <c r="E79" t="s">
        <v>342</v>
      </c>
      <c r="G79" t="s">
        <v>390</v>
      </c>
      <c r="H79" s="165">
        <f>LCIA!F19</f>
        <v>0.1494427895638375</v>
      </c>
      <c r="I79" t="s">
        <v>341</v>
      </c>
      <c r="J79" t="s">
        <v>342</v>
      </c>
    </row>
    <row r="80" spans="2:10" x14ac:dyDescent="0.2">
      <c r="B80" t="s">
        <v>390</v>
      </c>
      <c r="C80" s="165">
        <f>LCIA!G23</f>
        <v>1.7117640175386233</v>
      </c>
      <c r="D80" t="s">
        <v>556</v>
      </c>
      <c r="E80" t="s">
        <v>342</v>
      </c>
      <c r="G80" t="s">
        <v>390</v>
      </c>
      <c r="H80" s="165">
        <f>LCIA!F23</f>
        <v>1.7117640175386233</v>
      </c>
      <c r="I80" t="s">
        <v>389</v>
      </c>
      <c r="J80" t="s">
        <v>342</v>
      </c>
    </row>
    <row r="81" spans="2:10" x14ac:dyDescent="0.2">
      <c r="H81" s="165"/>
    </row>
    <row r="82" spans="2:10" x14ac:dyDescent="0.2">
      <c r="B82" t="s">
        <v>334</v>
      </c>
      <c r="C82" s="165">
        <f>LCIA!G21</f>
        <v>0.41107742520875834</v>
      </c>
      <c r="D82" t="s">
        <v>390</v>
      </c>
      <c r="E82" t="s">
        <v>270</v>
      </c>
      <c r="G82" t="s">
        <v>334</v>
      </c>
      <c r="H82" s="165">
        <f>LCIA!F21</f>
        <v>0.41107742520875834</v>
      </c>
      <c r="I82" t="s">
        <v>390</v>
      </c>
      <c r="J82" t="s">
        <v>270</v>
      </c>
    </row>
    <row r="83" spans="2:10" x14ac:dyDescent="0.2">
      <c r="B83" t="s">
        <v>343</v>
      </c>
      <c r="C83" s="165">
        <f>LCIA!G22</f>
        <v>0.33654751596881466</v>
      </c>
      <c r="D83" t="s">
        <v>390</v>
      </c>
      <c r="G83" t="s">
        <v>343</v>
      </c>
      <c r="H83" s="165">
        <f>LCIA!F22</f>
        <v>0.33654751596881466</v>
      </c>
      <c r="I83" t="s">
        <v>390</v>
      </c>
    </row>
    <row r="84" spans="2:10" x14ac:dyDescent="0.2">
      <c r="C84" s="165"/>
      <c r="H84" s="165"/>
    </row>
    <row r="85" spans="2:10" x14ac:dyDescent="0.2">
      <c r="B85" t="s">
        <v>556</v>
      </c>
      <c r="C85" s="165">
        <f>LCIA!G24</f>
        <v>1.4454767185030386</v>
      </c>
      <c r="D85" t="s">
        <v>53</v>
      </c>
      <c r="E85" t="s">
        <v>344</v>
      </c>
      <c r="G85" t="s">
        <v>389</v>
      </c>
      <c r="H85" s="165">
        <f>LCIA!F24</f>
        <v>1.4454767185030386</v>
      </c>
      <c r="I85" t="s">
        <v>53</v>
      </c>
      <c r="J85" t="s">
        <v>344</v>
      </c>
    </row>
    <row r="86" spans="2:10" x14ac:dyDescent="0.2">
      <c r="B86" t="s">
        <v>556</v>
      </c>
      <c r="C86" s="165">
        <f>LCIA!G25</f>
        <v>0.84623930221046417</v>
      </c>
      <c r="D86" t="s">
        <v>132</v>
      </c>
      <c r="E86" t="s">
        <v>344</v>
      </c>
      <c r="G86" t="s">
        <v>389</v>
      </c>
      <c r="H86" s="165">
        <f>LCIA!F25</f>
        <v>0.84623930221046417</v>
      </c>
      <c r="I86" t="s">
        <v>132</v>
      </c>
      <c r="J86" t="s">
        <v>344</v>
      </c>
    </row>
    <row r="87" spans="2:10" x14ac:dyDescent="0.2">
      <c r="B87" t="s">
        <v>556</v>
      </c>
      <c r="C87" s="165">
        <f>LCIA!G26</f>
        <v>0.57908663050467624</v>
      </c>
      <c r="D87" t="s">
        <v>133</v>
      </c>
      <c r="E87" t="s">
        <v>344</v>
      </c>
      <c r="G87" t="s">
        <v>389</v>
      </c>
      <c r="H87" s="165">
        <f>LCIA!F26</f>
        <v>0.57908663050467624</v>
      </c>
      <c r="I87" t="s">
        <v>133</v>
      </c>
      <c r="J87" t="s">
        <v>344</v>
      </c>
    </row>
    <row r="88" spans="2:10" x14ac:dyDescent="0.2">
      <c r="B88" t="s">
        <v>556</v>
      </c>
      <c r="C88" s="165">
        <f>LCIA!G27</f>
        <v>0</v>
      </c>
      <c r="D88" t="s">
        <v>560</v>
      </c>
      <c r="E88" t="s">
        <v>344</v>
      </c>
      <c r="G88" t="s">
        <v>389</v>
      </c>
      <c r="H88" s="165">
        <f>LCIA!F27</f>
        <v>0</v>
      </c>
      <c r="I88" t="s">
        <v>560</v>
      </c>
      <c r="J88" t="s">
        <v>344</v>
      </c>
    </row>
    <row r="89" spans="2:10" x14ac:dyDescent="0.2">
      <c r="B89" t="s">
        <v>556</v>
      </c>
      <c r="C89" s="165">
        <f>LCIA!G29</f>
        <v>1.4944005937232077</v>
      </c>
      <c r="D89" t="s">
        <v>136</v>
      </c>
      <c r="E89" t="s">
        <v>344</v>
      </c>
      <c r="G89" t="s">
        <v>389</v>
      </c>
      <c r="H89" s="165">
        <f>LCIA!F29</f>
        <v>1.4944005937232077</v>
      </c>
      <c r="I89" t="s">
        <v>136</v>
      </c>
      <c r="J89" t="s">
        <v>344</v>
      </c>
    </row>
    <row r="90" spans="2:10" x14ac:dyDescent="0.2">
      <c r="B90" t="s">
        <v>556</v>
      </c>
      <c r="C90" s="165">
        <f>LCIA!G30</f>
        <v>0.21823560515104612</v>
      </c>
      <c r="D90" t="s">
        <v>55</v>
      </c>
      <c r="E90" t="s">
        <v>344</v>
      </c>
      <c r="G90" t="s">
        <v>389</v>
      </c>
      <c r="H90" s="165">
        <f>LCIA!F30</f>
        <v>0.21823560515104612</v>
      </c>
      <c r="I90" t="s">
        <v>55</v>
      </c>
      <c r="J90" t="s">
        <v>344</v>
      </c>
    </row>
    <row r="91" spans="2:10" x14ac:dyDescent="0.2">
      <c r="H91" s="165"/>
    </row>
    <row r="92" spans="2:10" x14ac:dyDescent="0.2">
      <c r="B92" t="s">
        <v>397</v>
      </c>
      <c r="C92" s="165">
        <f>LCIA!G33</f>
        <v>0.10605309982810789</v>
      </c>
      <c r="D92" t="s">
        <v>556</v>
      </c>
      <c r="G92" t="s">
        <v>397</v>
      </c>
      <c r="H92" s="165">
        <f>LCIA!F33</f>
        <v>0.10605309982810789</v>
      </c>
      <c r="I92" t="s">
        <v>389</v>
      </c>
    </row>
    <row r="93" spans="2:10" x14ac:dyDescent="0.2">
      <c r="B93" t="s">
        <v>404</v>
      </c>
      <c r="C93" s="165">
        <f>LCIA!G34</f>
        <v>2.6534392274027638</v>
      </c>
      <c r="D93" t="s">
        <v>556</v>
      </c>
      <c r="G93" t="s">
        <v>404</v>
      </c>
      <c r="H93" s="165">
        <f>LCIA!F34</f>
        <v>2.6534392274027638</v>
      </c>
      <c r="I93" t="s">
        <v>389</v>
      </c>
    </row>
    <row r="94" spans="2:10" x14ac:dyDescent="0.2">
      <c r="B94" t="s">
        <v>338</v>
      </c>
      <c r="C94" s="165">
        <f>LCIA!G35</f>
        <v>0.11218250532293819</v>
      </c>
      <c r="D94" t="s">
        <v>556</v>
      </c>
      <c r="G94" t="s">
        <v>338</v>
      </c>
      <c r="H94" s="165">
        <f>LCIA!F35</f>
        <v>0.11218250532293819</v>
      </c>
      <c r="I94" t="s">
        <v>389</v>
      </c>
    </row>
    <row r="95" spans="2:10" x14ac:dyDescent="0.2">
      <c r="C95" s="165"/>
    </row>
    <row r="96" spans="2:10" x14ac:dyDescent="0.2">
      <c r="C96" s="165"/>
    </row>
    <row r="97" spans="2:10" x14ac:dyDescent="0.2">
      <c r="C97" s="165"/>
    </row>
    <row r="98" spans="2:10" ht="13.5" thickBot="1" x14ac:dyDescent="0.25">
      <c r="B98" s="707" t="s">
        <v>419</v>
      </c>
      <c r="C98" s="707"/>
      <c r="D98" s="707"/>
      <c r="E98" s="707"/>
      <c r="G98" s="707" t="s">
        <v>452</v>
      </c>
      <c r="H98" s="707"/>
      <c r="I98" s="707"/>
      <c r="J98" s="707"/>
    </row>
    <row r="100" spans="2:10" x14ac:dyDescent="0.2">
      <c r="B100" t="s">
        <v>508</v>
      </c>
      <c r="C100" s="165">
        <f>LCIA!I49</f>
        <v>1.1613315876464547</v>
      </c>
      <c r="D100" t="s">
        <v>28</v>
      </c>
      <c r="E100" t="s">
        <v>266</v>
      </c>
      <c r="G100" t="s">
        <v>514</v>
      </c>
      <c r="H100" s="165">
        <f>LCIA!H49</f>
        <v>1.427082952585474</v>
      </c>
      <c r="I100" t="s">
        <v>28</v>
      </c>
      <c r="J100" t="s">
        <v>266</v>
      </c>
    </row>
    <row r="101" spans="2:10" x14ac:dyDescent="0.2">
      <c r="B101" t="s">
        <v>508</v>
      </c>
      <c r="C101" s="165">
        <f>LCIA!I15+LCIA!I13+LCIA!I12+LCIA!I10</f>
        <v>2.0120499638313771</v>
      </c>
      <c r="D101" t="s">
        <v>52</v>
      </c>
      <c r="E101" t="s">
        <v>266</v>
      </c>
      <c r="G101" t="s">
        <v>514</v>
      </c>
      <c r="H101" s="165">
        <f>LCIA!H15+LCIA!H13+LCIA!H12+LCIA!H10</f>
        <v>2.128395164169671</v>
      </c>
      <c r="I101" t="s">
        <v>52</v>
      </c>
      <c r="J101" t="s">
        <v>266</v>
      </c>
    </row>
    <row r="102" spans="2:10" x14ac:dyDescent="0.2">
      <c r="B102" t="s">
        <v>508</v>
      </c>
      <c r="C102" s="165">
        <f>LCIA!I60</f>
        <v>0.13514846503943251</v>
      </c>
      <c r="D102" t="s">
        <v>632</v>
      </c>
      <c r="E102" t="s">
        <v>266</v>
      </c>
      <c r="G102" t="s">
        <v>514</v>
      </c>
      <c r="H102" s="165">
        <f>LCIA!H60</f>
        <v>0.26442090985975919</v>
      </c>
      <c r="I102" t="s">
        <v>61</v>
      </c>
      <c r="J102" t="s">
        <v>266</v>
      </c>
    </row>
    <row r="103" spans="2:10" x14ac:dyDescent="0.2">
      <c r="B103" t="s">
        <v>508</v>
      </c>
      <c r="C103" s="165">
        <f>LCIA!I61</f>
        <v>0.51009532682195302</v>
      </c>
      <c r="D103" t="s">
        <v>630</v>
      </c>
      <c r="E103" t="s">
        <v>266</v>
      </c>
      <c r="G103" t="s">
        <v>514</v>
      </c>
      <c r="H103" s="165">
        <f>LCIA!H61</f>
        <v>0.76517478458398702</v>
      </c>
      <c r="I103" t="s">
        <v>195</v>
      </c>
      <c r="J103" t="s">
        <v>266</v>
      </c>
    </row>
    <row r="104" spans="2:10" x14ac:dyDescent="0.2">
      <c r="B104" t="s">
        <v>508</v>
      </c>
      <c r="C104" s="165">
        <f>LCIA!I64</f>
        <v>0.52456700575460757</v>
      </c>
      <c r="D104" t="s">
        <v>631</v>
      </c>
      <c r="E104" t="s">
        <v>266</v>
      </c>
      <c r="G104" t="s">
        <v>514</v>
      </c>
      <c r="H104" s="165">
        <f>LCIA!H64</f>
        <v>0.6412208471922175</v>
      </c>
      <c r="I104" t="s">
        <v>505</v>
      </c>
      <c r="J104" t="s">
        <v>266</v>
      </c>
    </row>
    <row r="105" spans="2:10" x14ac:dyDescent="0.2">
      <c r="C105" s="165"/>
      <c r="H105" s="165"/>
    </row>
    <row r="106" spans="2:10" x14ac:dyDescent="0.2">
      <c r="B106" t="s">
        <v>52</v>
      </c>
      <c r="C106" s="165">
        <f>LCIA!I10</f>
        <v>0.12163361853548925</v>
      </c>
      <c r="D106" t="s">
        <v>198</v>
      </c>
      <c r="E106" s="7" t="s">
        <v>268</v>
      </c>
      <c r="G106" t="s">
        <v>52</v>
      </c>
      <c r="H106" s="165">
        <f>LCIA!H10</f>
        <v>0.23797881887378328</v>
      </c>
      <c r="I106" t="s">
        <v>267</v>
      </c>
      <c r="J106" t="s">
        <v>268</v>
      </c>
    </row>
    <row r="107" spans="2:10" x14ac:dyDescent="0.2">
      <c r="B107" t="s">
        <v>52</v>
      </c>
      <c r="C107" s="165">
        <f>LCIA!I15+LCIA!I13+LCIA!I12</f>
        <v>1.8904163452958878</v>
      </c>
      <c r="D107" t="s">
        <v>218</v>
      </c>
      <c r="E107" s="7" t="s">
        <v>268</v>
      </c>
      <c r="G107" t="s">
        <v>52</v>
      </c>
      <c r="H107" s="165">
        <f>LCIA!H15+LCIA!H13+LCIA!H12</f>
        <v>1.8904163452958878</v>
      </c>
      <c r="I107" t="s">
        <v>218</v>
      </c>
      <c r="J107" t="s">
        <v>268</v>
      </c>
    </row>
    <row r="108" spans="2:10" x14ac:dyDescent="0.2">
      <c r="B108" t="s">
        <v>271</v>
      </c>
      <c r="C108" s="165">
        <f>LCIA!I14</f>
        <v>1.8904163452958878</v>
      </c>
      <c r="D108" t="s">
        <v>218</v>
      </c>
      <c r="E108" s="7"/>
      <c r="G108" t="s">
        <v>271</v>
      </c>
      <c r="H108" s="165">
        <f>LCIA!H14</f>
        <v>1.8904163452958878</v>
      </c>
      <c r="I108" t="s">
        <v>218</v>
      </c>
    </row>
    <row r="109" spans="2:10" x14ac:dyDescent="0.2">
      <c r="C109" s="165"/>
      <c r="H109" s="165"/>
    </row>
    <row r="110" spans="2:10" x14ac:dyDescent="0.2">
      <c r="B110" t="s">
        <v>28</v>
      </c>
      <c r="C110" s="165">
        <f>LCIA!I50</f>
        <v>0.26789429070038617</v>
      </c>
      <c r="D110" t="s">
        <v>219</v>
      </c>
      <c r="E110" s="7" t="s">
        <v>268</v>
      </c>
      <c r="G110" t="s">
        <v>28</v>
      </c>
      <c r="H110" s="165">
        <f>LCIA!H50</f>
        <v>0.52414100354423376</v>
      </c>
      <c r="I110" t="s">
        <v>58</v>
      </c>
      <c r="J110" t="s">
        <v>268</v>
      </c>
    </row>
    <row r="111" spans="2:10" x14ac:dyDescent="0.2">
      <c r="B111" t="s">
        <v>28</v>
      </c>
      <c r="C111" s="165">
        <f>LCIA!I52-LCIA!I59</f>
        <v>0.89343729694606877</v>
      </c>
      <c r="D111" t="s">
        <v>197</v>
      </c>
      <c r="E111" s="7" t="s">
        <v>268</v>
      </c>
      <c r="G111" t="s">
        <v>28</v>
      </c>
      <c r="H111" s="165">
        <f>LCIA!H52</f>
        <v>1.8058838980824803</v>
      </c>
      <c r="I111" t="s">
        <v>197</v>
      </c>
      <c r="J111" t="s">
        <v>268</v>
      </c>
    </row>
    <row r="112" spans="2:10" x14ac:dyDescent="0.2">
      <c r="B112" t="s">
        <v>406</v>
      </c>
      <c r="C112" s="165">
        <f>LCIA!I59</f>
        <v>0.89343729694606899</v>
      </c>
      <c r="D112" t="s">
        <v>197</v>
      </c>
      <c r="E112" s="7"/>
      <c r="G112" t="s">
        <v>406</v>
      </c>
      <c r="H112" s="165">
        <f>LCIA!H59</f>
        <v>0.90294194904124014</v>
      </c>
      <c r="I112" t="s">
        <v>197</v>
      </c>
    </row>
    <row r="113" spans="2:10" x14ac:dyDescent="0.2">
      <c r="C113" s="165"/>
      <c r="H113" s="165"/>
    </row>
    <row r="114" spans="2:10" x14ac:dyDescent="0.2">
      <c r="B114" t="s">
        <v>197</v>
      </c>
      <c r="C114" s="165">
        <f>LCIA!I53</f>
        <v>0.84876543209876543</v>
      </c>
      <c r="D114" t="s">
        <v>59</v>
      </c>
      <c r="E114" s="7" t="s">
        <v>270</v>
      </c>
      <c r="G114" t="s">
        <v>197</v>
      </c>
      <c r="H114" s="165">
        <f>LCIA!H53</f>
        <v>0.84876543209876565</v>
      </c>
      <c r="I114" t="s">
        <v>59</v>
      </c>
      <c r="J114" t="s">
        <v>270</v>
      </c>
    </row>
    <row r="115" spans="2:10" x14ac:dyDescent="0.2">
      <c r="B115" t="s">
        <v>197</v>
      </c>
      <c r="C115" s="165">
        <f>LCIA!I54</f>
        <v>0</v>
      </c>
      <c r="D115" t="s">
        <v>193</v>
      </c>
      <c r="E115" t="s">
        <v>270</v>
      </c>
      <c r="G115" t="s">
        <v>197</v>
      </c>
      <c r="H115" s="165">
        <f>LCIA!H54</f>
        <v>0</v>
      </c>
      <c r="I115" t="s">
        <v>193</v>
      </c>
      <c r="J115" t="s">
        <v>270</v>
      </c>
    </row>
    <row r="116" spans="2:10" x14ac:dyDescent="0.2">
      <c r="B116" t="s">
        <v>197</v>
      </c>
      <c r="C116" s="165">
        <f>LCIA!I57</f>
        <v>8.93437296946069E-3</v>
      </c>
      <c r="D116" t="s">
        <v>269</v>
      </c>
      <c r="E116" t="s">
        <v>270</v>
      </c>
      <c r="G116" t="s">
        <v>197</v>
      </c>
      <c r="H116" s="165">
        <f>LCIA!H57</f>
        <v>1.8058838980824807E-2</v>
      </c>
      <c r="I116" t="s">
        <v>269</v>
      </c>
      <c r="J116" t="s">
        <v>270</v>
      </c>
    </row>
    <row r="117" spans="2:10" x14ac:dyDescent="0.2">
      <c r="B117" s="165" t="s">
        <v>197</v>
      </c>
      <c r="C117" s="165">
        <f>LCIA!I58</f>
        <v>3.573749187784276E-2</v>
      </c>
      <c r="D117" t="s">
        <v>69</v>
      </c>
      <c r="E117" t="s">
        <v>270</v>
      </c>
      <c r="G117" t="s">
        <v>197</v>
      </c>
      <c r="H117" s="165">
        <f>LCIA!H58</f>
        <v>3.6117677961649615E-2</v>
      </c>
      <c r="I117" t="s">
        <v>69</v>
      </c>
      <c r="J117" t="s">
        <v>270</v>
      </c>
    </row>
    <row r="118" spans="2:10" x14ac:dyDescent="0.2">
      <c r="B118" s="165" t="s">
        <v>197</v>
      </c>
      <c r="C118" s="165">
        <f>LCIA!I59</f>
        <v>0.89343729694606899</v>
      </c>
      <c r="D118" t="s">
        <v>405</v>
      </c>
      <c r="E118" t="s">
        <v>270</v>
      </c>
      <c r="G118" t="s">
        <v>197</v>
      </c>
      <c r="H118" s="165">
        <f>LCIA!H59</f>
        <v>0.90294194904124014</v>
      </c>
      <c r="I118" t="s">
        <v>405</v>
      </c>
      <c r="J118" t="s">
        <v>270</v>
      </c>
    </row>
    <row r="119" spans="2:10" x14ac:dyDescent="0.2">
      <c r="C119" s="166"/>
      <c r="H119" s="165"/>
    </row>
    <row r="120" spans="2:10" x14ac:dyDescent="0.2">
      <c r="B120" s="165" t="s">
        <v>218</v>
      </c>
      <c r="C120" s="166">
        <f>LCIA!I13</f>
        <v>5.6712490358876627E-2</v>
      </c>
      <c r="D120" t="s">
        <v>628</v>
      </c>
      <c r="E120" t="s">
        <v>270</v>
      </c>
      <c r="G120" t="s">
        <v>218</v>
      </c>
      <c r="H120" s="165">
        <f>LCIA!H13</f>
        <v>5.6712490358876627E-2</v>
      </c>
      <c r="I120" t="s">
        <v>67</v>
      </c>
      <c r="J120" t="s">
        <v>270</v>
      </c>
    </row>
    <row r="121" spans="2:10" x14ac:dyDescent="0.2">
      <c r="B121" s="165" t="s">
        <v>218</v>
      </c>
      <c r="C121" s="166">
        <f>LCIA!I12</f>
        <v>7.5616653811835535E-2</v>
      </c>
      <c r="D121" t="s">
        <v>269</v>
      </c>
      <c r="E121" t="s">
        <v>270</v>
      </c>
      <c r="G121" t="s">
        <v>218</v>
      </c>
      <c r="H121" s="165">
        <f>LCIA!H12</f>
        <v>7.5616653811835521E-2</v>
      </c>
      <c r="I121" t="s">
        <v>269</v>
      </c>
      <c r="J121" t="s">
        <v>270</v>
      </c>
    </row>
    <row r="122" spans="2:10" x14ac:dyDescent="0.2">
      <c r="B122" s="165" t="s">
        <v>218</v>
      </c>
      <c r="C122" s="166">
        <f>LCIA!I15</f>
        <v>1.7580872011251756</v>
      </c>
      <c r="D122" t="s">
        <v>390</v>
      </c>
      <c r="E122" t="s">
        <v>270</v>
      </c>
      <c r="G122" t="s">
        <v>218</v>
      </c>
      <c r="H122" s="165">
        <f>LCIA!H15</f>
        <v>1.7580872011251756</v>
      </c>
      <c r="I122" t="s">
        <v>390</v>
      </c>
      <c r="J122" t="s">
        <v>270</v>
      </c>
    </row>
    <row r="123" spans="2:10" x14ac:dyDescent="0.2">
      <c r="B123" s="165" t="s">
        <v>218</v>
      </c>
      <c r="C123" s="166">
        <f>LCIA!I14</f>
        <v>1.8904163452958878</v>
      </c>
      <c r="D123" t="s">
        <v>68</v>
      </c>
      <c r="E123" t="s">
        <v>270</v>
      </c>
      <c r="G123" t="s">
        <v>218</v>
      </c>
      <c r="H123" s="165">
        <f>LCIA!H14</f>
        <v>1.8904163452958878</v>
      </c>
      <c r="I123" t="s">
        <v>68</v>
      </c>
      <c r="J123" t="s">
        <v>270</v>
      </c>
    </row>
    <row r="124" spans="2:10" x14ac:dyDescent="0.2">
      <c r="C124" s="166"/>
      <c r="H124" s="165"/>
    </row>
    <row r="125" spans="2:10" x14ac:dyDescent="0.2">
      <c r="B125" t="s">
        <v>390</v>
      </c>
      <c r="C125" s="166">
        <f>LCIA!I16</f>
        <v>0.67009100542891142</v>
      </c>
      <c r="D125" t="s">
        <v>336</v>
      </c>
      <c r="E125" t="s">
        <v>342</v>
      </c>
      <c r="G125" t="s">
        <v>390</v>
      </c>
      <c r="H125" s="165">
        <f>LCIA!H16</f>
        <v>0.67009100542891142</v>
      </c>
      <c r="I125" t="s">
        <v>336</v>
      </c>
      <c r="J125" t="s">
        <v>342</v>
      </c>
    </row>
    <row r="126" spans="2:10" x14ac:dyDescent="0.2">
      <c r="B126" t="s">
        <v>390</v>
      </c>
      <c r="C126" s="165">
        <f>LCIA!I17</f>
        <v>0</v>
      </c>
      <c r="D126" t="s">
        <v>131</v>
      </c>
      <c r="E126" t="s">
        <v>342</v>
      </c>
      <c r="G126" t="s">
        <v>390</v>
      </c>
      <c r="H126" s="165">
        <f>LCIA!H17</f>
        <v>0</v>
      </c>
      <c r="I126" t="s">
        <v>131</v>
      </c>
      <c r="J126" t="s">
        <v>342</v>
      </c>
    </row>
    <row r="127" spans="2:10" x14ac:dyDescent="0.2">
      <c r="B127" t="s">
        <v>390</v>
      </c>
      <c r="C127" s="165">
        <f>LCIA!I19</f>
        <v>0.14509508980967348</v>
      </c>
      <c r="D127" t="s">
        <v>341</v>
      </c>
      <c r="E127" t="s">
        <v>342</v>
      </c>
      <c r="G127" t="s">
        <v>390</v>
      </c>
      <c r="H127" s="165">
        <f>LCIA!H19</f>
        <v>0.14509508980967348</v>
      </c>
      <c r="I127" t="s">
        <v>341</v>
      </c>
      <c r="J127" t="s">
        <v>342</v>
      </c>
    </row>
    <row r="128" spans="2:10" x14ac:dyDescent="0.2">
      <c r="B128" t="s">
        <v>390</v>
      </c>
      <c r="C128" s="165">
        <f>LCIA!I23</f>
        <v>1.6687755913717119</v>
      </c>
      <c r="D128" t="s">
        <v>556</v>
      </c>
      <c r="E128" t="s">
        <v>342</v>
      </c>
      <c r="G128" t="s">
        <v>390</v>
      </c>
      <c r="H128" s="165">
        <f>LCIA!H23</f>
        <v>1.6687755913717119</v>
      </c>
      <c r="I128" t="s">
        <v>389</v>
      </c>
      <c r="J128" t="s">
        <v>342</v>
      </c>
    </row>
    <row r="129" spans="2:10" x14ac:dyDescent="0.2">
      <c r="H129" s="165"/>
    </row>
    <row r="130" spans="2:10" x14ac:dyDescent="0.2">
      <c r="B130" t="s">
        <v>334</v>
      </c>
      <c r="C130" s="165">
        <f>LCIA!I21</f>
        <v>0.39911805784323517</v>
      </c>
      <c r="D130" t="s">
        <v>390</v>
      </c>
      <c r="E130" t="s">
        <v>270</v>
      </c>
      <c r="G130" t="s">
        <v>334</v>
      </c>
      <c r="H130" s="165">
        <f>LCIA!H21</f>
        <v>0.39911805784323517</v>
      </c>
      <c r="I130" t="s">
        <v>390</v>
      </c>
      <c r="J130" t="s">
        <v>270</v>
      </c>
    </row>
    <row r="131" spans="2:10" x14ac:dyDescent="0.2">
      <c r="B131" t="s">
        <v>343</v>
      </c>
      <c r="C131" s="165">
        <f>LCIA!I22</f>
        <v>0.32675642764188606</v>
      </c>
      <c r="D131" t="s">
        <v>390</v>
      </c>
      <c r="G131" t="s">
        <v>343</v>
      </c>
      <c r="H131" s="165">
        <f>LCIA!H22</f>
        <v>0.32675642764188606</v>
      </c>
      <c r="I131" t="s">
        <v>390</v>
      </c>
    </row>
    <row r="132" spans="2:10" x14ac:dyDescent="0.2">
      <c r="C132" s="165"/>
      <c r="H132" s="165"/>
    </row>
    <row r="133" spans="2:10" x14ac:dyDescent="0.2">
      <c r="B133" t="s">
        <v>556</v>
      </c>
      <c r="C133" s="165">
        <f>LCIA!I24</f>
        <v>1.6841086136128323</v>
      </c>
      <c r="D133" t="s">
        <v>53</v>
      </c>
      <c r="E133" t="s">
        <v>344</v>
      </c>
      <c r="G133" t="s">
        <v>389</v>
      </c>
      <c r="H133" s="165">
        <f>LCIA!H24</f>
        <v>1.6841086136128323</v>
      </c>
      <c r="I133" t="s">
        <v>53</v>
      </c>
      <c r="J133" t="s">
        <v>344</v>
      </c>
    </row>
    <row r="134" spans="2:10" x14ac:dyDescent="0.2">
      <c r="B134" t="s">
        <v>556</v>
      </c>
      <c r="C134" s="165">
        <f>LCIA!I25</f>
        <v>0.54774658990713665</v>
      </c>
      <c r="D134" t="s">
        <v>132</v>
      </c>
      <c r="E134" t="s">
        <v>344</v>
      </c>
      <c r="G134" t="s">
        <v>389</v>
      </c>
      <c r="H134" s="165">
        <f>LCIA!H25</f>
        <v>0.54774658990713665</v>
      </c>
      <c r="I134" t="s">
        <v>132</v>
      </c>
      <c r="J134" t="s">
        <v>344</v>
      </c>
    </row>
    <row r="135" spans="2:10" x14ac:dyDescent="0.2">
      <c r="B135" t="s">
        <v>556</v>
      </c>
      <c r="C135" s="165">
        <f>LCIA!I26</f>
        <v>0.56223941553744372</v>
      </c>
      <c r="D135" t="s">
        <v>133</v>
      </c>
      <c r="E135" t="s">
        <v>344</v>
      </c>
      <c r="G135" t="s">
        <v>389</v>
      </c>
      <c r="H135" s="165">
        <f>LCIA!H26</f>
        <v>0.56223941553744372</v>
      </c>
      <c r="I135" t="s">
        <v>133</v>
      </c>
      <c r="J135" t="s">
        <v>344</v>
      </c>
    </row>
    <row r="136" spans="2:10" x14ac:dyDescent="0.2">
      <c r="B136" t="s">
        <v>556</v>
      </c>
      <c r="C136" s="165">
        <f>LCIA!I27</f>
        <v>0</v>
      </c>
      <c r="D136" t="s">
        <v>560</v>
      </c>
      <c r="E136" t="s">
        <v>344</v>
      </c>
      <c r="G136" t="s">
        <v>389</v>
      </c>
      <c r="H136" s="165">
        <f>LCIA!H27</f>
        <v>0</v>
      </c>
      <c r="I136" t="s">
        <v>560</v>
      </c>
      <c r="J136" t="s">
        <v>344</v>
      </c>
    </row>
    <row r="137" spans="2:10" x14ac:dyDescent="0.2">
      <c r="B137" t="s">
        <v>556</v>
      </c>
      <c r="C137" s="165">
        <f>LCIA!I29</f>
        <v>1.4509243904690015</v>
      </c>
      <c r="D137" t="s">
        <v>136</v>
      </c>
      <c r="E137" t="s">
        <v>344</v>
      </c>
      <c r="G137" t="s">
        <v>389</v>
      </c>
      <c r="H137" s="165">
        <f>LCIA!H29</f>
        <v>1.4509243904690015</v>
      </c>
      <c r="I137" t="s">
        <v>136</v>
      </c>
      <c r="J137" t="s">
        <v>344</v>
      </c>
    </row>
    <row r="138" spans="2:10" x14ac:dyDescent="0.2">
      <c r="B138" t="s">
        <v>556</v>
      </c>
      <c r="C138" s="165">
        <f>LCIA!I30</f>
        <v>0.2118865341143352</v>
      </c>
      <c r="D138" t="s">
        <v>55</v>
      </c>
      <c r="E138" t="s">
        <v>344</v>
      </c>
      <c r="G138" t="s">
        <v>389</v>
      </c>
      <c r="H138" s="165">
        <f>LCIA!H30</f>
        <v>0.2118865341143352</v>
      </c>
      <c r="I138" t="s">
        <v>55</v>
      </c>
      <c r="J138" t="s">
        <v>344</v>
      </c>
    </row>
    <row r="139" spans="2:10" x14ac:dyDescent="0.2">
      <c r="H139" s="165"/>
    </row>
    <row r="140" spans="2:10" x14ac:dyDescent="0.2">
      <c r="B140" t="s">
        <v>397</v>
      </c>
      <c r="C140" s="165">
        <f>LCIA!I33</f>
        <v>0.10296772490037318</v>
      </c>
      <c r="D140" t="s">
        <v>556</v>
      </c>
      <c r="G140" t="s">
        <v>397</v>
      </c>
      <c r="H140" s="165">
        <f>LCIA!H33</f>
        <v>0.10296772490037318</v>
      </c>
      <c r="I140" t="s">
        <v>389</v>
      </c>
    </row>
    <row r="141" spans="2:10" x14ac:dyDescent="0.2">
      <c r="B141" t="s">
        <v>404</v>
      </c>
      <c r="C141" s="165">
        <f>LCIA!I34</f>
        <v>2.5762434181547023</v>
      </c>
      <c r="D141" t="s">
        <v>556</v>
      </c>
      <c r="G141" t="s">
        <v>404</v>
      </c>
      <c r="H141" s="165">
        <f>LCIA!H34</f>
        <v>2.5762434181547023</v>
      </c>
      <c r="I141" t="s">
        <v>389</v>
      </c>
    </row>
    <row r="142" spans="2:10" x14ac:dyDescent="0.2">
      <c r="B142" t="s">
        <v>338</v>
      </c>
      <c r="C142" s="165">
        <f>LCIA!I35</f>
        <v>0.10891880921396201</v>
      </c>
      <c r="D142" t="s">
        <v>556</v>
      </c>
      <c r="G142" t="s">
        <v>338</v>
      </c>
      <c r="H142" s="165">
        <f>LCIA!H35</f>
        <v>0.10891880921396201</v>
      </c>
      <c r="I142" t="s">
        <v>389</v>
      </c>
    </row>
    <row r="143" spans="2:10" x14ac:dyDescent="0.2">
      <c r="C143" s="165"/>
      <c r="H143" s="165"/>
    </row>
    <row r="144" spans="2:10" x14ac:dyDescent="0.2">
      <c r="C144" s="165"/>
    </row>
    <row r="145" spans="2:10" x14ac:dyDescent="0.2">
      <c r="C145" s="165"/>
    </row>
    <row r="146" spans="2:10" ht="13.5" thickBot="1" x14ac:dyDescent="0.25">
      <c r="B146" s="707" t="s">
        <v>388</v>
      </c>
      <c r="C146" s="707"/>
      <c r="D146" s="707"/>
      <c r="E146" s="707"/>
      <c r="G146" s="707" t="s">
        <v>451</v>
      </c>
      <c r="H146" s="707"/>
      <c r="I146" s="707"/>
      <c r="J146" s="707"/>
    </row>
    <row r="148" spans="2:10" x14ac:dyDescent="0.2">
      <c r="B148" t="s">
        <v>509</v>
      </c>
      <c r="C148" s="165">
        <f>LCIA!K49</f>
        <v>0.92035843418291186</v>
      </c>
      <c r="D148" t="s">
        <v>28</v>
      </c>
      <c r="E148" t="s">
        <v>266</v>
      </c>
      <c r="G148" t="s">
        <v>515</v>
      </c>
      <c r="H148" s="165">
        <f>LCIA!J49</f>
        <v>1.1421915089589574</v>
      </c>
      <c r="I148" t="s">
        <v>28</v>
      </c>
      <c r="J148" t="s">
        <v>266</v>
      </c>
    </row>
    <row r="149" spans="2:10" x14ac:dyDescent="0.2">
      <c r="B149" t="s">
        <v>509</v>
      </c>
      <c r="C149" s="165">
        <f>LCIA!K15+LCIA!K13+LCIA!K12+LCIA!K10</f>
        <v>1.673813258080999</v>
      </c>
      <c r="D149" t="s">
        <v>52</v>
      </c>
      <c r="E149" t="s">
        <v>266</v>
      </c>
      <c r="G149" t="s">
        <v>515</v>
      </c>
      <c r="H149" s="165">
        <f>LCIA!J15+LCIA!J13+LCIA!J12+LCIA!J10</f>
        <v>1.7711707414974911</v>
      </c>
      <c r="I149" t="s">
        <v>52</v>
      </c>
      <c r="J149" t="s">
        <v>266</v>
      </c>
    </row>
    <row r="150" spans="2:10" x14ac:dyDescent="0.2">
      <c r="B150" t="s">
        <v>509</v>
      </c>
      <c r="C150" s="165">
        <f>LCIA!K60</f>
        <v>0.11309202619087456</v>
      </c>
      <c r="D150" t="s">
        <v>632</v>
      </c>
      <c r="E150" t="s">
        <v>266</v>
      </c>
      <c r="G150" t="s">
        <v>515</v>
      </c>
      <c r="H150" s="165">
        <f>LCIA!J60</f>
        <v>0.22126700776475461</v>
      </c>
      <c r="I150" t="s">
        <v>61</v>
      </c>
      <c r="J150" t="s">
        <v>266</v>
      </c>
    </row>
    <row r="151" spans="2:10" x14ac:dyDescent="0.2">
      <c r="B151" t="s">
        <v>509</v>
      </c>
      <c r="C151" s="165">
        <f>LCIA!K61</f>
        <v>0.41420128269456585</v>
      </c>
      <c r="D151" t="s">
        <v>630</v>
      </c>
      <c r="E151" t="s">
        <v>266</v>
      </c>
      <c r="G151" t="s">
        <v>515</v>
      </c>
      <c r="H151" s="165">
        <f>LCIA!J61</f>
        <v>0.62166618340370305</v>
      </c>
      <c r="I151" t="s">
        <v>195</v>
      </c>
      <c r="J151" t="s">
        <v>266</v>
      </c>
    </row>
    <row r="152" spans="2:10" x14ac:dyDescent="0.2">
      <c r="B152" t="s">
        <v>509</v>
      </c>
      <c r="C152" s="165">
        <f>LCIA!K64</f>
        <v>0.42642813290442216</v>
      </c>
      <c r="D152" t="s">
        <v>631</v>
      </c>
      <c r="E152" t="s">
        <v>266</v>
      </c>
      <c r="G152" t="s">
        <v>515</v>
      </c>
      <c r="H152" s="165">
        <f>LCIA!J64</f>
        <v>0.5222363725354161</v>
      </c>
      <c r="I152" t="s">
        <v>505</v>
      </c>
      <c r="J152" t="s">
        <v>266</v>
      </c>
    </row>
    <row r="153" spans="2:10" x14ac:dyDescent="0.2">
      <c r="C153" s="165"/>
      <c r="H153" s="165"/>
    </row>
    <row r="154" spans="2:10" x14ac:dyDescent="0.2">
      <c r="B154" t="s">
        <v>52</v>
      </c>
      <c r="C154" s="165">
        <f>LCIA!K10</f>
        <v>0.10178282357178713</v>
      </c>
      <c r="D154" t="s">
        <v>198</v>
      </c>
      <c r="E154" s="7" t="s">
        <v>268</v>
      </c>
      <c r="G154" t="s">
        <v>52</v>
      </c>
      <c r="H154" s="165">
        <f>LCIA!J10</f>
        <v>0.19914030698827914</v>
      </c>
      <c r="I154" t="s">
        <v>267</v>
      </c>
      <c r="J154" t="s">
        <v>268</v>
      </c>
    </row>
    <row r="155" spans="2:10" x14ac:dyDescent="0.2">
      <c r="B155" t="s">
        <v>52</v>
      </c>
      <c r="C155" s="165">
        <f>LCIA!K15+LCIA!K13+LCIA!K12</f>
        <v>1.572030434509212</v>
      </c>
      <c r="D155" t="s">
        <v>218</v>
      </c>
      <c r="E155" s="7" t="s">
        <v>268</v>
      </c>
      <c r="G155" t="s">
        <v>52</v>
      </c>
      <c r="H155" s="165">
        <f>LCIA!J15+LCIA!J13+LCIA!J12</f>
        <v>1.572030434509212</v>
      </c>
      <c r="I155" t="s">
        <v>218</v>
      </c>
      <c r="J155" t="s">
        <v>268</v>
      </c>
    </row>
    <row r="156" spans="2:10" x14ac:dyDescent="0.2">
      <c r="B156" t="s">
        <v>271</v>
      </c>
      <c r="C156" s="165">
        <f>LCIA!K14</f>
        <v>1.5720304345092118</v>
      </c>
      <c r="D156" t="s">
        <v>218</v>
      </c>
      <c r="E156" s="7"/>
      <c r="G156" t="s">
        <v>271</v>
      </c>
      <c r="H156" s="165">
        <f>LCIA!J14</f>
        <v>1.5720304345092118</v>
      </c>
      <c r="I156" t="s">
        <v>218</v>
      </c>
    </row>
    <row r="157" spans="2:10" x14ac:dyDescent="0.2">
      <c r="C157" s="165"/>
      <c r="H157" s="165"/>
    </row>
    <row r="158" spans="2:10" x14ac:dyDescent="0.2">
      <c r="B158" t="s">
        <v>28</v>
      </c>
      <c r="C158" s="165">
        <f>LCIA!K50</f>
        <v>0.22417352747168917</v>
      </c>
      <c r="D158" t="s">
        <v>219</v>
      </c>
      <c r="E158" s="7" t="s">
        <v>268</v>
      </c>
      <c r="G158" t="s">
        <v>28</v>
      </c>
      <c r="H158" s="165">
        <f>LCIA!J50</f>
        <v>0.4386003798359136</v>
      </c>
      <c r="I158" t="s">
        <v>58</v>
      </c>
      <c r="J158" t="s">
        <v>268</v>
      </c>
    </row>
    <row r="159" spans="2:10" x14ac:dyDescent="0.2">
      <c r="B159" t="s">
        <v>28</v>
      </c>
      <c r="C159" s="165">
        <f>LCIA!K52-LCIA!K59</f>
        <v>0.69618490671122268</v>
      </c>
      <c r="D159" t="s">
        <v>197</v>
      </c>
      <c r="E159" s="7" t="s">
        <v>268</v>
      </c>
      <c r="G159" t="s">
        <v>28</v>
      </c>
      <c r="H159" s="165">
        <f>LCIA!J52</f>
        <v>1.4071822582460878</v>
      </c>
      <c r="I159" t="s">
        <v>197</v>
      </c>
      <c r="J159" t="s">
        <v>268</v>
      </c>
    </row>
    <row r="160" spans="2:10" x14ac:dyDescent="0.2">
      <c r="B160" t="s">
        <v>406</v>
      </c>
      <c r="C160" s="165">
        <f>LCIA!K59</f>
        <v>0.69618490671122268</v>
      </c>
      <c r="D160" t="s">
        <v>197</v>
      </c>
      <c r="E160" s="7"/>
      <c r="G160" t="s">
        <v>406</v>
      </c>
      <c r="H160" s="165">
        <f>LCIA!J59</f>
        <v>0.70359112912304389</v>
      </c>
      <c r="I160" t="s">
        <v>197</v>
      </c>
    </row>
    <row r="161" spans="2:10" x14ac:dyDescent="0.2">
      <c r="C161" s="165"/>
      <c r="H161" s="165"/>
    </row>
    <row r="162" spans="2:10" x14ac:dyDescent="0.2">
      <c r="B162" t="s">
        <v>197</v>
      </c>
      <c r="C162" s="165">
        <f>LCIA!K53</f>
        <v>0.62830687830687837</v>
      </c>
      <c r="D162" t="s">
        <v>59</v>
      </c>
      <c r="E162" s="7" t="s">
        <v>270</v>
      </c>
      <c r="G162" t="s">
        <v>197</v>
      </c>
      <c r="H162" s="165">
        <f>LCIA!J53</f>
        <v>0.62830687830687815</v>
      </c>
      <c r="I162" t="s">
        <v>59</v>
      </c>
      <c r="J162" t="s">
        <v>270</v>
      </c>
    </row>
    <row r="163" spans="2:10" x14ac:dyDescent="0.2">
      <c r="B163" t="s">
        <v>197</v>
      </c>
      <c r="C163" s="165">
        <f>LCIA!K54</f>
        <v>3.3068783068783074E-2</v>
      </c>
      <c r="D163" t="s">
        <v>193</v>
      </c>
      <c r="E163" t="s">
        <v>270</v>
      </c>
      <c r="G163" t="s">
        <v>197</v>
      </c>
      <c r="H163" s="165">
        <f>LCIA!J54</f>
        <v>3.306878306878306E-2</v>
      </c>
      <c r="I163" t="s">
        <v>193</v>
      </c>
      <c r="J163" t="s">
        <v>270</v>
      </c>
    </row>
    <row r="164" spans="2:10" x14ac:dyDescent="0.2">
      <c r="B164" t="s">
        <v>197</v>
      </c>
      <c r="C164" s="165">
        <f>LCIA!K57</f>
        <v>6.9618490671122264E-3</v>
      </c>
      <c r="D164" t="s">
        <v>269</v>
      </c>
      <c r="E164" t="s">
        <v>270</v>
      </c>
      <c r="G164" t="s">
        <v>197</v>
      </c>
      <c r="H164" s="165">
        <f>LCIA!J57</f>
        <v>1.4071822582460879E-2</v>
      </c>
      <c r="I164" t="s">
        <v>269</v>
      </c>
      <c r="J164" t="s">
        <v>270</v>
      </c>
    </row>
    <row r="165" spans="2:10" x14ac:dyDescent="0.2">
      <c r="B165" s="165" t="s">
        <v>197</v>
      </c>
      <c r="C165" s="165">
        <f>LCIA!K58</f>
        <v>2.7847396268448905E-2</v>
      </c>
      <c r="D165" t="s">
        <v>69</v>
      </c>
      <c r="E165" t="s">
        <v>270</v>
      </c>
      <c r="G165" t="s">
        <v>197</v>
      </c>
      <c r="H165" s="165">
        <f>LCIA!J58</f>
        <v>2.8143645164921759E-2</v>
      </c>
      <c r="I165" t="s">
        <v>69</v>
      </c>
      <c r="J165" t="s">
        <v>270</v>
      </c>
    </row>
    <row r="166" spans="2:10" x14ac:dyDescent="0.2">
      <c r="B166" s="165" t="s">
        <v>197</v>
      </c>
      <c r="C166" s="165">
        <f>LCIA!K59</f>
        <v>0.69618490671122268</v>
      </c>
      <c r="D166" t="s">
        <v>405</v>
      </c>
      <c r="E166" t="s">
        <v>270</v>
      </c>
      <c r="G166" t="s">
        <v>197</v>
      </c>
      <c r="H166" s="165">
        <f>LCIA!J59</f>
        <v>0.70359112912304389</v>
      </c>
      <c r="I166" t="s">
        <v>405</v>
      </c>
      <c r="J166" t="s">
        <v>270</v>
      </c>
    </row>
    <row r="167" spans="2:10" x14ac:dyDescent="0.2">
      <c r="C167" s="166"/>
      <c r="H167" s="165"/>
    </row>
    <row r="168" spans="2:10" x14ac:dyDescent="0.2">
      <c r="B168" s="165" t="s">
        <v>218</v>
      </c>
      <c r="C168" s="166">
        <f>LCIA!K13</f>
        <v>4.716091303527635E-2</v>
      </c>
      <c r="D168" t="s">
        <v>628</v>
      </c>
      <c r="E168" t="s">
        <v>270</v>
      </c>
      <c r="G168" t="s">
        <v>218</v>
      </c>
      <c r="H168" s="165">
        <f>LCIA!J13</f>
        <v>4.7160913035276357E-2</v>
      </c>
      <c r="I168" t="s">
        <v>67</v>
      </c>
      <c r="J168" t="s">
        <v>270</v>
      </c>
    </row>
    <row r="169" spans="2:10" x14ac:dyDescent="0.2">
      <c r="B169" s="165" t="s">
        <v>218</v>
      </c>
      <c r="C169" s="166">
        <f>LCIA!K12</f>
        <v>6.2881217380368476E-2</v>
      </c>
      <c r="D169" t="s">
        <v>269</v>
      </c>
      <c r="E169" t="s">
        <v>270</v>
      </c>
      <c r="G169" t="s">
        <v>218</v>
      </c>
      <c r="H169" s="165">
        <f>LCIA!J12</f>
        <v>6.2881217380368476E-2</v>
      </c>
      <c r="I169" t="s">
        <v>269</v>
      </c>
      <c r="J169" t="s">
        <v>270</v>
      </c>
    </row>
    <row r="170" spans="2:10" x14ac:dyDescent="0.2">
      <c r="B170" s="165" t="s">
        <v>218</v>
      </c>
      <c r="C170" s="166">
        <f>LCIA!K15</f>
        <v>1.4619883040935671</v>
      </c>
      <c r="D170" t="s">
        <v>390</v>
      </c>
      <c r="E170" t="s">
        <v>270</v>
      </c>
      <c r="G170" t="s">
        <v>218</v>
      </c>
      <c r="H170" s="165">
        <f>LCIA!J15</f>
        <v>1.4619883040935671</v>
      </c>
      <c r="I170" t="s">
        <v>390</v>
      </c>
      <c r="J170" t="s">
        <v>270</v>
      </c>
    </row>
    <row r="171" spans="2:10" x14ac:dyDescent="0.2">
      <c r="B171" s="165" t="s">
        <v>218</v>
      </c>
      <c r="C171" s="166">
        <f>LCIA!K14</f>
        <v>1.5720304345092118</v>
      </c>
      <c r="D171" t="s">
        <v>68</v>
      </c>
      <c r="E171" t="s">
        <v>270</v>
      </c>
      <c r="G171" t="s">
        <v>218</v>
      </c>
      <c r="H171" s="165">
        <f>LCIA!J14</f>
        <v>1.5720304345092118</v>
      </c>
      <c r="I171" t="s">
        <v>68</v>
      </c>
      <c r="J171" t="s">
        <v>270</v>
      </c>
    </row>
    <row r="172" spans="2:10" x14ac:dyDescent="0.2">
      <c r="C172" s="166"/>
      <c r="H172" s="165"/>
    </row>
    <row r="173" spans="2:10" x14ac:dyDescent="0.2">
      <c r="B173" t="s">
        <v>390</v>
      </c>
      <c r="C173" s="166">
        <f>LCIA!K16</f>
        <v>0</v>
      </c>
      <c r="D173" t="s">
        <v>336</v>
      </c>
      <c r="E173" t="s">
        <v>342</v>
      </c>
      <c r="G173" t="s">
        <v>390</v>
      </c>
      <c r="H173" s="165">
        <f>LCIA!J16</f>
        <v>0</v>
      </c>
      <c r="I173" t="s">
        <v>336</v>
      </c>
      <c r="J173" t="s">
        <v>342</v>
      </c>
    </row>
    <row r="174" spans="2:10" x14ac:dyDescent="0.2">
      <c r="B174" t="s">
        <v>390</v>
      </c>
      <c r="C174" s="165">
        <f>LCIA!K17</f>
        <v>0.35989196308843008</v>
      </c>
      <c r="D174" t="s">
        <v>131</v>
      </c>
      <c r="E174" t="s">
        <v>342</v>
      </c>
      <c r="G174" t="s">
        <v>390</v>
      </c>
      <c r="H174" s="165">
        <f>LCIA!J17</f>
        <v>0.35989196308843008</v>
      </c>
      <c r="I174" t="s">
        <v>131</v>
      </c>
      <c r="J174" t="s">
        <v>342</v>
      </c>
    </row>
    <row r="175" spans="2:10" x14ac:dyDescent="0.2">
      <c r="B175" t="s">
        <v>390</v>
      </c>
      <c r="C175" s="165">
        <f>LCIA!K19</f>
        <v>0.12022198015308375</v>
      </c>
      <c r="D175" t="s">
        <v>341</v>
      </c>
      <c r="E175" t="s">
        <v>342</v>
      </c>
      <c r="G175" t="s">
        <v>390</v>
      </c>
      <c r="H175" s="165">
        <f>LCIA!J19</f>
        <v>0.12022198015308375</v>
      </c>
      <c r="I175" t="s">
        <v>341</v>
      </c>
      <c r="J175" t="s">
        <v>342</v>
      </c>
    </row>
    <row r="176" spans="2:10" x14ac:dyDescent="0.2">
      <c r="B176" t="s">
        <v>390</v>
      </c>
      <c r="C176" s="165">
        <f>LCIA!K23</f>
        <v>1.3879870502309777</v>
      </c>
      <c r="D176" t="s">
        <v>556</v>
      </c>
      <c r="E176" t="s">
        <v>342</v>
      </c>
      <c r="G176" t="s">
        <v>390</v>
      </c>
      <c r="H176" s="165">
        <f>LCIA!J23</f>
        <v>1.3879870502309777</v>
      </c>
      <c r="I176" t="s">
        <v>389</v>
      </c>
      <c r="J176" t="s">
        <v>342</v>
      </c>
    </row>
    <row r="177" spans="2:10" x14ac:dyDescent="0.2">
      <c r="H177" s="165"/>
    </row>
    <row r="178" spans="2:10" x14ac:dyDescent="0.2">
      <c r="B178" t="s">
        <v>334</v>
      </c>
      <c r="C178" s="165">
        <f>LCIA!K21</f>
        <v>0</v>
      </c>
      <c r="D178" t="s">
        <v>390</v>
      </c>
      <c r="E178" t="s">
        <v>270</v>
      </c>
      <c r="G178" t="s">
        <v>334</v>
      </c>
      <c r="H178" s="165">
        <f>LCIA!J21</f>
        <v>0</v>
      </c>
      <c r="I178" t="s">
        <v>390</v>
      </c>
      <c r="J178" t="s">
        <v>270</v>
      </c>
    </row>
    <row r="179" spans="2:10" x14ac:dyDescent="0.2">
      <c r="B179" t="s">
        <v>343</v>
      </c>
      <c r="C179" s="165">
        <f>LCIA!K22</f>
        <v>0.40611268937892436</v>
      </c>
      <c r="D179" t="s">
        <v>390</v>
      </c>
      <c r="G179" t="s">
        <v>343</v>
      </c>
      <c r="H179" s="165">
        <f>LCIA!J22</f>
        <v>0.40611268937892436</v>
      </c>
      <c r="I179" t="s">
        <v>390</v>
      </c>
    </row>
    <row r="180" spans="2:10" x14ac:dyDescent="0.2">
      <c r="C180" s="165"/>
      <c r="H180" s="165"/>
    </row>
    <row r="181" spans="2:10" x14ac:dyDescent="0.2">
      <c r="B181" t="s">
        <v>556</v>
      </c>
      <c r="C181" s="165">
        <f>LCIA!K24</f>
        <v>1.8605442135635095</v>
      </c>
      <c r="D181" t="s">
        <v>53</v>
      </c>
      <c r="E181" t="s">
        <v>344</v>
      </c>
      <c r="G181" t="s">
        <v>389</v>
      </c>
      <c r="H181" s="165">
        <f>LCIA!J24</f>
        <v>1.8605442135635095</v>
      </c>
      <c r="I181" t="s">
        <v>53</v>
      </c>
      <c r="J181" t="s">
        <v>344</v>
      </c>
    </row>
    <row r="182" spans="2:10" x14ac:dyDescent="0.2">
      <c r="B182" t="s">
        <v>556</v>
      </c>
      <c r="C182" s="165">
        <f>LCIA!K25</f>
        <v>0.22692421827339052</v>
      </c>
      <c r="D182" t="s">
        <v>132</v>
      </c>
      <c r="E182" t="s">
        <v>344</v>
      </c>
      <c r="G182" t="s">
        <v>389</v>
      </c>
      <c r="H182" s="165">
        <f>LCIA!J25</f>
        <v>0.22692421827339052</v>
      </c>
      <c r="I182" t="s">
        <v>132</v>
      </c>
      <c r="J182" t="s">
        <v>344</v>
      </c>
    </row>
    <row r="183" spans="2:10" x14ac:dyDescent="0.2">
      <c r="B183" t="s">
        <v>556</v>
      </c>
      <c r="C183" s="165">
        <f>LCIA!K26</f>
        <v>0.23292840558797984</v>
      </c>
      <c r="D183" t="s">
        <v>133</v>
      </c>
      <c r="E183" t="s">
        <v>344</v>
      </c>
      <c r="G183" t="s">
        <v>389</v>
      </c>
      <c r="H183" s="165">
        <f>LCIA!J26</f>
        <v>0.23292840558797984</v>
      </c>
      <c r="I183" t="s">
        <v>133</v>
      </c>
      <c r="J183" t="s">
        <v>344</v>
      </c>
    </row>
    <row r="184" spans="2:10" x14ac:dyDescent="0.2">
      <c r="B184" t="s">
        <v>556</v>
      </c>
      <c r="C184" s="165">
        <f>LCIA!K27</f>
        <v>0</v>
      </c>
      <c r="D184" t="s">
        <v>560</v>
      </c>
      <c r="E184" t="s">
        <v>344</v>
      </c>
      <c r="G184" t="s">
        <v>389</v>
      </c>
      <c r="H184" s="165">
        <f>LCIA!J27</f>
        <v>0</v>
      </c>
      <c r="I184" t="s">
        <v>560</v>
      </c>
      <c r="J184" t="s">
        <v>344</v>
      </c>
    </row>
    <row r="185" spans="2:10" x14ac:dyDescent="0.2">
      <c r="B185" t="s">
        <v>556</v>
      </c>
      <c r="C185" s="165">
        <f>LCIA!K29</f>
        <v>1.2021978380067828</v>
      </c>
      <c r="D185" t="s">
        <v>136</v>
      </c>
      <c r="E185" t="s">
        <v>344</v>
      </c>
      <c r="G185" t="s">
        <v>389</v>
      </c>
      <c r="H185" s="165">
        <f>LCIA!J29</f>
        <v>1.2021978380067828</v>
      </c>
      <c r="I185" t="s">
        <v>136</v>
      </c>
      <c r="J185" t="s">
        <v>344</v>
      </c>
    </row>
    <row r="186" spans="2:10" x14ac:dyDescent="0.2">
      <c r="B186" t="s">
        <v>556</v>
      </c>
      <c r="C186" s="165">
        <f>LCIA!K30</f>
        <v>0.175563616469818</v>
      </c>
      <c r="D186" t="s">
        <v>55</v>
      </c>
      <c r="E186" t="s">
        <v>344</v>
      </c>
      <c r="G186" t="s">
        <v>389</v>
      </c>
      <c r="H186" s="165">
        <f>LCIA!J30</f>
        <v>0.175563616469818</v>
      </c>
      <c r="I186" t="s">
        <v>55</v>
      </c>
      <c r="J186" t="s">
        <v>344</v>
      </c>
    </row>
    <row r="187" spans="2:10" x14ac:dyDescent="0.2">
      <c r="H187" s="165"/>
    </row>
    <row r="188" spans="2:10" x14ac:dyDescent="0.2">
      <c r="B188" t="s">
        <v>397</v>
      </c>
      <c r="C188" s="165">
        <f>LCIA!K33</f>
        <v>8.5316352163390341E-2</v>
      </c>
      <c r="D188" t="s">
        <v>556</v>
      </c>
      <c r="G188" t="s">
        <v>397</v>
      </c>
      <c r="H188" s="165">
        <f>LCIA!J33</f>
        <v>8.5316352163390341E-2</v>
      </c>
      <c r="I188" t="s">
        <v>389</v>
      </c>
    </row>
    <row r="189" spans="2:10" x14ac:dyDescent="0.2">
      <c r="B189" t="s">
        <v>404</v>
      </c>
      <c r="C189" s="165">
        <f>LCIA!K34</f>
        <v>2.1346076252006854</v>
      </c>
      <c r="D189" t="s">
        <v>556</v>
      </c>
      <c r="G189" t="s">
        <v>404</v>
      </c>
      <c r="H189" s="165">
        <f>LCIA!J34</f>
        <v>2.1346076252006854</v>
      </c>
      <c r="I189" t="s">
        <v>389</v>
      </c>
    </row>
    <row r="190" spans="2:10" x14ac:dyDescent="0.2">
      <c r="B190" t="s">
        <v>338</v>
      </c>
      <c r="C190" s="165">
        <f>LCIA!K35</f>
        <v>9.0247264306427641E-2</v>
      </c>
      <c r="D190" t="s">
        <v>556</v>
      </c>
      <c r="G190" t="s">
        <v>338</v>
      </c>
      <c r="H190" s="165">
        <f>LCIA!J35</f>
        <v>9.0247264306427641E-2</v>
      </c>
      <c r="I190" t="s">
        <v>389</v>
      </c>
    </row>
    <row r="191" spans="2:10" x14ac:dyDescent="0.2">
      <c r="C191" s="165"/>
    </row>
    <row r="192" spans="2:10" x14ac:dyDescent="0.2">
      <c r="C192" s="165"/>
    </row>
    <row r="193" spans="2:10" ht="13.5" thickBot="1" x14ac:dyDescent="0.25">
      <c r="B193" s="707" t="s">
        <v>420</v>
      </c>
      <c r="C193" s="707"/>
      <c r="D193" s="707"/>
      <c r="E193" s="707"/>
      <c r="G193" s="707" t="s">
        <v>450</v>
      </c>
      <c r="H193" s="707"/>
      <c r="I193" s="707"/>
      <c r="J193" s="707"/>
    </row>
    <row r="195" spans="2:10" x14ac:dyDescent="0.2">
      <c r="B195" t="s">
        <v>510</v>
      </c>
      <c r="C195" s="165">
        <f>LCIA!M49</f>
        <v>0.7727468175009905</v>
      </c>
      <c r="D195" t="s">
        <v>28</v>
      </c>
      <c r="E195" t="s">
        <v>266</v>
      </c>
      <c r="G195" t="s">
        <v>516</v>
      </c>
      <c r="H195" s="165">
        <f>LCIA!L49</f>
        <v>0.97247836538007149</v>
      </c>
      <c r="I195" t="s">
        <v>28</v>
      </c>
      <c r="J195" t="s">
        <v>266</v>
      </c>
    </row>
    <row r="196" spans="2:10" x14ac:dyDescent="0.2">
      <c r="B196" t="s">
        <v>510</v>
      </c>
      <c r="C196" s="165">
        <f>LCIA!M15+LCIA!M13+LCIA!M12+LCIA!M10</f>
        <v>1.5142408457581849</v>
      </c>
      <c r="D196" t="s">
        <v>52</v>
      </c>
      <c r="E196" t="s">
        <v>266</v>
      </c>
      <c r="G196" t="s">
        <v>516</v>
      </c>
      <c r="H196" s="165">
        <f>LCIA!L15+LCIA!L13+LCIA!L12+LCIA!L10</f>
        <v>1.6021715892683932</v>
      </c>
      <c r="I196" t="s">
        <v>52</v>
      </c>
      <c r="J196" t="s">
        <v>266</v>
      </c>
    </row>
    <row r="197" spans="2:10" x14ac:dyDescent="0.2">
      <c r="B197" t="s">
        <v>510</v>
      </c>
      <c r="C197" s="165">
        <f>LCIA!M60</f>
        <v>0.10214177276438353</v>
      </c>
      <c r="D197" t="s">
        <v>632</v>
      </c>
      <c r="E197" t="s">
        <v>266</v>
      </c>
      <c r="G197" t="s">
        <v>516</v>
      </c>
      <c r="H197" s="165">
        <f>LCIA!L60</f>
        <v>0.19984259888683736</v>
      </c>
      <c r="I197" t="s">
        <v>61</v>
      </c>
      <c r="J197" t="s">
        <v>266</v>
      </c>
    </row>
    <row r="198" spans="2:10" x14ac:dyDescent="0.2">
      <c r="B198" t="s">
        <v>510</v>
      </c>
      <c r="C198" s="165">
        <f>LCIA!M61</f>
        <v>0.35956316715500974</v>
      </c>
      <c r="D198" t="s">
        <v>630</v>
      </c>
      <c r="E198" t="s">
        <v>266</v>
      </c>
      <c r="G198" t="s">
        <v>516</v>
      </c>
      <c r="H198" s="165">
        <f>LCIA!L61</f>
        <v>0.54006396138710511</v>
      </c>
      <c r="I198" t="s">
        <v>195</v>
      </c>
      <c r="J198" t="s">
        <v>266</v>
      </c>
    </row>
    <row r="199" spans="2:10" x14ac:dyDescent="0.2">
      <c r="B199" t="s">
        <v>510</v>
      </c>
      <c r="C199" s="165">
        <f>LCIA!M64</f>
        <v>0.36919022211508962</v>
      </c>
      <c r="D199" t="s">
        <v>631</v>
      </c>
      <c r="E199" t="s">
        <v>266</v>
      </c>
      <c r="G199" t="s">
        <v>516</v>
      </c>
      <c r="H199" s="165">
        <f>LCIA!L64</f>
        <v>0.45328499882606255</v>
      </c>
      <c r="I199" t="s">
        <v>505</v>
      </c>
      <c r="J199" t="s">
        <v>266</v>
      </c>
    </row>
    <row r="200" spans="2:10" x14ac:dyDescent="0.2">
      <c r="C200" s="165"/>
      <c r="H200" s="165"/>
    </row>
    <row r="201" spans="2:10" x14ac:dyDescent="0.2">
      <c r="B201" t="s">
        <v>52</v>
      </c>
      <c r="C201" s="165">
        <f>LCIA!M10</f>
        <v>9.1927595487945199E-2</v>
      </c>
      <c r="D201" t="s">
        <v>198</v>
      </c>
      <c r="E201" s="7" t="s">
        <v>268</v>
      </c>
      <c r="G201" t="s">
        <v>52</v>
      </c>
      <c r="H201" s="165">
        <f>LCIA!L10</f>
        <v>0.17985833899815365</v>
      </c>
      <c r="I201" t="s">
        <v>267</v>
      </c>
      <c r="J201" t="s">
        <v>268</v>
      </c>
    </row>
    <row r="202" spans="2:10" x14ac:dyDescent="0.2">
      <c r="B202" t="s">
        <v>52</v>
      </c>
      <c r="C202" s="165">
        <f>LCIA!M15+LCIA!M13+LCIA!M12</f>
        <v>1.4223132502702396</v>
      </c>
      <c r="D202" t="s">
        <v>218</v>
      </c>
      <c r="E202" s="7" t="s">
        <v>268</v>
      </c>
      <c r="G202" t="s">
        <v>52</v>
      </c>
      <c r="H202" s="165">
        <f>LCIA!L15+LCIA!L13+LCIA!L12</f>
        <v>1.4223132502702396</v>
      </c>
      <c r="I202" t="s">
        <v>218</v>
      </c>
      <c r="J202" t="s">
        <v>268</v>
      </c>
    </row>
    <row r="203" spans="2:10" x14ac:dyDescent="0.2">
      <c r="B203" t="s">
        <v>271</v>
      </c>
      <c r="C203" s="165">
        <f>LCIA!M14</f>
        <v>1.4223132502702394</v>
      </c>
      <c r="D203" t="s">
        <v>218</v>
      </c>
      <c r="E203" s="7"/>
      <c r="G203" t="s">
        <v>271</v>
      </c>
      <c r="H203" s="165">
        <f>LCIA!L14</f>
        <v>1.4223132502702394</v>
      </c>
      <c r="I203" t="s">
        <v>218</v>
      </c>
    </row>
    <row r="204" spans="2:10" x14ac:dyDescent="0.2">
      <c r="C204" s="165"/>
      <c r="H204" s="165"/>
    </row>
    <row r="205" spans="2:10" x14ac:dyDescent="0.2">
      <c r="B205" t="s">
        <v>28</v>
      </c>
      <c r="C205" s="165">
        <f>LCIA!M50</f>
        <v>0.20246769179073362</v>
      </c>
      <c r="D205" t="s">
        <v>219</v>
      </c>
      <c r="E205" s="7" t="s">
        <v>268</v>
      </c>
      <c r="G205" t="s">
        <v>28</v>
      </c>
      <c r="H205" s="165">
        <f>LCIA!L50</f>
        <v>0.39613244046013096</v>
      </c>
      <c r="I205" t="s">
        <v>58</v>
      </c>
      <c r="J205" t="s">
        <v>268</v>
      </c>
    </row>
    <row r="206" spans="2:10" x14ac:dyDescent="0.2">
      <c r="B206" t="s">
        <v>28</v>
      </c>
      <c r="C206" s="165">
        <f>LCIA!M52-LCIA!M59</f>
        <v>0.57027912571025696</v>
      </c>
      <c r="D206" t="s">
        <v>197</v>
      </c>
      <c r="E206" s="7" t="s">
        <v>268</v>
      </c>
      <c r="G206" t="s">
        <v>28</v>
      </c>
      <c r="H206" s="165">
        <f>LCIA!L52</f>
        <v>1.152691849839881</v>
      </c>
      <c r="I206" t="s">
        <v>197</v>
      </c>
      <c r="J206" t="s">
        <v>268</v>
      </c>
    </row>
    <row r="207" spans="2:10" x14ac:dyDescent="0.2">
      <c r="B207" t="s">
        <v>406</v>
      </c>
      <c r="C207" s="165">
        <f>LCIA!M59</f>
        <v>0.57027912571025674</v>
      </c>
      <c r="D207" t="s">
        <v>197</v>
      </c>
      <c r="E207" s="7"/>
      <c r="G207" t="s">
        <v>406</v>
      </c>
      <c r="H207" s="165">
        <f>LCIA!L59</f>
        <v>0.57634592491994052</v>
      </c>
      <c r="I207" t="s">
        <v>197</v>
      </c>
    </row>
    <row r="208" spans="2:10" x14ac:dyDescent="0.2">
      <c r="C208" s="165"/>
      <c r="H208" s="165"/>
    </row>
    <row r="209" spans="2:10" x14ac:dyDescent="0.2">
      <c r="B209" t="s">
        <v>197</v>
      </c>
      <c r="C209" s="165">
        <f>LCIA!M53</f>
        <v>0.48758865248226951</v>
      </c>
      <c r="D209" t="s">
        <v>59</v>
      </c>
      <c r="E209" s="7" t="s">
        <v>270</v>
      </c>
      <c r="G209" t="s">
        <v>197</v>
      </c>
      <c r="H209" s="165">
        <f>LCIA!L53</f>
        <v>0.48758865248226962</v>
      </c>
      <c r="I209" t="s">
        <v>59</v>
      </c>
      <c r="J209" t="s">
        <v>270</v>
      </c>
    </row>
    <row r="210" spans="2:10" x14ac:dyDescent="0.2">
      <c r="B210" t="s">
        <v>197</v>
      </c>
      <c r="C210" s="165">
        <f>LCIA!M54</f>
        <v>5.4176516942474391E-2</v>
      </c>
      <c r="D210" t="s">
        <v>193</v>
      </c>
      <c r="E210" t="s">
        <v>270</v>
      </c>
      <c r="G210" t="s">
        <v>197</v>
      </c>
      <c r="H210" s="165">
        <f>LCIA!L54</f>
        <v>5.4176516942474405E-2</v>
      </c>
      <c r="I210" t="s">
        <v>193</v>
      </c>
      <c r="J210" t="s">
        <v>270</v>
      </c>
    </row>
    <row r="211" spans="2:10" x14ac:dyDescent="0.2">
      <c r="B211" t="s">
        <v>197</v>
      </c>
      <c r="C211" s="165">
        <f>LCIA!M57</f>
        <v>5.7027912571025697E-3</v>
      </c>
      <c r="D211" t="s">
        <v>269</v>
      </c>
      <c r="E211" t="s">
        <v>270</v>
      </c>
      <c r="G211" t="s">
        <v>197</v>
      </c>
      <c r="H211" s="165">
        <f>LCIA!L57</f>
        <v>1.1526918498398809E-2</v>
      </c>
      <c r="I211" t="s">
        <v>269</v>
      </c>
      <c r="J211" t="s">
        <v>270</v>
      </c>
    </row>
    <row r="212" spans="2:10" x14ac:dyDescent="0.2">
      <c r="B212" s="165" t="s">
        <v>197</v>
      </c>
      <c r="C212" s="165">
        <f>LCIA!M58</f>
        <v>2.2811165028410279E-2</v>
      </c>
      <c r="D212" t="s">
        <v>69</v>
      </c>
      <c r="E212" t="s">
        <v>270</v>
      </c>
      <c r="G212" t="s">
        <v>197</v>
      </c>
      <c r="H212" s="165">
        <f>LCIA!L58</f>
        <v>2.3053836996797618E-2</v>
      </c>
      <c r="I212" t="s">
        <v>69</v>
      </c>
      <c r="J212" t="s">
        <v>270</v>
      </c>
    </row>
    <row r="213" spans="2:10" x14ac:dyDescent="0.2">
      <c r="B213" s="165" t="s">
        <v>197</v>
      </c>
      <c r="C213" s="165">
        <f>LCIA!M59</f>
        <v>0.57027912571025674</v>
      </c>
      <c r="D213" t="s">
        <v>405</v>
      </c>
      <c r="E213" t="s">
        <v>270</v>
      </c>
      <c r="G213" t="s">
        <v>197</v>
      </c>
      <c r="H213" s="165">
        <f>LCIA!L59</f>
        <v>0.57634592491994052</v>
      </c>
      <c r="I213" t="s">
        <v>405</v>
      </c>
      <c r="J213" t="s">
        <v>270</v>
      </c>
    </row>
    <row r="214" spans="2:10" x14ac:dyDescent="0.2">
      <c r="C214" s="166"/>
      <c r="H214" s="165"/>
    </row>
    <row r="215" spans="2:10" x14ac:dyDescent="0.2">
      <c r="B215" s="165" t="s">
        <v>218</v>
      </c>
      <c r="C215" s="166">
        <f>LCIA!M13</f>
        <v>4.2669397508107179E-2</v>
      </c>
      <c r="D215" t="s">
        <v>628</v>
      </c>
      <c r="E215" t="s">
        <v>270</v>
      </c>
      <c r="G215" t="s">
        <v>218</v>
      </c>
      <c r="H215" s="165">
        <f>LCIA!L13</f>
        <v>4.2669397508107186E-2</v>
      </c>
      <c r="I215" t="s">
        <v>67</v>
      </c>
      <c r="J215" t="s">
        <v>270</v>
      </c>
    </row>
    <row r="216" spans="2:10" x14ac:dyDescent="0.2">
      <c r="B216" s="165" t="s">
        <v>218</v>
      </c>
      <c r="C216" s="166">
        <f>LCIA!M12</f>
        <v>5.6892530010809586E-2</v>
      </c>
      <c r="D216" t="s">
        <v>269</v>
      </c>
      <c r="E216" t="s">
        <v>270</v>
      </c>
      <c r="G216" t="s">
        <v>218</v>
      </c>
      <c r="H216" s="165">
        <f>LCIA!L12</f>
        <v>5.6892530010809579E-2</v>
      </c>
      <c r="I216" t="s">
        <v>269</v>
      </c>
      <c r="J216" t="s">
        <v>270</v>
      </c>
    </row>
    <row r="217" spans="2:10" x14ac:dyDescent="0.2">
      <c r="B217" s="165" t="s">
        <v>218</v>
      </c>
      <c r="C217" s="166">
        <f>LCIA!M15</f>
        <v>1.3227513227513228</v>
      </c>
      <c r="D217" t="s">
        <v>390</v>
      </c>
      <c r="E217" t="s">
        <v>270</v>
      </c>
      <c r="G217" t="s">
        <v>218</v>
      </c>
      <c r="H217" s="165">
        <f>LCIA!L15</f>
        <v>1.3227513227513228</v>
      </c>
      <c r="I217" t="s">
        <v>390</v>
      </c>
      <c r="J217" t="s">
        <v>270</v>
      </c>
    </row>
    <row r="218" spans="2:10" x14ac:dyDescent="0.2">
      <c r="B218" s="165" t="s">
        <v>218</v>
      </c>
      <c r="C218" s="166">
        <f>LCIA!M14</f>
        <v>1.4223132502702394</v>
      </c>
      <c r="D218" t="s">
        <v>68</v>
      </c>
      <c r="E218" t="s">
        <v>270</v>
      </c>
      <c r="G218" t="s">
        <v>218</v>
      </c>
      <c r="H218" s="165">
        <f>LCIA!L14</f>
        <v>1.4223132502702394</v>
      </c>
      <c r="I218" t="s">
        <v>68</v>
      </c>
      <c r="J218" t="s">
        <v>270</v>
      </c>
    </row>
    <row r="219" spans="2:10" x14ac:dyDescent="0.2">
      <c r="C219" s="166"/>
      <c r="H219" s="165"/>
    </row>
    <row r="220" spans="2:10" x14ac:dyDescent="0.2">
      <c r="B220" t="s">
        <v>390</v>
      </c>
      <c r="C220" s="166">
        <f>LCIA!M16</f>
        <v>0</v>
      </c>
      <c r="D220" t="s">
        <v>336</v>
      </c>
      <c r="E220" t="s">
        <v>342</v>
      </c>
      <c r="G220" t="s">
        <v>390</v>
      </c>
      <c r="H220" s="165">
        <f>LCIA!L16</f>
        <v>0</v>
      </c>
      <c r="I220" t="s">
        <v>336</v>
      </c>
      <c r="J220" t="s">
        <v>342</v>
      </c>
    </row>
    <row r="221" spans="2:10" x14ac:dyDescent="0.2">
      <c r="B221" t="s">
        <v>390</v>
      </c>
      <c r="C221" s="165">
        <f>LCIA!M17</f>
        <v>0.32502923201988604</v>
      </c>
      <c r="D221" t="s">
        <v>131</v>
      </c>
      <c r="E221" t="s">
        <v>342</v>
      </c>
      <c r="G221" t="s">
        <v>390</v>
      </c>
      <c r="H221" s="165">
        <f>LCIA!L17</f>
        <v>0.32502923201988604</v>
      </c>
      <c r="I221" t="s">
        <v>131</v>
      </c>
      <c r="J221" t="s">
        <v>342</v>
      </c>
    </row>
    <row r="222" spans="2:10" x14ac:dyDescent="0.2">
      <c r="B222" t="s">
        <v>390</v>
      </c>
      <c r="C222" s="165">
        <f>LCIA!M19</f>
        <v>0.10857607807003292</v>
      </c>
      <c r="D222" t="s">
        <v>341</v>
      </c>
      <c r="E222" t="s">
        <v>342</v>
      </c>
      <c r="G222" t="s">
        <v>390</v>
      </c>
      <c r="H222" s="165">
        <f>LCIA!L19</f>
        <v>0.10857607807003292</v>
      </c>
      <c r="I222" t="s">
        <v>341</v>
      </c>
      <c r="J222" t="s">
        <v>342</v>
      </c>
    </row>
    <row r="223" spans="2:10" x14ac:dyDescent="0.2">
      <c r="B223" t="s">
        <v>390</v>
      </c>
      <c r="C223" s="165">
        <f>LCIA!M23</f>
        <v>1.2559185696521489</v>
      </c>
      <c r="D223" t="s">
        <v>556</v>
      </c>
      <c r="E223" t="s">
        <v>342</v>
      </c>
      <c r="G223" t="s">
        <v>390</v>
      </c>
      <c r="H223" s="165">
        <f>LCIA!L23</f>
        <v>1.2559185696521489</v>
      </c>
      <c r="I223" t="s">
        <v>389</v>
      </c>
      <c r="J223" t="s">
        <v>342</v>
      </c>
    </row>
    <row r="224" spans="2:10" x14ac:dyDescent="0.2">
      <c r="H224" s="165"/>
    </row>
    <row r="225" spans="2:10" x14ac:dyDescent="0.2">
      <c r="B225" t="s">
        <v>334</v>
      </c>
      <c r="C225" s="165">
        <f>LCIA!M21</f>
        <v>0</v>
      </c>
      <c r="D225" t="s">
        <v>390</v>
      </c>
      <c r="E225" t="s">
        <v>270</v>
      </c>
      <c r="G225" t="s">
        <v>334</v>
      </c>
      <c r="H225" s="165">
        <f>LCIA!L21</f>
        <v>0</v>
      </c>
      <c r="I225" t="s">
        <v>390</v>
      </c>
      <c r="J225" t="s">
        <v>270</v>
      </c>
    </row>
    <row r="226" spans="2:10" x14ac:dyDescent="0.2">
      <c r="B226" t="s">
        <v>343</v>
      </c>
      <c r="C226" s="165">
        <f>LCIA!M22</f>
        <v>0.36677255699074507</v>
      </c>
      <c r="D226" t="s">
        <v>390</v>
      </c>
      <c r="G226" t="s">
        <v>343</v>
      </c>
      <c r="H226" s="165">
        <f>LCIA!L22</f>
        <v>0.36677255699074507</v>
      </c>
      <c r="I226" t="s">
        <v>390</v>
      </c>
    </row>
    <row r="227" spans="2:10" x14ac:dyDescent="0.2">
      <c r="C227" s="165"/>
      <c r="H227" s="165"/>
    </row>
    <row r="228" spans="2:10" x14ac:dyDescent="0.2">
      <c r="B228" t="s">
        <v>556</v>
      </c>
      <c r="C228" s="165">
        <f>LCIA!M24</f>
        <v>1.8903524772950406</v>
      </c>
      <c r="D228" t="s">
        <v>53</v>
      </c>
      <c r="E228" t="s">
        <v>344</v>
      </c>
      <c r="G228" t="s">
        <v>389</v>
      </c>
      <c r="H228" s="165">
        <f>LCIA!L24</f>
        <v>1.8903524772950406</v>
      </c>
      <c r="I228" t="s">
        <v>53</v>
      </c>
      <c r="J228" t="s">
        <v>344</v>
      </c>
    </row>
    <row r="229" spans="2:10" x14ac:dyDescent="0.2">
      <c r="B229" t="s">
        <v>556</v>
      </c>
      <c r="C229" s="165">
        <f>LCIA!M25</f>
        <v>0.1024710356952179</v>
      </c>
      <c r="D229" t="s">
        <v>132</v>
      </c>
      <c r="E229" t="s">
        <v>344</v>
      </c>
      <c r="G229" t="s">
        <v>389</v>
      </c>
      <c r="H229" s="165">
        <f>LCIA!L25</f>
        <v>0.1024710356952179</v>
      </c>
      <c r="I229" t="s">
        <v>132</v>
      </c>
      <c r="J229" t="s">
        <v>344</v>
      </c>
    </row>
    <row r="230" spans="2:10" x14ac:dyDescent="0.2">
      <c r="B230" t="s">
        <v>556</v>
      </c>
      <c r="C230" s="165">
        <f>LCIA!M26</f>
        <v>0.10518231656825726</v>
      </c>
      <c r="D230" t="s">
        <v>133</v>
      </c>
      <c r="E230" t="s">
        <v>344</v>
      </c>
      <c r="G230" t="s">
        <v>389</v>
      </c>
      <c r="H230" s="165">
        <f>LCIA!L26</f>
        <v>0.10518231656825726</v>
      </c>
      <c r="I230" t="s">
        <v>133</v>
      </c>
      <c r="J230" t="s">
        <v>344</v>
      </c>
    </row>
    <row r="231" spans="2:10" x14ac:dyDescent="0.2">
      <c r="B231" t="s">
        <v>556</v>
      </c>
      <c r="C231" s="165">
        <f>LCIA!M27</f>
        <v>0</v>
      </c>
      <c r="D231" t="s">
        <v>560</v>
      </c>
      <c r="E231" t="s">
        <v>344</v>
      </c>
      <c r="G231" t="s">
        <v>389</v>
      </c>
      <c r="H231" s="165">
        <f>LCIA!L27</f>
        <v>0</v>
      </c>
      <c r="I231" t="s">
        <v>560</v>
      </c>
      <c r="J231" t="s">
        <v>344</v>
      </c>
    </row>
    <row r="232" spans="2:10" x14ac:dyDescent="0.2">
      <c r="B232" t="s">
        <v>556</v>
      </c>
      <c r="C232" s="165">
        <f>LCIA!M29</f>
        <v>1.0857409447826425</v>
      </c>
      <c r="D232" t="s">
        <v>136</v>
      </c>
      <c r="E232" t="s">
        <v>344</v>
      </c>
      <c r="G232" t="s">
        <v>389</v>
      </c>
      <c r="H232" s="165">
        <f>LCIA!L29</f>
        <v>1.0857409447826425</v>
      </c>
      <c r="I232" t="s">
        <v>136</v>
      </c>
      <c r="J232" t="s">
        <v>344</v>
      </c>
    </row>
    <row r="233" spans="2:10" x14ac:dyDescent="0.2">
      <c r="B233" t="s">
        <v>556</v>
      </c>
      <c r="C233" s="165">
        <f>LCIA!M30</f>
        <v>0.15855677059895215</v>
      </c>
      <c r="D233" t="s">
        <v>55</v>
      </c>
      <c r="E233" t="s">
        <v>344</v>
      </c>
      <c r="G233" t="s">
        <v>389</v>
      </c>
      <c r="H233" s="165">
        <f>LCIA!L30</f>
        <v>0.15855677059895215</v>
      </c>
      <c r="I233" t="s">
        <v>55</v>
      </c>
      <c r="J233" t="s">
        <v>344</v>
      </c>
    </row>
    <row r="234" spans="2:10" x14ac:dyDescent="0.2">
      <c r="H234" s="165"/>
    </row>
    <row r="235" spans="2:10" x14ac:dyDescent="0.2">
      <c r="B235" t="s">
        <v>397</v>
      </c>
      <c r="C235" s="165">
        <f>LCIA!M33</f>
        <v>7.7051757934342116E-2</v>
      </c>
      <c r="D235" t="s">
        <v>556</v>
      </c>
      <c r="G235" t="s">
        <v>397</v>
      </c>
      <c r="H235" s="165">
        <f>LCIA!L33</f>
        <v>7.7051757934342116E-2</v>
      </c>
      <c r="I235" t="s">
        <v>389</v>
      </c>
    </row>
    <row r="236" spans="2:10" x14ac:dyDescent="0.2">
      <c r="B236" t="s">
        <v>404</v>
      </c>
      <c r="C236" s="165">
        <f>LCIA!M34</f>
        <v>1.9278282046890098</v>
      </c>
      <c r="D236" t="s">
        <v>556</v>
      </c>
      <c r="G236" t="s">
        <v>404</v>
      </c>
      <c r="H236" s="165">
        <f>LCIA!L34</f>
        <v>1.9278282046890098</v>
      </c>
      <c r="I236" t="s">
        <v>389</v>
      </c>
    </row>
    <row r="237" spans="2:10" x14ac:dyDescent="0.2">
      <c r="B237" t="s">
        <v>338</v>
      </c>
      <c r="C237" s="165">
        <f>LCIA!M35</f>
        <v>8.1505012664609994E-2</v>
      </c>
      <c r="D237" t="s">
        <v>556</v>
      </c>
      <c r="G237" t="s">
        <v>338</v>
      </c>
      <c r="H237" s="165">
        <f>LCIA!L35</f>
        <v>8.1505012664609994E-2</v>
      </c>
      <c r="I237" t="s">
        <v>389</v>
      </c>
    </row>
    <row r="238" spans="2:10" x14ac:dyDescent="0.2">
      <c r="C238" s="165"/>
    </row>
    <row r="239" spans="2:10" x14ac:dyDescent="0.2">
      <c r="C239" s="165"/>
    </row>
    <row r="240" spans="2:10" x14ac:dyDescent="0.2">
      <c r="C240" s="165"/>
    </row>
    <row r="241" spans="2:10" ht="13.5" thickBot="1" x14ac:dyDescent="0.25">
      <c r="B241" s="707" t="s">
        <v>391</v>
      </c>
      <c r="C241" s="707"/>
      <c r="D241" s="707"/>
      <c r="E241" s="707"/>
      <c r="G241" s="707" t="s">
        <v>449</v>
      </c>
      <c r="H241" s="707"/>
      <c r="I241" s="707"/>
      <c r="J241" s="707"/>
    </row>
    <row r="243" spans="2:10" x14ac:dyDescent="0.2">
      <c r="B243" t="s">
        <v>511</v>
      </c>
      <c r="C243" s="165">
        <f>LCIA!O49</f>
        <v>1.3792525748477078</v>
      </c>
      <c r="D243" t="s">
        <v>28</v>
      </c>
      <c r="E243" t="s">
        <v>266</v>
      </c>
      <c r="G243" t="s">
        <v>517</v>
      </c>
      <c r="H243" s="165">
        <f>LCIA!N49</f>
        <v>1.7478141583345304</v>
      </c>
      <c r="I243" t="s">
        <v>28</v>
      </c>
      <c r="J243" t="s">
        <v>266</v>
      </c>
    </row>
    <row r="244" spans="2:10" x14ac:dyDescent="0.2">
      <c r="B244" t="s">
        <v>511</v>
      </c>
      <c r="C244" s="165">
        <f>LCIA!O36+LCIA!O13+LCIA!O12+LCIA!O10</f>
        <v>2.2700054000733041</v>
      </c>
      <c r="D244" t="s">
        <v>52</v>
      </c>
      <c r="E244" t="s">
        <v>266</v>
      </c>
      <c r="G244" t="s">
        <v>517</v>
      </c>
      <c r="H244" s="165">
        <f>LCIA!N36+LCIA!N13+LCIA!N12+LCIA!N10</f>
        <v>2.4324906962631032</v>
      </c>
      <c r="I244" t="s">
        <v>52</v>
      </c>
      <c r="J244" t="s">
        <v>266</v>
      </c>
    </row>
    <row r="245" spans="2:10" x14ac:dyDescent="0.2">
      <c r="B245" t="s">
        <v>511</v>
      </c>
      <c r="C245" s="165">
        <f>LCIA!O60</f>
        <v>0.18874554607905955</v>
      </c>
      <c r="D245" t="s">
        <v>632</v>
      </c>
      <c r="E245" t="s">
        <v>266</v>
      </c>
      <c r="G245" t="s">
        <v>517</v>
      </c>
      <c r="H245" s="165">
        <f>LCIA!N60</f>
        <v>0.36928476406772531</v>
      </c>
      <c r="I245" t="s">
        <v>61</v>
      </c>
      <c r="J245" t="s">
        <v>266</v>
      </c>
    </row>
    <row r="246" spans="2:10" x14ac:dyDescent="0.2">
      <c r="B246" t="s">
        <v>511</v>
      </c>
      <c r="C246" s="165">
        <f>LCIA!O61</f>
        <v>0.6509346407850628</v>
      </c>
      <c r="D246" t="s">
        <v>630</v>
      </c>
      <c r="E246" t="s">
        <v>266</v>
      </c>
      <c r="G246" t="s">
        <v>517</v>
      </c>
      <c r="H246" s="165">
        <f>LCIA!N61</f>
        <v>0.97811332543362894</v>
      </c>
      <c r="I246" t="s">
        <v>195</v>
      </c>
      <c r="J246" t="s">
        <v>266</v>
      </c>
    </row>
    <row r="247" spans="2:10" x14ac:dyDescent="0.2">
      <c r="B247" t="s">
        <v>511</v>
      </c>
      <c r="C247" s="165">
        <f>LCIA!O64</f>
        <v>0.66999771889041049</v>
      </c>
      <c r="D247" t="s">
        <v>631</v>
      </c>
      <c r="E247" t="s">
        <v>266</v>
      </c>
      <c r="G247" t="s">
        <v>517</v>
      </c>
      <c r="H247" s="165">
        <f>LCIA!N64</f>
        <v>0.82397804885768955</v>
      </c>
      <c r="I247" t="s">
        <v>505</v>
      </c>
      <c r="J247" t="s">
        <v>266</v>
      </c>
    </row>
    <row r="248" spans="2:10" x14ac:dyDescent="0.2">
      <c r="C248" s="165"/>
      <c r="H248" s="165"/>
    </row>
    <row r="249" spans="2:10" x14ac:dyDescent="0.2">
      <c r="B249" t="s">
        <v>52</v>
      </c>
      <c r="C249" s="165">
        <f>LCIA!O10</f>
        <v>0.16987099147115359</v>
      </c>
      <c r="D249" t="s">
        <v>198</v>
      </c>
      <c r="E249" s="7" t="s">
        <v>268</v>
      </c>
      <c r="G249" t="s">
        <v>52</v>
      </c>
      <c r="H249" s="165">
        <f>LCIA!N10</f>
        <v>0.33235628766095276</v>
      </c>
      <c r="I249" t="s">
        <v>267</v>
      </c>
      <c r="J249" t="s">
        <v>268</v>
      </c>
    </row>
    <row r="250" spans="2:10" x14ac:dyDescent="0.2">
      <c r="B250" t="s">
        <v>52</v>
      </c>
      <c r="C250" s="165">
        <f>LCIA!O36+LCIA!O13+LCIA!O12</f>
        <v>2.1001344086021505</v>
      </c>
      <c r="D250" t="s">
        <v>218</v>
      </c>
      <c r="E250" s="7" t="s">
        <v>268</v>
      </c>
      <c r="G250" t="s">
        <v>52</v>
      </c>
      <c r="H250" s="165">
        <f>LCIA!N36+LCIA!N13+LCIA!N12</f>
        <v>2.1001344086021505</v>
      </c>
      <c r="I250" t="s">
        <v>218</v>
      </c>
      <c r="J250" t="s">
        <v>268</v>
      </c>
    </row>
    <row r="251" spans="2:10" x14ac:dyDescent="0.2">
      <c r="B251" t="s">
        <v>271</v>
      </c>
      <c r="C251" s="165">
        <f>LCIA!O14</f>
        <v>2.1001344086021505</v>
      </c>
      <c r="D251" t="s">
        <v>218</v>
      </c>
      <c r="E251" s="7"/>
      <c r="G251" t="s">
        <v>271</v>
      </c>
      <c r="H251" s="165">
        <f>LCIA!N14</f>
        <v>2.1001344086021505</v>
      </c>
      <c r="I251" t="s">
        <v>218</v>
      </c>
    </row>
    <row r="252" spans="2:10" x14ac:dyDescent="0.2">
      <c r="C252" s="165"/>
      <c r="H252" s="165"/>
    </row>
    <row r="253" spans="2:10" x14ac:dyDescent="0.2">
      <c r="B253" t="s">
        <v>28</v>
      </c>
      <c r="C253" s="165">
        <f>LCIA!O50</f>
        <v>0.37413561578338028</v>
      </c>
      <c r="D253" t="s">
        <v>219</v>
      </c>
      <c r="E253" s="7" t="s">
        <v>268</v>
      </c>
      <c r="G253" t="s">
        <v>28</v>
      </c>
      <c r="H253" s="165">
        <f>LCIA!N50</f>
        <v>0.73200446566313548</v>
      </c>
      <c r="I253" t="s">
        <v>58</v>
      </c>
      <c r="J253" t="s">
        <v>268</v>
      </c>
    </row>
    <row r="254" spans="2:10" x14ac:dyDescent="0.2">
      <c r="B254" t="s">
        <v>28</v>
      </c>
      <c r="C254" s="165">
        <f>LCIA!O52-LCIA!O59</f>
        <v>1.0051169590643276</v>
      </c>
      <c r="D254" t="s">
        <v>197</v>
      </c>
      <c r="E254" s="7" t="s">
        <v>268</v>
      </c>
      <c r="G254" t="s">
        <v>28</v>
      </c>
      <c r="H254" s="165">
        <f>LCIA!N52</f>
        <v>2.0316193853427897</v>
      </c>
      <c r="I254" t="s">
        <v>197</v>
      </c>
      <c r="J254" t="s">
        <v>268</v>
      </c>
    </row>
    <row r="255" spans="2:10" x14ac:dyDescent="0.2">
      <c r="B255" t="s">
        <v>406</v>
      </c>
      <c r="C255" s="165">
        <f>LCIA!O59</f>
        <v>1.0051169590643276</v>
      </c>
      <c r="D255" t="s">
        <v>197</v>
      </c>
      <c r="E255" s="7"/>
      <c r="G255" t="s">
        <v>406</v>
      </c>
      <c r="H255" s="165">
        <f>LCIA!N59</f>
        <v>1.0158096926713949</v>
      </c>
      <c r="I255" t="s">
        <v>197</v>
      </c>
    </row>
    <row r="256" spans="2:10" x14ac:dyDescent="0.2">
      <c r="C256" s="165"/>
      <c r="H256" s="165"/>
    </row>
    <row r="257" spans="2:10" x14ac:dyDescent="0.2">
      <c r="B257" t="s">
        <v>197</v>
      </c>
      <c r="C257" s="165">
        <f>LCIA!O53</f>
        <v>0.95486111111111127</v>
      </c>
      <c r="D257" t="s">
        <v>59</v>
      </c>
      <c r="E257" s="7" t="s">
        <v>270</v>
      </c>
      <c r="G257" t="s">
        <v>197</v>
      </c>
      <c r="H257" s="165">
        <f>LCIA!N53</f>
        <v>0.95486111111111116</v>
      </c>
      <c r="I257" t="s">
        <v>59</v>
      </c>
      <c r="J257" t="s">
        <v>270</v>
      </c>
    </row>
    <row r="258" spans="2:10" x14ac:dyDescent="0.2">
      <c r="B258" t="s">
        <v>197</v>
      </c>
      <c r="C258" s="165">
        <f>LCIA!O54</f>
        <v>0</v>
      </c>
      <c r="D258" t="s">
        <v>193</v>
      </c>
      <c r="E258" t="s">
        <v>270</v>
      </c>
      <c r="G258" t="s">
        <v>197</v>
      </c>
      <c r="H258" s="165">
        <f>LCIA!N54</f>
        <v>0</v>
      </c>
      <c r="I258" t="s">
        <v>193</v>
      </c>
      <c r="J258" t="s">
        <v>270</v>
      </c>
    </row>
    <row r="259" spans="2:10" x14ac:dyDescent="0.2">
      <c r="B259" t="s">
        <v>197</v>
      </c>
      <c r="C259" s="165">
        <f>LCIA!O57</f>
        <v>1.0051169590643278E-2</v>
      </c>
      <c r="D259" t="s">
        <v>269</v>
      </c>
      <c r="E259" t="s">
        <v>270</v>
      </c>
      <c r="G259" t="s">
        <v>197</v>
      </c>
      <c r="H259" s="165">
        <f>LCIA!N57</f>
        <v>2.0316193853427901E-2</v>
      </c>
      <c r="I259" t="s">
        <v>269</v>
      </c>
      <c r="J259" t="s">
        <v>270</v>
      </c>
    </row>
    <row r="260" spans="2:10" x14ac:dyDescent="0.2">
      <c r="B260" s="165" t="s">
        <v>197</v>
      </c>
      <c r="C260" s="165">
        <f>LCIA!O58</f>
        <v>4.0204678362573111E-2</v>
      </c>
      <c r="D260" t="s">
        <v>69</v>
      </c>
      <c r="E260" t="s">
        <v>270</v>
      </c>
      <c r="G260" t="s">
        <v>197</v>
      </c>
      <c r="H260" s="165">
        <f>LCIA!N58</f>
        <v>4.0632387706855802E-2</v>
      </c>
      <c r="I260" t="s">
        <v>69</v>
      </c>
      <c r="J260" t="s">
        <v>270</v>
      </c>
    </row>
    <row r="261" spans="2:10" x14ac:dyDescent="0.2">
      <c r="B261" s="165" t="s">
        <v>197</v>
      </c>
      <c r="C261" s="165">
        <f>LCIA!O59</f>
        <v>1.0051169590643276</v>
      </c>
      <c r="D261" t="s">
        <v>405</v>
      </c>
      <c r="E261" t="s">
        <v>270</v>
      </c>
      <c r="G261" t="s">
        <v>197</v>
      </c>
      <c r="H261" s="165">
        <f>LCIA!N59</f>
        <v>1.0158096926713949</v>
      </c>
      <c r="I261" t="s">
        <v>405</v>
      </c>
      <c r="J261" t="s">
        <v>270</v>
      </c>
    </row>
    <row r="262" spans="2:10" x14ac:dyDescent="0.2">
      <c r="C262" s="166"/>
      <c r="H262" s="165"/>
    </row>
    <row r="263" spans="2:10" x14ac:dyDescent="0.2">
      <c r="B263" s="165" t="s">
        <v>218</v>
      </c>
      <c r="C263" s="166">
        <f>LCIA!O13</f>
        <v>6.3004032258064516E-2</v>
      </c>
      <c r="D263" t="s">
        <v>628</v>
      </c>
      <c r="E263" t="s">
        <v>270</v>
      </c>
      <c r="G263" t="s">
        <v>218</v>
      </c>
      <c r="H263" s="165">
        <f>LCIA!N13</f>
        <v>6.300403225806453E-2</v>
      </c>
      <c r="I263" t="s">
        <v>67</v>
      </c>
      <c r="J263" t="s">
        <v>270</v>
      </c>
    </row>
    <row r="264" spans="2:10" x14ac:dyDescent="0.2">
      <c r="B264" s="165" t="s">
        <v>218</v>
      </c>
      <c r="C264" s="166">
        <f>LCIA!O12</f>
        <v>8.400537634408603E-2</v>
      </c>
      <c r="D264" t="s">
        <v>269</v>
      </c>
      <c r="E264" t="s">
        <v>270</v>
      </c>
      <c r="G264" t="s">
        <v>218</v>
      </c>
      <c r="H264" s="165">
        <f>LCIA!N12</f>
        <v>8.400537634408603E-2</v>
      </c>
      <c r="I264" t="s">
        <v>269</v>
      </c>
      <c r="J264" t="s">
        <v>270</v>
      </c>
    </row>
    <row r="265" spans="2:10" x14ac:dyDescent="0.2">
      <c r="B265" s="165" t="s">
        <v>218</v>
      </c>
      <c r="C265" s="166">
        <f>LCIA!O36</f>
        <v>1.953125</v>
      </c>
      <c r="D265" t="s">
        <v>390</v>
      </c>
      <c r="E265" t="s">
        <v>270</v>
      </c>
      <c r="G265" t="s">
        <v>218</v>
      </c>
      <c r="H265" s="165">
        <f>LCIA!N36</f>
        <v>1.953125</v>
      </c>
      <c r="I265" t="s">
        <v>390</v>
      </c>
      <c r="J265" t="s">
        <v>270</v>
      </c>
    </row>
    <row r="266" spans="2:10" x14ac:dyDescent="0.2">
      <c r="B266" s="165" t="s">
        <v>218</v>
      </c>
      <c r="C266" s="166">
        <f>LCIA!O14</f>
        <v>2.1001344086021505</v>
      </c>
      <c r="D266" t="s">
        <v>68</v>
      </c>
      <c r="E266" t="s">
        <v>270</v>
      </c>
      <c r="G266" t="s">
        <v>218</v>
      </c>
      <c r="H266" s="165">
        <f>LCIA!N14</f>
        <v>2.1001344086021505</v>
      </c>
      <c r="I266" t="s">
        <v>68</v>
      </c>
      <c r="J266" t="s">
        <v>270</v>
      </c>
    </row>
    <row r="267" spans="2:10" x14ac:dyDescent="0.2">
      <c r="C267" s="166"/>
      <c r="H267" s="165"/>
    </row>
    <row r="268" spans="2:10" x14ac:dyDescent="0.2">
      <c r="B268" t="s">
        <v>390</v>
      </c>
      <c r="C268" s="165">
        <f>LCIA!O37</f>
        <v>0.45739506742062591</v>
      </c>
      <c r="D268" t="s">
        <v>336</v>
      </c>
      <c r="E268" t="s">
        <v>342</v>
      </c>
      <c r="G268" t="s">
        <v>390</v>
      </c>
      <c r="H268" s="165">
        <f>LCIA!N37</f>
        <v>0.45739506742062591</v>
      </c>
      <c r="I268" t="s">
        <v>336</v>
      </c>
      <c r="J268" t="s">
        <v>342</v>
      </c>
    </row>
    <row r="269" spans="2:10" x14ac:dyDescent="0.2">
      <c r="B269" t="s">
        <v>390</v>
      </c>
      <c r="C269" s="165">
        <f>LCIA!O41</f>
        <v>0.95551047851671844</v>
      </c>
      <c r="D269" t="s">
        <v>380</v>
      </c>
      <c r="E269" t="s">
        <v>342</v>
      </c>
      <c r="G269" t="s">
        <v>390</v>
      </c>
      <c r="H269" s="165">
        <f>LCIA!N41</f>
        <v>0.95551047851671844</v>
      </c>
      <c r="I269" t="s">
        <v>380</v>
      </c>
      <c r="J269" t="s">
        <v>342</v>
      </c>
    </row>
    <row r="270" spans="2:10" x14ac:dyDescent="0.2">
      <c r="B270" t="s">
        <v>390</v>
      </c>
      <c r="C270" s="165">
        <f>LCIA!O40</f>
        <v>1.634944232495585</v>
      </c>
      <c r="D270" t="s">
        <v>378</v>
      </c>
      <c r="E270" t="s">
        <v>342</v>
      </c>
      <c r="G270" t="s">
        <v>390</v>
      </c>
      <c r="H270" s="165">
        <f>LCIA!N40</f>
        <v>1.634944232495585</v>
      </c>
      <c r="I270" t="s">
        <v>378</v>
      </c>
      <c r="J270" t="s">
        <v>342</v>
      </c>
    </row>
    <row r="271" spans="2:10" x14ac:dyDescent="0.2">
      <c r="H271" s="165"/>
    </row>
    <row r="272" spans="2:10" x14ac:dyDescent="0.2">
      <c r="B272" t="s">
        <v>334</v>
      </c>
      <c r="C272" s="165">
        <f>LCIA!O45</f>
        <v>0.27243259422523713</v>
      </c>
      <c r="D272" t="s">
        <v>390</v>
      </c>
      <c r="E272" t="s">
        <v>270</v>
      </c>
      <c r="G272" t="s">
        <v>334</v>
      </c>
      <c r="H272" s="165">
        <f>LCIA!N45</f>
        <v>0.27243259422523713</v>
      </c>
      <c r="I272" t="s">
        <v>390</v>
      </c>
      <c r="J272" t="s">
        <v>270</v>
      </c>
    </row>
    <row r="273" spans="2:10" x14ac:dyDescent="0.2">
      <c r="B273" t="s">
        <v>338</v>
      </c>
      <c r="C273" s="165">
        <f>LCIA!O46</f>
        <v>0.33455928457594913</v>
      </c>
      <c r="D273" t="s">
        <v>390</v>
      </c>
      <c r="G273" t="s">
        <v>338</v>
      </c>
      <c r="H273" s="165">
        <f>LCIA!N46</f>
        <v>0.33455928457594913</v>
      </c>
      <c r="I273" t="s">
        <v>390</v>
      </c>
    </row>
    <row r="274" spans="2:10" x14ac:dyDescent="0.2">
      <c r="B274" t="s">
        <v>397</v>
      </c>
      <c r="C274" s="165">
        <f>LCIA!O47</f>
        <v>0.4217062675790631</v>
      </c>
      <c r="D274" t="s">
        <v>390</v>
      </c>
      <c r="G274" t="s">
        <v>397</v>
      </c>
      <c r="H274" s="165">
        <f>LCIA!N47</f>
        <v>0.4217062675790631</v>
      </c>
      <c r="I274" t="s">
        <v>390</v>
      </c>
    </row>
    <row r="275" spans="2:10" x14ac:dyDescent="0.2">
      <c r="B275" t="s">
        <v>341</v>
      </c>
      <c r="C275" s="165">
        <f>LCIA!O48</f>
        <v>6.6026632052679668E-2</v>
      </c>
      <c r="D275" t="s">
        <v>390</v>
      </c>
      <c r="G275" t="s">
        <v>341</v>
      </c>
      <c r="H275" s="165">
        <f>LCIA!N48</f>
        <v>6.6026632052679668E-2</v>
      </c>
      <c r="I275" t="s">
        <v>390</v>
      </c>
    </row>
    <row r="276" spans="2:10" x14ac:dyDescent="0.2">
      <c r="C276" s="165"/>
    </row>
    <row r="277" spans="2:10" x14ac:dyDescent="0.2">
      <c r="C277" s="165"/>
      <c r="H277" s="165"/>
    </row>
    <row r="278" spans="2:10" x14ac:dyDescent="0.2">
      <c r="C278" s="165"/>
      <c r="H278" s="165"/>
    </row>
    <row r="279" spans="2:10" ht="13.5" thickBot="1" x14ac:dyDescent="0.25">
      <c r="B279" s="707" t="s">
        <v>633</v>
      </c>
      <c r="C279" s="707"/>
      <c r="D279" s="707"/>
      <c r="E279" s="707"/>
      <c r="G279" s="707" t="s">
        <v>731</v>
      </c>
      <c r="H279" s="707"/>
      <c r="I279" s="707"/>
      <c r="J279" s="707"/>
    </row>
    <row r="281" spans="2:10" x14ac:dyDescent="0.2">
      <c r="B281" t="s">
        <v>626</v>
      </c>
      <c r="C281" s="165">
        <f>LCIA!Q49</f>
        <v>1.2976515335517409</v>
      </c>
      <c r="D281" t="s">
        <v>28</v>
      </c>
      <c r="E281" t="s">
        <v>266</v>
      </c>
      <c r="G281" t="s">
        <v>626</v>
      </c>
      <c r="H281" s="165">
        <f>LCIA!P49</f>
        <v>1.495803951115789</v>
      </c>
      <c r="I281" t="s">
        <v>28</v>
      </c>
      <c r="J281" t="s">
        <v>266</v>
      </c>
    </row>
    <row r="282" spans="2:10" x14ac:dyDescent="0.2">
      <c r="B282" t="s">
        <v>626</v>
      </c>
      <c r="C282" s="165">
        <f>LCIA!Q15+LCIA!Q13+LCIA!Q12+LCIA!Q10</f>
        <v>2.8498793751589448</v>
      </c>
      <c r="D282" t="s">
        <v>52</v>
      </c>
      <c r="E282" t="s">
        <v>266</v>
      </c>
      <c r="G282" t="s">
        <v>626</v>
      </c>
      <c r="H282" s="165">
        <f>LCIA!P15+LCIA!P13+LCIA!P12+LCIA!P10</f>
        <v>3.0363003364226673</v>
      </c>
      <c r="I282" t="s">
        <v>52</v>
      </c>
      <c r="J282" t="s">
        <v>266</v>
      </c>
    </row>
    <row r="283" spans="2:10" x14ac:dyDescent="0.2">
      <c r="B283" t="s">
        <v>626</v>
      </c>
      <c r="C283" s="165">
        <f>LCIA!Q60</f>
        <v>0.21654960146796029</v>
      </c>
      <c r="D283" t="s">
        <v>632</v>
      </c>
      <c r="E283" t="s">
        <v>266</v>
      </c>
      <c r="G283" t="s">
        <v>626</v>
      </c>
      <c r="H283" s="165">
        <f>LCIA!P60</f>
        <v>0.42368400287209623</v>
      </c>
      <c r="I283" t="s">
        <v>632</v>
      </c>
      <c r="J283" t="s">
        <v>266</v>
      </c>
    </row>
    <row r="284" spans="2:10" x14ac:dyDescent="0.2">
      <c r="B284" t="s">
        <v>626</v>
      </c>
      <c r="C284" s="165">
        <f>LCIA!Q62</f>
        <v>0.86344052334056887</v>
      </c>
      <c r="D284" t="s">
        <v>627</v>
      </c>
      <c r="E284" t="s">
        <v>266</v>
      </c>
      <c r="G284" t="s">
        <v>626</v>
      </c>
      <c r="H284" s="165">
        <f>LCIA!P62</f>
        <v>1.2913272353975573</v>
      </c>
      <c r="I284" t="s">
        <v>627</v>
      </c>
      <c r="J284" t="s">
        <v>266</v>
      </c>
    </row>
    <row r="285" spans="2:10" x14ac:dyDescent="0.2">
      <c r="B285" t="s">
        <v>626</v>
      </c>
      <c r="C285" s="165">
        <f>LCIA!Q64</f>
        <v>0.8945010251756853</v>
      </c>
      <c r="D285" t="s">
        <v>631</v>
      </c>
      <c r="E285" t="s">
        <v>266</v>
      </c>
      <c r="G285" t="s">
        <v>626</v>
      </c>
      <c r="H285" s="165">
        <f>LCIA!P64</f>
        <v>1.0928571662407991</v>
      </c>
      <c r="I285" t="s">
        <v>631</v>
      </c>
      <c r="J285" t="s">
        <v>266</v>
      </c>
    </row>
    <row r="286" spans="2:10" x14ac:dyDescent="0.2">
      <c r="C286" s="165"/>
      <c r="H286" s="165"/>
    </row>
    <row r="287" spans="2:10" x14ac:dyDescent="0.2">
      <c r="B287" t="s">
        <v>52</v>
      </c>
      <c r="C287" s="165">
        <f>LCIA!Q10</f>
        <v>0.19489464132116427</v>
      </c>
      <c r="D287" t="s">
        <v>198</v>
      </c>
      <c r="E287" s="7" t="s">
        <v>268</v>
      </c>
      <c r="G287" t="s">
        <v>52</v>
      </c>
      <c r="H287" s="165">
        <f>LCIA!P10</f>
        <v>0.38131560258488661</v>
      </c>
      <c r="I287" t="s">
        <v>198</v>
      </c>
      <c r="J287" s="7" t="s">
        <v>268</v>
      </c>
    </row>
    <row r="288" spans="2:10" x14ac:dyDescent="0.2">
      <c r="B288" t="s">
        <v>52</v>
      </c>
      <c r="C288" s="165">
        <f>LCIA!Q15+LCIA!Q13+LCIA!Q12</f>
        <v>2.6549847338377806</v>
      </c>
      <c r="D288" t="s">
        <v>218</v>
      </c>
      <c r="E288" s="7" t="s">
        <v>268</v>
      </c>
      <c r="G288" t="s">
        <v>52</v>
      </c>
      <c r="H288" s="165">
        <f>LCIA!P15+LCIA!P13+LCIA!P12</f>
        <v>2.6549847338377806</v>
      </c>
      <c r="I288" t="s">
        <v>218</v>
      </c>
      <c r="J288" s="7" t="s">
        <v>268</v>
      </c>
    </row>
    <row r="289" spans="2:10" x14ac:dyDescent="0.2">
      <c r="B289" t="s">
        <v>271</v>
      </c>
      <c r="C289" s="165">
        <f>LCIA!Q14</f>
        <v>2.6549847338377806</v>
      </c>
      <c r="D289" t="s">
        <v>218</v>
      </c>
      <c r="E289" s="7"/>
      <c r="G289" t="s">
        <v>271</v>
      </c>
      <c r="H289" s="165">
        <f>LCIA!P14</f>
        <v>2.6549847338377806</v>
      </c>
      <c r="I289" t="s">
        <v>218</v>
      </c>
      <c r="J289" s="7"/>
    </row>
    <row r="290" spans="2:10" x14ac:dyDescent="0.2">
      <c r="C290" s="165"/>
      <c r="H290" s="165"/>
    </row>
    <row r="291" spans="2:10" x14ac:dyDescent="0.2">
      <c r="B291" t="s">
        <v>28</v>
      </c>
      <c r="C291" s="165">
        <f>LCIA!Q51</f>
        <v>0.19489464132116427</v>
      </c>
      <c r="D291" t="s">
        <v>198</v>
      </c>
      <c r="E291" s="7" t="s">
        <v>268</v>
      </c>
      <c r="G291" t="s">
        <v>28</v>
      </c>
      <c r="H291" s="165">
        <f>LCIA!P51</f>
        <v>0.38131560258488661</v>
      </c>
      <c r="I291" t="s">
        <v>198</v>
      </c>
      <c r="J291" s="7" t="s">
        <v>268</v>
      </c>
    </row>
    <row r="292" spans="2:10" x14ac:dyDescent="0.2">
      <c r="B292" t="s">
        <v>28</v>
      </c>
      <c r="C292" s="165">
        <f>LCIA!Q52-LCIA!Q59</f>
        <v>1.1027568922305766</v>
      </c>
      <c r="D292" t="s">
        <v>197</v>
      </c>
      <c r="E292" s="7" t="s">
        <v>268</v>
      </c>
      <c r="G292" t="s">
        <v>28</v>
      </c>
      <c r="H292" s="165">
        <f>LCIA!P52-LCIA!P59</f>
        <v>1.1144883485309023</v>
      </c>
      <c r="I292" t="s">
        <v>197</v>
      </c>
      <c r="J292" s="7" t="s">
        <v>268</v>
      </c>
    </row>
    <row r="293" spans="2:10" x14ac:dyDescent="0.2">
      <c r="B293" t="s">
        <v>406</v>
      </c>
      <c r="C293" s="165">
        <f>LCIA!Q59</f>
        <v>1.1027568922305766</v>
      </c>
      <c r="D293" t="s">
        <v>197</v>
      </c>
      <c r="E293" s="7"/>
      <c r="G293" t="s">
        <v>406</v>
      </c>
      <c r="H293" s="165">
        <f>LCIA!P59</f>
        <v>1.1144883485309018</v>
      </c>
      <c r="I293" t="s">
        <v>197</v>
      </c>
      <c r="J293" s="7"/>
    </row>
    <row r="294" spans="2:10" x14ac:dyDescent="0.2">
      <c r="C294" s="165"/>
      <c r="H294" s="165"/>
    </row>
    <row r="295" spans="2:10" x14ac:dyDescent="0.2">
      <c r="B295" t="s">
        <v>197</v>
      </c>
      <c r="C295" s="165">
        <f>LCIA!Q55</f>
        <v>1.0476190476190477</v>
      </c>
      <c r="D295" t="s">
        <v>564</v>
      </c>
      <c r="E295" s="7" t="s">
        <v>270</v>
      </c>
      <c r="G295" t="s">
        <v>197</v>
      </c>
      <c r="H295" s="165">
        <f>LCIA!P55</f>
        <v>1.0476190476190479</v>
      </c>
      <c r="I295" t="s">
        <v>564</v>
      </c>
      <c r="J295" s="7" t="s">
        <v>270</v>
      </c>
    </row>
    <row r="296" spans="2:10" x14ac:dyDescent="0.2">
      <c r="B296" t="s">
        <v>197</v>
      </c>
      <c r="C296" s="165">
        <f>LCIA!Q54</f>
        <v>0</v>
      </c>
      <c r="D296" t="s">
        <v>193</v>
      </c>
      <c r="E296" t="s">
        <v>270</v>
      </c>
      <c r="G296" t="s">
        <v>197</v>
      </c>
      <c r="H296" s="165">
        <f>LCIA!P54</f>
        <v>0</v>
      </c>
      <c r="I296" t="s">
        <v>193</v>
      </c>
      <c r="J296" t="s">
        <v>270</v>
      </c>
    </row>
    <row r="297" spans="2:10" x14ac:dyDescent="0.2">
      <c r="B297" t="s">
        <v>197</v>
      </c>
      <c r="C297" s="165">
        <f>LCIA!Q57</f>
        <v>1.1027568922305766E-2</v>
      </c>
      <c r="D297" t="s">
        <v>269</v>
      </c>
      <c r="E297" t="s">
        <v>270</v>
      </c>
      <c r="G297" t="s">
        <v>197</v>
      </c>
      <c r="H297" s="165">
        <f>LCIA!P57</f>
        <v>2.2289766970618036E-2</v>
      </c>
      <c r="I297" t="s">
        <v>269</v>
      </c>
      <c r="J297" t="s">
        <v>270</v>
      </c>
    </row>
    <row r="298" spans="2:10" x14ac:dyDescent="0.2">
      <c r="B298" s="165" t="s">
        <v>197</v>
      </c>
      <c r="C298" s="165">
        <f>LCIA!Q58</f>
        <v>4.4110275689223065E-2</v>
      </c>
      <c r="D298" t="s">
        <v>69</v>
      </c>
      <c r="E298" t="s">
        <v>270</v>
      </c>
      <c r="G298" s="165" t="s">
        <v>197</v>
      </c>
      <c r="H298" s="165">
        <f>LCIA!P58</f>
        <v>4.4579533941236073E-2</v>
      </c>
      <c r="I298" t="s">
        <v>69</v>
      </c>
      <c r="J298" t="s">
        <v>270</v>
      </c>
    </row>
    <row r="299" spans="2:10" x14ac:dyDescent="0.2">
      <c r="B299" s="165" t="s">
        <v>197</v>
      </c>
      <c r="C299" s="165">
        <f>LCIA!Q59</f>
        <v>1.1027568922305766</v>
      </c>
      <c r="D299" t="s">
        <v>405</v>
      </c>
      <c r="E299" t="s">
        <v>270</v>
      </c>
      <c r="G299" s="165" t="s">
        <v>197</v>
      </c>
      <c r="H299" s="165">
        <f>LCIA!P59</f>
        <v>1.1144883485309018</v>
      </c>
      <c r="I299" t="s">
        <v>405</v>
      </c>
      <c r="J299" t="s">
        <v>270</v>
      </c>
    </row>
    <row r="300" spans="2:10" x14ac:dyDescent="0.2">
      <c r="C300" s="166"/>
      <c r="H300" s="166"/>
    </row>
    <row r="301" spans="2:10" x14ac:dyDescent="0.2">
      <c r="B301" s="165" t="s">
        <v>218</v>
      </c>
      <c r="C301" s="166">
        <f>LCIA!Q13</f>
        <v>7.9649542015133426E-2</v>
      </c>
      <c r="D301" t="s">
        <v>628</v>
      </c>
      <c r="E301" t="s">
        <v>270</v>
      </c>
      <c r="G301" s="165" t="s">
        <v>218</v>
      </c>
      <c r="H301" s="166">
        <f>LCIA!P13</f>
        <v>7.964954201513344E-2</v>
      </c>
      <c r="I301" t="s">
        <v>628</v>
      </c>
      <c r="J301" t="s">
        <v>270</v>
      </c>
    </row>
    <row r="302" spans="2:10" x14ac:dyDescent="0.2">
      <c r="B302" s="165" t="s">
        <v>218</v>
      </c>
      <c r="C302" s="166">
        <f>LCIA!Q12</f>
        <v>0.10619938935351124</v>
      </c>
      <c r="D302" t="s">
        <v>269</v>
      </c>
      <c r="E302" t="s">
        <v>270</v>
      </c>
      <c r="G302" s="165" t="s">
        <v>218</v>
      </c>
      <c r="H302" s="166">
        <f>LCIA!P12</f>
        <v>0.10619938935351123</v>
      </c>
      <c r="I302" t="s">
        <v>269</v>
      </c>
      <c r="J302" t="s">
        <v>270</v>
      </c>
    </row>
    <row r="303" spans="2:10" x14ac:dyDescent="0.2">
      <c r="B303" s="165" t="s">
        <v>218</v>
      </c>
      <c r="C303" s="166">
        <f>LCIA!Q15</f>
        <v>2.4691358024691357</v>
      </c>
      <c r="D303" t="s">
        <v>390</v>
      </c>
      <c r="E303" t="s">
        <v>270</v>
      </c>
      <c r="G303" s="165" t="s">
        <v>218</v>
      </c>
      <c r="H303" s="166">
        <f>LCIA!P15</f>
        <v>2.4691358024691357</v>
      </c>
      <c r="I303" t="s">
        <v>390</v>
      </c>
      <c r="J303" t="s">
        <v>270</v>
      </c>
    </row>
    <row r="304" spans="2:10" x14ac:dyDescent="0.2">
      <c r="B304" s="165" t="s">
        <v>218</v>
      </c>
      <c r="C304" s="166">
        <f>LCIA!Q14</f>
        <v>2.6549847338377806</v>
      </c>
      <c r="D304" t="s">
        <v>68</v>
      </c>
      <c r="E304" t="s">
        <v>270</v>
      </c>
      <c r="G304" s="165" t="s">
        <v>218</v>
      </c>
      <c r="H304" s="166">
        <f>LCIA!P14</f>
        <v>2.6549847338377806</v>
      </c>
      <c r="I304" t="s">
        <v>68</v>
      </c>
      <c r="J304" t="s">
        <v>270</v>
      </c>
    </row>
    <row r="305" spans="2:10" x14ac:dyDescent="0.2">
      <c r="C305" s="166"/>
      <c r="H305" s="166"/>
    </row>
    <row r="306" spans="2:10" x14ac:dyDescent="0.2">
      <c r="B306" t="s">
        <v>390</v>
      </c>
      <c r="C306" s="166">
        <f>LCIA!Q18</f>
        <v>1.170479590360711</v>
      </c>
      <c r="D306" t="s">
        <v>567</v>
      </c>
      <c r="E306" t="s">
        <v>342</v>
      </c>
      <c r="G306" t="s">
        <v>390</v>
      </c>
      <c r="H306" s="166">
        <f>LCIA!P18</f>
        <v>1.170479590360711</v>
      </c>
      <c r="I306" t="s">
        <v>567</v>
      </c>
      <c r="J306" t="s">
        <v>342</v>
      </c>
    </row>
    <row r="307" spans="2:10" x14ac:dyDescent="0.2">
      <c r="B307" t="s">
        <v>390</v>
      </c>
      <c r="C307" s="165">
        <f>LCIA!Q17</f>
        <v>0</v>
      </c>
      <c r="D307" t="s">
        <v>131</v>
      </c>
      <c r="E307" t="s">
        <v>342</v>
      </c>
      <c r="G307" t="s">
        <v>390</v>
      </c>
      <c r="H307" s="165">
        <f>LCIA!P17</f>
        <v>0</v>
      </c>
      <c r="I307" t="s">
        <v>131</v>
      </c>
      <c r="J307" t="s">
        <v>342</v>
      </c>
    </row>
    <row r="308" spans="2:10" x14ac:dyDescent="0.2">
      <c r="B308" t="s">
        <v>390</v>
      </c>
      <c r="C308" s="165">
        <f>LCIA!Q19</f>
        <v>0.17668589364946768</v>
      </c>
      <c r="D308" t="s">
        <v>341</v>
      </c>
      <c r="E308" t="s">
        <v>342</v>
      </c>
      <c r="G308" t="s">
        <v>390</v>
      </c>
      <c r="H308" s="165">
        <f>LCIA!P19</f>
        <v>0.17668589364946768</v>
      </c>
      <c r="I308" t="s">
        <v>341</v>
      </c>
      <c r="J308" t="s">
        <v>342</v>
      </c>
    </row>
    <row r="309" spans="2:10" x14ac:dyDescent="0.2">
      <c r="B309" t="s">
        <v>390</v>
      </c>
      <c r="C309" s="165">
        <f>LCIA!Q23</f>
        <v>2.005885024767379</v>
      </c>
      <c r="D309" t="s">
        <v>556</v>
      </c>
      <c r="E309" t="s">
        <v>342</v>
      </c>
      <c r="G309" t="s">
        <v>390</v>
      </c>
      <c r="H309" s="165">
        <f>LCIA!P23</f>
        <v>2.005885024767379</v>
      </c>
      <c r="I309" t="s">
        <v>556</v>
      </c>
      <c r="J309" t="s">
        <v>342</v>
      </c>
    </row>
    <row r="311" spans="2:10" x14ac:dyDescent="0.2">
      <c r="B311" t="s">
        <v>334</v>
      </c>
      <c r="C311" s="165">
        <f>LCIA!Q21</f>
        <v>0.4860159693492983</v>
      </c>
      <c r="D311" t="s">
        <v>390</v>
      </c>
      <c r="E311" t="s">
        <v>270</v>
      </c>
      <c r="G311" t="s">
        <v>334</v>
      </c>
      <c r="H311" s="165">
        <f>LCIA!P21</f>
        <v>0.4860159693492983</v>
      </c>
      <c r="I311" t="s">
        <v>390</v>
      </c>
      <c r="J311" t="s">
        <v>270</v>
      </c>
    </row>
    <row r="312" spans="2:10" x14ac:dyDescent="0.2">
      <c r="B312" t="s">
        <v>343</v>
      </c>
      <c r="C312" s="165">
        <f>LCIA!Q22</f>
        <v>0.39789941547536228</v>
      </c>
      <c r="D312" t="s">
        <v>390</v>
      </c>
      <c r="G312" t="s">
        <v>343</v>
      </c>
      <c r="H312" s="165">
        <f>LCIA!P22</f>
        <v>0.39789941547536228</v>
      </c>
      <c r="I312" t="s">
        <v>390</v>
      </c>
    </row>
    <row r="313" spans="2:10" x14ac:dyDescent="0.2">
      <c r="C313" s="165"/>
      <c r="H313" s="165"/>
    </row>
    <row r="314" spans="2:10" x14ac:dyDescent="0.2">
      <c r="B314" t="s">
        <v>556</v>
      </c>
      <c r="C314" s="165">
        <f>LCIA!Q24</f>
        <v>1.3671872507391178</v>
      </c>
      <c r="D314" t="s">
        <v>53</v>
      </c>
      <c r="E314" t="s">
        <v>344</v>
      </c>
      <c r="G314" t="s">
        <v>556</v>
      </c>
      <c r="H314" s="165">
        <f>LCIA!P24</f>
        <v>1.3671872507391178</v>
      </c>
      <c r="I314" t="s">
        <v>53</v>
      </c>
      <c r="J314" t="s">
        <v>344</v>
      </c>
    </row>
    <row r="315" spans="2:10" x14ac:dyDescent="0.2">
      <c r="B315" t="s">
        <v>556</v>
      </c>
      <c r="C315" s="165">
        <f>LCIA!Q25</f>
        <v>0.66700462336898936</v>
      </c>
      <c r="D315" t="s">
        <v>132</v>
      </c>
      <c r="E315" t="s">
        <v>344</v>
      </c>
      <c r="G315" t="s">
        <v>556</v>
      </c>
      <c r="H315" s="165">
        <f>LCIA!P25</f>
        <v>0.66700462336898936</v>
      </c>
      <c r="I315" t="s">
        <v>132</v>
      </c>
      <c r="J315" t="s">
        <v>344</v>
      </c>
    </row>
    <row r="316" spans="2:10" x14ac:dyDescent="0.2">
      <c r="B316" t="s">
        <v>556</v>
      </c>
      <c r="C316" s="165">
        <f>LCIA!Q26</f>
        <v>0</v>
      </c>
      <c r="D316" t="s">
        <v>133</v>
      </c>
      <c r="E316" t="s">
        <v>344</v>
      </c>
      <c r="G316" t="s">
        <v>556</v>
      </c>
      <c r="H316" s="165">
        <f>LCIA!P26</f>
        <v>0</v>
      </c>
      <c r="I316" t="s">
        <v>133</v>
      </c>
      <c r="J316" t="s">
        <v>344</v>
      </c>
    </row>
    <row r="317" spans="2:10" x14ac:dyDescent="0.2">
      <c r="B317" t="s">
        <v>556</v>
      </c>
      <c r="C317" s="165">
        <f>LCIA!Q28</f>
        <v>1.3420220729419483</v>
      </c>
      <c r="D317" t="s">
        <v>134</v>
      </c>
      <c r="E317" t="s">
        <v>344</v>
      </c>
      <c r="G317" t="s">
        <v>556</v>
      </c>
      <c r="H317" s="165">
        <f>LCIA!P28</f>
        <v>1.3420220729419483</v>
      </c>
      <c r="I317" t="s">
        <v>134</v>
      </c>
      <c r="J317" t="s">
        <v>344</v>
      </c>
    </row>
    <row r="318" spans="2:10" x14ac:dyDescent="0.2">
      <c r="B318" t="s">
        <v>556</v>
      </c>
      <c r="C318" s="165">
        <f>LCIA!Q29</f>
        <v>1.7668266574981877</v>
      </c>
      <c r="D318" t="s">
        <v>136</v>
      </c>
      <c r="E318" t="s">
        <v>344</v>
      </c>
      <c r="G318" t="s">
        <v>556</v>
      </c>
      <c r="H318" s="165">
        <f>LCIA!P29</f>
        <v>1.7668266574981877</v>
      </c>
      <c r="I318" t="s">
        <v>136</v>
      </c>
      <c r="J318" t="s">
        <v>344</v>
      </c>
    </row>
    <row r="319" spans="2:10" x14ac:dyDescent="0.2">
      <c r="B319" t="s">
        <v>556</v>
      </c>
      <c r="C319" s="165">
        <f>LCIA!Q30</f>
        <v>0.25801949384632994</v>
      </c>
      <c r="D319" t="s">
        <v>55</v>
      </c>
      <c r="E319" t="s">
        <v>344</v>
      </c>
      <c r="G319" t="s">
        <v>556</v>
      </c>
      <c r="H319" s="165">
        <f>LCIA!P30</f>
        <v>0.25801949384632994</v>
      </c>
      <c r="I319" t="s">
        <v>55</v>
      </c>
      <c r="J319" t="s">
        <v>344</v>
      </c>
    </row>
    <row r="321" spans="2:10" x14ac:dyDescent="0.2">
      <c r="B321" t="s">
        <v>397</v>
      </c>
      <c r="C321" s="165">
        <f>LCIA!Q33</f>
        <v>0.12538635535454254</v>
      </c>
      <c r="D321" t="s">
        <v>556</v>
      </c>
      <c r="G321" t="s">
        <v>397</v>
      </c>
      <c r="H321" s="165">
        <f>LCIA!P33</f>
        <v>0.12538635535454254</v>
      </c>
      <c r="I321" t="s">
        <v>556</v>
      </c>
    </row>
    <row r="322" spans="2:10" x14ac:dyDescent="0.2">
      <c r="B322" t="s">
        <v>404</v>
      </c>
      <c r="C322" s="165">
        <f>LCIA!Q34</f>
        <v>3.137155579780865</v>
      </c>
      <c r="D322" t="s">
        <v>556</v>
      </c>
      <c r="G322" t="s">
        <v>404</v>
      </c>
      <c r="H322" s="165">
        <f>LCIA!P34</f>
        <v>3.137155579780865</v>
      </c>
      <c r="I322" t="s">
        <v>556</v>
      </c>
    </row>
    <row r="323" spans="2:10" x14ac:dyDescent="0.2">
      <c r="B323" t="s">
        <v>338</v>
      </c>
      <c r="C323" s="165">
        <f>LCIA!Q35</f>
        <v>0.1326331384917874</v>
      </c>
      <c r="D323" t="s">
        <v>556</v>
      </c>
      <c r="G323" t="s">
        <v>338</v>
      </c>
      <c r="H323" s="165">
        <f>LCIA!P35</f>
        <v>0.1326331384917874</v>
      </c>
      <c r="I323" t="s">
        <v>556</v>
      </c>
    </row>
    <row r="327" spans="2:10" ht="13.5" thickBot="1" x14ac:dyDescent="0.25">
      <c r="B327" s="707" t="s">
        <v>649</v>
      </c>
      <c r="C327" s="707"/>
      <c r="D327" s="707"/>
      <c r="E327" s="707"/>
      <c r="G327" s="707" t="s">
        <v>732</v>
      </c>
      <c r="H327" s="707"/>
      <c r="I327" s="707"/>
      <c r="J327" s="707"/>
    </row>
    <row r="329" spans="2:10" x14ac:dyDescent="0.2">
      <c r="B329" t="s">
        <v>649</v>
      </c>
      <c r="C329" s="165">
        <f>LCIA!S49</f>
        <v>0.63868974450723726</v>
      </c>
      <c r="D329" t="s">
        <v>28</v>
      </c>
      <c r="E329" t="s">
        <v>266</v>
      </c>
      <c r="G329" t="s">
        <v>649</v>
      </c>
      <c r="H329" s="165">
        <f>LCIA!R49</f>
        <v>1.2496103696880727</v>
      </c>
      <c r="I329" t="s">
        <v>28</v>
      </c>
      <c r="J329" t="s">
        <v>266</v>
      </c>
    </row>
    <row r="330" spans="2:10" x14ac:dyDescent="0.2">
      <c r="B330" t="s">
        <v>649</v>
      </c>
      <c r="C330" s="165">
        <f>LCIA!S15+LCIA!S13+LCIA!S12+LCIA!S10</f>
        <v>1.5090654532444856</v>
      </c>
      <c r="D330" t="s">
        <v>52</v>
      </c>
      <c r="E330" t="s">
        <v>266</v>
      </c>
      <c r="G330" t="s">
        <v>649</v>
      </c>
      <c r="H330" s="165">
        <f>LCIA!R15+LCIA!R13+LCIA!R12+LCIA!R10</f>
        <v>1.5946196901733372</v>
      </c>
      <c r="I330" t="s">
        <v>52</v>
      </c>
      <c r="J330" t="s">
        <v>266</v>
      </c>
    </row>
    <row r="331" spans="2:10" x14ac:dyDescent="0.2">
      <c r="B331" t="s">
        <v>649</v>
      </c>
      <c r="C331" s="165">
        <f>LCIA!S63</f>
        <v>0.3842739126703294</v>
      </c>
      <c r="D331" t="s">
        <v>651</v>
      </c>
      <c r="E331" t="s">
        <v>266</v>
      </c>
      <c r="G331" t="s">
        <v>649</v>
      </c>
      <c r="H331" s="165">
        <f>LCIA!R63</f>
        <v>0.5764108690054941</v>
      </c>
      <c r="I331" t="s">
        <v>651</v>
      </c>
      <c r="J331" t="s">
        <v>266</v>
      </c>
    </row>
    <row r="332" spans="2:10" x14ac:dyDescent="0.2">
      <c r="B332" t="s">
        <v>649</v>
      </c>
      <c r="C332" s="165">
        <f>LCIA!S64</f>
        <v>0.25087338994176367</v>
      </c>
      <c r="D332" t="s">
        <v>631</v>
      </c>
      <c r="E332" t="s">
        <v>266</v>
      </c>
      <c r="G332" t="s">
        <v>649</v>
      </c>
      <c r="H332" s="165">
        <f>LCIA!R64</f>
        <v>0.34623984846084715</v>
      </c>
      <c r="I332" t="s">
        <v>631</v>
      </c>
      <c r="J332" t="s">
        <v>266</v>
      </c>
    </row>
    <row r="333" spans="2:10" x14ac:dyDescent="0.2">
      <c r="C333" s="165"/>
      <c r="H333" s="165"/>
    </row>
    <row r="334" spans="2:10" x14ac:dyDescent="0.2">
      <c r="B334" t="s">
        <v>52</v>
      </c>
      <c r="C334" s="165">
        <f>LCIA!S10</f>
        <v>8.9443065880162889E-2</v>
      </c>
      <c r="D334" t="s">
        <v>198</v>
      </c>
      <c r="E334" s="7" t="s">
        <v>268</v>
      </c>
      <c r="G334" t="s">
        <v>52</v>
      </c>
      <c r="H334" s="165">
        <f>LCIA!R10</f>
        <v>0.17499730280901435</v>
      </c>
      <c r="I334" t="s">
        <v>198</v>
      </c>
      <c r="J334" s="7" t="s">
        <v>268</v>
      </c>
    </row>
    <row r="335" spans="2:10" x14ac:dyDescent="0.2">
      <c r="B335" t="s">
        <v>52</v>
      </c>
      <c r="C335" s="165">
        <f>LCIA!S15+LCIA!S13+LCIA!S12</f>
        <v>1.4196223873643228</v>
      </c>
      <c r="D335" t="s">
        <v>218</v>
      </c>
      <c r="E335" s="7" t="s">
        <v>268</v>
      </c>
      <c r="G335" t="s">
        <v>52</v>
      </c>
      <c r="H335" s="165">
        <f>LCIA!R15+LCIA!R13+LCIA!R12</f>
        <v>1.4196223873643228</v>
      </c>
      <c r="I335" t="s">
        <v>218</v>
      </c>
      <c r="J335" s="7" t="s">
        <v>268</v>
      </c>
    </row>
    <row r="336" spans="2:10" x14ac:dyDescent="0.2">
      <c r="B336" t="s">
        <v>271</v>
      </c>
      <c r="C336" s="165">
        <f>LCIA!S14</f>
        <v>1.4196223873643228</v>
      </c>
      <c r="D336" t="s">
        <v>218</v>
      </c>
      <c r="E336" s="7"/>
      <c r="G336" t="s">
        <v>271</v>
      </c>
      <c r="H336" s="165">
        <f>LCIA!R14</f>
        <v>1.4196223873643228</v>
      </c>
      <c r="I336" t="s">
        <v>218</v>
      </c>
      <c r="J336" s="7"/>
    </row>
    <row r="337" spans="2:10" x14ac:dyDescent="0.2">
      <c r="C337" s="165"/>
      <c r="H337" s="165"/>
    </row>
    <row r="338" spans="2:10" x14ac:dyDescent="0.2">
      <c r="B338" t="s">
        <v>28</v>
      </c>
      <c r="C338" s="165">
        <f>LCIA!S50</f>
        <v>0.19699559201260566</v>
      </c>
      <c r="D338" t="s">
        <v>219</v>
      </c>
      <c r="E338" s="7" t="s">
        <v>268</v>
      </c>
      <c r="G338" t="s">
        <v>28</v>
      </c>
      <c r="H338" s="165">
        <f>LCIA!R50</f>
        <v>0.38542615828553284</v>
      </c>
      <c r="I338" t="s">
        <v>219</v>
      </c>
      <c r="J338" s="7" t="s">
        <v>268</v>
      </c>
    </row>
    <row r="339" spans="2:10" x14ac:dyDescent="0.2">
      <c r="B339" t="s">
        <v>28</v>
      </c>
      <c r="C339" s="165">
        <f>LCIA!S56</f>
        <v>0.44169415249463156</v>
      </c>
      <c r="D339" t="s">
        <v>650</v>
      </c>
      <c r="E339" s="7" t="s">
        <v>268</v>
      </c>
      <c r="G339" t="s">
        <v>28</v>
      </c>
      <c r="H339" s="165">
        <f>LCIA!R56</f>
        <v>0.86418421140253998</v>
      </c>
      <c r="I339" t="s">
        <v>650</v>
      </c>
      <c r="J339" s="7" t="s">
        <v>268</v>
      </c>
    </row>
    <row r="340" spans="2:10" x14ac:dyDescent="0.2">
      <c r="C340" s="165"/>
      <c r="H340" s="165"/>
    </row>
    <row r="341" spans="2:10" x14ac:dyDescent="0.2">
      <c r="B341" t="s">
        <v>650</v>
      </c>
      <c r="C341" s="165">
        <f>LCIA!S56</f>
        <v>0.44169415249463156</v>
      </c>
      <c r="D341" t="s">
        <v>574</v>
      </c>
      <c r="E341" s="7" t="s">
        <v>270</v>
      </c>
      <c r="G341" t="s">
        <v>650</v>
      </c>
      <c r="H341" s="165">
        <f>LCIA!R56</f>
        <v>0.86418421140253998</v>
      </c>
      <c r="I341" t="s">
        <v>574</v>
      </c>
      <c r="J341" s="7" t="s">
        <v>270</v>
      </c>
    </row>
    <row r="342" spans="2:10" x14ac:dyDescent="0.2">
      <c r="C342" s="166"/>
      <c r="H342" s="166"/>
    </row>
    <row r="343" spans="2:10" x14ac:dyDescent="0.2">
      <c r="B343" s="165" t="s">
        <v>218</v>
      </c>
      <c r="C343" s="166">
        <f>LCIA!S13</f>
        <v>4.1516170548428613E-2</v>
      </c>
      <c r="D343" t="s">
        <v>628</v>
      </c>
      <c r="E343" t="s">
        <v>270</v>
      </c>
      <c r="G343" s="165" t="s">
        <v>218</v>
      </c>
      <c r="H343" s="166">
        <f>LCIA!R13</f>
        <v>4.1516170548428613E-2</v>
      </c>
      <c r="I343" t="s">
        <v>628</v>
      </c>
      <c r="J343" t="s">
        <v>270</v>
      </c>
    </row>
    <row r="344" spans="2:10" x14ac:dyDescent="0.2">
      <c r="B344" s="165" t="s">
        <v>218</v>
      </c>
      <c r="C344" s="166">
        <f>LCIA!S12</f>
        <v>5.5354894064571489E-2</v>
      </c>
      <c r="D344" t="s">
        <v>269</v>
      </c>
      <c r="E344" t="s">
        <v>270</v>
      </c>
      <c r="G344" s="165" t="s">
        <v>218</v>
      </c>
      <c r="H344" s="166">
        <f>LCIA!R12</f>
        <v>5.5354894064571475E-2</v>
      </c>
      <c r="I344" t="s">
        <v>269</v>
      </c>
      <c r="J344" t="s">
        <v>270</v>
      </c>
    </row>
    <row r="345" spans="2:10" x14ac:dyDescent="0.2">
      <c r="B345" s="165" t="s">
        <v>218</v>
      </c>
      <c r="C345" s="166">
        <f>LCIA!S15</f>
        <v>1.3227513227513228</v>
      </c>
      <c r="D345" t="s">
        <v>390</v>
      </c>
      <c r="E345" t="s">
        <v>270</v>
      </c>
      <c r="G345" s="165" t="s">
        <v>218</v>
      </c>
      <c r="H345" s="166">
        <f>LCIA!R15</f>
        <v>1.3227513227513228</v>
      </c>
      <c r="I345" t="s">
        <v>390</v>
      </c>
      <c r="J345" t="s">
        <v>270</v>
      </c>
    </row>
    <row r="346" spans="2:10" x14ac:dyDescent="0.2">
      <c r="B346" s="165" t="s">
        <v>218</v>
      </c>
      <c r="C346" s="166">
        <f>LCIA!S14</f>
        <v>1.4196223873643228</v>
      </c>
      <c r="D346" t="s">
        <v>68</v>
      </c>
      <c r="E346" t="s">
        <v>270</v>
      </c>
      <c r="G346" s="165" t="s">
        <v>218</v>
      </c>
      <c r="H346" s="166">
        <f>LCIA!R14</f>
        <v>1.4196223873643228</v>
      </c>
      <c r="I346" t="s">
        <v>68</v>
      </c>
      <c r="J346" t="s">
        <v>270</v>
      </c>
    </row>
    <row r="347" spans="2:10" x14ac:dyDescent="0.2">
      <c r="C347" s="166"/>
      <c r="H347" s="166"/>
    </row>
    <row r="348" spans="2:10" x14ac:dyDescent="0.2">
      <c r="B348" t="s">
        <v>390</v>
      </c>
      <c r="C348" s="166">
        <f>LCIA!S16</f>
        <v>0</v>
      </c>
      <c r="D348" t="s">
        <v>336</v>
      </c>
      <c r="E348" t="s">
        <v>342</v>
      </c>
      <c r="G348" t="s">
        <v>390</v>
      </c>
      <c r="H348" s="166">
        <f>LCIA!R16</f>
        <v>0</v>
      </c>
      <c r="I348" t="s">
        <v>336</v>
      </c>
      <c r="J348" t="s">
        <v>342</v>
      </c>
    </row>
    <row r="349" spans="2:10" x14ac:dyDescent="0.2">
      <c r="B349" t="s">
        <v>390</v>
      </c>
      <c r="C349" s="165">
        <f>LCIA!S17</f>
        <v>0.32502923201988604</v>
      </c>
      <c r="D349" t="s">
        <v>131</v>
      </c>
      <c r="E349" t="s">
        <v>342</v>
      </c>
      <c r="G349" t="s">
        <v>390</v>
      </c>
      <c r="H349" s="165">
        <f>LCIA!R17</f>
        <v>0.32502923201988604</v>
      </c>
      <c r="I349" t="s">
        <v>131</v>
      </c>
      <c r="J349" t="s">
        <v>342</v>
      </c>
    </row>
    <row r="350" spans="2:10" x14ac:dyDescent="0.2">
      <c r="B350" t="s">
        <v>390</v>
      </c>
      <c r="C350" s="165">
        <f>LCIA!S19</f>
        <v>0.10857607807003292</v>
      </c>
      <c r="D350" t="s">
        <v>341</v>
      </c>
      <c r="E350" t="s">
        <v>342</v>
      </c>
      <c r="G350" t="s">
        <v>390</v>
      </c>
      <c r="H350" s="165">
        <f>LCIA!R19</f>
        <v>0.10857607807003292</v>
      </c>
      <c r="I350" t="s">
        <v>341</v>
      </c>
      <c r="J350" t="s">
        <v>342</v>
      </c>
    </row>
    <row r="351" spans="2:10" x14ac:dyDescent="0.2">
      <c r="B351" t="s">
        <v>390</v>
      </c>
      <c r="C351" s="165">
        <f>LCIA!S23</f>
        <v>1.2559185696521489</v>
      </c>
      <c r="D351" t="s">
        <v>556</v>
      </c>
      <c r="E351" t="s">
        <v>342</v>
      </c>
      <c r="G351" t="s">
        <v>390</v>
      </c>
      <c r="H351" s="165">
        <f>LCIA!R23</f>
        <v>1.2559185696521489</v>
      </c>
      <c r="I351" t="s">
        <v>556</v>
      </c>
      <c r="J351" t="s">
        <v>342</v>
      </c>
    </row>
    <row r="353" spans="2:10" x14ac:dyDescent="0.2">
      <c r="B353" t="s">
        <v>334</v>
      </c>
      <c r="C353" s="165">
        <f>LCIA!S21</f>
        <v>0</v>
      </c>
      <c r="D353" t="s">
        <v>390</v>
      </c>
      <c r="E353" t="s">
        <v>270</v>
      </c>
      <c r="G353" t="s">
        <v>334</v>
      </c>
      <c r="H353" s="165">
        <f>LCIA!R21</f>
        <v>0</v>
      </c>
      <c r="I353" t="s">
        <v>390</v>
      </c>
      <c r="J353" t="s">
        <v>270</v>
      </c>
    </row>
    <row r="354" spans="2:10" x14ac:dyDescent="0.2">
      <c r="B354" t="s">
        <v>343</v>
      </c>
      <c r="C354" s="165">
        <f>LCIA!S22</f>
        <v>0.36677255699074507</v>
      </c>
      <c r="D354" t="s">
        <v>390</v>
      </c>
      <c r="G354" t="s">
        <v>343</v>
      </c>
      <c r="H354" s="165">
        <f>LCIA!R22</f>
        <v>0.36677255699074507</v>
      </c>
      <c r="I354" t="s">
        <v>390</v>
      </c>
    </row>
    <row r="355" spans="2:10" x14ac:dyDescent="0.2">
      <c r="C355" s="165"/>
      <c r="H355" s="165"/>
    </row>
    <row r="356" spans="2:10" x14ac:dyDescent="0.2">
      <c r="B356" t="s">
        <v>556</v>
      </c>
      <c r="C356" s="165">
        <f>LCIA!S24</f>
        <v>1.8903524772950406</v>
      </c>
      <c r="D356" t="s">
        <v>53</v>
      </c>
      <c r="E356" t="s">
        <v>344</v>
      </c>
      <c r="G356" t="s">
        <v>556</v>
      </c>
      <c r="H356" s="165">
        <f>LCIA!R24</f>
        <v>1.8903524772950406</v>
      </c>
      <c r="I356" t="s">
        <v>53</v>
      </c>
      <c r="J356" t="s">
        <v>344</v>
      </c>
    </row>
    <row r="357" spans="2:10" x14ac:dyDescent="0.2">
      <c r="B357" t="s">
        <v>556</v>
      </c>
      <c r="C357" s="165">
        <f>LCIA!S25</f>
        <v>0.1024710356952179</v>
      </c>
      <c r="D357" t="s">
        <v>132</v>
      </c>
      <c r="E357" t="s">
        <v>344</v>
      </c>
      <c r="G357" t="s">
        <v>556</v>
      </c>
      <c r="H357" s="165">
        <f>LCIA!R25</f>
        <v>0.1024710356952179</v>
      </c>
      <c r="I357" t="s">
        <v>132</v>
      </c>
      <c r="J357" t="s">
        <v>344</v>
      </c>
    </row>
    <row r="358" spans="2:10" x14ac:dyDescent="0.2">
      <c r="B358" t="s">
        <v>556</v>
      </c>
      <c r="C358" s="165">
        <f>LCIA!S26</f>
        <v>0.10518231656825726</v>
      </c>
      <c r="D358" t="s">
        <v>133</v>
      </c>
      <c r="E358" t="s">
        <v>344</v>
      </c>
      <c r="G358" t="s">
        <v>556</v>
      </c>
      <c r="H358" s="165">
        <f>LCIA!R26</f>
        <v>0.10518231656825726</v>
      </c>
      <c r="I358" t="s">
        <v>133</v>
      </c>
      <c r="J358" t="s">
        <v>344</v>
      </c>
    </row>
    <row r="359" spans="2:10" x14ac:dyDescent="0.2">
      <c r="B359" t="s">
        <v>556</v>
      </c>
      <c r="C359" s="165">
        <f>LCIA!S27</f>
        <v>0</v>
      </c>
      <c r="D359" t="s">
        <v>560</v>
      </c>
      <c r="E359" t="s">
        <v>344</v>
      </c>
      <c r="G359" t="s">
        <v>556</v>
      </c>
      <c r="H359" s="165">
        <f>LCIA!R27</f>
        <v>0</v>
      </c>
      <c r="I359" t="s">
        <v>560</v>
      </c>
      <c r="J359" t="s">
        <v>344</v>
      </c>
    </row>
    <row r="360" spans="2:10" x14ac:dyDescent="0.2">
      <c r="B360" t="s">
        <v>556</v>
      </c>
      <c r="C360" s="165">
        <f>LCIA!S29</f>
        <v>1.0857409447826425</v>
      </c>
      <c r="D360" t="s">
        <v>136</v>
      </c>
      <c r="E360" t="s">
        <v>344</v>
      </c>
      <c r="G360" t="s">
        <v>556</v>
      </c>
      <c r="H360" s="165">
        <f>LCIA!R29</f>
        <v>1.0857409447826425</v>
      </c>
      <c r="I360" t="s">
        <v>136</v>
      </c>
      <c r="J360" t="s">
        <v>344</v>
      </c>
    </row>
    <row r="361" spans="2:10" x14ac:dyDescent="0.2">
      <c r="B361" t="s">
        <v>556</v>
      </c>
      <c r="C361" s="165">
        <f>LCIA!S30</f>
        <v>0.15855677059895215</v>
      </c>
      <c r="D361" t="s">
        <v>55</v>
      </c>
      <c r="E361" t="s">
        <v>344</v>
      </c>
      <c r="G361" t="s">
        <v>556</v>
      </c>
      <c r="H361" s="165">
        <f>LCIA!R30</f>
        <v>0.15855677059895215</v>
      </c>
      <c r="I361" t="s">
        <v>55</v>
      </c>
      <c r="J361" t="s">
        <v>344</v>
      </c>
    </row>
    <row r="363" spans="2:10" x14ac:dyDescent="0.2">
      <c r="B363" t="s">
        <v>397</v>
      </c>
      <c r="C363" s="165">
        <f>LCIA!S33</f>
        <v>7.7051757934342116E-2</v>
      </c>
      <c r="D363" t="s">
        <v>556</v>
      </c>
      <c r="G363" t="s">
        <v>397</v>
      </c>
      <c r="H363" s="165">
        <f>LCIA!R33</f>
        <v>7.7051757934342116E-2</v>
      </c>
      <c r="I363" t="s">
        <v>556</v>
      </c>
    </row>
    <row r="364" spans="2:10" x14ac:dyDescent="0.2">
      <c r="B364" t="s">
        <v>404</v>
      </c>
      <c r="C364" s="165">
        <f>LCIA!S34</f>
        <v>1.9278282046890098</v>
      </c>
      <c r="D364" t="s">
        <v>556</v>
      </c>
      <c r="G364" t="s">
        <v>404</v>
      </c>
      <c r="H364" s="165">
        <f>LCIA!R34</f>
        <v>1.9278282046890098</v>
      </c>
      <c r="I364" t="s">
        <v>556</v>
      </c>
    </row>
    <row r="365" spans="2:10" x14ac:dyDescent="0.2">
      <c r="B365" t="s">
        <v>338</v>
      </c>
      <c r="C365" s="165">
        <f>LCIA!S35</f>
        <v>8.1505012664609994E-2</v>
      </c>
      <c r="D365" t="s">
        <v>556</v>
      </c>
      <c r="G365" t="s">
        <v>338</v>
      </c>
      <c r="H365" s="165">
        <f>LCIA!R35</f>
        <v>8.1505012664609994E-2</v>
      </c>
      <c r="I365" t="s">
        <v>556</v>
      </c>
    </row>
  </sheetData>
  <mergeCells count="16">
    <mergeCell ref="G279:J279"/>
    <mergeCell ref="G327:J327"/>
    <mergeCell ref="B327:E327"/>
    <mergeCell ref="B279:E279"/>
    <mergeCell ref="B2:E2"/>
    <mergeCell ref="B146:E146"/>
    <mergeCell ref="B241:E241"/>
    <mergeCell ref="B50:E50"/>
    <mergeCell ref="B98:E98"/>
    <mergeCell ref="B193:E193"/>
    <mergeCell ref="G241:J241"/>
    <mergeCell ref="G2:J2"/>
    <mergeCell ref="G50:J50"/>
    <mergeCell ref="G98:J98"/>
    <mergeCell ref="G146:J146"/>
    <mergeCell ref="G193:J193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6F303-F27A-45D6-9419-246B438CAE83}">
  <sheetPr>
    <tabColor rgb="FFFF0000"/>
  </sheetPr>
  <dimension ref="A1:NV350"/>
  <sheetViews>
    <sheetView topLeftCell="A3" zoomScale="70" zoomScaleNormal="70" workbookViewId="0">
      <selection activeCell="AA81" sqref="AA81"/>
    </sheetView>
  </sheetViews>
  <sheetFormatPr baseColWidth="10" defaultColWidth="11.42578125" defaultRowHeight="12.75" x14ac:dyDescent="0.2"/>
  <cols>
    <col min="2" max="2" width="19.5703125" bestFit="1" customWidth="1"/>
    <col min="3" max="3" width="33.85546875" bestFit="1" customWidth="1"/>
    <col min="4" max="19" width="13.7109375" customWidth="1"/>
    <col min="22" max="22" width="25" bestFit="1" customWidth="1"/>
    <col min="23" max="40" width="11.7109375" customWidth="1"/>
    <col min="43" max="43" width="23.5703125" bestFit="1" customWidth="1"/>
    <col min="44" max="61" width="13.7109375" customWidth="1"/>
    <col min="62" max="62" width="25.140625" bestFit="1" customWidth="1"/>
    <col min="63" max="78" width="13.7109375" customWidth="1"/>
    <col min="79" max="80" width="12.7109375" customWidth="1"/>
    <col min="81" max="81" width="25.140625" bestFit="1" customWidth="1"/>
    <col min="82" max="97" width="13.7109375" customWidth="1"/>
    <col min="100" max="100" width="25.140625" bestFit="1" customWidth="1"/>
    <col min="101" max="116" width="13.7109375" customWidth="1"/>
    <col min="119" max="119" width="25.140625" bestFit="1" customWidth="1"/>
    <col min="120" max="135" width="13.7109375" customWidth="1"/>
    <col min="138" max="138" width="25.140625" bestFit="1" customWidth="1"/>
    <col min="139" max="154" width="13.7109375" customWidth="1"/>
    <col min="157" max="157" width="25.140625" bestFit="1" customWidth="1"/>
    <col min="158" max="173" width="13.7109375" customWidth="1"/>
    <col min="176" max="176" width="25.140625" bestFit="1" customWidth="1"/>
    <col min="177" max="192" width="13.7109375" customWidth="1"/>
    <col min="195" max="195" width="25.140625" bestFit="1" customWidth="1"/>
    <col min="196" max="211" width="13.7109375" customWidth="1"/>
    <col min="214" max="214" width="25.140625" bestFit="1" customWidth="1"/>
    <col min="215" max="230" width="13.7109375" customWidth="1"/>
    <col min="233" max="233" width="25.140625" bestFit="1" customWidth="1"/>
    <col min="234" max="249" width="11.42578125" customWidth="1"/>
    <col min="252" max="252" width="25.5703125" bestFit="1" customWidth="1"/>
    <col min="271" max="271" width="25.5703125" bestFit="1" customWidth="1"/>
    <col min="290" max="290" width="25.5703125" bestFit="1" customWidth="1"/>
    <col min="309" max="309" width="25.5703125" bestFit="1" customWidth="1"/>
    <col min="328" max="328" width="25.5703125" bestFit="1" customWidth="1"/>
    <col min="347" max="347" width="25.5703125" bestFit="1" customWidth="1"/>
    <col min="366" max="366" width="25.5703125" bestFit="1" customWidth="1"/>
  </cols>
  <sheetData>
    <row r="1" spans="2:386" ht="12.75" customHeight="1" x14ac:dyDescent="0.2">
      <c r="B1" s="118"/>
      <c r="C1" s="409"/>
      <c r="D1" s="409"/>
      <c r="E1" s="409"/>
      <c r="F1" s="409"/>
      <c r="G1" s="409"/>
      <c r="H1" s="409"/>
      <c r="I1" s="409"/>
      <c r="J1" s="409"/>
      <c r="K1" s="409"/>
      <c r="L1" s="409"/>
      <c r="M1" s="409"/>
      <c r="N1" s="409"/>
      <c r="O1" s="409"/>
      <c r="P1" s="408"/>
      <c r="Q1" s="408"/>
      <c r="R1" s="408"/>
      <c r="S1" s="408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N1" s="110"/>
      <c r="AO1" s="110"/>
      <c r="AP1" s="59"/>
      <c r="AQ1" s="128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  <c r="BV1" s="156"/>
      <c r="BW1" s="156"/>
      <c r="BX1" s="156"/>
      <c r="BY1" s="156"/>
      <c r="BZ1" s="156"/>
      <c r="CA1" s="156"/>
      <c r="CB1" s="156"/>
      <c r="CC1" s="156"/>
    </row>
    <row r="2" spans="2:386" ht="12.75" customHeight="1" x14ac:dyDescent="0.2">
      <c r="B2" s="118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8"/>
      <c r="Q2" s="408"/>
      <c r="R2" s="408"/>
      <c r="S2" s="408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5"/>
      <c r="AQ2" s="105"/>
      <c r="AR2" s="129"/>
      <c r="AS2" s="129"/>
      <c r="AT2" s="129"/>
      <c r="AU2" s="129"/>
      <c r="AV2" s="129"/>
      <c r="AW2" s="129"/>
      <c r="AX2" s="129"/>
      <c r="AY2" s="129"/>
      <c r="AZ2" s="129"/>
      <c r="BA2" s="129"/>
      <c r="BB2" s="129"/>
      <c r="BC2" s="129"/>
      <c r="BD2" s="129"/>
      <c r="BE2" s="129"/>
      <c r="BF2" s="129"/>
      <c r="BG2" s="129"/>
      <c r="BI2" s="156"/>
      <c r="BJ2" s="156"/>
      <c r="BK2" s="156"/>
      <c r="BL2" s="156"/>
      <c r="BM2" s="156"/>
      <c r="BN2" s="156"/>
      <c r="BO2" s="156"/>
      <c r="BP2" s="156"/>
      <c r="BQ2" s="156"/>
      <c r="BR2" s="156"/>
      <c r="BS2" s="156"/>
      <c r="BT2" s="156"/>
      <c r="BU2" s="156"/>
      <c r="BV2" s="156"/>
      <c r="BW2" s="156"/>
      <c r="BX2" s="156"/>
      <c r="BY2" s="156"/>
      <c r="BZ2" s="156"/>
      <c r="CA2" s="156"/>
      <c r="CB2" s="156"/>
      <c r="CC2" s="156"/>
    </row>
    <row r="3" spans="2:386" ht="31.5" customHeight="1" x14ac:dyDescent="0.25">
      <c r="B3" s="734" t="s">
        <v>476</v>
      </c>
      <c r="C3" s="717" t="s">
        <v>220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12"/>
      <c r="U3" s="112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310"/>
      <c r="AH3" s="310"/>
      <c r="AI3" s="310"/>
      <c r="AJ3" s="310"/>
      <c r="AK3" s="310"/>
      <c r="AL3" s="310"/>
      <c r="AM3" s="310"/>
      <c r="AN3" s="310"/>
      <c r="AO3" s="310"/>
      <c r="AP3" s="54"/>
      <c r="AQ3" s="105"/>
      <c r="AR3" s="105"/>
      <c r="AS3" s="105"/>
      <c r="AT3" s="105"/>
      <c r="AU3" s="105"/>
      <c r="AV3" s="105"/>
      <c r="AW3" s="105"/>
      <c r="AX3" s="105"/>
      <c r="AY3" s="105"/>
      <c r="AZ3" s="105"/>
      <c r="BA3" s="105"/>
      <c r="BB3" s="105"/>
      <c r="BC3" s="105"/>
      <c r="BD3" s="105"/>
      <c r="BE3" s="105"/>
      <c r="BF3" s="105"/>
      <c r="BG3" s="105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</row>
    <row r="4" spans="2:386" ht="12.75" customHeight="1" x14ac:dyDescent="0.2">
      <c r="B4" s="734"/>
      <c r="C4" s="103"/>
      <c r="D4" s="729" t="s">
        <v>0</v>
      </c>
      <c r="E4" s="730"/>
      <c r="F4" s="731" t="s">
        <v>1</v>
      </c>
      <c r="G4" s="710"/>
      <c r="H4" s="732" t="s">
        <v>2</v>
      </c>
      <c r="I4" s="733"/>
      <c r="J4" s="731" t="s">
        <v>3</v>
      </c>
      <c r="K4" s="710"/>
      <c r="L4" s="731" t="s">
        <v>200</v>
      </c>
      <c r="M4" s="710"/>
      <c r="N4" s="709" t="s">
        <v>5</v>
      </c>
      <c r="O4" s="710"/>
      <c r="P4" s="709" t="s">
        <v>634</v>
      </c>
      <c r="Q4" s="710"/>
      <c r="R4" s="709" t="s">
        <v>582</v>
      </c>
      <c r="S4" s="710"/>
      <c r="T4" s="112"/>
      <c r="U4" s="112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12"/>
      <c r="AP4" s="54"/>
      <c r="AQ4" s="708" t="s">
        <v>830</v>
      </c>
      <c r="AR4" s="708"/>
      <c r="AS4" s="708"/>
      <c r="AT4" s="708"/>
      <c r="AU4" s="708"/>
      <c r="AV4" s="708"/>
      <c r="AW4" s="708"/>
      <c r="AX4" s="708"/>
      <c r="AY4" s="708"/>
      <c r="AZ4" s="708"/>
      <c r="BA4" s="708"/>
      <c r="BB4" s="708"/>
      <c r="BC4" s="708"/>
      <c r="BD4" s="708"/>
      <c r="BE4" s="708"/>
      <c r="BF4" s="708"/>
      <c r="BG4" s="708"/>
      <c r="BI4" s="156"/>
      <c r="BJ4" s="708" t="s">
        <v>437</v>
      </c>
      <c r="BK4" s="708"/>
      <c r="BL4" s="708"/>
      <c r="BM4" s="708"/>
      <c r="BN4" s="708"/>
      <c r="BO4" s="708"/>
      <c r="BP4" s="708"/>
      <c r="BQ4" s="708"/>
      <c r="BR4" s="708"/>
      <c r="BS4" s="708"/>
      <c r="BT4" s="708"/>
      <c r="BU4" s="708"/>
      <c r="BV4" s="708"/>
      <c r="BW4" s="708"/>
      <c r="BX4" s="708"/>
      <c r="BY4" s="708"/>
      <c r="BZ4" s="708"/>
      <c r="CA4" s="156"/>
      <c r="CB4" s="156"/>
      <c r="CC4" s="708" t="s">
        <v>859</v>
      </c>
      <c r="CD4" s="708"/>
      <c r="CE4" s="708"/>
      <c r="CF4" s="708"/>
      <c r="CG4" s="708"/>
      <c r="CH4" s="708"/>
      <c r="CI4" s="708"/>
      <c r="CJ4" s="708"/>
      <c r="CK4" s="708"/>
      <c r="CL4" s="708"/>
      <c r="CM4" s="708"/>
      <c r="CN4" s="708"/>
      <c r="CO4" s="708"/>
      <c r="CP4" s="708"/>
      <c r="CQ4" s="708"/>
      <c r="CR4" s="708"/>
      <c r="CS4" s="708"/>
      <c r="CV4" s="708" t="s">
        <v>441</v>
      </c>
      <c r="CW4" s="708"/>
      <c r="CX4" s="708"/>
      <c r="CY4" s="708"/>
      <c r="CZ4" s="708"/>
      <c r="DA4" s="708"/>
      <c r="DB4" s="708"/>
      <c r="DC4" s="708"/>
      <c r="DD4" s="708"/>
      <c r="DE4" s="708"/>
      <c r="DF4" s="708"/>
      <c r="DG4" s="708"/>
      <c r="DH4" s="708"/>
      <c r="DI4" s="708"/>
      <c r="DJ4" s="708"/>
      <c r="DK4" s="708"/>
      <c r="DL4" s="708"/>
      <c r="DO4" s="708" t="s">
        <v>860</v>
      </c>
      <c r="DP4" s="708"/>
      <c r="DQ4" s="708"/>
      <c r="DR4" s="708"/>
      <c r="DS4" s="708"/>
      <c r="DT4" s="708"/>
      <c r="DU4" s="708"/>
      <c r="DV4" s="708"/>
      <c r="DW4" s="708"/>
      <c r="DX4" s="708"/>
      <c r="DY4" s="708"/>
      <c r="DZ4" s="708"/>
      <c r="EA4" s="708"/>
      <c r="EB4" s="708"/>
      <c r="EC4" s="708"/>
      <c r="ED4" s="708"/>
      <c r="EE4" s="708"/>
      <c r="EH4" s="708" t="s">
        <v>861</v>
      </c>
      <c r="EI4" s="708"/>
      <c r="EJ4" s="708"/>
      <c r="EK4" s="708"/>
      <c r="EL4" s="708"/>
      <c r="EM4" s="708"/>
      <c r="EN4" s="708"/>
      <c r="EO4" s="708"/>
      <c r="EP4" s="708"/>
      <c r="EQ4" s="708"/>
      <c r="ER4" s="708"/>
      <c r="ES4" s="708"/>
      <c r="ET4" s="708"/>
      <c r="EU4" s="708"/>
      <c r="EV4" s="708"/>
      <c r="EW4" s="708"/>
      <c r="EX4" s="708"/>
      <c r="FA4" s="708" t="s">
        <v>433</v>
      </c>
      <c r="FB4" s="708"/>
      <c r="FC4" s="708"/>
      <c r="FD4" s="708"/>
      <c r="FE4" s="708"/>
      <c r="FF4" s="708"/>
      <c r="FG4" s="708"/>
      <c r="FH4" s="708"/>
      <c r="FI4" s="708"/>
      <c r="FJ4" s="708"/>
      <c r="FK4" s="708"/>
      <c r="FL4" s="708"/>
      <c r="FM4" s="708"/>
      <c r="FN4" s="708"/>
      <c r="FO4" s="708"/>
      <c r="FP4" s="708"/>
      <c r="FQ4" s="708"/>
      <c r="FT4" s="708" t="s">
        <v>877</v>
      </c>
      <c r="FU4" s="708"/>
      <c r="FV4" s="708"/>
      <c r="FW4" s="708"/>
      <c r="FX4" s="708"/>
      <c r="FY4" s="708"/>
      <c r="FZ4" s="708"/>
      <c r="GA4" s="708"/>
      <c r="GB4" s="708"/>
      <c r="GC4" s="708"/>
      <c r="GD4" s="708"/>
      <c r="GE4" s="708"/>
      <c r="GF4" s="708"/>
      <c r="GG4" s="708"/>
      <c r="GH4" s="708"/>
      <c r="GI4" s="708"/>
      <c r="GJ4" s="708"/>
      <c r="GM4" s="708" t="s">
        <v>434</v>
      </c>
      <c r="GN4" s="708"/>
      <c r="GO4" s="708"/>
      <c r="GP4" s="708"/>
      <c r="GQ4" s="708"/>
      <c r="GR4" s="708"/>
      <c r="GS4" s="708"/>
      <c r="GT4" s="708"/>
      <c r="GU4" s="708"/>
      <c r="GV4" s="708"/>
      <c r="GW4" s="708"/>
      <c r="GX4" s="708"/>
      <c r="GY4" s="708"/>
      <c r="GZ4" s="708"/>
      <c r="HA4" s="708"/>
      <c r="HB4" s="708"/>
      <c r="HC4" s="708"/>
      <c r="HF4" s="708" t="s">
        <v>435</v>
      </c>
      <c r="HG4" s="708"/>
      <c r="HH4" s="708"/>
      <c r="HI4" s="708"/>
      <c r="HJ4" s="708"/>
      <c r="HK4" s="708"/>
      <c r="HL4" s="708"/>
      <c r="HM4" s="708"/>
      <c r="HN4" s="708"/>
      <c r="HO4" s="708"/>
      <c r="HP4" s="708"/>
      <c r="HQ4" s="708"/>
      <c r="HR4" s="708"/>
      <c r="HS4" s="417"/>
      <c r="HT4" s="417"/>
      <c r="HU4" s="417"/>
      <c r="HV4" s="417"/>
      <c r="HY4" s="718" t="s">
        <v>528</v>
      </c>
      <c r="HZ4" s="718"/>
      <c r="IA4" s="718"/>
      <c r="IB4" s="718"/>
      <c r="IC4" s="718"/>
      <c r="ID4" s="718"/>
      <c r="IE4" s="718"/>
      <c r="IF4" s="718"/>
      <c r="IG4" s="718"/>
      <c r="IH4" s="718"/>
      <c r="II4" s="718"/>
      <c r="IJ4" s="718"/>
      <c r="IK4" s="718"/>
      <c r="IL4" s="419"/>
      <c r="IM4" s="419"/>
      <c r="IN4" s="419"/>
      <c r="IO4" s="419"/>
      <c r="IR4" s="718" t="s">
        <v>529</v>
      </c>
      <c r="IS4" s="718"/>
      <c r="IT4" s="718"/>
      <c r="IU4" s="718"/>
      <c r="IV4" s="718"/>
      <c r="IW4" s="718"/>
      <c r="IX4" s="718"/>
      <c r="IY4" s="718"/>
      <c r="IZ4" s="718"/>
      <c r="JA4" s="718"/>
      <c r="JB4" s="718"/>
      <c r="JC4" s="718"/>
      <c r="JD4" s="718"/>
      <c r="JE4" s="419"/>
      <c r="JF4" s="419"/>
      <c r="JG4" s="419"/>
      <c r="JH4" s="419"/>
      <c r="JK4" s="718" t="s">
        <v>530</v>
      </c>
      <c r="JL4" s="718"/>
      <c r="JM4" s="718"/>
      <c r="JN4" s="718"/>
      <c r="JO4" s="718"/>
      <c r="JP4" s="718"/>
      <c r="JQ4" s="718"/>
      <c r="JR4" s="718"/>
      <c r="JS4" s="718"/>
      <c r="JT4" s="718"/>
      <c r="JU4" s="718"/>
      <c r="JV4" s="718"/>
      <c r="JW4" s="718"/>
      <c r="JX4" s="419"/>
      <c r="JY4" s="419"/>
      <c r="JZ4" s="419"/>
      <c r="KA4" s="419"/>
      <c r="KD4" s="718" t="s">
        <v>531</v>
      </c>
      <c r="KE4" s="718"/>
      <c r="KF4" s="718"/>
      <c r="KG4" s="718"/>
      <c r="KH4" s="718"/>
      <c r="KI4" s="718"/>
      <c r="KJ4" s="718"/>
      <c r="KK4" s="718"/>
      <c r="KL4" s="718"/>
      <c r="KM4" s="718"/>
      <c r="KN4" s="718"/>
      <c r="KO4" s="718"/>
      <c r="KP4" s="718"/>
      <c r="KQ4" s="419"/>
      <c r="KR4" s="419"/>
      <c r="KS4" s="419"/>
      <c r="KT4" s="419"/>
      <c r="KW4" s="718" t="s">
        <v>532</v>
      </c>
      <c r="KX4" s="718"/>
      <c r="KY4" s="718"/>
      <c r="KZ4" s="718"/>
      <c r="LA4" s="718"/>
      <c r="LB4" s="718"/>
      <c r="LC4" s="718"/>
      <c r="LD4" s="718"/>
      <c r="LE4" s="718"/>
      <c r="LF4" s="718"/>
      <c r="LG4" s="718"/>
      <c r="LH4" s="718"/>
      <c r="LI4" s="718"/>
      <c r="LJ4" s="419"/>
      <c r="LK4" s="419"/>
      <c r="LL4" s="419"/>
      <c r="LM4" s="419"/>
      <c r="LP4" s="718" t="s">
        <v>533</v>
      </c>
      <c r="LQ4" s="718"/>
      <c r="LR4" s="718"/>
      <c r="LS4" s="718"/>
      <c r="LT4" s="718"/>
      <c r="LU4" s="718"/>
      <c r="LV4" s="718"/>
      <c r="LW4" s="718"/>
      <c r="LX4" s="718"/>
      <c r="LY4" s="718"/>
      <c r="LZ4" s="718"/>
      <c r="MA4" s="718"/>
      <c r="MB4" s="718"/>
      <c r="MC4" s="419"/>
      <c r="MD4" s="419"/>
      <c r="ME4" s="419"/>
      <c r="MF4" s="419"/>
      <c r="MI4" s="718" t="s">
        <v>534</v>
      </c>
      <c r="MJ4" s="718"/>
      <c r="MK4" s="718"/>
      <c r="ML4" s="718"/>
      <c r="MM4" s="718"/>
      <c r="MN4" s="718"/>
      <c r="MO4" s="718"/>
      <c r="MP4" s="718"/>
      <c r="MQ4" s="718"/>
      <c r="MR4" s="718"/>
      <c r="MS4" s="718"/>
      <c r="MT4" s="718"/>
      <c r="MU4" s="718"/>
      <c r="MV4" s="419"/>
      <c r="MW4" s="419"/>
      <c r="MX4" s="419"/>
      <c r="MY4" s="419"/>
      <c r="NB4" s="718" t="s">
        <v>436</v>
      </c>
      <c r="NC4" s="718"/>
      <c r="ND4" s="718"/>
      <c r="NE4" s="718"/>
      <c r="NF4" s="718"/>
      <c r="NG4" s="718"/>
      <c r="NH4" s="718"/>
      <c r="NI4" s="718"/>
      <c r="NJ4" s="718"/>
      <c r="NK4" s="718"/>
      <c r="NL4" s="718"/>
      <c r="NM4" s="718"/>
      <c r="NN4" s="718"/>
      <c r="NO4" s="419"/>
      <c r="NP4" s="419"/>
      <c r="NQ4" s="419"/>
      <c r="NR4" s="419"/>
    </row>
    <row r="5" spans="2:386" ht="12.75" customHeight="1" x14ac:dyDescent="0.2">
      <c r="B5" s="734"/>
      <c r="C5" s="145"/>
      <c r="D5" s="135" t="s">
        <v>6</v>
      </c>
      <c r="E5" s="113" t="s">
        <v>7</v>
      </c>
      <c r="F5" s="135" t="s">
        <v>6</v>
      </c>
      <c r="G5" s="113" t="s">
        <v>7</v>
      </c>
      <c r="H5" s="135" t="s">
        <v>6</v>
      </c>
      <c r="I5" s="113" t="s">
        <v>7</v>
      </c>
      <c r="J5" s="135" t="s">
        <v>6</v>
      </c>
      <c r="K5" s="113" t="s">
        <v>7</v>
      </c>
      <c r="L5" s="135" t="s">
        <v>6</v>
      </c>
      <c r="M5" s="113" t="s">
        <v>7</v>
      </c>
      <c r="N5" s="114" t="s">
        <v>6</v>
      </c>
      <c r="O5" s="113" t="s">
        <v>7</v>
      </c>
      <c r="P5" s="114" t="s">
        <v>6</v>
      </c>
      <c r="Q5" s="113" t="s">
        <v>7</v>
      </c>
      <c r="R5" s="114" t="s">
        <v>6</v>
      </c>
      <c r="S5" s="113" t="s">
        <v>7</v>
      </c>
      <c r="T5" s="112"/>
      <c r="U5" s="112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12"/>
      <c r="AP5" s="54"/>
      <c r="AQ5" s="708"/>
      <c r="AR5" s="708"/>
      <c r="AS5" s="708"/>
      <c r="AT5" s="708"/>
      <c r="AU5" s="708"/>
      <c r="AV5" s="708"/>
      <c r="AW5" s="708"/>
      <c r="AX5" s="708"/>
      <c r="AY5" s="708"/>
      <c r="AZ5" s="708"/>
      <c r="BA5" s="708"/>
      <c r="BB5" s="708"/>
      <c r="BC5" s="708"/>
      <c r="BD5" s="708"/>
      <c r="BE5" s="708"/>
      <c r="BF5" s="708"/>
      <c r="BG5" s="708"/>
      <c r="BI5" s="156"/>
      <c r="BJ5" s="708"/>
      <c r="BK5" s="708"/>
      <c r="BL5" s="708"/>
      <c r="BM5" s="708"/>
      <c r="BN5" s="708"/>
      <c r="BO5" s="708"/>
      <c r="BP5" s="708"/>
      <c r="BQ5" s="708"/>
      <c r="BR5" s="708"/>
      <c r="BS5" s="708"/>
      <c r="BT5" s="708"/>
      <c r="BU5" s="708"/>
      <c r="BV5" s="708"/>
      <c r="BW5" s="708"/>
      <c r="BX5" s="708"/>
      <c r="BY5" s="708"/>
      <c r="BZ5" s="708"/>
      <c r="CA5" s="156"/>
      <c r="CB5" s="156"/>
      <c r="CC5" s="708"/>
      <c r="CD5" s="708"/>
      <c r="CE5" s="708"/>
      <c r="CF5" s="708"/>
      <c r="CG5" s="708"/>
      <c r="CH5" s="708"/>
      <c r="CI5" s="708"/>
      <c r="CJ5" s="708"/>
      <c r="CK5" s="708"/>
      <c r="CL5" s="708"/>
      <c r="CM5" s="708"/>
      <c r="CN5" s="708"/>
      <c r="CO5" s="708"/>
      <c r="CP5" s="708"/>
      <c r="CQ5" s="708"/>
      <c r="CR5" s="708"/>
      <c r="CS5" s="708"/>
      <c r="CV5" s="708"/>
      <c r="CW5" s="708"/>
      <c r="CX5" s="708"/>
      <c r="CY5" s="708"/>
      <c r="CZ5" s="708"/>
      <c r="DA5" s="708"/>
      <c r="DB5" s="708"/>
      <c r="DC5" s="708"/>
      <c r="DD5" s="708"/>
      <c r="DE5" s="708"/>
      <c r="DF5" s="708"/>
      <c r="DG5" s="708"/>
      <c r="DH5" s="708"/>
      <c r="DI5" s="708"/>
      <c r="DJ5" s="708"/>
      <c r="DK5" s="708"/>
      <c r="DL5" s="708"/>
      <c r="DO5" s="708"/>
      <c r="DP5" s="708"/>
      <c r="DQ5" s="708"/>
      <c r="DR5" s="708"/>
      <c r="DS5" s="708"/>
      <c r="DT5" s="708"/>
      <c r="DU5" s="708"/>
      <c r="DV5" s="708"/>
      <c r="DW5" s="708"/>
      <c r="DX5" s="708"/>
      <c r="DY5" s="708"/>
      <c r="DZ5" s="708"/>
      <c r="EA5" s="708"/>
      <c r="EB5" s="708"/>
      <c r="EC5" s="708"/>
      <c r="ED5" s="708"/>
      <c r="EE5" s="708"/>
      <c r="EH5" s="708"/>
      <c r="EI5" s="708"/>
      <c r="EJ5" s="708"/>
      <c r="EK5" s="708"/>
      <c r="EL5" s="708"/>
      <c r="EM5" s="708"/>
      <c r="EN5" s="708"/>
      <c r="EO5" s="708"/>
      <c r="EP5" s="708"/>
      <c r="EQ5" s="708"/>
      <c r="ER5" s="708"/>
      <c r="ES5" s="708"/>
      <c r="ET5" s="708"/>
      <c r="EU5" s="708"/>
      <c r="EV5" s="708"/>
      <c r="EW5" s="708"/>
      <c r="EX5" s="708"/>
      <c r="FA5" s="708"/>
      <c r="FB5" s="708"/>
      <c r="FC5" s="708"/>
      <c r="FD5" s="708"/>
      <c r="FE5" s="708"/>
      <c r="FF5" s="708"/>
      <c r="FG5" s="708"/>
      <c r="FH5" s="708"/>
      <c r="FI5" s="708"/>
      <c r="FJ5" s="708"/>
      <c r="FK5" s="708"/>
      <c r="FL5" s="708"/>
      <c r="FM5" s="708"/>
      <c r="FN5" s="708"/>
      <c r="FO5" s="708"/>
      <c r="FP5" s="708"/>
      <c r="FQ5" s="708"/>
      <c r="FT5" s="708"/>
      <c r="FU5" s="708"/>
      <c r="FV5" s="708"/>
      <c r="FW5" s="708"/>
      <c r="FX5" s="708"/>
      <c r="FY5" s="708"/>
      <c r="FZ5" s="708"/>
      <c r="GA5" s="708"/>
      <c r="GB5" s="708"/>
      <c r="GC5" s="708"/>
      <c r="GD5" s="708"/>
      <c r="GE5" s="708"/>
      <c r="GF5" s="708"/>
      <c r="GG5" s="708"/>
      <c r="GH5" s="708"/>
      <c r="GI5" s="708"/>
      <c r="GJ5" s="708"/>
      <c r="GM5" s="708"/>
      <c r="GN5" s="708"/>
      <c r="GO5" s="708"/>
      <c r="GP5" s="708"/>
      <c r="GQ5" s="708"/>
      <c r="GR5" s="708"/>
      <c r="GS5" s="708"/>
      <c r="GT5" s="708"/>
      <c r="GU5" s="708"/>
      <c r="GV5" s="708"/>
      <c r="GW5" s="708"/>
      <c r="GX5" s="708"/>
      <c r="GY5" s="708"/>
      <c r="GZ5" s="708"/>
      <c r="HA5" s="708"/>
      <c r="HB5" s="708"/>
      <c r="HC5" s="708"/>
      <c r="HF5" s="708"/>
      <c r="HG5" s="708"/>
      <c r="HH5" s="708"/>
      <c r="HI5" s="708"/>
      <c r="HJ5" s="708"/>
      <c r="HK5" s="708"/>
      <c r="HL5" s="708"/>
      <c r="HM5" s="708"/>
      <c r="HN5" s="708"/>
      <c r="HO5" s="708"/>
      <c r="HP5" s="708"/>
      <c r="HQ5" s="708"/>
      <c r="HR5" s="708"/>
      <c r="HS5" s="417"/>
      <c r="HT5" s="417"/>
      <c r="HU5" s="417"/>
      <c r="HV5" s="417"/>
      <c r="HY5" s="718"/>
      <c r="HZ5" s="718"/>
      <c r="IA5" s="718"/>
      <c r="IB5" s="718"/>
      <c r="IC5" s="718"/>
      <c r="ID5" s="718"/>
      <c r="IE5" s="718"/>
      <c r="IF5" s="718"/>
      <c r="IG5" s="718"/>
      <c r="IH5" s="718"/>
      <c r="II5" s="718"/>
      <c r="IJ5" s="718"/>
      <c r="IK5" s="718"/>
      <c r="IL5" s="419"/>
      <c r="IM5" s="419"/>
      <c r="IN5" s="419"/>
      <c r="IO5" s="419"/>
      <c r="IR5" s="718"/>
      <c r="IS5" s="718"/>
      <c r="IT5" s="718"/>
      <c r="IU5" s="718"/>
      <c r="IV5" s="718"/>
      <c r="IW5" s="718"/>
      <c r="IX5" s="718"/>
      <c r="IY5" s="718"/>
      <c r="IZ5" s="718"/>
      <c r="JA5" s="718"/>
      <c r="JB5" s="718"/>
      <c r="JC5" s="718"/>
      <c r="JD5" s="718"/>
      <c r="JE5" s="419"/>
      <c r="JF5" s="419"/>
      <c r="JG5" s="419"/>
      <c r="JH5" s="419"/>
      <c r="JK5" s="718"/>
      <c r="JL5" s="718"/>
      <c r="JM5" s="718"/>
      <c r="JN5" s="718"/>
      <c r="JO5" s="718"/>
      <c r="JP5" s="718"/>
      <c r="JQ5" s="718"/>
      <c r="JR5" s="718"/>
      <c r="JS5" s="718"/>
      <c r="JT5" s="718"/>
      <c r="JU5" s="718"/>
      <c r="JV5" s="718"/>
      <c r="JW5" s="718"/>
      <c r="JX5" s="419"/>
      <c r="JY5" s="419"/>
      <c r="JZ5" s="419"/>
      <c r="KA5" s="419"/>
      <c r="KD5" s="718"/>
      <c r="KE5" s="718"/>
      <c r="KF5" s="718"/>
      <c r="KG5" s="718"/>
      <c r="KH5" s="718"/>
      <c r="KI5" s="718"/>
      <c r="KJ5" s="718"/>
      <c r="KK5" s="718"/>
      <c r="KL5" s="718"/>
      <c r="KM5" s="718"/>
      <c r="KN5" s="718"/>
      <c r="KO5" s="718"/>
      <c r="KP5" s="718"/>
      <c r="KQ5" s="419"/>
      <c r="KR5" s="419"/>
      <c r="KS5" s="419"/>
      <c r="KT5" s="419"/>
      <c r="KW5" s="718"/>
      <c r="KX5" s="718"/>
      <c r="KY5" s="718"/>
      <c r="KZ5" s="718"/>
      <c r="LA5" s="718"/>
      <c r="LB5" s="718"/>
      <c r="LC5" s="718"/>
      <c r="LD5" s="718"/>
      <c r="LE5" s="718"/>
      <c r="LF5" s="718"/>
      <c r="LG5" s="718"/>
      <c r="LH5" s="718"/>
      <c r="LI5" s="718"/>
      <c r="LJ5" s="419"/>
      <c r="LK5" s="419"/>
      <c r="LL5" s="419"/>
      <c r="LM5" s="419"/>
      <c r="LP5" s="718"/>
      <c r="LQ5" s="718"/>
      <c r="LR5" s="718"/>
      <c r="LS5" s="718"/>
      <c r="LT5" s="718"/>
      <c r="LU5" s="718"/>
      <c r="LV5" s="718"/>
      <c r="LW5" s="718"/>
      <c r="LX5" s="718"/>
      <c r="LY5" s="718"/>
      <c r="LZ5" s="718"/>
      <c r="MA5" s="718"/>
      <c r="MB5" s="718"/>
      <c r="MC5" s="419"/>
      <c r="MD5" s="419"/>
      <c r="ME5" s="419"/>
      <c r="MF5" s="419"/>
      <c r="MI5" s="718"/>
      <c r="MJ5" s="718"/>
      <c r="MK5" s="718"/>
      <c r="ML5" s="718"/>
      <c r="MM5" s="718"/>
      <c r="MN5" s="718"/>
      <c r="MO5" s="718"/>
      <c r="MP5" s="718"/>
      <c r="MQ5" s="718"/>
      <c r="MR5" s="718"/>
      <c r="MS5" s="718"/>
      <c r="MT5" s="718"/>
      <c r="MU5" s="718"/>
      <c r="MV5" s="419"/>
      <c r="MW5" s="419"/>
      <c r="MX5" s="419"/>
      <c r="MY5" s="419"/>
      <c r="NB5" s="718"/>
      <c r="NC5" s="718"/>
      <c r="ND5" s="718"/>
      <c r="NE5" s="718"/>
      <c r="NF5" s="718"/>
      <c r="NG5" s="718"/>
      <c r="NH5" s="718"/>
      <c r="NI5" s="718"/>
      <c r="NJ5" s="718"/>
      <c r="NK5" s="718"/>
      <c r="NL5" s="718"/>
      <c r="NM5" s="718"/>
      <c r="NN5" s="718"/>
      <c r="NO5" s="419"/>
      <c r="NP5" s="419"/>
      <c r="NQ5" s="419"/>
      <c r="NR5" s="419"/>
    </row>
    <row r="6" spans="2:386" ht="48" customHeight="1" x14ac:dyDescent="0.2">
      <c r="B6" s="734"/>
      <c r="C6" s="103" t="s">
        <v>51</v>
      </c>
      <c r="D6" s="121">
        <f t="shared" ref="D6:R6" si="0">D9+D49+D60+D61+D62+D63+D64</f>
        <v>4.3893580843402109</v>
      </c>
      <c r="E6" s="116">
        <f t="shared" si="0"/>
        <v>3.6643930994931733</v>
      </c>
      <c r="F6" s="121">
        <f t="shared" si="0"/>
        <v>5.3154127601692016</v>
      </c>
      <c r="G6" s="116">
        <f t="shared" si="0"/>
        <v>4.4129244801136966</v>
      </c>
      <c r="H6" s="121">
        <f t="shared" si="0"/>
        <v>5.2262946583911081</v>
      </c>
      <c r="I6" s="116">
        <f t="shared" si="0"/>
        <v>4.3431923490938251</v>
      </c>
      <c r="J6" s="121">
        <f t="shared" si="0"/>
        <v>4.2785318141603224</v>
      </c>
      <c r="K6" s="116">
        <f t="shared" si="0"/>
        <v>3.547893134053774</v>
      </c>
      <c r="L6" s="121">
        <f t="shared" si="0"/>
        <v>3.7678415137484702</v>
      </c>
      <c r="M6" s="116">
        <f t="shared" si="0"/>
        <v>3.1178828252936586</v>
      </c>
      <c r="N6" s="121">
        <f t="shared" si="0"/>
        <v>6.3516809929566769</v>
      </c>
      <c r="O6" s="116">
        <f t="shared" si="0"/>
        <v>5.1589358806755454</v>
      </c>
      <c r="P6" s="121">
        <f t="shared" si="0"/>
        <v>7.3399726920489092</v>
      </c>
      <c r="Q6" s="116">
        <f t="shared" si="0"/>
        <v>6.1220220586948999</v>
      </c>
      <c r="R6" s="121">
        <f t="shared" si="0"/>
        <v>3.7668807773277511</v>
      </c>
      <c r="S6" s="116">
        <f>S9+S49+S60+S61+S62+S63+S64</f>
        <v>2.7829025003638157</v>
      </c>
      <c r="T6" s="109"/>
      <c r="U6" s="109"/>
      <c r="V6" s="717" t="s">
        <v>322</v>
      </c>
      <c r="W6" s="717"/>
      <c r="X6" s="717"/>
      <c r="Y6" s="717"/>
      <c r="Z6" s="717"/>
      <c r="AA6" s="717"/>
      <c r="AB6" s="717"/>
      <c r="AC6" s="717"/>
      <c r="AD6" s="717"/>
      <c r="AE6" s="717"/>
      <c r="AF6" s="717"/>
      <c r="AG6" s="717"/>
      <c r="AH6" s="717"/>
      <c r="AI6" s="717"/>
      <c r="AJ6" s="717"/>
      <c r="AK6" s="717"/>
      <c r="AL6" s="717"/>
      <c r="AM6" s="717"/>
      <c r="AN6" s="717"/>
      <c r="AO6" s="109"/>
      <c r="AQ6" s="3"/>
      <c r="AR6" s="715" t="s">
        <v>0</v>
      </c>
      <c r="AS6" s="712"/>
      <c r="AT6" s="727" t="s">
        <v>716</v>
      </c>
      <c r="AU6" s="712"/>
      <c r="AV6" s="727" t="s">
        <v>717</v>
      </c>
      <c r="AW6" s="712"/>
      <c r="AX6" s="728" t="s">
        <v>718</v>
      </c>
      <c r="AY6" s="714"/>
      <c r="AZ6" s="728" t="s">
        <v>719</v>
      </c>
      <c r="BA6" s="714"/>
      <c r="BB6" s="713" t="s">
        <v>5</v>
      </c>
      <c r="BC6" s="714"/>
      <c r="BD6" s="716" t="s">
        <v>720</v>
      </c>
      <c r="BE6" s="710"/>
      <c r="BF6" s="716" t="s">
        <v>721</v>
      </c>
      <c r="BG6" s="710"/>
      <c r="BI6" s="156"/>
      <c r="BJ6" s="3"/>
      <c r="BK6" s="715" t="s">
        <v>0</v>
      </c>
      <c r="BL6" s="712"/>
      <c r="BM6" s="727" t="s">
        <v>716</v>
      </c>
      <c r="BN6" s="712"/>
      <c r="BO6" s="727" t="s">
        <v>717</v>
      </c>
      <c r="BP6" s="712"/>
      <c r="BQ6" s="728" t="s">
        <v>718</v>
      </c>
      <c r="BR6" s="714"/>
      <c r="BS6" s="728" t="s">
        <v>719</v>
      </c>
      <c r="BT6" s="714"/>
      <c r="BU6" s="713" t="s">
        <v>5</v>
      </c>
      <c r="BV6" s="714"/>
      <c r="BW6" s="716" t="s">
        <v>720</v>
      </c>
      <c r="BX6" s="710"/>
      <c r="BY6" s="716" t="s">
        <v>721</v>
      </c>
      <c r="BZ6" s="710"/>
      <c r="CA6" s="156"/>
      <c r="CB6" s="156"/>
      <c r="CC6" s="3"/>
      <c r="CD6" s="711" t="s">
        <v>0</v>
      </c>
      <c r="CE6" s="712"/>
      <c r="CF6" s="711" t="s">
        <v>1</v>
      </c>
      <c r="CG6" s="712"/>
      <c r="CH6" s="711" t="s">
        <v>2</v>
      </c>
      <c r="CI6" s="712"/>
      <c r="CJ6" s="713" t="s">
        <v>3</v>
      </c>
      <c r="CK6" s="714"/>
      <c r="CL6" s="713" t="s">
        <v>200</v>
      </c>
      <c r="CM6" s="714"/>
      <c r="CN6" s="713" t="s">
        <v>5</v>
      </c>
      <c r="CO6" s="714"/>
      <c r="CP6" s="709" t="s">
        <v>634</v>
      </c>
      <c r="CQ6" s="710"/>
      <c r="CR6" s="709" t="s">
        <v>582</v>
      </c>
      <c r="CS6" s="710"/>
      <c r="CT6" s="9"/>
      <c r="CV6" s="3"/>
      <c r="CW6" s="711" t="s">
        <v>0</v>
      </c>
      <c r="CX6" s="712"/>
      <c r="CY6" s="711" t="s">
        <v>1</v>
      </c>
      <c r="CZ6" s="712"/>
      <c r="DA6" s="711" t="s">
        <v>2</v>
      </c>
      <c r="DB6" s="712"/>
      <c r="DC6" s="713" t="s">
        <v>3</v>
      </c>
      <c r="DD6" s="714"/>
      <c r="DE6" s="713" t="s">
        <v>200</v>
      </c>
      <c r="DF6" s="714"/>
      <c r="DG6" s="713" t="s">
        <v>5</v>
      </c>
      <c r="DH6" s="714"/>
      <c r="DI6" s="709" t="s">
        <v>634</v>
      </c>
      <c r="DJ6" s="710"/>
      <c r="DK6" s="709" t="s">
        <v>582</v>
      </c>
      <c r="DL6" s="710"/>
      <c r="DO6" s="3"/>
      <c r="DP6" s="711" t="s">
        <v>0</v>
      </c>
      <c r="DQ6" s="712"/>
      <c r="DR6" s="711" t="s">
        <v>1</v>
      </c>
      <c r="DS6" s="712"/>
      <c r="DT6" s="711" t="s">
        <v>2</v>
      </c>
      <c r="DU6" s="712"/>
      <c r="DV6" s="713" t="s">
        <v>3</v>
      </c>
      <c r="DW6" s="714"/>
      <c r="DX6" s="713" t="s">
        <v>200</v>
      </c>
      <c r="DY6" s="714"/>
      <c r="DZ6" s="713" t="s">
        <v>5</v>
      </c>
      <c r="EA6" s="714"/>
      <c r="EB6" s="709" t="s">
        <v>634</v>
      </c>
      <c r="EC6" s="710"/>
      <c r="ED6" s="709" t="s">
        <v>582</v>
      </c>
      <c r="EE6" s="710"/>
      <c r="EH6" s="3"/>
      <c r="EI6" s="711" t="s">
        <v>0</v>
      </c>
      <c r="EJ6" s="712"/>
      <c r="EK6" s="711" t="s">
        <v>1</v>
      </c>
      <c r="EL6" s="712"/>
      <c r="EM6" s="711" t="s">
        <v>2</v>
      </c>
      <c r="EN6" s="712"/>
      <c r="EO6" s="713" t="s">
        <v>3</v>
      </c>
      <c r="EP6" s="714"/>
      <c r="EQ6" s="713" t="s">
        <v>200</v>
      </c>
      <c r="ER6" s="714"/>
      <c r="ES6" s="713" t="s">
        <v>5</v>
      </c>
      <c r="ET6" s="714"/>
      <c r="EU6" s="709" t="s">
        <v>634</v>
      </c>
      <c r="EV6" s="710"/>
      <c r="EW6" s="709" t="s">
        <v>582</v>
      </c>
      <c r="EX6" s="710"/>
      <c r="FA6" s="3"/>
      <c r="FB6" s="711" t="s">
        <v>0</v>
      </c>
      <c r="FC6" s="712"/>
      <c r="FD6" s="711" t="s">
        <v>1</v>
      </c>
      <c r="FE6" s="712"/>
      <c r="FF6" s="711" t="s">
        <v>2</v>
      </c>
      <c r="FG6" s="712"/>
      <c r="FH6" s="713" t="s">
        <v>3</v>
      </c>
      <c r="FI6" s="714"/>
      <c r="FJ6" s="713" t="s">
        <v>200</v>
      </c>
      <c r="FK6" s="714"/>
      <c r="FL6" s="713" t="s">
        <v>5</v>
      </c>
      <c r="FM6" s="714"/>
      <c r="FN6" s="709" t="s">
        <v>634</v>
      </c>
      <c r="FO6" s="710"/>
      <c r="FP6" s="709" t="s">
        <v>582</v>
      </c>
      <c r="FQ6" s="710"/>
      <c r="FT6" s="3"/>
      <c r="FU6" s="711" t="s">
        <v>0</v>
      </c>
      <c r="FV6" s="712"/>
      <c r="FW6" s="711" t="s">
        <v>1</v>
      </c>
      <c r="FX6" s="712"/>
      <c r="FY6" s="711" t="s">
        <v>2</v>
      </c>
      <c r="FZ6" s="712"/>
      <c r="GA6" s="713" t="s">
        <v>3</v>
      </c>
      <c r="GB6" s="714"/>
      <c r="GC6" s="713" t="s">
        <v>200</v>
      </c>
      <c r="GD6" s="714"/>
      <c r="GE6" s="713" t="s">
        <v>5</v>
      </c>
      <c r="GF6" s="714"/>
      <c r="GG6" s="709" t="s">
        <v>634</v>
      </c>
      <c r="GH6" s="710"/>
      <c r="GI6" s="709" t="s">
        <v>582</v>
      </c>
      <c r="GJ6" s="710"/>
      <c r="GM6" s="3"/>
      <c r="GN6" s="711" t="s">
        <v>0</v>
      </c>
      <c r="GO6" s="712"/>
      <c r="GP6" s="711" t="s">
        <v>1</v>
      </c>
      <c r="GQ6" s="712"/>
      <c r="GR6" s="711" t="s">
        <v>2</v>
      </c>
      <c r="GS6" s="712"/>
      <c r="GT6" s="713" t="s">
        <v>3</v>
      </c>
      <c r="GU6" s="714"/>
      <c r="GV6" s="713" t="s">
        <v>200</v>
      </c>
      <c r="GW6" s="714"/>
      <c r="GX6" s="713" t="s">
        <v>5</v>
      </c>
      <c r="GY6" s="714"/>
      <c r="GZ6" s="709" t="s">
        <v>634</v>
      </c>
      <c r="HA6" s="710"/>
      <c r="HB6" s="709" t="s">
        <v>582</v>
      </c>
      <c r="HC6" s="710"/>
      <c r="HF6" s="3"/>
      <c r="HG6" s="711" t="s">
        <v>0</v>
      </c>
      <c r="HH6" s="712"/>
      <c r="HI6" s="711" t="s">
        <v>1</v>
      </c>
      <c r="HJ6" s="712"/>
      <c r="HK6" s="711" t="s">
        <v>2</v>
      </c>
      <c r="HL6" s="712"/>
      <c r="HM6" s="713" t="s">
        <v>3</v>
      </c>
      <c r="HN6" s="714"/>
      <c r="HO6" s="713" t="s">
        <v>200</v>
      </c>
      <c r="HP6" s="714"/>
      <c r="HQ6" s="713" t="s">
        <v>5</v>
      </c>
      <c r="HR6" s="714"/>
      <c r="HS6" s="709" t="s">
        <v>634</v>
      </c>
      <c r="HT6" s="710"/>
      <c r="HU6" s="709" t="s">
        <v>582</v>
      </c>
      <c r="HV6" s="710"/>
      <c r="HY6" s="331"/>
      <c r="HZ6" s="719" t="s">
        <v>0</v>
      </c>
      <c r="IA6" s="720"/>
      <c r="IB6" s="719" t="s">
        <v>1</v>
      </c>
      <c r="IC6" s="720"/>
      <c r="ID6" s="719" t="s">
        <v>2</v>
      </c>
      <c r="IE6" s="720"/>
      <c r="IF6" s="721" t="s">
        <v>3</v>
      </c>
      <c r="IG6" s="722"/>
      <c r="IH6" s="721" t="s">
        <v>200</v>
      </c>
      <c r="II6" s="722"/>
      <c r="IJ6" s="721" t="s">
        <v>5</v>
      </c>
      <c r="IK6" s="722"/>
      <c r="IL6" s="709" t="s">
        <v>634</v>
      </c>
      <c r="IM6" s="710"/>
      <c r="IN6" s="709" t="s">
        <v>582</v>
      </c>
      <c r="IO6" s="710"/>
      <c r="IR6" s="331"/>
      <c r="IS6" s="719" t="s">
        <v>0</v>
      </c>
      <c r="IT6" s="720"/>
      <c r="IU6" s="719" t="s">
        <v>1</v>
      </c>
      <c r="IV6" s="720"/>
      <c r="IW6" s="719" t="s">
        <v>2</v>
      </c>
      <c r="IX6" s="720"/>
      <c r="IY6" s="721" t="s">
        <v>3</v>
      </c>
      <c r="IZ6" s="722"/>
      <c r="JA6" s="721" t="s">
        <v>200</v>
      </c>
      <c r="JB6" s="722"/>
      <c r="JC6" s="721" t="s">
        <v>5</v>
      </c>
      <c r="JD6" s="722"/>
      <c r="JE6" s="723" t="s">
        <v>634</v>
      </c>
      <c r="JF6" s="724"/>
      <c r="JG6" s="723" t="s">
        <v>582</v>
      </c>
      <c r="JH6" s="724"/>
      <c r="JI6" s="494"/>
      <c r="JJ6" s="494"/>
      <c r="JK6" s="331"/>
      <c r="JL6" s="719" t="s">
        <v>0</v>
      </c>
      <c r="JM6" s="720"/>
      <c r="JN6" s="719" t="s">
        <v>1</v>
      </c>
      <c r="JO6" s="720"/>
      <c r="JP6" s="719" t="s">
        <v>2</v>
      </c>
      <c r="JQ6" s="720"/>
      <c r="JR6" s="721" t="s">
        <v>3</v>
      </c>
      <c r="JS6" s="722"/>
      <c r="JT6" s="721" t="s">
        <v>200</v>
      </c>
      <c r="JU6" s="722"/>
      <c r="JV6" s="721" t="s">
        <v>5</v>
      </c>
      <c r="JW6" s="722"/>
      <c r="JX6" s="723" t="s">
        <v>634</v>
      </c>
      <c r="JY6" s="724"/>
      <c r="JZ6" s="723" t="s">
        <v>582</v>
      </c>
      <c r="KA6" s="724"/>
      <c r="KB6" s="494"/>
      <c r="KC6" s="494"/>
      <c r="KD6" s="331"/>
      <c r="KE6" s="719" t="s">
        <v>0</v>
      </c>
      <c r="KF6" s="720"/>
      <c r="KG6" s="719" t="s">
        <v>1</v>
      </c>
      <c r="KH6" s="720"/>
      <c r="KI6" s="719" t="s">
        <v>2</v>
      </c>
      <c r="KJ6" s="720"/>
      <c r="KK6" s="721" t="s">
        <v>3</v>
      </c>
      <c r="KL6" s="722"/>
      <c r="KM6" s="721" t="s">
        <v>200</v>
      </c>
      <c r="KN6" s="722"/>
      <c r="KO6" s="721" t="s">
        <v>5</v>
      </c>
      <c r="KP6" s="722"/>
      <c r="KQ6" s="723" t="s">
        <v>634</v>
      </c>
      <c r="KR6" s="724"/>
      <c r="KS6" s="723" t="s">
        <v>582</v>
      </c>
      <c r="KT6" s="724"/>
      <c r="KU6" s="494"/>
      <c r="KV6" s="494"/>
      <c r="KW6" s="331"/>
      <c r="KX6" s="719" t="s">
        <v>0</v>
      </c>
      <c r="KY6" s="720"/>
      <c r="KZ6" s="719" t="s">
        <v>1</v>
      </c>
      <c r="LA6" s="720"/>
      <c r="LB6" s="719" t="s">
        <v>2</v>
      </c>
      <c r="LC6" s="720"/>
      <c r="LD6" s="721" t="s">
        <v>3</v>
      </c>
      <c r="LE6" s="722"/>
      <c r="LF6" s="721" t="s">
        <v>200</v>
      </c>
      <c r="LG6" s="722"/>
      <c r="LH6" s="721" t="s">
        <v>5</v>
      </c>
      <c r="LI6" s="722"/>
      <c r="LJ6" s="723" t="s">
        <v>634</v>
      </c>
      <c r="LK6" s="724"/>
      <c r="LL6" s="723" t="s">
        <v>582</v>
      </c>
      <c r="LM6" s="724"/>
      <c r="LN6" s="494"/>
      <c r="LO6" s="494"/>
      <c r="LP6" s="331"/>
      <c r="LQ6" s="719" t="s">
        <v>0</v>
      </c>
      <c r="LR6" s="720"/>
      <c r="LS6" s="719" t="s">
        <v>1</v>
      </c>
      <c r="LT6" s="720"/>
      <c r="LU6" s="719" t="s">
        <v>2</v>
      </c>
      <c r="LV6" s="720"/>
      <c r="LW6" s="721" t="s">
        <v>3</v>
      </c>
      <c r="LX6" s="722"/>
      <c r="LY6" s="721" t="s">
        <v>200</v>
      </c>
      <c r="LZ6" s="722"/>
      <c r="MA6" s="721" t="s">
        <v>5</v>
      </c>
      <c r="MB6" s="722"/>
      <c r="MC6" s="723" t="s">
        <v>634</v>
      </c>
      <c r="MD6" s="724"/>
      <c r="ME6" s="723" t="s">
        <v>582</v>
      </c>
      <c r="MF6" s="724"/>
      <c r="MG6" s="494"/>
      <c r="MH6" s="494"/>
      <c r="MI6" s="331"/>
      <c r="MJ6" s="719" t="s">
        <v>0</v>
      </c>
      <c r="MK6" s="720"/>
      <c r="ML6" s="719" t="s">
        <v>1</v>
      </c>
      <c r="MM6" s="720"/>
      <c r="MN6" s="719" t="s">
        <v>2</v>
      </c>
      <c r="MO6" s="720"/>
      <c r="MP6" s="721" t="s">
        <v>3</v>
      </c>
      <c r="MQ6" s="722"/>
      <c r="MR6" s="721" t="s">
        <v>200</v>
      </c>
      <c r="MS6" s="722"/>
      <c r="MT6" s="721" t="s">
        <v>5</v>
      </c>
      <c r="MU6" s="722"/>
      <c r="MV6" s="723" t="s">
        <v>634</v>
      </c>
      <c r="MW6" s="724"/>
      <c r="MX6" s="723" t="s">
        <v>582</v>
      </c>
      <c r="MY6" s="724"/>
      <c r="MZ6" s="494"/>
      <c r="NA6" s="494"/>
      <c r="NB6" s="331"/>
      <c r="NC6" s="719" t="s">
        <v>0</v>
      </c>
      <c r="ND6" s="720"/>
      <c r="NE6" s="719" t="s">
        <v>1</v>
      </c>
      <c r="NF6" s="720"/>
      <c r="NG6" s="719" t="s">
        <v>2</v>
      </c>
      <c r="NH6" s="720"/>
      <c r="NI6" s="721" t="s">
        <v>3</v>
      </c>
      <c r="NJ6" s="722"/>
      <c r="NK6" s="721" t="s">
        <v>200</v>
      </c>
      <c r="NL6" s="722"/>
      <c r="NM6" s="721" t="s">
        <v>5</v>
      </c>
      <c r="NN6" s="722"/>
      <c r="NO6" s="723" t="s">
        <v>634</v>
      </c>
      <c r="NP6" s="724"/>
      <c r="NQ6" s="723" t="s">
        <v>582</v>
      </c>
      <c r="NR6" s="724"/>
      <c r="NS6" s="494"/>
      <c r="NT6" s="494"/>
      <c r="NU6" s="494"/>
      <c r="NV6" s="494"/>
    </row>
    <row r="7" spans="2:386" x14ac:dyDescent="0.2">
      <c r="B7" s="734"/>
      <c r="C7" s="103" t="s">
        <v>50</v>
      </c>
      <c r="D7" s="121">
        <f t="shared" ref="D7:R7" si="1">1/D6</f>
        <v>0.2278237457016031</v>
      </c>
      <c r="E7" s="116">
        <f t="shared" si="1"/>
        <v>0.27289648595242449</v>
      </c>
      <c r="F7" s="121">
        <f t="shared" si="1"/>
        <v>0.18813214422282565</v>
      </c>
      <c r="G7" s="116">
        <f t="shared" si="1"/>
        <v>0.22660709570407955</v>
      </c>
      <c r="H7" s="121">
        <f t="shared" si="1"/>
        <v>0.19134014925745607</v>
      </c>
      <c r="I7" s="116">
        <f t="shared" si="1"/>
        <v>0.230245386255721</v>
      </c>
      <c r="J7" s="121">
        <f t="shared" si="1"/>
        <v>0.23372503546435675</v>
      </c>
      <c r="K7" s="116">
        <f t="shared" si="1"/>
        <v>0.28185741853431018</v>
      </c>
      <c r="L7" s="121">
        <f t="shared" si="1"/>
        <v>0.26540394450008098</v>
      </c>
      <c r="M7" s="116">
        <f t="shared" si="1"/>
        <v>0.32073046231486096</v>
      </c>
      <c r="N7" s="121">
        <f t="shared" si="1"/>
        <v>0.15743863728497876</v>
      </c>
      <c r="O7" s="116">
        <f t="shared" si="1"/>
        <v>0.19383842387842459</v>
      </c>
      <c r="P7" s="121">
        <f t="shared" si="1"/>
        <v>0.13624028888871192</v>
      </c>
      <c r="Q7" s="116">
        <f t="shared" si="1"/>
        <v>0.16334472342838655</v>
      </c>
      <c r="R7" s="121">
        <f t="shared" si="1"/>
        <v>0.26547163531663626</v>
      </c>
      <c r="S7" s="116">
        <f>1/S6</f>
        <v>0.35933705901276364</v>
      </c>
      <c r="T7" s="109"/>
      <c r="U7" s="109"/>
      <c r="V7" s="717"/>
      <c r="W7" s="717"/>
      <c r="X7" s="717"/>
      <c r="Y7" s="717"/>
      <c r="Z7" s="717"/>
      <c r="AA7" s="717"/>
      <c r="AB7" s="717"/>
      <c r="AC7" s="717"/>
      <c r="AD7" s="717"/>
      <c r="AE7" s="717"/>
      <c r="AF7" s="717"/>
      <c r="AG7" s="717"/>
      <c r="AH7" s="717"/>
      <c r="AI7" s="717"/>
      <c r="AJ7" s="717"/>
      <c r="AK7" s="717"/>
      <c r="AL7" s="717"/>
      <c r="AM7" s="717"/>
      <c r="AN7" s="717"/>
      <c r="AO7" s="109"/>
      <c r="AQ7" s="102"/>
      <c r="AR7" s="53" t="s">
        <v>25</v>
      </c>
      <c r="AS7" s="52" t="s">
        <v>26</v>
      </c>
      <c r="AT7" s="131" t="s">
        <v>25</v>
      </c>
      <c r="AU7" s="52" t="s">
        <v>26</v>
      </c>
      <c r="AV7" s="131" t="s">
        <v>25</v>
      </c>
      <c r="AW7" s="52" t="s">
        <v>26</v>
      </c>
      <c r="AX7" s="131" t="s">
        <v>25</v>
      </c>
      <c r="AY7" s="52" t="s">
        <v>26</v>
      </c>
      <c r="AZ7" s="131" t="s">
        <v>25</v>
      </c>
      <c r="BA7" s="52" t="s">
        <v>26</v>
      </c>
      <c r="BB7" s="131" t="s">
        <v>25</v>
      </c>
      <c r="BC7" s="52" t="s">
        <v>26</v>
      </c>
      <c r="BD7" s="131" t="s">
        <v>25</v>
      </c>
      <c r="BE7" s="52" t="s">
        <v>26</v>
      </c>
      <c r="BF7" s="131" t="s">
        <v>25</v>
      </c>
      <c r="BG7" s="52" t="s">
        <v>26</v>
      </c>
      <c r="BI7" s="156"/>
      <c r="BJ7" s="102"/>
      <c r="BK7" s="131" t="s">
        <v>25</v>
      </c>
      <c r="BL7" s="52" t="s">
        <v>26</v>
      </c>
      <c r="BM7" s="131" t="s">
        <v>25</v>
      </c>
      <c r="BN7" s="52" t="s">
        <v>26</v>
      </c>
      <c r="BO7" s="131" t="s">
        <v>25</v>
      </c>
      <c r="BP7" s="52" t="s">
        <v>26</v>
      </c>
      <c r="BQ7" s="131" t="s">
        <v>25</v>
      </c>
      <c r="BR7" s="52" t="s">
        <v>26</v>
      </c>
      <c r="BS7" s="131" t="s">
        <v>25</v>
      </c>
      <c r="BT7" s="52" t="s">
        <v>26</v>
      </c>
      <c r="BU7" s="131" t="s">
        <v>25</v>
      </c>
      <c r="BV7" s="52" t="s">
        <v>26</v>
      </c>
      <c r="BW7" s="131" t="s">
        <v>25</v>
      </c>
      <c r="BX7" s="52" t="s">
        <v>26</v>
      </c>
      <c r="BY7" s="131" t="s">
        <v>25</v>
      </c>
      <c r="BZ7" s="52" t="s">
        <v>26</v>
      </c>
      <c r="CA7" s="156"/>
      <c r="CB7" s="156"/>
      <c r="CC7" s="201"/>
      <c r="CD7" s="131" t="s">
        <v>25</v>
      </c>
      <c r="CE7" s="52" t="s">
        <v>26</v>
      </c>
      <c r="CF7" s="131" t="s">
        <v>25</v>
      </c>
      <c r="CG7" s="52" t="s">
        <v>26</v>
      </c>
      <c r="CH7" s="131" t="s">
        <v>25</v>
      </c>
      <c r="CI7" s="52" t="s">
        <v>26</v>
      </c>
      <c r="CJ7" s="131" t="s">
        <v>25</v>
      </c>
      <c r="CK7" s="52" t="s">
        <v>26</v>
      </c>
      <c r="CL7" s="131" t="s">
        <v>25</v>
      </c>
      <c r="CM7" s="52" t="s">
        <v>26</v>
      </c>
      <c r="CN7" s="131" t="s">
        <v>25</v>
      </c>
      <c r="CO7" s="52" t="s">
        <v>26</v>
      </c>
      <c r="CP7" s="131" t="s">
        <v>25</v>
      </c>
      <c r="CQ7" s="52" t="s">
        <v>26</v>
      </c>
      <c r="CR7" s="131" t="s">
        <v>25</v>
      </c>
      <c r="CS7" s="52" t="s">
        <v>26</v>
      </c>
      <c r="CV7" s="201"/>
      <c r="CW7" s="131" t="s">
        <v>25</v>
      </c>
      <c r="CX7" s="52" t="s">
        <v>26</v>
      </c>
      <c r="CY7" s="131" t="s">
        <v>25</v>
      </c>
      <c r="CZ7" s="52" t="s">
        <v>26</v>
      </c>
      <c r="DA7" s="131" t="s">
        <v>25</v>
      </c>
      <c r="DB7" s="52" t="s">
        <v>26</v>
      </c>
      <c r="DC7" s="131" t="s">
        <v>25</v>
      </c>
      <c r="DD7" s="52" t="s">
        <v>26</v>
      </c>
      <c r="DE7" s="131" t="s">
        <v>25</v>
      </c>
      <c r="DF7" s="52" t="s">
        <v>26</v>
      </c>
      <c r="DG7" s="131" t="s">
        <v>25</v>
      </c>
      <c r="DH7" s="52" t="s">
        <v>26</v>
      </c>
      <c r="DI7" s="131" t="s">
        <v>25</v>
      </c>
      <c r="DJ7" s="52" t="s">
        <v>26</v>
      </c>
      <c r="DK7" s="131" t="s">
        <v>25</v>
      </c>
      <c r="DL7" s="52" t="s">
        <v>26</v>
      </c>
      <c r="DO7" s="201"/>
      <c r="DP7" s="131" t="s">
        <v>25</v>
      </c>
      <c r="DQ7" s="52" t="s">
        <v>26</v>
      </c>
      <c r="DR7" s="131" t="s">
        <v>25</v>
      </c>
      <c r="DS7" s="52" t="s">
        <v>26</v>
      </c>
      <c r="DT7" s="131" t="s">
        <v>25</v>
      </c>
      <c r="DU7" s="52" t="s">
        <v>26</v>
      </c>
      <c r="DV7" s="131" t="s">
        <v>25</v>
      </c>
      <c r="DW7" s="52" t="s">
        <v>26</v>
      </c>
      <c r="DX7" s="131" t="s">
        <v>25</v>
      </c>
      <c r="DY7" s="52" t="s">
        <v>26</v>
      </c>
      <c r="DZ7" s="131" t="s">
        <v>25</v>
      </c>
      <c r="EA7" s="52" t="s">
        <v>26</v>
      </c>
      <c r="EB7" s="131" t="s">
        <v>25</v>
      </c>
      <c r="EC7" s="52" t="s">
        <v>26</v>
      </c>
      <c r="ED7" s="131" t="s">
        <v>25</v>
      </c>
      <c r="EE7" s="52" t="s">
        <v>26</v>
      </c>
      <c r="EH7" s="201"/>
      <c r="EI7" s="131" t="s">
        <v>25</v>
      </c>
      <c r="EJ7" s="52" t="s">
        <v>26</v>
      </c>
      <c r="EK7" s="131" t="s">
        <v>25</v>
      </c>
      <c r="EL7" s="52" t="s">
        <v>26</v>
      </c>
      <c r="EM7" s="131" t="s">
        <v>25</v>
      </c>
      <c r="EN7" s="52" t="s">
        <v>26</v>
      </c>
      <c r="EO7" s="131" t="s">
        <v>25</v>
      </c>
      <c r="EP7" s="52" t="s">
        <v>26</v>
      </c>
      <c r="EQ7" s="131" t="s">
        <v>25</v>
      </c>
      <c r="ER7" s="52" t="s">
        <v>26</v>
      </c>
      <c r="ES7" s="131" t="s">
        <v>25</v>
      </c>
      <c r="ET7" s="52" t="s">
        <v>26</v>
      </c>
      <c r="EU7" s="131" t="s">
        <v>25</v>
      </c>
      <c r="EV7" s="52" t="s">
        <v>26</v>
      </c>
      <c r="EW7" s="131" t="s">
        <v>25</v>
      </c>
      <c r="EX7" s="52" t="s">
        <v>26</v>
      </c>
      <c r="FA7" s="201"/>
      <c r="FB7" s="131" t="s">
        <v>25</v>
      </c>
      <c r="FC7" s="52" t="s">
        <v>26</v>
      </c>
      <c r="FD7" s="131" t="s">
        <v>25</v>
      </c>
      <c r="FE7" s="52" t="s">
        <v>26</v>
      </c>
      <c r="FF7" s="131" t="s">
        <v>25</v>
      </c>
      <c r="FG7" s="52" t="s">
        <v>26</v>
      </c>
      <c r="FH7" s="131" t="s">
        <v>25</v>
      </c>
      <c r="FI7" s="52" t="s">
        <v>26</v>
      </c>
      <c r="FJ7" s="131" t="s">
        <v>25</v>
      </c>
      <c r="FK7" s="52" t="s">
        <v>26</v>
      </c>
      <c r="FL7" s="131" t="s">
        <v>25</v>
      </c>
      <c r="FM7" s="52" t="s">
        <v>26</v>
      </c>
      <c r="FN7" s="131" t="s">
        <v>25</v>
      </c>
      <c r="FO7" s="52" t="s">
        <v>26</v>
      </c>
      <c r="FP7" s="131" t="s">
        <v>25</v>
      </c>
      <c r="FQ7" s="52" t="s">
        <v>26</v>
      </c>
      <c r="FT7" s="201"/>
      <c r="FU7" s="131" t="s">
        <v>25</v>
      </c>
      <c r="FV7" s="52" t="s">
        <v>26</v>
      </c>
      <c r="FW7" s="131" t="s">
        <v>25</v>
      </c>
      <c r="FX7" s="52" t="s">
        <v>26</v>
      </c>
      <c r="FY7" s="131" t="s">
        <v>25</v>
      </c>
      <c r="FZ7" s="52" t="s">
        <v>26</v>
      </c>
      <c r="GA7" s="131" t="s">
        <v>25</v>
      </c>
      <c r="GB7" s="52" t="s">
        <v>26</v>
      </c>
      <c r="GC7" s="131" t="s">
        <v>25</v>
      </c>
      <c r="GD7" s="52" t="s">
        <v>26</v>
      </c>
      <c r="GE7" s="131" t="s">
        <v>25</v>
      </c>
      <c r="GF7" s="52" t="s">
        <v>26</v>
      </c>
      <c r="GG7" s="131" t="s">
        <v>25</v>
      </c>
      <c r="GH7" s="52" t="s">
        <v>26</v>
      </c>
      <c r="GI7" s="131" t="s">
        <v>25</v>
      </c>
      <c r="GJ7" s="52" t="s">
        <v>26</v>
      </c>
      <c r="GM7" s="201"/>
      <c r="GN7" s="131" t="s">
        <v>25</v>
      </c>
      <c r="GO7" s="52" t="s">
        <v>26</v>
      </c>
      <c r="GP7" s="131" t="s">
        <v>25</v>
      </c>
      <c r="GQ7" s="52" t="s">
        <v>26</v>
      </c>
      <c r="GR7" s="131" t="s">
        <v>25</v>
      </c>
      <c r="GS7" s="52" t="s">
        <v>26</v>
      </c>
      <c r="GT7" s="131" t="s">
        <v>25</v>
      </c>
      <c r="GU7" s="52" t="s">
        <v>26</v>
      </c>
      <c r="GV7" s="131" t="s">
        <v>25</v>
      </c>
      <c r="GW7" s="52" t="s">
        <v>26</v>
      </c>
      <c r="GX7" s="131" t="s">
        <v>25</v>
      </c>
      <c r="GY7" s="52" t="s">
        <v>26</v>
      </c>
      <c r="GZ7" s="131" t="s">
        <v>25</v>
      </c>
      <c r="HA7" s="52" t="s">
        <v>26</v>
      </c>
      <c r="HB7" s="131" t="s">
        <v>25</v>
      </c>
      <c r="HC7" s="52" t="s">
        <v>26</v>
      </c>
      <c r="HF7" s="201"/>
      <c r="HG7" s="131" t="s">
        <v>25</v>
      </c>
      <c r="HH7" s="52" t="s">
        <v>26</v>
      </c>
      <c r="HI7" s="131" t="s">
        <v>25</v>
      </c>
      <c r="HJ7" s="52" t="s">
        <v>26</v>
      </c>
      <c r="HK7" s="131" t="s">
        <v>25</v>
      </c>
      <c r="HL7" s="52" t="s">
        <v>26</v>
      </c>
      <c r="HM7" s="131" t="s">
        <v>25</v>
      </c>
      <c r="HN7" s="52" t="s">
        <v>26</v>
      </c>
      <c r="HO7" s="131" t="s">
        <v>25</v>
      </c>
      <c r="HP7" s="52" t="s">
        <v>26</v>
      </c>
      <c r="HQ7" s="131" t="s">
        <v>25</v>
      </c>
      <c r="HR7" s="52" t="s">
        <v>26</v>
      </c>
      <c r="HS7" s="131" t="s">
        <v>25</v>
      </c>
      <c r="HT7" s="52" t="s">
        <v>26</v>
      </c>
      <c r="HU7" s="131" t="s">
        <v>25</v>
      </c>
      <c r="HV7" s="52" t="s">
        <v>26</v>
      </c>
      <c r="HY7" s="208"/>
      <c r="HZ7" s="332" t="s">
        <v>25</v>
      </c>
      <c r="IA7" s="333" t="s">
        <v>26</v>
      </c>
      <c r="IB7" s="332" t="s">
        <v>25</v>
      </c>
      <c r="IC7" s="333" t="s">
        <v>26</v>
      </c>
      <c r="ID7" s="332" t="s">
        <v>25</v>
      </c>
      <c r="IE7" s="333" t="s">
        <v>26</v>
      </c>
      <c r="IF7" s="332" t="s">
        <v>25</v>
      </c>
      <c r="IG7" s="333" t="s">
        <v>26</v>
      </c>
      <c r="IH7" s="332" t="s">
        <v>25</v>
      </c>
      <c r="II7" s="333" t="s">
        <v>26</v>
      </c>
      <c r="IJ7" s="332" t="s">
        <v>25</v>
      </c>
      <c r="IK7" s="333" t="s">
        <v>26</v>
      </c>
      <c r="IL7" s="131" t="s">
        <v>25</v>
      </c>
      <c r="IM7" s="52" t="s">
        <v>26</v>
      </c>
      <c r="IN7" s="131" t="s">
        <v>25</v>
      </c>
      <c r="IO7" s="52" t="s">
        <v>26</v>
      </c>
      <c r="IR7" s="208"/>
      <c r="IS7" s="332" t="s">
        <v>25</v>
      </c>
      <c r="IT7" s="333" t="s">
        <v>26</v>
      </c>
      <c r="IU7" s="332" t="s">
        <v>25</v>
      </c>
      <c r="IV7" s="333" t="s">
        <v>26</v>
      </c>
      <c r="IW7" s="332" t="s">
        <v>25</v>
      </c>
      <c r="IX7" s="333" t="s">
        <v>26</v>
      </c>
      <c r="IY7" s="332" t="s">
        <v>25</v>
      </c>
      <c r="IZ7" s="333" t="s">
        <v>26</v>
      </c>
      <c r="JA7" s="332" t="s">
        <v>25</v>
      </c>
      <c r="JB7" s="333" t="s">
        <v>26</v>
      </c>
      <c r="JC7" s="332" t="s">
        <v>25</v>
      </c>
      <c r="JD7" s="333" t="s">
        <v>26</v>
      </c>
      <c r="JE7" s="332" t="s">
        <v>25</v>
      </c>
      <c r="JF7" s="333" t="s">
        <v>26</v>
      </c>
      <c r="JG7" s="332" t="s">
        <v>25</v>
      </c>
      <c r="JH7" s="333" t="s">
        <v>26</v>
      </c>
      <c r="JI7" s="494"/>
      <c r="JJ7" s="494"/>
      <c r="JK7" s="208"/>
      <c r="JL7" s="332" t="s">
        <v>25</v>
      </c>
      <c r="JM7" s="333" t="s">
        <v>26</v>
      </c>
      <c r="JN7" s="332" t="s">
        <v>25</v>
      </c>
      <c r="JO7" s="333" t="s">
        <v>26</v>
      </c>
      <c r="JP7" s="332" t="s">
        <v>25</v>
      </c>
      <c r="JQ7" s="333" t="s">
        <v>26</v>
      </c>
      <c r="JR7" s="332" t="s">
        <v>25</v>
      </c>
      <c r="JS7" s="333" t="s">
        <v>26</v>
      </c>
      <c r="JT7" s="332" t="s">
        <v>25</v>
      </c>
      <c r="JU7" s="333" t="s">
        <v>26</v>
      </c>
      <c r="JV7" s="332" t="s">
        <v>25</v>
      </c>
      <c r="JW7" s="333" t="s">
        <v>26</v>
      </c>
      <c r="JX7" s="332" t="s">
        <v>25</v>
      </c>
      <c r="JY7" s="333" t="s">
        <v>26</v>
      </c>
      <c r="JZ7" s="332" t="s">
        <v>25</v>
      </c>
      <c r="KA7" s="333" t="s">
        <v>26</v>
      </c>
      <c r="KB7" s="494"/>
      <c r="KC7" s="494"/>
      <c r="KD7" s="208"/>
      <c r="KE7" s="332" t="s">
        <v>25</v>
      </c>
      <c r="KF7" s="333" t="s">
        <v>26</v>
      </c>
      <c r="KG7" s="332" t="s">
        <v>25</v>
      </c>
      <c r="KH7" s="333" t="s">
        <v>26</v>
      </c>
      <c r="KI7" s="332" t="s">
        <v>25</v>
      </c>
      <c r="KJ7" s="333" t="s">
        <v>26</v>
      </c>
      <c r="KK7" s="332" t="s">
        <v>25</v>
      </c>
      <c r="KL7" s="333" t="s">
        <v>26</v>
      </c>
      <c r="KM7" s="332" t="s">
        <v>25</v>
      </c>
      <c r="KN7" s="333" t="s">
        <v>26</v>
      </c>
      <c r="KO7" s="332" t="s">
        <v>25</v>
      </c>
      <c r="KP7" s="333" t="s">
        <v>26</v>
      </c>
      <c r="KQ7" s="332" t="s">
        <v>25</v>
      </c>
      <c r="KR7" s="333" t="s">
        <v>26</v>
      </c>
      <c r="KS7" s="332" t="s">
        <v>25</v>
      </c>
      <c r="KT7" s="333" t="s">
        <v>26</v>
      </c>
      <c r="KU7" s="494"/>
      <c r="KV7" s="494"/>
      <c r="KW7" s="208"/>
      <c r="KX7" s="332" t="s">
        <v>25</v>
      </c>
      <c r="KY7" s="333" t="s">
        <v>26</v>
      </c>
      <c r="KZ7" s="332" t="s">
        <v>25</v>
      </c>
      <c r="LA7" s="333" t="s">
        <v>26</v>
      </c>
      <c r="LB7" s="332" t="s">
        <v>25</v>
      </c>
      <c r="LC7" s="333" t="s">
        <v>26</v>
      </c>
      <c r="LD7" s="332" t="s">
        <v>25</v>
      </c>
      <c r="LE7" s="333" t="s">
        <v>26</v>
      </c>
      <c r="LF7" s="332" t="s">
        <v>25</v>
      </c>
      <c r="LG7" s="333" t="s">
        <v>26</v>
      </c>
      <c r="LH7" s="332" t="s">
        <v>25</v>
      </c>
      <c r="LI7" s="333" t="s">
        <v>26</v>
      </c>
      <c r="LJ7" s="332" t="s">
        <v>25</v>
      </c>
      <c r="LK7" s="333" t="s">
        <v>26</v>
      </c>
      <c r="LL7" s="332" t="s">
        <v>25</v>
      </c>
      <c r="LM7" s="333" t="s">
        <v>26</v>
      </c>
      <c r="LN7" s="494"/>
      <c r="LO7" s="494"/>
      <c r="LP7" s="208"/>
      <c r="LQ7" s="332" t="s">
        <v>25</v>
      </c>
      <c r="LR7" s="333" t="s">
        <v>26</v>
      </c>
      <c r="LS7" s="332" t="s">
        <v>25</v>
      </c>
      <c r="LT7" s="333" t="s">
        <v>26</v>
      </c>
      <c r="LU7" s="332" t="s">
        <v>25</v>
      </c>
      <c r="LV7" s="333" t="s">
        <v>26</v>
      </c>
      <c r="LW7" s="332" t="s">
        <v>25</v>
      </c>
      <c r="LX7" s="333" t="s">
        <v>26</v>
      </c>
      <c r="LY7" s="332" t="s">
        <v>25</v>
      </c>
      <c r="LZ7" s="333" t="s">
        <v>26</v>
      </c>
      <c r="MA7" s="332" t="s">
        <v>25</v>
      </c>
      <c r="MB7" s="333" t="s">
        <v>26</v>
      </c>
      <c r="MC7" s="332" t="s">
        <v>25</v>
      </c>
      <c r="MD7" s="333" t="s">
        <v>26</v>
      </c>
      <c r="ME7" s="332" t="s">
        <v>25</v>
      </c>
      <c r="MF7" s="333" t="s">
        <v>26</v>
      </c>
      <c r="MG7" s="494"/>
      <c r="MH7" s="494"/>
      <c r="MI7" s="208"/>
      <c r="MJ7" s="332" t="s">
        <v>25</v>
      </c>
      <c r="MK7" s="333" t="s">
        <v>26</v>
      </c>
      <c r="ML7" s="332" t="s">
        <v>25</v>
      </c>
      <c r="MM7" s="333" t="s">
        <v>26</v>
      </c>
      <c r="MN7" s="332" t="s">
        <v>25</v>
      </c>
      <c r="MO7" s="333" t="s">
        <v>26</v>
      </c>
      <c r="MP7" s="332" t="s">
        <v>25</v>
      </c>
      <c r="MQ7" s="333" t="s">
        <v>26</v>
      </c>
      <c r="MR7" s="332" t="s">
        <v>25</v>
      </c>
      <c r="MS7" s="333" t="s">
        <v>26</v>
      </c>
      <c r="MT7" s="332" t="s">
        <v>25</v>
      </c>
      <c r="MU7" s="333" t="s">
        <v>26</v>
      </c>
      <c r="MV7" s="332" t="s">
        <v>25</v>
      </c>
      <c r="MW7" s="333" t="s">
        <v>26</v>
      </c>
      <c r="MX7" s="332" t="s">
        <v>25</v>
      </c>
      <c r="MY7" s="333" t="s">
        <v>26</v>
      </c>
      <c r="MZ7" s="494"/>
      <c r="NA7" s="494"/>
      <c r="NB7" s="208"/>
      <c r="NC7" s="332" t="s">
        <v>25</v>
      </c>
      <c r="ND7" s="333" t="s">
        <v>26</v>
      </c>
      <c r="NE7" s="332" t="s">
        <v>25</v>
      </c>
      <c r="NF7" s="333" t="s">
        <v>26</v>
      </c>
      <c r="NG7" s="332" t="s">
        <v>25</v>
      </c>
      <c r="NH7" s="333" t="s">
        <v>26</v>
      </c>
      <c r="NI7" s="332" t="s">
        <v>25</v>
      </c>
      <c r="NJ7" s="333" t="s">
        <v>26</v>
      </c>
      <c r="NK7" s="332" t="s">
        <v>25</v>
      </c>
      <c r="NL7" s="333" t="s">
        <v>26</v>
      </c>
      <c r="NM7" s="332" t="s">
        <v>25</v>
      </c>
      <c r="NN7" s="333" t="s">
        <v>26</v>
      </c>
      <c r="NO7" s="332" t="s">
        <v>25</v>
      </c>
      <c r="NP7" s="333" t="s">
        <v>26</v>
      </c>
      <c r="NQ7" s="332" t="s">
        <v>25</v>
      </c>
      <c r="NR7" s="333" t="s">
        <v>26</v>
      </c>
      <c r="NS7" s="494"/>
      <c r="NT7" s="494"/>
      <c r="NU7" s="494"/>
      <c r="NV7" s="494"/>
    </row>
    <row r="8" spans="2:386" ht="77.25" thickBot="1" x14ac:dyDescent="0.25">
      <c r="B8" s="734"/>
      <c r="C8" s="146"/>
      <c r="D8" s="144" t="s">
        <v>51</v>
      </c>
      <c r="E8" s="152" t="s">
        <v>51</v>
      </c>
      <c r="F8" s="144" t="s">
        <v>51</v>
      </c>
      <c r="G8" s="152" t="s">
        <v>51</v>
      </c>
      <c r="H8" s="144" t="s">
        <v>51</v>
      </c>
      <c r="I8" s="152" t="s">
        <v>51</v>
      </c>
      <c r="J8" s="144" t="s">
        <v>51</v>
      </c>
      <c r="K8" s="152" t="s">
        <v>51</v>
      </c>
      <c r="L8" s="144" t="s">
        <v>51</v>
      </c>
      <c r="M8" s="152" t="s">
        <v>51</v>
      </c>
      <c r="N8" s="153" t="s">
        <v>51</v>
      </c>
      <c r="O8" s="152" t="s">
        <v>51</v>
      </c>
      <c r="P8" s="153" t="s">
        <v>51</v>
      </c>
      <c r="Q8" s="152" t="s">
        <v>51</v>
      </c>
      <c r="R8" s="153" t="s">
        <v>51</v>
      </c>
      <c r="S8" s="152" t="s">
        <v>51</v>
      </c>
      <c r="T8" s="119"/>
      <c r="U8" s="119"/>
      <c r="V8" s="154" t="s">
        <v>65</v>
      </c>
      <c r="W8" s="206" t="s">
        <v>830</v>
      </c>
      <c r="X8" s="206" t="s">
        <v>858</v>
      </c>
      <c r="Y8" s="207" t="s">
        <v>859</v>
      </c>
      <c r="Z8" s="207" t="s">
        <v>441</v>
      </c>
      <c r="AA8" s="206" t="s">
        <v>860</v>
      </c>
      <c r="AB8" s="206" t="s">
        <v>861</v>
      </c>
      <c r="AC8" s="309" t="s">
        <v>862</v>
      </c>
      <c r="AD8" s="309" t="s">
        <v>863</v>
      </c>
      <c r="AE8" s="206" t="s">
        <v>864</v>
      </c>
      <c r="AF8" s="325" t="s">
        <v>865</v>
      </c>
      <c r="AG8" s="206" t="s">
        <v>866</v>
      </c>
      <c r="AH8" s="206" t="s">
        <v>867</v>
      </c>
      <c r="AI8" s="206" t="s">
        <v>868</v>
      </c>
      <c r="AJ8" s="206" t="s">
        <v>869</v>
      </c>
      <c r="AK8" s="206" t="s">
        <v>870</v>
      </c>
      <c r="AL8" s="206" t="s">
        <v>871</v>
      </c>
      <c r="AM8" s="206" t="s">
        <v>872</v>
      </c>
      <c r="AN8" s="206" t="s">
        <v>873</v>
      </c>
      <c r="AO8" s="204"/>
      <c r="AP8" s="8"/>
      <c r="AQ8" s="134"/>
      <c r="AR8" s="133" t="s">
        <v>221</v>
      </c>
      <c r="AS8" s="134" t="s">
        <v>221</v>
      </c>
      <c r="AT8" s="133" t="s">
        <v>221</v>
      </c>
      <c r="AU8" s="134" t="s">
        <v>221</v>
      </c>
      <c r="AV8" s="133" t="s">
        <v>221</v>
      </c>
      <c r="AW8" s="134" t="s">
        <v>221</v>
      </c>
      <c r="AX8" s="133" t="s">
        <v>221</v>
      </c>
      <c r="AY8" s="134" t="s">
        <v>221</v>
      </c>
      <c r="AZ8" s="133" t="s">
        <v>221</v>
      </c>
      <c r="BA8" s="134" t="s">
        <v>221</v>
      </c>
      <c r="BB8" s="133" t="s">
        <v>221</v>
      </c>
      <c r="BC8" s="134" t="s">
        <v>221</v>
      </c>
      <c r="BD8" s="133" t="s">
        <v>221</v>
      </c>
      <c r="BE8" s="134" t="s">
        <v>221</v>
      </c>
      <c r="BF8" s="133" t="s">
        <v>221</v>
      </c>
      <c r="BG8" s="134" t="s">
        <v>221</v>
      </c>
      <c r="BI8" s="156"/>
      <c r="BJ8" s="134"/>
      <c r="BK8" s="133" t="s">
        <v>214</v>
      </c>
      <c r="BL8" s="134" t="s">
        <v>214</v>
      </c>
      <c r="BM8" s="133" t="s">
        <v>214</v>
      </c>
      <c r="BN8" s="134" t="s">
        <v>214</v>
      </c>
      <c r="BO8" s="133" t="s">
        <v>214</v>
      </c>
      <c r="BP8" s="134" t="s">
        <v>214</v>
      </c>
      <c r="BQ8" s="133" t="s">
        <v>214</v>
      </c>
      <c r="BR8" s="134" t="s">
        <v>214</v>
      </c>
      <c r="BS8" s="133" t="s">
        <v>214</v>
      </c>
      <c r="BT8" s="134" t="s">
        <v>214</v>
      </c>
      <c r="BU8" s="133" t="s">
        <v>214</v>
      </c>
      <c r="BV8" s="134" t="s">
        <v>214</v>
      </c>
      <c r="BW8" s="133" t="s">
        <v>221</v>
      </c>
      <c r="BX8" s="134" t="s">
        <v>221</v>
      </c>
      <c r="BY8" s="133" t="s">
        <v>221</v>
      </c>
      <c r="BZ8" s="134" t="s">
        <v>221</v>
      </c>
      <c r="CA8" s="156"/>
      <c r="CB8" s="156"/>
      <c r="CC8" s="134"/>
      <c r="CD8" s="133" t="s">
        <v>438</v>
      </c>
      <c r="CE8" s="134" t="s">
        <v>438</v>
      </c>
      <c r="CF8" s="133" t="s">
        <v>438</v>
      </c>
      <c r="CG8" s="134" t="s">
        <v>438</v>
      </c>
      <c r="CH8" s="133" t="s">
        <v>438</v>
      </c>
      <c r="CI8" s="134" t="s">
        <v>438</v>
      </c>
      <c r="CJ8" s="133" t="s">
        <v>438</v>
      </c>
      <c r="CK8" s="134" t="s">
        <v>438</v>
      </c>
      <c r="CL8" s="133" t="s">
        <v>438</v>
      </c>
      <c r="CM8" s="134" t="s">
        <v>438</v>
      </c>
      <c r="CN8" s="133" t="s">
        <v>438</v>
      </c>
      <c r="CO8" s="134" t="s">
        <v>438</v>
      </c>
      <c r="CP8" s="133" t="s">
        <v>438</v>
      </c>
      <c r="CQ8" s="134" t="s">
        <v>438</v>
      </c>
      <c r="CR8" s="133" t="s">
        <v>438</v>
      </c>
      <c r="CS8" s="134" t="s">
        <v>438</v>
      </c>
      <c r="CV8" s="134"/>
      <c r="CW8" s="133" t="s">
        <v>440</v>
      </c>
      <c r="CX8" s="134" t="s">
        <v>440</v>
      </c>
      <c r="CY8" s="133" t="s">
        <v>440</v>
      </c>
      <c r="CZ8" s="134" t="s">
        <v>440</v>
      </c>
      <c r="DA8" s="133" t="s">
        <v>440</v>
      </c>
      <c r="DB8" s="134" t="s">
        <v>440</v>
      </c>
      <c r="DC8" s="133" t="s">
        <v>440</v>
      </c>
      <c r="DD8" s="134" t="s">
        <v>440</v>
      </c>
      <c r="DE8" s="133" t="s">
        <v>440</v>
      </c>
      <c r="DF8" s="134" t="s">
        <v>440</v>
      </c>
      <c r="DG8" s="133" t="s">
        <v>440</v>
      </c>
      <c r="DH8" s="134" t="s">
        <v>440</v>
      </c>
      <c r="DI8" s="133" t="s">
        <v>440</v>
      </c>
      <c r="DJ8" s="134" t="s">
        <v>440</v>
      </c>
      <c r="DK8" s="133" t="s">
        <v>440</v>
      </c>
      <c r="DL8" s="134" t="s">
        <v>440</v>
      </c>
      <c r="DO8" s="134"/>
      <c r="DP8" s="133" t="s">
        <v>442</v>
      </c>
      <c r="DQ8" s="134" t="s">
        <v>442</v>
      </c>
      <c r="DR8" s="133" t="s">
        <v>442</v>
      </c>
      <c r="DS8" s="134" t="s">
        <v>442</v>
      </c>
      <c r="DT8" s="133" t="s">
        <v>442</v>
      </c>
      <c r="DU8" s="134" t="s">
        <v>442</v>
      </c>
      <c r="DV8" s="133" t="s">
        <v>442</v>
      </c>
      <c r="DW8" s="134" t="s">
        <v>442</v>
      </c>
      <c r="DX8" s="133" t="s">
        <v>442</v>
      </c>
      <c r="DY8" s="134" t="s">
        <v>442</v>
      </c>
      <c r="DZ8" s="133" t="s">
        <v>442</v>
      </c>
      <c r="EA8" s="134" t="s">
        <v>442</v>
      </c>
      <c r="EB8" s="133" t="s">
        <v>442</v>
      </c>
      <c r="EC8" s="134" t="s">
        <v>442</v>
      </c>
      <c r="ED8" s="133" t="s">
        <v>442</v>
      </c>
      <c r="EE8" s="134" t="s">
        <v>442</v>
      </c>
      <c r="EH8" s="134"/>
      <c r="EI8" s="133" t="s">
        <v>444</v>
      </c>
      <c r="EJ8" s="134" t="s">
        <v>444</v>
      </c>
      <c r="EK8" s="133" t="s">
        <v>444</v>
      </c>
      <c r="EL8" s="134" t="s">
        <v>444</v>
      </c>
      <c r="EM8" s="133" t="s">
        <v>444</v>
      </c>
      <c r="EN8" s="134" t="s">
        <v>444</v>
      </c>
      <c r="EO8" s="133" t="s">
        <v>444</v>
      </c>
      <c r="EP8" s="134" t="s">
        <v>444</v>
      </c>
      <c r="EQ8" s="133" t="s">
        <v>444</v>
      </c>
      <c r="ER8" s="134" t="s">
        <v>444</v>
      </c>
      <c r="ES8" s="133" t="s">
        <v>444</v>
      </c>
      <c r="ET8" s="134" t="s">
        <v>444</v>
      </c>
      <c r="EU8" s="133" t="s">
        <v>444</v>
      </c>
      <c r="EV8" s="134" t="s">
        <v>444</v>
      </c>
      <c r="EW8" s="133" t="s">
        <v>444</v>
      </c>
      <c r="EX8" s="134" t="s">
        <v>444</v>
      </c>
      <c r="FA8" s="134"/>
      <c r="FB8" s="133" t="s">
        <v>445</v>
      </c>
      <c r="FC8" s="134" t="s">
        <v>445</v>
      </c>
      <c r="FD8" s="133" t="s">
        <v>445</v>
      </c>
      <c r="FE8" s="134" t="s">
        <v>445</v>
      </c>
      <c r="FF8" s="133" t="s">
        <v>445</v>
      </c>
      <c r="FG8" s="134" t="s">
        <v>445</v>
      </c>
      <c r="FH8" s="133" t="s">
        <v>445</v>
      </c>
      <c r="FI8" s="134" t="s">
        <v>445</v>
      </c>
      <c r="FJ8" s="133" t="s">
        <v>445</v>
      </c>
      <c r="FK8" s="134" t="s">
        <v>445</v>
      </c>
      <c r="FL8" s="133" t="s">
        <v>445</v>
      </c>
      <c r="FM8" s="134" t="s">
        <v>445</v>
      </c>
      <c r="FN8" s="133" t="s">
        <v>445</v>
      </c>
      <c r="FO8" s="134" t="s">
        <v>445</v>
      </c>
      <c r="FP8" s="133" t="s">
        <v>445</v>
      </c>
      <c r="FQ8" s="134" t="s">
        <v>445</v>
      </c>
      <c r="FT8" s="134"/>
      <c r="FU8" s="133" t="s">
        <v>438</v>
      </c>
      <c r="FV8" s="134" t="s">
        <v>438</v>
      </c>
      <c r="FW8" s="133" t="s">
        <v>438</v>
      </c>
      <c r="FX8" s="134" t="s">
        <v>438</v>
      </c>
      <c r="FY8" s="133" t="s">
        <v>438</v>
      </c>
      <c r="FZ8" s="134" t="s">
        <v>438</v>
      </c>
      <c r="GA8" s="133" t="s">
        <v>438</v>
      </c>
      <c r="GB8" s="134" t="s">
        <v>438</v>
      </c>
      <c r="GC8" s="133" t="s">
        <v>438</v>
      </c>
      <c r="GD8" s="134" t="s">
        <v>438</v>
      </c>
      <c r="GE8" s="133" t="s">
        <v>438</v>
      </c>
      <c r="GF8" s="134" t="s">
        <v>438</v>
      </c>
      <c r="GG8" s="133" t="s">
        <v>438</v>
      </c>
      <c r="GH8" s="134" t="s">
        <v>438</v>
      </c>
      <c r="GI8" s="133" t="s">
        <v>438</v>
      </c>
      <c r="GJ8" s="134" t="s">
        <v>438</v>
      </c>
      <c r="GM8" s="134"/>
      <c r="GN8" s="133" t="s">
        <v>438</v>
      </c>
      <c r="GO8" s="134" t="s">
        <v>438</v>
      </c>
      <c r="GP8" s="133" t="s">
        <v>438</v>
      </c>
      <c r="GQ8" s="134" t="s">
        <v>438</v>
      </c>
      <c r="GR8" s="133" t="s">
        <v>438</v>
      </c>
      <c r="GS8" s="134" t="s">
        <v>438</v>
      </c>
      <c r="GT8" s="133" t="s">
        <v>438</v>
      </c>
      <c r="GU8" s="134" t="s">
        <v>438</v>
      </c>
      <c r="GV8" s="133" t="s">
        <v>438</v>
      </c>
      <c r="GW8" s="134" t="s">
        <v>438</v>
      </c>
      <c r="GX8" s="133" t="s">
        <v>438</v>
      </c>
      <c r="GY8" s="134" t="s">
        <v>438</v>
      </c>
      <c r="GZ8" s="133" t="s">
        <v>438</v>
      </c>
      <c r="HA8" s="134" t="s">
        <v>438</v>
      </c>
      <c r="HB8" s="133" t="s">
        <v>438</v>
      </c>
      <c r="HC8" s="134" t="s">
        <v>438</v>
      </c>
      <c r="HF8" s="134"/>
      <c r="HG8" s="133" t="s">
        <v>438</v>
      </c>
      <c r="HH8" s="134" t="s">
        <v>438</v>
      </c>
      <c r="HI8" s="133" t="s">
        <v>438</v>
      </c>
      <c r="HJ8" s="134" t="s">
        <v>438</v>
      </c>
      <c r="HK8" s="133" t="s">
        <v>438</v>
      </c>
      <c r="HL8" s="134" t="s">
        <v>438</v>
      </c>
      <c r="HM8" s="133" t="s">
        <v>438</v>
      </c>
      <c r="HN8" s="134" t="s">
        <v>438</v>
      </c>
      <c r="HO8" s="133" t="s">
        <v>438</v>
      </c>
      <c r="HP8" s="134" t="s">
        <v>438</v>
      </c>
      <c r="HQ8" s="133" t="s">
        <v>438</v>
      </c>
      <c r="HR8" s="134" t="s">
        <v>438</v>
      </c>
      <c r="HS8" s="133" t="s">
        <v>438</v>
      </c>
      <c r="HT8" s="134" t="s">
        <v>438</v>
      </c>
      <c r="HU8" s="133" t="s">
        <v>438</v>
      </c>
      <c r="HV8" s="134" t="s">
        <v>438</v>
      </c>
      <c r="HY8" s="334"/>
      <c r="HZ8" s="335" t="s">
        <v>535</v>
      </c>
      <c r="IA8" s="334" t="s">
        <v>535</v>
      </c>
      <c r="IB8" s="335" t="s">
        <v>535</v>
      </c>
      <c r="IC8" s="334" t="s">
        <v>535</v>
      </c>
      <c r="ID8" s="335" t="s">
        <v>535</v>
      </c>
      <c r="IE8" s="334" t="s">
        <v>535</v>
      </c>
      <c r="IF8" s="335" t="s">
        <v>535</v>
      </c>
      <c r="IG8" s="334" t="s">
        <v>535</v>
      </c>
      <c r="IH8" s="335" t="s">
        <v>535</v>
      </c>
      <c r="II8" s="334" t="s">
        <v>535</v>
      </c>
      <c r="IJ8" s="335" t="s">
        <v>535</v>
      </c>
      <c r="IK8" s="334" t="s">
        <v>535</v>
      </c>
      <c r="IL8" s="335" t="s">
        <v>535</v>
      </c>
      <c r="IM8" s="334" t="s">
        <v>535</v>
      </c>
      <c r="IN8" s="335" t="s">
        <v>535</v>
      </c>
      <c r="IO8" s="334" t="s">
        <v>535</v>
      </c>
      <c r="IR8" s="334"/>
      <c r="IS8" s="335" t="s">
        <v>524</v>
      </c>
      <c r="IT8" s="334" t="s">
        <v>524</v>
      </c>
      <c r="IU8" s="335" t="s">
        <v>524</v>
      </c>
      <c r="IV8" s="334" t="s">
        <v>535</v>
      </c>
      <c r="IW8" s="335" t="s">
        <v>524</v>
      </c>
      <c r="IX8" s="334" t="s">
        <v>524</v>
      </c>
      <c r="IY8" s="335" t="s">
        <v>524</v>
      </c>
      <c r="IZ8" s="334" t="s">
        <v>524</v>
      </c>
      <c r="JA8" s="335" t="s">
        <v>524</v>
      </c>
      <c r="JB8" s="334" t="s">
        <v>524</v>
      </c>
      <c r="JC8" s="335" t="s">
        <v>524</v>
      </c>
      <c r="JD8" s="334" t="s">
        <v>524</v>
      </c>
      <c r="JE8" s="335" t="s">
        <v>524</v>
      </c>
      <c r="JF8" s="334" t="s">
        <v>524</v>
      </c>
      <c r="JG8" s="335" t="s">
        <v>524</v>
      </c>
      <c r="JH8" s="334" t="s">
        <v>524</v>
      </c>
      <c r="JI8" s="494"/>
      <c r="JJ8" s="494"/>
      <c r="JK8" s="334"/>
      <c r="JL8" s="335" t="s">
        <v>525</v>
      </c>
      <c r="JM8" s="334" t="s">
        <v>525</v>
      </c>
      <c r="JN8" s="335" t="s">
        <v>525</v>
      </c>
      <c r="JO8" s="334" t="s">
        <v>525</v>
      </c>
      <c r="JP8" s="335" t="s">
        <v>525</v>
      </c>
      <c r="JQ8" s="334" t="s">
        <v>525</v>
      </c>
      <c r="JR8" s="335" t="s">
        <v>525</v>
      </c>
      <c r="JS8" s="334" t="s">
        <v>525</v>
      </c>
      <c r="JT8" s="335" t="s">
        <v>525</v>
      </c>
      <c r="JU8" s="334" t="s">
        <v>525</v>
      </c>
      <c r="JV8" s="335" t="s">
        <v>525</v>
      </c>
      <c r="JW8" s="334" t="s">
        <v>525</v>
      </c>
      <c r="JX8" s="335" t="s">
        <v>525</v>
      </c>
      <c r="JY8" s="334" t="s">
        <v>525</v>
      </c>
      <c r="JZ8" s="335" t="s">
        <v>525</v>
      </c>
      <c r="KA8" s="334" t="s">
        <v>525</v>
      </c>
      <c r="KB8" s="494"/>
      <c r="KC8" s="494"/>
      <c r="KD8" s="334"/>
      <c r="KE8" s="335" t="s">
        <v>526</v>
      </c>
      <c r="KF8" s="334" t="s">
        <v>526</v>
      </c>
      <c r="KG8" s="335" t="s">
        <v>526</v>
      </c>
      <c r="KH8" s="334" t="s">
        <v>526</v>
      </c>
      <c r="KI8" s="335" t="s">
        <v>526</v>
      </c>
      <c r="KJ8" s="334" t="s">
        <v>526</v>
      </c>
      <c r="KK8" s="335" t="s">
        <v>526</v>
      </c>
      <c r="KL8" s="334" t="s">
        <v>526</v>
      </c>
      <c r="KM8" s="335" t="s">
        <v>526</v>
      </c>
      <c r="KN8" s="334" t="s">
        <v>526</v>
      </c>
      <c r="KO8" s="335" t="s">
        <v>526</v>
      </c>
      <c r="KP8" s="334" t="s">
        <v>526</v>
      </c>
      <c r="KQ8" s="335" t="s">
        <v>526</v>
      </c>
      <c r="KR8" s="334" t="s">
        <v>526</v>
      </c>
      <c r="KS8" s="335" t="s">
        <v>526</v>
      </c>
      <c r="KT8" s="334" t="s">
        <v>526</v>
      </c>
      <c r="KU8" s="494"/>
      <c r="KV8" s="494"/>
      <c r="KW8" s="334"/>
      <c r="KX8" s="335" t="s">
        <v>190</v>
      </c>
      <c r="KY8" s="334" t="s">
        <v>190</v>
      </c>
      <c r="KZ8" s="335" t="s">
        <v>190</v>
      </c>
      <c r="LA8" s="334" t="s">
        <v>190</v>
      </c>
      <c r="LB8" s="335" t="s">
        <v>190</v>
      </c>
      <c r="LC8" s="334" t="s">
        <v>190</v>
      </c>
      <c r="LD8" s="335" t="s">
        <v>190</v>
      </c>
      <c r="LE8" s="334" t="s">
        <v>190</v>
      </c>
      <c r="LF8" s="335" t="s">
        <v>190</v>
      </c>
      <c r="LG8" s="334" t="s">
        <v>190</v>
      </c>
      <c r="LH8" s="335" t="s">
        <v>190</v>
      </c>
      <c r="LI8" s="334" t="s">
        <v>190</v>
      </c>
      <c r="LJ8" s="335" t="s">
        <v>190</v>
      </c>
      <c r="LK8" s="334" t="s">
        <v>190</v>
      </c>
      <c r="LL8" s="335" t="s">
        <v>190</v>
      </c>
      <c r="LM8" s="334" t="s">
        <v>190</v>
      </c>
      <c r="LN8" s="494"/>
      <c r="LO8" s="494"/>
      <c r="LP8" s="334"/>
      <c r="LQ8" s="335" t="s">
        <v>527</v>
      </c>
      <c r="LR8" s="334" t="s">
        <v>527</v>
      </c>
      <c r="LS8" s="335" t="s">
        <v>527</v>
      </c>
      <c r="LT8" s="334" t="s">
        <v>527</v>
      </c>
      <c r="LU8" s="335" t="s">
        <v>527</v>
      </c>
      <c r="LV8" s="334" t="s">
        <v>527</v>
      </c>
      <c r="LW8" s="335" t="s">
        <v>527</v>
      </c>
      <c r="LX8" s="334" t="s">
        <v>527</v>
      </c>
      <c r="LY8" s="335" t="s">
        <v>527</v>
      </c>
      <c r="LZ8" s="334" t="s">
        <v>527</v>
      </c>
      <c r="MA8" s="335" t="s">
        <v>527</v>
      </c>
      <c r="MB8" s="334" t="s">
        <v>527</v>
      </c>
      <c r="MC8" s="335" t="s">
        <v>527</v>
      </c>
      <c r="MD8" s="334" t="s">
        <v>527</v>
      </c>
      <c r="ME8" s="335" t="s">
        <v>527</v>
      </c>
      <c r="MF8" s="334" t="s">
        <v>527</v>
      </c>
      <c r="MG8" s="494"/>
      <c r="MH8" s="494"/>
      <c r="MI8" s="334"/>
      <c r="MJ8" s="335" t="s">
        <v>191</v>
      </c>
      <c r="MK8" s="334" t="s">
        <v>191</v>
      </c>
      <c r="ML8" s="335" t="s">
        <v>191</v>
      </c>
      <c r="MM8" s="334" t="s">
        <v>191</v>
      </c>
      <c r="MN8" s="335" t="s">
        <v>191</v>
      </c>
      <c r="MO8" s="334" t="s">
        <v>191</v>
      </c>
      <c r="MP8" s="335" t="s">
        <v>191</v>
      </c>
      <c r="MQ8" s="334" t="s">
        <v>191</v>
      </c>
      <c r="MR8" s="335" t="s">
        <v>191</v>
      </c>
      <c r="MS8" s="334" t="s">
        <v>191</v>
      </c>
      <c r="MT8" s="335" t="s">
        <v>191</v>
      </c>
      <c r="MU8" s="334" t="s">
        <v>191</v>
      </c>
      <c r="MV8" s="335" t="s">
        <v>191</v>
      </c>
      <c r="MW8" s="334" t="s">
        <v>191</v>
      </c>
      <c r="MX8" s="335" t="s">
        <v>191</v>
      </c>
      <c r="MY8" s="334" t="s">
        <v>191</v>
      </c>
      <c r="MZ8" s="494"/>
      <c r="NA8" s="494"/>
      <c r="NB8" s="334"/>
      <c r="NC8" s="335" t="s">
        <v>191</v>
      </c>
      <c r="ND8" s="334" t="s">
        <v>191</v>
      </c>
      <c r="NE8" s="335" t="s">
        <v>191</v>
      </c>
      <c r="NF8" s="334" t="s">
        <v>191</v>
      </c>
      <c r="NG8" s="335" t="s">
        <v>191</v>
      </c>
      <c r="NH8" s="334" t="s">
        <v>191</v>
      </c>
      <c r="NI8" s="335" t="s">
        <v>191</v>
      </c>
      <c r="NJ8" s="334" t="s">
        <v>191</v>
      </c>
      <c r="NK8" s="335" t="s">
        <v>191</v>
      </c>
      <c r="NL8" s="334" t="s">
        <v>191</v>
      </c>
      <c r="NM8" s="335" t="s">
        <v>191</v>
      </c>
      <c r="NN8" s="334" t="s">
        <v>191</v>
      </c>
      <c r="NO8" s="335" t="s">
        <v>191</v>
      </c>
      <c r="NP8" s="334" t="s">
        <v>191</v>
      </c>
      <c r="NQ8" s="335" t="s">
        <v>191</v>
      </c>
      <c r="NR8" s="334" t="s">
        <v>191</v>
      </c>
      <c r="NS8" s="494"/>
      <c r="NT8" s="494"/>
      <c r="NU8" s="494"/>
      <c r="NV8" s="494"/>
    </row>
    <row r="9" spans="2:386" ht="12.75" customHeight="1" x14ac:dyDescent="0.2">
      <c r="B9" s="734"/>
      <c r="C9" s="117" t="s">
        <v>52</v>
      </c>
      <c r="D9" s="136">
        <f t="shared" ref="D9:Q9" si="2">D10+D11-D14</f>
        <v>1.6364783346469878</v>
      </c>
      <c r="E9" s="176">
        <f t="shared" si="2"/>
        <v>1.5452774073145563</v>
      </c>
      <c r="F9" s="136">
        <f t="shared" si="2"/>
        <v>2.1846022447159208</v>
      </c>
      <c r="G9" s="176">
        <f t="shared" si="2"/>
        <v>2.0647833141460743</v>
      </c>
      <c r="H9" s="136">
        <f t="shared" si="2"/>
        <v>2.1283951641696701</v>
      </c>
      <c r="I9" s="176">
        <f t="shared" si="2"/>
        <v>2.0120499638313776</v>
      </c>
      <c r="J9" s="136">
        <f t="shared" si="2"/>
        <v>1.7711707414974913</v>
      </c>
      <c r="K9" s="176">
        <f t="shared" si="2"/>
        <v>1.6738132580809995</v>
      </c>
      <c r="L9" s="136">
        <f t="shared" si="2"/>
        <v>1.6021715892683936</v>
      </c>
      <c r="M9" s="176">
        <f t="shared" si="2"/>
        <v>1.5142408457581851</v>
      </c>
      <c r="N9" s="136">
        <f t="shared" si="2"/>
        <v>2.4324906962631032</v>
      </c>
      <c r="O9" s="176">
        <f t="shared" si="2"/>
        <v>2.2700054000733041</v>
      </c>
      <c r="P9" s="136">
        <f t="shared" si="2"/>
        <v>3.0363003364226673</v>
      </c>
      <c r="Q9" s="176">
        <f t="shared" si="2"/>
        <v>2.8498793751589444</v>
      </c>
      <c r="R9" s="136">
        <f t="shared" ref="R9" si="3">R10+R11-R14</f>
        <v>1.5946196901733369</v>
      </c>
      <c r="S9" s="176">
        <f>S10+S11-S14</f>
        <v>1.5090654532444856</v>
      </c>
      <c r="T9" s="119"/>
      <c r="U9" s="119"/>
      <c r="V9" s="117" t="s">
        <v>52</v>
      </c>
      <c r="W9" s="215"/>
      <c r="X9" s="215"/>
      <c r="Y9" s="215"/>
      <c r="Z9" s="215"/>
      <c r="AA9" s="215"/>
      <c r="AB9" s="215"/>
      <c r="AC9" s="215"/>
      <c r="AD9" s="215"/>
      <c r="AE9" s="215"/>
      <c r="AF9" s="215"/>
      <c r="AG9" s="215"/>
      <c r="AH9" s="215"/>
      <c r="AI9" s="215"/>
      <c r="AJ9" s="215"/>
      <c r="AK9" s="215"/>
      <c r="AL9" s="215"/>
      <c r="AM9" s="215"/>
      <c r="AN9" s="215"/>
      <c r="AO9" s="119"/>
      <c r="AP9" s="8"/>
      <c r="AQ9" s="117" t="s">
        <v>52</v>
      </c>
      <c r="AR9" s="56">
        <f>AR10+AR11</f>
        <v>332.10696267202263</v>
      </c>
      <c r="AS9" s="57">
        <f t="shared" ref="AS9" si="4">AS10+AS11</f>
        <v>327.66943612886445</v>
      </c>
      <c r="AT9" s="56">
        <f>AT10+AT11</f>
        <v>477.73867686327486</v>
      </c>
      <c r="AU9" s="57">
        <f>AU10+AU11</f>
        <v>471.908695739964</v>
      </c>
      <c r="AV9" s="56">
        <f>AV10+AV11</f>
        <v>483.78945575126505</v>
      </c>
      <c r="AW9" s="57">
        <f t="shared" ref="AW9" si="5">AW10+AW11</f>
        <v>478.12849451138254</v>
      </c>
      <c r="AX9" s="56">
        <f>AX10+AX11</f>
        <v>364.73486611247858</v>
      </c>
      <c r="AY9" s="57">
        <f t="shared" ref="AY9" si="6">AY10+AY11</f>
        <v>359.99778251615709</v>
      </c>
      <c r="AZ9" s="56">
        <f>AZ10+AZ11</f>
        <v>310.12100685003321</v>
      </c>
      <c r="BA9" s="57">
        <f>BA10+BA11</f>
        <v>305.84259631519399</v>
      </c>
      <c r="BB9" s="56">
        <f>BB10+BB11</f>
        <v>172.00425524646016</v>
      </c>
      <c r="BC9" s="57">
        <f t="shared" ref="BC9:BE9" si="7">BC10+BC11</f>
        <v>164.09827407055658</v>
      </c>
      <c r="BD9" s="56">
        <f>BD10+BD11</f>
        <v>329.4850757873038</v>
      </c>
      <c r="BE9" s="57">
        <f t="shared" si="7"/>
        <v>320.41446666078173</v>
      </c>
      <c r="BF9" s="56">
        <f>BF10+BF11</f>
        <v>309.67955436962291</v>
      </c>
      <c r="BG9" s="57">
        <f t="shared" ref="BG9" si="8">BG10+BG11</f>
        <v>305.51677655194146</v>
      </c>
      <c r="BI9" s="156"/>
      <c r="BJ9" s="117" t="s">
        <v>52</v>
      </c>
      <c r="BK9" s="157">
        <f t="shared" ref="BK9:BV9" si="9">BK10+BK11</f>
        <v>45.498569935466463</v>
      </c>
      <c r="BL9" s="157">
        <f t="shared" si="9"/>
        <v>44.016098861677783</v>
      </c>
      <c r="BM9" s="157">
        <f t="shared" si="9"/>
        <v>65.521207552894595</v>
      </c>
      <c r="BN9" s="157">
        <f t="shared" si="9"/>
        <v>63.573550836481736</v>
      </c>
      <c r="BO9" s="157">
        <f t="shared" si="9"/>
        <v>64.997755012636404</v>
      </c>
      <c r="BP9" s="157">
        <f t="shared" si="9"/>
        <v>63.106563781137439</v>
      </c>
      <c r="BQ9" s="157">
        <f t="shared" si="9"/>
        <v>50.16496809978149</v>
      </c>
      <c r="BR9" s="157">
        <f t="shared" si="9"/>
        <v>48.58242220684641</v>
      </c>
      <c r="BS9" s="157">
        <f t="shared" si="9"/>
        <v>43.08741070047148</v>
      </c>
      <c r="BT9" s="157">
        <f>BT10+BT11</f>
        <v>41.65809646471304</v>
      </c>
      <c r="BU9" s="157">
        <f>BU10+BU11</f>
        <v>37.296070965759888</v>
      </c>
      <c r="BV9" s="157">
        <f t="shared" si="9"/>
        <v>34.654872476194704</v>
      </c>
      <c r="BW9" s="157">
        <f t="shared" ref="BW9:BZ9" si="10">BW10+BW11</f>
        <v>54.976564662805636</v>
      </c>
      <c r="BX9" s="157">
        <f t="shared" si="10"/>
        <v>51.946291937463826</v>
      </c>
      <c r="BY9" s="157">
        <f t="shared" si="10"/>
        <v>42.961024952589348</v>
      </c>
      <c r="BZ9" s="157">
        <f t="shared" si="10"/>
        <v>41.570340831310872</v>
      </c>
      <c r="CA9" s="156"/>
      <c r="CB9" s="156"/>
      <c r="CC9" s="117" t="s">
        <v>52</v>
      </c>
      <c r="CD9" s="157">
        <f t="shared" ref="CD9:CO9" si="11">CD10+CD11</f>
        <v>1099.9039752608962</v>
      </c>
      <c r="CE9" s="157">
        <f t="shared" si="11"/>
        <v>1093.1562010494242</v>
      </c>
      <c r="CF9" s="157">
        <f t="shared" si="11"/>
        <v>1525.2112087008325</v>
      </c>
      <c r="CG9" s="157">
        <f t="shared" si="11"/>
        <v>1516.3460456658306</v>
      </c>
      <c r="CH9" s="157">
        <f t="shared" si="11"/>
        <v>1578.0092734900204</v>
      </c>
      <c r="CI9" s="157">
        <f t="shared" si="11"/>
        <v>1569.4011248073907</v>
      </c>
      <c r="CJ9" s="157">
        <f t="shared" si="11"/>
        <v>1191.166021420752</v>
      </c>
      <c r="CK9" s="157">
        <f t="shared" si="11"/>
        <v>1183.9627359377328</v>
      </c>
      <c r="CL9" s="157">
        <f t="shared" si="11"/>
        <v>1019.047956051263</v>
      </c>
      <c r="CM9" s="157">
        <f t="shared" si="11"/>
        <v>1012.5421362004297</v>
      </c>
      <c r="CN9" s="157">
        <f t="shared" si="11"/>
        <v>303.07175259672636</v>
      </c>
      <c r="CO9" s="219">
        <f t="shared" si="11"/>
        <v>291.04979050223545</v>
      </c>
      <c r="CP9" s="157">
        <f t="shared" ref="CP9:CS9" si="12">CP10+CP11</f>
        <v>817.89406946172278</v>
      </c>
      <c r="CQ9" s="157">
        <f t="shared" si="12"/>
        <v>804.10115537974252</v>
      </c>
      <c r="CR9" s="157">
        <f t="shared" si="12"/>
        <v>1018.3679966058301</v>
      </c>
      <c r="CS9" s="219">
        <f t="shared" si="12"/>
        <v>1012.0380097239382</v>
      </c>
      <c r="CV9" s="117" t="s">
        <v>52</v>
      </c>
      <c r="CW9" s="157">
        <f t="shared" ref="CW9:DH9" si="13">CW10+CW11</f>
        <v>0.29513977590886581</v>
      </c>
      <c r="CX9" s="157">
        <f t="shared" si="13"/>
        <v>0.28870555048556273</v>
      </c>
      <c r="CY9" s="157">
        <f t="shared" si="13"/>
        <v>0.37926223369237255</v>
      </c>
      <c r="CZ9" s="157">
        <f t="shared" si="13"/>
        <v>0.37080900814066986</v>
      </c>
      <c r="DA9" s="157">
        <f t="shared" si="13"/>
        <v>0.3864415969546165</v>
      </c>
      <c r="DB9" s="157">
        <f t="shared" si="13"/>
        <v>0.37823344307074985</v>
      </c>
      <c r="DC9" s="157">
        <f t="shared" si="13"/>
        <v>0.31549270311409361</v>
      </c>
      <c r="DD9" s="157">
        <f t="shared" si="13"/>
        <v>0.30862413265906008</v>
      </c>
      <c r="DE9" s="157">
        <f t="shared" si="13"/>
        <v>0.28078322176493625</v>
      </c>
      <c r="DF9" s="157">
        <f t="shared" si="13"/>
        <v>0.27457970781029101</v>
      </c>
      <c r="DG9" s="157">
        <f t="shared" si="13"/>
        <v>0.20416500901784637</v>
      </c>
      <c r="DH9" s="157">
        <f t="shared" si="13"/>
        <v>0.19270167137165603</v>
      </c>
      <c r="DI9" s="157">
        <f t="shared" ref="DI9:DL9" si="14">DI10+DI11</f>
        <v>0.26703388237776676</v>
      </c>
      <c r="DJ9" s="157">
        <f t="shared" si="14"/>
        <v>0.25388188356061114</v>
      </c>
      <c r="DK9" s="157">
        <f t="shared" si="14"/>
        <v>0.28030724116800526</v>
      </c>
      <c r="DL9" s="157">
        <f t="shared" si="14"/>
        <v>0.27427138975267479</v>
      </c>
      <c r="DO9" s="117" t="s">
        <v>52</v>
      </c>
      <c r="DP9" s="157">
        <f t="shared" ref="DP9:EA9" si="15">DP10+DP11</f>
        <v>20.894825283179316</v>
      </c>
      <c r="DQ9" s="157">
        <f>DQ10+DQ11</f>
        <v>20.867360123913151</v>
      </c>
      <c r="DR9" s="157">
        <f t="shared" si="15"/>
        <v>27.962134564816541</v>
      </c>
      <c r="DS9" s="157">
        <f t="shared" si="15"/>
        <v>27.926051093875433</v>
      </c>
      <c r="DT9" s="157">
        <f t="shared" si="15"/>
        <v>27.730542083194745</v>
      </c>
      <c r="DU9" s="157">
        <f t="shared" si="15"/>
        <v>27.695504726112869</v>
      </c>
      <c r="DV9" s="157">
        <f t="shared" si="15"/>
        <v>22.657281874768628</v>
      </c>
      <c r="DW9" s="157">
        <f t="shared" si="15"/>
        <v>22.627962668637753</v>
      </c>
      <c r="DX9" s="157">
        <f t="shared" si="15"/>
        <v>19.965211773816407</v>
      </c>
      <c r="DY9" s="157">
        <f t="shared" si="15"/>
        <v>19.938731430408307</v>
      </c>
      <c r="DZ9" s="157">
        <f t="shared" si="15"/>
        <v>13.385218278793037</v>
      </c>
      <c r="EA9" s="157">
        <f t="shared" si="15"/>
        <v>13.336285831845478</v>
      </c>
      <c r="EB9" s="157">
        <f t="shared" ref="EB9:EE9" si="16">EB10+EB11</f>
        <v>4.5258036782011342</v>
      </c>
      <c r="EC9" s="157">
        <f t="shared" si="16"/>
        <v>4.4696630057165638</v>
      </c>
      <c r="ED9" s="157">
        <f t="shared" si="16"/>
        <v>19.950953019158675</v>
      </c>
      <c r="EE9" s="157">
        <f t="shared" si="16"/>
        <v>19.925188360707551</v>
      </c>
      <c r="EH9" s="117" t="s">
        <v>52</v>
      </c>
      <c r="EI9" s="157">
        <f t="shared" ref="EI9:ET9" si="17">EI10+EI11</f>
        <v>3.6586018135734553</v>
      </c>
      <c r="EJ9" s="157">
        <f t="shared" si="17"/>
        <v>3.6501973745169898</v>
      </c>
      <c r="EK9" s="157">
        <f t="shared" si="17"/>
        <v>5.4320111062122596</v>
      </c>
      <c r="EL9" s="157">
        <f t="shared" si="17"/>
        <v>5.4209694323034565</v>
      </c>
      <c r="EM9" s="157">
        <f t="shared" si="17"/>
        <v>5.6112488834123244</v>
      </c>
      <c r="EN9" s="157">
        <f t="shared" si="17"/>
        <v>5.60052732416555</v>
      </c>
      <c r="EO9" s="157">
        <f t="shared" si="17"/>
        <v>4.0244240768793311</v>
      </c>
      <c r="EP9" s="157">
        <f t="shared" si="17"/>
        <v>4.0154522927100516</v>
      </c>
      <c r="EQ9" s="157">
        <f t="shared" si="17"/>
        <v>3.3472676920455</v>
      </c>
      <c r="ER9" s="157">
        <f t="shared" si="17"/>
        <v>3.3391646102388037</v>
      </c>
      <c r="ES9" s="157">
        <f t="shared" si="17"/>
        <v>0.83873347467226611</v>
      </c>
      <c r="ET9" s="157">
        <f t="shared" si="17"/>
        <v>0.82375996717248756</v>
      </c>
      <c r="EU9" s="157">
        <f t="shared" ref="EU9:EX9" si="18">EU10+EU11</f>
        <v>2.5788468278192096</v>
      </c>
      <c r="EV9" s="157">
        <f t="shared" si="18"/>
        <v>2.5616675769758737</v>
      </c>
      <c r="EW9" s="157">
        <f t="shared" si="18"/>
        <v>3.345916221017061</v>
      </c>
      <c r="EX9" s="157">
        <f t="shared" si="18"/>
        <v>3.3380321414213565</v>
      </c>
      <c r="FA9" s="117" t="s">
        <v>52</v>
      </c>
      <c r="FB9" s="484">
        <f t="shared" ref="FB9:FM9" si="19">FB10+FB11</f>
        <v>1.7716523803437887E-2</v>
      </c>
      <c r="FC9" s="484">
        <f t="shared" si="19"/>
        <v>1.7271791601394016E-2</v>
      </c>
      <c r="FD9" s="484">
        <f t="shared" si="19"/>
        <v>2.4713511452894375E-2</v>
      </c>
      <c r="FE9" s="484">
        <f t="shared" si="19"/>
        <v>2.4129226419863578E-2</v>
      </c>
      <c r="FF9" s="484">
        <f t="shared" si="19"/>
        <v>2.4657974628239855E-2</v>
      </c>
      <c r="FG9" s="484">
        <f t="shared" si="19"/>
        <v>2.4090628893310199E-2</v>
      </c>
      <c r="FH9" s="484">
        <f t="shared" si="19"/>
        <v>1.9389768675655058E-2</v>
      </c>
      <c r="FI9" s="484">
        <f t="shared" si="19"/>
        <v>1.8915014643522875E-2</v>
      </c>
      <c r="FJ9" s="484">
        <f t="shared" si="19"/>
        <v>1.6750813783153542E-2</v>
      </c>
      <c r="FK9" s="484">
        <f t="shared" si="19"/>
        <v>1.632202830550036E-2</v>
      </c>
      <c r="FL9" s="484">
        <f t="shared" si="19"/>
        <v>1.3575825139542422E-2</v>
      </c>
      <c r="FM9" s="484">
        <f t="shared" si="19"/>
        <v>1.2783481841202487E-2</v>
      </c>
      <c r="FN9" s="484">
        <f t="shared" ref="FN9:FQ9" si="20">FN10+FN11</f>
        <v>1.9096497482125524E-2</v>
      </c>
      <c r="FO9" s="484">
        <f t="shared" si="20"/>
        <v>1.8187434306619111E-2</v>
      </c>
      <c r="FP9" s="484">
        <f t="shared" si="20"/>
        <v>1.671560138982655E-2</v>
      </c>
      <c r="FQ9" s="484">
        <f t="shared" si="20"/>
        <v>1.6298404708866697E-2</v>
      </c>
      <c r="FT9" s="117" t="s">
        <v>52</v>
      </c>
      <c r="FU9" s="157">
        <f t="shared" ref="FU9:GF9" si="21">FU10+FU11</f>
        <v>4.7624566633033787</v>
      </c>
      <c r="FV9" s="157">
        <f t="shared" si="21"/>
        <v>4.6334347114061876</v>
      </c>
      <c r="FW9" s="157">
        <f t="shared" si="21"/>
        <v>6.665843503104746</v>
      </c>
      <c r="FX9" s="157">
        <f t="shared" si="21"/>
        <v>6.4963356620275849</v>
      </c>
      <c r="FY9" s="157">
        <f t="shared" si="21"/>
        <v>6.8316488405510505</v>
      </c>
      <c r="FZ9" s="157">
        <f t="shared" si="21"/>
        <v>6.6670552856324656</v>
      </c>
      <c r="GA9" s="157">
        <f t="shared" si="21"/>
        <v>5.1738874763777494</v>
      </c>
      <c r="GB9" s="157">
        <f t="shared" si="21"/>
        <v>5.0361558445884382</v>
      </c>
      <c r="GC9" s="157">
        <f t="shared" si="21"/>
        <v>4.4220120147479562</v>
      </c>
      <c r="GD9" s="157">
        <f t="shared" si="21"/>
        <v>4.2976163919040644</v>
      </c>
      <c r="GE9" s="157">
        <f t="shared" si="21"/>
        <v>1.5407621815909434</v>
      </c>
      <c r="GF9" s="157">
        <f t="shared" si="21"/>
        <v>1.3108942330712345</v>
      </c>
      <c r="GG9" s="157">
        <f t="shared" ref="GG9:GJ9" si="22">GG10+GG11</f>
        <v>3.785414536751543</v>
      </c>
      <c r="GH9" s="157">
        <f t="shared" si="22"/>
        <v>3.5216848028517553</v>
      </c>
      <c r="GI9" s="157">
        <f t="shared" si="22"/>
        <v>4.4133875613025602</v>
      </c>
      <c r="GJ9" s="157">
        <f t="shared" si="22"/>
        <v>4.2923539823193142</v>
      </c>
      <c r="GM9" s="117" t="s">
        <v>52</v>
      </c>
      <c r="GN9" s="157">
        <f t="shared" ref="GN9:GY9" si="23">GN10+GN11</f>
        <v>9.6762337927939619</v>
      </c>
      <c r="GO9" s="157">
        <f t="shared" si="23"/>
        <v>8.8122053273392371</v>
      </c>
      <c r="GP9" s="157">
        <f t="shared" si="23"/>
        <v>13.816499465514802</v>
      </c>
      <c r="GQ9" s="157">
        <f t="shared" si="23"/>
        <v>12.681346899189137</v>
      </c>
      <c r="GR9" s="157">
        <f t="shared" si="23"/>
        <v>13.775419959522804</v>
      </c>
      <c r="GS9" s="157">
        <f t="shared" si="23"/>
        <v>12.67317716603784</v>
      </c>
      <c r="GT9" s="157">
        <f t="shared" si="23"/>
        <v>10.496987464242324</v>
      </c>
      <c r="GU9" s="157">
        <f t="shared" si="23"/>
        <v>9.574632402102818</v>
      </c>
      <c r="GV9" s="157">
        <f t="shared" si="23"/>
        <v>8.9693186554150355</v>
      </c>
      <c r="GW9" s="157">
        <f t="shared" si="23"/>
        <v>8.1362715844736719</v>
      </c>
      <c r="GX9" s="157">
        <f t="shared" si="23"/>
        <v>7.8735878717657615</v>
      </c>
      <c r="GY9" s="157">
        <f t="shared" si="23"/>
        <v>6.3342184241932227</v>
      </c>
      <c r="GZ9" s="157">
        <f t="shared" ref="GZ9:HC9" si="24">GZ10+GZ11</f>
        <v>10.989141822705518</v>
      </c>
      <c r="HA9" s="157">
        <f t="shared" si="24"/>
        <v>9.2230082777891376</v>
      </c>
      <c r="HB9" s="157">
        <f t="shared" si="24"/>
        <v>8.9176516220594397</v>
      </c>
      <c r="HC9" s="157">
        <f t="shared" si="24"/>
        <v>8.1071193368191938</v>
      </c>
      <c r="HF9" s="117" t="s">
        <v>52</v>
      </c>
      <c r="HG9" s="157">
        <f t="shared" ref="HG9:HR9" si="25">HG10+HG11</f>
        <v>117.24924816069854</v>
      </c>
      <c r="HH9" s="157">
        <f t="shared" si="25"/>
        <v>115.4966399401512</v>
      </c>
      <c r="HI9" s="157">
        <f t="shared" si="25"/>
        <v>168.50846826214419</v>
      </c>
      <c r="HJ9" s="157">
        <f t="shared" si="25"/>
        <v>166.20590787338347</v>
      </c>
      <c r="HK9" s="157">
        <f t="shared" si="25"/>
        <v>172.67700827034929</v>
      </c>
      <c r="HL9" s="157">
        <f t="shared" si="25"/>
        <v>170.44120255544829</v>
      </c>
      <c r="HM9" s="157">
        <f t="shared" si="25"/>
        <v>128.26018065468776</v>
      </c>
      <c r="HN9" s="157">
        <f t="shared" si="25"/>
        <v>126.38926189587303</v>
      </c>
      <c r="HO9" s="157">
        <f t="shared" si="25"/>
        <v>108.37113548437617</v>
      </c>
      <c r="HP9" s="157">
        <f t="shared" si="25"/>
        <v>106.6813703863405</v>
      </c>
      <c r="HQ9" s="157">
        <f t="shared" si="25"/>
        <v>40.259601845526234</v>
      </c>
      <c r="HR9" s="157">
        <f t="shared" si="25"/>
        <v>37.137121908646854</v>
      </c>
      <c r="HS9" s="157">
        <f t="shared" ref="HS9:HV9" si="26">HS10+HS11</f>
        <v>88.42854494242205</v>
      </c>
      <c r="HT9" s="157">
        <f t="shared" si="26"/>
        <v>84.846093329817094</v>
      </c>
      <c r="HU9" s="157">
        <f t="shared" si="26"/>
        <v>108.23656534932226</v>
      </c>
      <c r="HV9" s="157">
        <f t="shared" si="26"/>
        <v>106.59246957826052</v>
      </c>
      <c r="HY9" s="343" t="s">
        <v>52</v>
      </c>
      <c r="HZ9" s="336">
        <f t="shared" ref="HZ9:IK9" si="27">HZ10+HZ11</f>
        <v>0.10620153849999894</v>
      </c>
      <c r="IA9" s="336">
        <f t="shared" si="27"/>
        <v>0.10336391284697766</v>
      </c>
      <c r="IB9" s="336">
        <f t="shared" si="27"/>
        <v>0.1395714128226673</v>
      </c>
      <c r="IC9" s="336">
        <f t="shared" si="27"/>
        <v>0.13584336661691712</v>
      </c>
      <c r="ID9" s="336">
        <f t="shared" si="27"/>
        <v>0.14142248683256231</v>
      </c>
      <c r="IE9" s="336">
        <f t="shared" si="27"/>
        <v>0.13780252226923664</v>
      </c>
      <c r="IF9" s="336">
        <f t="shared" si="27"/>
        <v>0.11421125873608932</v>
      </c>
      <c r="IG9" s="336">
        <f t="shared" si="27"/>
        <v>0.1111820779970686</v>
      </c>
      <c r="IH9" s="336">
        <f t="shared" si="27"/>
        <v>0.10094109151158061</v>
      </c>
      <c r="II9" s="336">
        <f t="shared" si="27"/>
        <v>9.8205214358003987E-2</v>
      </c>
      <c r="IJ9" s="336">
        <f t="shared" si="27"/>
        <v>7.7030505314451339E-2</v>
      </c>
      <c r="IK9" s="336">
        <f t="shared" si="27"/>
        <v>7.1974937808801931E-2</v>
      </c>
      <c r="IL9" s="336">
        <f t="shared" ref="IL9:IO9" si="28">IL10+IL11</f>
        <v>0.10080773876235422</v>
      </c>
      <c r="IM9" s="336">
        <f t="shared" si="28"/>
        <v>9.5007436973594761E-2</v>
      </c>
      <c r="IN9" s="336">
        <f t="shared" si="28"/>
        <v>0.1007277365022787</v>
      </c>
      <c r="IO9" s="336">
        <f t="shared" si="28"/>
        <v>9.8065801974474426E-2</v>
      </c>
      <c r="IR9" s="343" t="s">
        <v>52</v>
      </c>
      <c r="IS9" s="336">
        <f>IS10+IS11</f>
        <v>13.528732220221071</v>
      </c>
      <c r="IT9" s="336">
        <f t="shared" ref="IT9:JC9" si="29">IT10+IT11</f>
        <v>13.223446236068488</v>
      </c>
      <c r="IU9" s="336">
        <f t="shared" si="29"/>
        <v>19.131637738201569</v>
      </c>
      <c r="IV9" s="336">
        <f t="shared" si="29"/>
        <v>18.730555850012063</v>
      </c>
      <c r="IW9" s="336">
        <f t="shared" si="29"/>
        <v>19.046002130121938</v>
      </c>
      <c r="IX9" s="336">
        <f t="shared" si="29"/>
        <v>18.656548206509534</v>
      </c>
      <c r="IY9" s="336">
        <f t="shared" si="29"/>
        <v>14.844631604138895</v>
      </c>
      <c r="IZ9" s="336">
        <f t="shared" si="29"/>
        <v>14.518737164150529</v>
      </c>
      <c r="JA9" s="336">
        <f t="shared" si="29"/>
        <v>12.838165442182309</v>
      </c>
      <c r="JB9" s="336">
        <f t="shared" si="29"/>
        <v>12.543826071356238</v>
      </c>
      <c r="JC9" s="336">
        <f t="shared" si="29"/>
        <v>10.535485955160159</v>
      </c>
      <c r="JD9" s="336">
        <f>JD10+JD11</f>
        <v>9.9915826746944241</v>
      </c>
      <c r="JE9" s="336">
        <f t="shared" ref="JE9:JG9" si="30">JE10+JE11</f>
        <v>16.412849581208697</v>
      </c>
      <c r="JF9" s="336">
        <f t="shared" si="30"/>
        <v>15.788824055474512</v>
      </c>
      <c r="JG9" s="336">
        <f t="shared" si="30"/>
        <v>12.807870638899384</v>
      </c>
      <c r="JH9" s="336">
        <f>JH10+JH11</f>
        <v>12.521486386203746</v>
      </c>
      <c r="JK9" s="343" t="s">
        <v>52</v>
      </c>
      <c r="JL9" s="336">
        <f t="shared" ref="JL9:JW9" si="31">JL10+JL11</f>
        <v>7.4041709713657591</v>
      </c>
      <c r="JM9" s="336">
        <f t="shared" si="31"/>
        <v>7.3759214841245386</v>
      </c>
      <c r="JN9" s="336">
        <f t="shared" si="31"/>
        <v>10.362022566270541</v>
      </c>
      <c r="JO9" s="336">
        <f t="shared" si="31"/>
        <v>10.324908652526531</v>
      </c>
      <c r="JP9" s="336">
        <f t="shared" si="31"/>
        <v>10.502507422273842</v>
      </c>
      <c r="JQ9" s="336">
        <f t="shared" si="31"/>
        <v>10.466469496469056</v>
      </c>
      <c r="JR9" s="336">
        <f t="shared" si="31"/>
        <v>8.1074654054305064</v>
      </c>
      <c r="JS9" s="336">
        <f t="shared" si="31"/>
        <v>8.0773089249422476</v>
      </c>
      <c r="JT9" s="336">
        <f t="shared" si="31"/>
        <v>6.9193152797663791</v>
      </c>
      <c r="JU9" s="336">
        <f t="shared" si="31"/>
        <v>6.8920787319640926</v>
      </c>
      <c r="JV9" s="336">
        <f t="shared" si="31"/>
        <v>4.0298779569534195</v>
      </c>
      <c r="JW9" s="336">
        <f t="shared" si="31"/>
        <v>3.9795481364586296</v>
      </c>
      <c r="JX9" s="336">
        <f t="shared" ref="JX9:KA9" si="32">JX10+JX11</f>
        <v>7.8368112163093055</v>
      </c>
      <c r="JY9" s="336">
        <f t="shared" si="32"/>
        <v>7.7790673235578671</v>
      </c>
      <c r="JZ9" s="336">
        <f t="shared" si="32"/>
        <v>6.9153204141402149</v>
      </c>
      <c r="KA9" s="336">
        <f t="shared" si="32"/>
        <v>6.8888199892515036</v>
      </c>
      <c r="KD9" s="343" t="s">
        <v>52</v>
      </c>
      <c r="KE9" s="336">
        <f t="shared" ref="KE9:KO9" si="33">KE10+KE11</f>
        <v>1.0622577619361813</v>
      </c>
      <c r="KF9" s="336">
        <f t="shared" si="33"/>
        <v>1.0451995404879233</v>
      </c>
      <c r="KG9" s="336">
        <f t="shared" si="33"/>
        <v>1.5066725006337665</v>
      </c>
      <c r="KH9" s="336">
        <f t="shared" si="33"/>
        <v>1.4842615678599824</v>
      </c>
      <c r="KI9" s="336">
        <f t="shared" si="33"/>
        <v>1.5053306561479152</v>
      </c>
      <c r="KJ9" s="336">
        <f t="shared" si="33"/>
        <v>1.4835694498766405</v>
      </c>
      <c r="KK9" s="336">
        <f t="shared" si="33"/>
        <v>1.1666799365164362</v>
      </c>
      <c r="KL9" s="336">
        <f t="shared" si="33"/>
        <v>1.1484701928182155</v>
      </c>
      <c r="KM9" s="336">
        <f t="shared" si="33"/>
        <v>1.0027721853891567</v>
      </c>
      <c r="KN9" s="336">
        <f t="shared" si="33"/>
        <v>0.9863256191230072</v>
      </c>
      <c r="KO9" s="336">
        <f t="shared" si="33"/>
        <v>1.071095851679686</v>
      </c>
      <c r="KP9" s="336">
        <f>KP10+KP11</f>
        <v>1.0407046018803459</v>
      </c>
      <c r="KQ9" s="336">
        <f t="shared" ref="KQ9:KS9" si="34">KQ10+KQ11</f>
        <v>1.1320012104547672</v>
      </c>
      <c r="KR9" s="336">
        <f t="shared" si="34"/>
        <v>1.0971330338600005</v>
      </c>
      <c r="KS9" s="336">
        <f t="shared" si="34"/>
        <v>1.0011653379128083</v>
      </c>
      <c r="KT9" s="336">
        <f>KT10+KT11</f>
        <v>0.98516327343763588</v>
      </c>
      <c r="KW9" s="343" t="s">
        <v>52</v>
      </c>
      <c r="KX9" s="336">
        <f t="shared" ref="KX9:LH9" si="35">KX10+KX11</f>
        <v>6.7070736561911888</v>
      </c>
      <c r="KY9" s="336">
        <f t="shared" si="35"/>
        <v>6.5364732015231422</v>
      </c>
      <c r="KZ9" s="336">
        <f t="shared" si="35"/>
        <v>9.3932946176559415</v>
      </c>
      <c r="LA9" s="336">
        <f t="shared" si="35"/>
        <v>9.169161326131988</v>
      </c>
      <c r="LB9" s="336">
        <f t="shared" si="35"/>
        <v>9.6216775693266001</v>
      </c>
      <c r="LC9" s="336">
        <f t="shared" si="35"/>
        <v>9.4040422375737887</v>
      </c>
      <c r="LD9" s="336">
        <f t="shared" si="35"/>
        <v>7.2884577017370296</v>
      </c>
      <c r="LE9" s="336">
        <f t="shared" si="35"/>
        <v>7.1063407932581395</v>
      </c>
      <c r="LF9" s="336">
        <f t="shared" si="35"/>
        <v>6.229715175246386</v>
      </c>
      <c r="LG9" s="336">
        <f t="shared" si="35"/>
        <v>6.0652319264361898</v>
      </c>
      <c r="LH9" s="336">
        <f t="shared" si="35"/>
        <v>2.6780789205971915</v>
      </c>
      <c r="LI9" s="336">
        <f>LI10+LI11</f>
        <v>2.3741339255445535</v>
      </c>
      <c r="LJ9" s="336">
        <f t="shared" ref="LJ9:LL9" si="36">LJ10+LJ11</f>
        <v>5.3919222436059524</v>
      </c>
      <c r="LK9" s="336">
        <f t="shared" si="36"/>
        <v>5.0432031934660335</v>
      </c>
      <c r="LL9" s="336">
        <f t="shared" si="36"/>
        <v>6.2180812782649779</v>
      </c>
      <c r="LM9" s="336">
        <f>LM10+LM11</f>
        <v>6.0580435226658684</v>
      </c>
      <c r="LP9" s="343" t="s">
        <v>52</v>
      </c>
      <c r="LQ9" s="336">
        <f t="shared" ref="LQ9:MA9" si="37">LQ10+LQ11</f>
        <v>7.9792198629101228E-3</v>
      </c>
      <c r="LR9" s="336">
        <f t="shared" si="37"/>
        <v>7.9432246809105576E-3</v>
      </c>
      <c r="LS9" s="336">
        <f t="shared" si="37"/>
        <v>1.1341781256618447E-2</v>
      </c>
      <c r="LT9" s="336">
        <f t="shared" si="37"/>
        <v>1.1294491121101142E-2</v>
      </c>
      <c r="LU9" s="336">
        <f t="shared" si="37"/>
        <v>1.1411478503915912E-2</v>
      </c>
      <c r="LV9" s="336">
        <f t="shared" si="37"/>
        <v>1.1365559380246394E-2</v>
      </c>
      <c r="LW9" s="336">
        <f t="shared" si="37"/>
        <v>8.7467787685292335E-3</v>
      </c>
      <c r="LX9" s="336">
        <f t="shared" si="37"/>
        <v>8.7083537169744124E-3</v>
      </c>
      <c r="LY9" s="336">
        <f t="shared" si="37"/>
        <v>7.4802292157809857E-3</v>
      </c>
      <c r="LZ9" s="336">
        <f t="shared" si="37"/>
        <v>7.445524709932377E-3</v>
      </c>
      <c r="MA9" s="336">
        <f t="shared" si="37"/>
        <v>3.9233267669565456E-3</v>
      </c>
      <c r="MB9" s="336">
        <f>MB10+MB11</f>
        <v>3.8591970702563558E-3</v>
      </c>
      <c r="MC9" s="336">
        <f t="shared" ref="MC9:ME9" si="38">MC10+MC11</f>
        <v>3.4339117363697724E-3</v>
      </c>
      <c r="MD9" s="336">
        <f t="shared" si="38"/>
        <v>3.3603351113782056E-3</v>
      </c>
      <c r="ME9" s="336">
        <f t="shared" si="38"/>
        <v>7.4773244230907573E-3</v>
      </c>
      <c r="MF9" s="336">
        <f>MF10+MF11</f>
        <v>7.4435578768596777E-3</v>
      </c>
      <c r="MI9" s="343" t="s">
        <v>52</v>
      </c>
      <c r="MJ9" s="336">
        <f t="shared" ref="MJ9:MT9" si="39">MJ10+MJ11</f>
        <v>0.10704556222990387</v>
      </c>
      <c r="MK9" s="336">
        <f t="shared" si="39"/>
        <v>0.10323774111192019</v>
      </c>
      <c r="ML9" s="336">
        <f t="shared" si="39"/>
        <v>0.15085514258216526</v>
      </c>
      <c r="MM9" s="336">
        <f t="shared" si="39"/>
        <v>0.14585246259301304</v>
      </c>
      <c r="MN9" s="336">
        <f t="shared" si="39"/>
        <v>0.15028994133302187</v>
      </c>
      <c r="MO9" s="336">
        <f t="shared" si="39"/>
        <v>0.1454322965284974</v>
      </c>
      <c r="MP9" s="336">
        <f t="shared" si="39"/>
        <v>0.11732625553463587</v>
      </c>
      <c r="MQ9" s="336">
        <f t="shared" si="39"/>
        <v>0.11326138588703048</v>
      </c>
      <c r="MR9" s="336">
        <f t="shared" si="39"/>
        <v>0.10136305430692397</v>
      </c>
      <c r="MS9" s="336">
        <f t="shared" si="39"/>
        <v>9.7691769903885756E-2</v>
      </c>
      <c r="MT9" s="336">
        <f t="shared" si="39"/>
        <v>8.3551931453043626E-2</v>
      </c>
      <c r="MU9" s="336">
        <f>MU10+MU11</f>
        <v>7.6767845366527129E-2</v>
      </c>
      <c r="MV9" s="336">
        <f t="shared" ref="MV9:MX9" si="40">MV10+MV11</f>
        <v>0.11418013493950341</v>
      </c>
      <c r="MW9" s="336">
        <f t="shared" si="40"/>
        <v>0.10639668696482046</v>
      </c>
      <c r="MX9" s="336">
        <f t="shared" si="40"/>
        <v>0.10107139748686911</v>
      </c>
      <c r="MY9" s="336">
        <f>MY10+MY11</f>
        <v>9.7499336986615698E-2</v>
      </c>
      <c r="NB9" s="343" t="s">
        <v>52</v>
      </c>
      <c r="NC9" s="336">
        <f t="shared" ref="NC9:NM9" si="41">NC10+NC11</f>
        <v>0.10145053963004083</v>
      </c>
      <c r="ND9" s="336">
        <f t="shared" si="41"/>
        <v>9.7708839184373147E-2</v>
      </c>
      <c r="NE9" s="336">
        <f t="shared" si="41"/>
        <v>0.14295156210432103</v>
      </c>
      <c r="NF9" s="336">
        <f t="shared" si="41"/>
        <v>0.13803575083983194</v>
      </c>
      <c r="NG9" s="336">
        <f t="shared" si="41"/>
        <v>0.14238756067996178</v>
      </c>
      <c r="NH9" s="336">
        <f t="shared" si="41"/>
        <v>0.13761426614568259</v>
      </c>
      <c r="NI9" s="336">
        <f t="shared" si="41"/>
        <v>0.11119501797091459</v>
      </c>
      <c r="NJ9" s="336">
        <f t="shared" si="41"/>
        <v>0.10720073249878617</v>
      </c>
      <c r="NK9" s="336">
        <f t="shared" si="41"/>
        <v>9.6062430584930802E-2</v>
      </c>
      <c r="NL9" s="336">
        <f t="shared" si="41"/>
        <v>9.2454895970937492E-2</v>
      </c>
      <c r="NM9" s="336">
        <f t="shared" si="41"/>
        <v>7.9354802099790733E-2</v>
      </c>
      <c r="NN9" s="336">
        <f>NN10+NN11</f>
        <v>7.268851785301185E-2</v>
      </c>
      <c r="NO9" s="336">
        <f t="shared" ref="NO9:NQ9" si="42">NO10+NO11</f>
        <v>0.1076754761890361</v>
      </c>
      <c r="NP9" s="336">
        <f t="shared" si="42"/>
        <v>0.10002718341126936</v>
      </c>
      <c r="NQ9" s="336">
        <f t="shared" si="42"/>
        <v>9.5780305175346026E-2</v>
      </c>
      <c r="NR9" s="336">
        <f>NR10+NR11</f>
        <v>9.2270271496866035E-2</v>
      </c>
    </row>
    <row r="10" spans="2:386" ht="12.75" customHeight="1" x14ac:dyDescent="0.2">
      <c r="B10" s="734"/>
      <c r="C10" s="123" t="s">
        <v>198</v>
      </c>
      <c r="D10" s="121">
        <f>'Cell parameters'!D108/1000</f>
        <v>0.18654735136179232</v>
      </c>
      <c r="E10" s="116">
        <f>'Cell parameters'!E108/1000</f>
        <v>9.5346424029360499E-2</v>
      </c>
      <c r="F10" s="121">
        <f>'Cell parameters'!F108/1000</f>
        <v>0.24508417616559441</v>
      </c>
      <c r="G10" s="116">
        <f>'Cell parameters'!G108/1000</f>
        <v>0.1252652455957482</v>
      </c>
      <c r="H10" s="121">
        <f>'Cell parameters'!H108/1000</f>
        <v>0.23797881887378328</v>
      </c>
      <c r="I10" s="116">
        <f>'Cell parameters'!I108/1000</f>
        <v>0.12163361853548925</v>
      </c>
      <c r="J10" s="121">
        <f>'Cell parameters'!J108/1000</f>
        <v>0.19914030698827914</v>
      </c>
      <c r="K10" s="116">
        <f>'Cell parameters'!K108/1000</f>
        <v>0.10178282357178713</v>
      </c>
      <c r="L10" s="121">
        <f>'Cell parameters'!L108/1000</f>
        <v>0.17985833899815365</v>
      </c>
      <c r="M10" s="116">
        <f>'Cell parameters'!M108/1000</f>
        <v>9.1927595487945199E-2</v>
      </c>
      <c r="N10" s="121">
        <f>'Cell parameters'!N108/1000</f>
        <v>0.33235628766095276</v>
      </c>
      <c r="O10" s="116">
        <f>'Cell parameters'!O108/1000</f>
        <v>0.16987099147115359</v>
      </c>
      <c r="P10" s="121">
        <f>'Cell parameters'!P108/1000</f>
        <v>0.38131560258488661</v>
      </c>
      <c r="Q10" s="116">
        <f>'Cell parameters'!Q108/1000</f>
        <v>0.19489464132116427</v>
      </c>
      <c r="R10" s="121">
        <f>'Cell parameters'!R108/1000</f>
        <v>0.17499730280901435</v>
      </c>
      <c r="S10" s="116">
        <f>'Cell parameters'!S108/1000</f>
        <v>8.9443065880162889E-2</v>
      </c>
      <c r="T10" s="119"/>
      <c r="U10" s="119"/>
      <c r="V10" s="123" t="s">
        <v>198</v>
      </c>
      <c r="W10" s="96">
        <f>'Ecoinvent 3.10'!M5</f>
        <v>48.656594542983051</v>
      </c>
      <c r="X10" s="96">
        <f>'Ecoinvent 3.10'!N5</f>
        <v>16.254999999999999</v>
      </c>
      <c r="Y10" s="96">
        <f>'Ecoinvent 3.10'!O5</f>
        <v>73.988</v>
      </c>
      <c r="Z10" s="96">
        <f>'Ecoinvent 3.10'!P5</f>
        <v>7.0550000000000002E-2</v>
      </c>
      <c r="AA10" s="96">
        <f>'Ecoinvent 3.10'!Q5</f>
        <v>0.30114999999999997</v>
      </c>
      <c r="AB10" s="96">
        <f>'Ecoinvent 3.10'!R5</f>
        <v>9.2152999999999999E-2</v>
      </c>
      <c r="AC10" s="96">
        <f>'Ecoinvent 3.10'!S5</f>
        <v>4.8764000000000004E-3</v>
      </c>
      <c r="AD10" s="96">
        <f>'Ecoinvent 3.10'!T5</f>
        <v>1.4147000000000001</v>
      </c>
      <c r="AE10" s="96">
        <f>'Ecoinvent 3.10'!U5</f>
        <v>9.4739000000000004</v>
      </c>
      <c r="AF10" s="96">
        <f>'Ecoinvent 3.10'!V5</f>
        <v>19.216999999999999</v>
      </c>
      <c r="AG10" s="327">
        <f>'Ecoinvent 3.10'!W5</f>
        <v>3.1113999999999999E-2</v>
      </c>
      <c r="AH10" s="327">
        <f>'Ecoinvent 3.10'!X5</f>
        <v>3.3473999999999999</v>
      </c>
      <c r="AI10" s="327">
        <f>'Ecoinvent 3.10'!Y5</f>
        <v>0.30975000000000003</v>
      </c>
      <c r="AJ10" s="327">
        <f>'Ecoinvent 3.10'!Z5</f>
        <v>0.18704000000000001</v>
      </c>
      <c r="AK10" s="327">
        <f>'Ecoinvent 3.10'!AA5</f>
        <v>1.8706</v>
      </c>
      <c r="AL10" s="327">
        <f>'Ecoinvent 3.10'!AB5</f>
        <v>3.9468000000000001E-4</v>
      </c>
      <c r="AM10" s="327">
        <f>'Ecoinvent 3.10'!AC5</f>
        <v>4.1751999999999997E-2</v>
      </c>
      <c r="AN10" s="327">
        <f>'Ecoinvent 3.10'!AD5</f>
        <v>4.1027000000000001E-2</v>
      </c>
      <c r="AO10" s="119"/>
      <c r="AP10" s="8"/>
      <c r="AQ10" s="123" t="s">
        <v>198</v>
      </c>
      <c r="AR10" s="49">
        <f t="shared" ref="AR10:BC10" si="43">D10*$W10</f>
        <v>9.0767588382781259</v>
      </c>
      <c r="AS10" s="50">
        <f t="shared" si="43"/>
        <v>4.6392322951199301</v>
      </c>
      <c r="AT10" s="49">
        <f t="shared" si="43"/>
        <v>11.924961388590358</v>
      </c>
      <c r="AU10" s="50">
        <f t="shared" si="43"/>
        <v>6.0949802652795135</v>
      </c>
      <c r="AV10" s="49">
        <f t="shared" si="43"/>
        <v>11.579238899759675</v>
      </c>
      <c r="AW10" s="50">
        <f t="shared" si="43"/>
        <v>5.9182776598771678</v>
      </c>
      <c r="AX10" s="49">
        <f t="shared" si="43"/>
        <v>9.6894891742938718</v>
      </c>
      <c r="AY10" s="50">
        <f t="shared" si="43"/>
        <v>4.9524055779724243</v>
      </c>
      <c r="AZ10" s="49">
        <f t="shared" si="43"/>
        <v>8.7512942758075578</v>
      </c>
      <c r="BA10" s="50">
        <f>M10*$W10</f>
        <v>4.4728837409683075</v>
      </c>
      <c r="BB10" s="49">
        <f t="shared" si="43"/>
        <v>16.171325132530018</v>
      </c>
      <c r="BC10" s="50">
        <f t="shared" si="43"/>
        <v>8.2653439566264524</v>
      </c>
      <c r="BD10" s="49">
        <f t="shared" ref="BD10" si="44">P10*$W10</f>
        <v>18.553518667886088</v>
      </c>
      <c r="BE10" s="50">
        <f t="shared" ref="BE10" si="45">Q10*$W10</f>
        <v>9.4829095413640001</v>
      </c>
      <c r="BF10" s="49">
        <f t="shared" ref="BF10" si="46">R10*$W10</f>
        <v>8.5147728088938397</v>
      </c>
      <c r="BG10" s="50">
        <f t="shared" ref="BG10" si="47">S10*$W10</f>
        <v>4.3519949912124067</v>
      </c>
      <c r="BI10" s="156"/>
      <c r="BJ10" s="123" t="s">
        <v>198</v>
      </c>
      <c r="BK10" s="49">
        <f t="shared" ref="BK10:BZ10" si="48">D10*$X10</f>
        <v>3.0323271963859337</v>
      </c>
      <c r="BL10" s="49">
        <f t="shared" si="48"/>
        <v>1.5498561225972549</v>
      </c>
      <c r="BM10" s="49">
        <f t="shared" si="48"/>
        <v>3.983843283571737</v>
      </c>
      <c r="BN10" s="49">
        <f t="shared" si="48"/>
        <v>2.0361865671588868</v>
      </c>
      <c r="BO10" s="49">
        <f t="shared" si="48"/>
        <v>3.8683457007933471</v>
      </c>
      <c r="BP10" s="49">
        <f t="shared" si="48"/>
        <v>1.9771544692943777</v>
      </c>
      <c r="BQ10" s="49">
        <f t="shared" si="48"/>
        <v>3.2370256900944772</v>
      </c>
      <c r="BR10" s="49">
        <f t="shared" si="48"/>
        <v>1.6544797971593996</v>
      </c>
      <c r="BS10" s="49">
        <f t="shared" si="48"/>
        <v>2.9235973004149876</v>
      </c>
      <c r="BT10" s="49">
        <f t="shared" si="48"/>
        <v>1.494283064656549</v>
      </c>
      <c r="BU10" s="49">
        <f t="shared" si="48"/>
        <v>5.4024514559287873</v>
      </c>
      <c r="BV10" s="49">
        <f t="shared" si="48"/>
        <v>2.7612529663636014</v>
      </c>
      <c r="BW10" s="49">
        <f t="shared" si="48"/>
        <v>6.1982851200173315</v>
      </c>
      <c r="BX10" s="49">
        <f t="shared" si="48"/>
        <v>3.1680123946755252</v>
      </c>
      <c r="BY10" s="49">
        <f t="shared" si="48"/>
        <v>2.844581157160528</v>
      </c>
      <c r="BZ10" s="49">
        <f t="shared" si="48"/>
        <v>1.4538970358820478</v>
      </c>
      <c r="CA10" s="156"/>
      <c r="CB10" s="156"/>
      <c r="CC10" s="123" t="s">
        <v>198</v>
      </c>
      <c r="CD10" s="49">
        <f t="shared" ref="CD10:CS10" si="49">D10*$Y10</f>
        <v>13.80226543255629</v>
      </c>
      <c r="CE10" s="49">
        <f t="shared" si="49"/>
        <v>7.0544912210843247</v>
      </c>
      <c r="CF10" s="49">
        <f t="shared" si="49"/>
        <v>18.133288026140001</v>
      </c>
      <c r="CG10" s="49">
        <f t="shared" si="49"/>
        <v>9.2681249911382171</v>
      </c>
      <c r="CH10" s="49">
        <f t="shared" si="49"/>
        <v>17.607576850833478</v>
      </c>
      <c r="CI10" s="49">
        <f t="shared" si="49"/>
        <v>8.999428168203778</v>
      </c>
      <c r="CJ10" s="49">
        <f t="shared" si="49"/>
        <v>14.733993033448797</v>
      </c>
      <c r="CK10" s="49">
        <f t="shared" si="49"/>
        <v>7.5307075504293861</v>
      </c>
      <c r="CL10" s="49">
        <f t="shared" si="49"/>
        <v>13.307358785795392</v>
      </c>
      <c r="CM10" s="49">
        <f t="shared" si="49"/>
        <v>6.8015389349620889</v>
      </c>
      <c r="CN10" s="49">
        <f t="shared" si="49"/>
        <v>24.590377011458575</v>
      </c>
      <c r="CO10" s="220">
        <f t="shared" si="49"/>
        <v>12.568414916967711</v>
      </c>
      <c r="CP10" s="49">
        <f t="shared" si="49"/>
        <v>28.21277880405059</v>
      </c>
      <c r="CQ10" s="49">
        <f t="shared" si="49"/>
        <v>14.419864722070303</v>
      </c>
      <c r="CR10" s="49">
        <f t="shared" si="49"/>
        <v>12.947700440233353</v>
      </c>
      <c r="CS10" s="220">
        <f t="shared" si="49"/>
        <v>6.6177135583414914</v>
      </c>
      <c r="CV10" s="123" t="s">
        <v>198</v>
      </c>
      <c r="CW10" s="49">
        <f t="shared" ref="CW10:DL10" si="50">D10*$Z10</f>
        <v>1.3160915638574449E-2</v>
      </c>
      <c r="CX10" s="49">
        <f t="shared" si="50"/>
        <v>6.7266902152713836E-3</v>
      </c>
      <c r="CY10" s="49">
        <f t="shared" si="50"/>
        <v>1.7290688628482688E-2</v>
      </c>
      <c r="CZ10" s="49">
        <f t="shared" si="50"/>
        <v>8.8374630767800357E-3</v>
      </c>
      <c r="DA10" s="49">
        <f t="shared" si="50"/>
        <v>1.678940567154541E-2</v>
      </c>
      <c r="DB10" s="49">
        <f t="shared" si="50"/>
        <v>8.5812517876787675E-3</v>
      </c>
      <c r="DC10" s="49">
        <f t="shared" si="50"/>
        <v>1.4049348658023094E-2</v>
      </c>
      <c r="DD10" s="49">
        <f t="shared" si="50"/>
        <v>7.1807782029895822E-3</v>
      </c>
      <c r="DE10" s="49">
        <f t="shared" si="50"/>
        <v>1.2689005816319741E-2</v>
      </c>
      <c r="DF10" s="49">
        <f t="shared" si="50"/>
        <v>6.4854918616745342E-3</v>
      </c>
      <c r="DG10" s="49">
        <f t="shared" si="50"/>
        <v>2.3447736094480219E-2</v>
      </c>
      <c r="DH10" s="49">
        <f t="shared" si="50"/>
        <v>1.1984398448289886E-2</v>
      </c>
      <c r="DI10" s="49">
        <f t="shared" si="50"/>
        <v>2.6901815762363751E-2</v>
      </c>
      <c r="DJ10" s="49">
        <f t="shared" si="50"/>
        <v>1.3749816945208139E-2</v>
      </c>
      <c r="DK10" s="49">
        <f t="shared" si="50"/>
        <v>1.2346059713175962E-2</v>
      </c>
      <c r="DL10" s="49">
        <f t="shared" si="50"/>
        <v>6.3102082978454916E-3</v>
      </c>
      <c r="DO10" s="123" t="s">
        <v>198</v>
      </c>
      <c r="DP10" s="49">
        <f t="shared" ref="DP10:EE10" si="51">D10*$AA10</f>
        <v>5.6178734862603753E-2</v>
      </c>
      <c r="DQ10" s="49">
        <f t="shared" si="51"/>
        <v>2.8713575596441911E-2</v>
      </c>
      <c r="DR10" s="49">
        <f t="shared" si="51"/>
        <v>7.3807099652268754E-2</v>
      </c>
      <c r="DS10" s="49">
        <f t="shared" si="51"/>
        <v>3.7723628711159564E-2</v>
      </c>
      <c r="DT10" s="49">
        <f t="shared" si="51"/>
        <v>7.166732130383982E-2</v>
      </c>
      <c r="DU10" s="49">
        <f t="shared" si="51"/>
        <v>3.6629964221962581E-2</v>
      </c>
      <c r="DV10" s="49">
        <f t="shared" si="51"/>
        <v>5.9971103449520259E-2</v>
      </c>
      <c r="DW10" s="49">
        <f t="shared" si="51"/>
        <v>3.0651897318643689E-2</v>
      </c>
      <c r="DX10" s="49">
        <f t="shared" si="51"/>
        <v>5.416433878929397E-2</v>
      </c>
      <c r="DY10" s="49">
        <f t="shared" si="51"/>
        <v>2.7683995381194693E-2</v>
      </c>
      <c r="DZ10" s="49">
        <f t="shared" si="51"/>
        <v>0.10008909602909592</v>
      </c>
      <c r="EA10" s="49">
        <f t="shared" si="51"/>
        <v>5.11566490815379E-2</v>
      </c>
      <c r="EB10" s="49">
        <f t="shared" si="51"/>
        <v>0.1148331937184386</v>
      </c>
      <c r="EC10" s="49">
        <f t="shared" si="51"/>
        <v>5.8692521233868616E-2</v>
      </c>
      <c r="ED10" s="49">
        <f t="shared" si="51"/>
        <v>5.2700437740934664E-2</v>
      </c>
      <c r="EE10" s="49">
        <f t="shared" si="51"/>
        <v>2.693577928981105E-2</v>
      </c>
      <c r="EH10" s="123" t="s">
        <v>198</v>
      </c>
      <c r="EI10" s="49">
        <f t="shared" ref="EI10:ET10" si="52">D10*$AB10</f>
        <v>1.7190898070043249E-2</v>
      </c>
      <c r="EJ10" s="49">
        <f t="shared" si="52"/>
        <v>8.786459013577658E-3</v>
      </c>
      <c r="EK10" s="49">
        <f t="shared" si="52"/>
        <v>2.258524208618802E-2</v>
      </c>
      <c r="EL10" s="49">
        <f t="shared" si="52"/>
        <v>1.1543568177384984E-2</v>
      </c>
      <c r="EM10" s="49">
        <f t="shared" si="52"/>
        <v>2.193046209567575E-2</v>
      </c>
      <c r="EN10" s="49">
        <f t="shared" si="52"/>
        <v>1.1208902848900941E-2</v>
      </c>
      <c r="EO10" s="49">
        <f t="shared" si="52"/>
        <v>1.8351376709890888E-2</v>
      </c>
      <c r="EP10" s="49">
        <f t="shared" si="52"/>
        <v>9.3795925406108989E-3</v>
      </c>
      <c r="EQ10" s="49">
        <f t="shared" si="52"/>
        <v>1.6574485513696852E-2</v>
      </c>
      <c r="ER10" s="49">
        <f t="shared" si="52"/>
        <v>8.4714037070006132E-3</v>
      </c>
      <c r="ES10" s="49">
        <f t="shared" si="52"/>
        <v>3.0627628976819778E-2</v>
      </c>
      <c r="ET10" s="49">
        <f t="shared" si="52"/>
        <v>1.5654121477041216E-2</v>
      </c>
      <c r="EU10" s="49">
        <f t="shared" ref="EU10" si="53">P10*$AB10</f>
        <v>3.5139376725005056E-2</v>
      </c>
      <c r="EV10" s="49">
        <f t="shared" ref="EV10" si="54">Q10*$AB10</f>
        <v>1.7960125881669252E-2</v>
      </c>
      <c r="EW10" s="49">
        <f t="shared" ref="EW10" si="55">R10*$AB10</f>
        <v>1.6126526445759098E-2</v>
      </c>
      <c r="EX10" s="49">
        <f t="shared" ref="EX10" si="56">S10*$AB10</f>
        <v>8.2424468500546504E-3</v>
      </c>
      <c r="FA10" s="123" t="s">
        <v>198</v>
      </c>
      <c r="FB10" s="53">
        <f t="shared" ref="FB10:FM10" si="57">D10*$AC10</f>
        <v>9.0967950418064411E-4</v>
      </c>
      <c r="FC10" s="53">
        <f t="shared" si="57"/>
        <v>4.6494730213677356E-4</v>
      </c>
      <c r="FD10" s="53">
        <f t="shared" si="57"/>
        <v>1.1951284766539047E-3</v>
      </c>
      <c r="FE10" s="53">
        <f t="shared" si="57"/>
        <v>6.1084344362310659E-4</v>
      </c>
      <c r="FF10" s="53">
        <f t="shared" si="57"/>
        <v>1.1604799123561169E-3</v>
      </c>
      <c r="FG10" s="53">
        <f t="shared" si="57"/>
        <v>5.9313417742645985E-4</v>
      </c>
      <c r="FH10" s="53">
        <f t="shared" si="57"/>
        <v>9.7108779299764447E-4</v>
      </c>
      <c r="FI10" s="53">
        <f t="shared" si="57"/>
        <v>4.9633376086546282E-4</v>
      </c>
      <c r="FJ10" s="53">
        <f t="shared" si="57"/>
        <v>8.7706120429059654E-4</v>
      </c>
      <c r="FK10" s="53">
        <f t="shared" si="57"/>
        <v>4.4827572663741602E-4</v>
      </c>
      <c r="FL10" s="53">
        <f t="shared" si="57"/>
        <v>1.6207022011498701E-3</v>
      </c>
      <c r="FM10" s="53">
        <f t="shared" si="57"/>
        <v>8.2835890280993343E-4</v>
      </c>
      <c r="FN10" s="53">
        <f t="shared" ref="FN10" si="58">P10*$AC10</f>
        <v>1.8594474044449413E-3</v>
      </c>
      <c r="FO10" s="53">
        <f t="shared" ref="FO10" si="59">Q10*$AC10</f>
        <v>9.5038422893852555E-4</v>
      </c>
      <c r="FP10" s="53">
        <f t="shared" ref="FP10" si="60">R10*$AC10</f>
        <v>8.5335684741787762E-4</v>
      </c>
      <c r="FQ10" s="53">
        <f t="shared" ref="FQ10" si="61">S10*$AC10</f>
        <v>4.3616016645802634E-4</v>
      </c>
      <c r="FT10" s="123" t="s">
        <v>198</v>
      </c>
      <c r="FU10" s="49">
        <f t="shared" ref="FU10:GF10" si="62">D10*$AD10</f>
        <v>0.26390853797152758</v>
      </c>
      <c r="FV10" s="49">
        <f t="shared" si="62"/>
        <v>0.13488658607433632</v>
      </c>
      <c r="FW10" s="49">
        <f t="shared" si="62"/>
        <v>0.34672058402146644</v>
      </c>
      <c r="FX10" s="49">
        <f t="shared" si="62"/>
        <v>0.17721274294430497</v>
      </c>
      <c r="FY10" s="49">
        <f t="shared" si="62"/>
        <v>0.33666863506074124</v>
      </c>
      <c r="FZ10" s="49">
        <f t="shared" si="62"/>
        <v>0.17207508014215664</v>
      </c>
      <c r="GA10" s="49">
        <f t="shared" si="62"/>
        <v>0.2817237922963185</v>
      </c>
      <c r="GB10" s="49">
        <f t="shared" si="62"/>
        <v>0.14399216050700725</v>
      </c>
      <c r="GC10" s="49">
        <f t="shared" si="62"/>
        <v>0.25444559218068796</v>
      </c>
      <c r="GD10" s="49">
        <f t="shared" si="62"/>
        <v>0.13004996933679608</v>
      </c>
      <c r="GE10" s="49">
        <f t="shared" si="62"/>
        <v>0.47018444015394989</v>
      </c>
      <c r="GF10" s="49">
        <f t="shared" si="62"/>
        <v>0.24031649163424099</v>
      </c>
      <c r="GG10" s="49">
        <f t="shared" ref="GG10" si="63">P10*$AD10</f>
        <v>0.53944718297683913</v>
      </c>
      <c r="GH10" s="49">
        <f t="shared" ref="GH10" si="64">Q10*$AD10</f>
        <v>0.27571744907705109</v>
      </c>
      <c r="GI10" s="49">
        <f t="shared" ref="GI10" si="65">R10*$AD10</f>
        <v>0.2475686842839126</v>
      </c>
      <c r="GJ10" s="49">
        <f t="shared" ref="GJ10" si="66">S10*$AD10</f>
        <v>0.12653510530066645</v>
      </c>
      <c r="GM10" s="123" t="s">
        <v>198</v>
      </c>
      <c r="GN10" s="49">
        <f t="shared" ref="GN10:GY10" si="67">D10*$AE10</f>
        <v>1.7673309520664844</v>
      </c>
      <c r="GO10" s="49">
        <f t="shared" si="67"/>
        <v>0.90330248661175849</v>
      </c>
      <c r="GP10" s="49">
        <f t="shared" si="67"/>
        <v>2.3219029765752248</v>
      </c>
      <c r="GQ10" s="49">
        <f t="shared" si="67"/>
        <v>1.186750410249559</v>
      </c>
      <c r="GR10" s="49">
        <f t="shared" si="67"/>
        <v>2.2545875321283355</v>
      </c>
      <c r="GS10" s="49">
        <f t="shared" si="67"/>
        <v>1.1523447386433716</v>
      </c>
      <c r="GT10" s="49">
        <f t="shared" si="67"/>
        <v>1.886635354376258</v>
      </c>
      <c r="GU10" s="49">
        <f t="shared" si="67"/>
        <v>0.96428029223675404</v>
      </c>
      <c r="GV10" s="49">
        <f t="shared" si="67"/>
        <v>1.7039599178346079</v>
      </c>
      <c r="GW10" s="49">
        <f t="shared" si="67"/>
        <v>0.87091284689324411</v>
      </c>
      <c r="GX10" s="49">
        <f t="shared" si="67"/>
        <v>3.1487102336711006</v>
      </c>
      <c r="GY10" s="49">
        <f t="shared" si="67"/>
        <v>1.609340786098562</v>
      </c>
      <c r="GZ10" s="49">
        <f t="shared" ref="GZ10" si="68">P10*$AE10</f>
        <v>3.6125458873289573</v>
      </c>
      <c r="HA10" s="49">
        <f t="shared" ref="HA10" si="69">Q10*$AE10</f>
        <v>1.8464123424125782</v>
      </c>
      <c r="HB10" s="49">
        <f t="shared" ref="HB10" si="70">R10*$AE10</f>
        <v>1.6579069470823211</v>
      </c>
      <c r="HC10" s="49">
        <f t="shared" ref="HC10" si="71">S10*$AE10</f>
        <v>0.84737466184207522</v>
      </c>
      <c r="HF10" s="123" t="s">
        <v>198</v>
      </c>
      <c r="HG10" s="49">
        <f t="shared" ref="HG10:HR10" si="72">D10*$AF10</f>
        <v>3.5848804511195627</v>
      </c>
      <c r="HH10" s="49">
        <f t="shared" si="72"/>
        <v>1.8322722305722206</v>
      </c>
      <c r="HI10" s="49">
        <f t="shared" si="72"/>
        <v>4.7097826133742275</v>
      </c>
      <c r="HJ10" s="49">
        <f t="shared" si="72"/>
        <v>2.4072222246134931</v>
      </c>
      <c r="HK10" s="49">
        <f t="shared" si="72"/>
        <v>4.5732389622974932</v>
      </c>
      <c r="HL10" s="49">
        <f t="shared" si="72"/>
        <v>2.3374332473964969</v>
      </c>
      <c r="HM10" s="49">
        <f t="shared" si="72"/>
        <v>3.82687927939376</v>
      </c>
      <c r="HN10" s="49">
        <f t="shared" si="72"/>
        <v>1.9559605205790331</v>
      </c>
      <c r="HO10" s="49">
        <f t="shared" si="72"/>
        <v>3.4563377005275187</v>
      </c>
      <c r="HP10" s="49">
        <f t="shared" si="72"/>
        <v>1.7665726024918427</v>
      </c>
      <c r="HQ10" s="49">
        <f t="shared" si="72"/>
        <v>6.3868907799805292</v>
      </c>
      <c r="HR10" s="49">
        <f t="shared" si="72"/>
        <v>3.2644108431011585</v>
      </c>
      <c r="HS10" s="49">
        <f t="shared" ref="HS10" si="73">P10*$AF10</f>
        <v>7.3277419348737656</v>
      </c>
      <c r="HT10" s="49">
        <f t="shared" ref="HT10" si="74">Q10*$AF10</f>
        <v>3.7452903222688136</v>
      </c>
      <c r="HU10" s="49">
        <f t="shared" ref="HU10" si="75">R10*$AF10</f>
        <v>3.3629231680808287</v>
      </c>
      <c r="HV10" s="49">
        <f t="shared" ref="HV10" si="76">S10*$AF10</f>
        <v>1.7188273970190902</v>
      </c>
      <c r="HY10" s="337" t="s">
        <v>198</v>
      </c>
      <c r="HZ10" s="338">
        <f t="shared" ref="HZ10:IK10" si="77">D10*$AG10</f>
        <v>5.8042342902708058E-3</v>
      </c>
      <c r="IA10" s="338">
        <f t="shared" si="77"/>
        <v>2.9666086372495226E-3</v>
      </c>
      <c r="IB10" s="338">
        <f t="shared" si="77"/>
        <v>7.6255490572163043E-3</v>
      </c>
      <c r="IC10" s="338">
        <f t="shared" si="77"/>
        <v>3.8975028514661092E-3</v>
      </c>
      <c r="ID10" s="338">
        <f t="shared" si="77"/>
        <v>7.4044729704388929E-3</v>
      </c>
      <c r="IE10" s="338">
        <f t="shared" si="77"/>
        <v>3.7845084071132123E-3</v>
      </c>
      <c r="IF10" s="338">
        <f t="shared" si="77"/>
        <v>6.1960515116333175E-3</v>
      </c>
      <c r="IG10" s="338">
        <f t="shared" si="77"/>
        <v>3.1668707726125846E-3</v>
      </c>
      <c r="IH10" s="338">
        <f t="shared" si="77"/>
        <v>5.5961123595885528E-3</v>
      </c>
      <c r="II10" s="338">
        <f t="shared" si="77"/>
        <v>2.8602352060119267E-3</v>
      </c>
      <c r="IJ10" s="338">
        <f t="shared" si="77"/>
        <v>1.0340933534282884E-2</v>
      </c>
      <c r="IK10" s="338">
        <f t="shared" si="77"/>
        <v>5.2853660286334729E-3</v>
      </c>
      <c r="IL10" s="338">
        <f t="shared" ref="IL10" si="78">P10*$AG10</f>
        <v>1.1864253658826162E-2</v>
      </c>
      <c r="IM10" s="338">
        <f t="shared" ref="IM10" si="79">Q10*$AG10</f>
        <v>6.063951870066705E-3</v>
      </c>
      <c r="IN10" s="338">
        <f t="shared" ref="IN10" si="80">R10*$AG10</f>
        <v>5.4448660795996719E-3</v>
      </c>
      <c r="IO10" s="338">
        <f t="shared" ref="IO10" si="81">S10*$AG10</f>
        <v>2.7829315517953882E-3</v>
      </c>
      <c r="IR10" s="337" t="s">
        <v>198</v>
      </c>
      <c r="IS10" s="338">
        <f t="shared" ref="IS10:JD10" si="82">D10*$AH10</f>
        <v>0.62444860394846358</v>
      </c>
      <c r="IT10" s="338">
        <f t="shared" si="82"/>
        <v>0.31916261979588134</v>
      </c>
      <c r="IU10" s="338">
        <f t="shared" si="82"/>
        <v>0.82039477129671068</v>
      </c>
      <c r="IV10" s="338">
        <f t="shared" si="82"/>
        <v>0.41931288310720749</v>
      </c>
      <c r="IW10" s="338">
        <f t="shared" si="82"/>
        <v>0.79661029829810215</v>
      </c>
      <c r="IX10" s="338">
        <f t="shared" si="82"/>
        <v>0.40715637468569671</v>
      </c>
      <c r="IY10" s="338">
        <f t="shared" si="82"/>
        <v>0.66660226361256558</v>
      </c>
      <c r="IZ10" s="338">
        <f t="shared" si="82"/>
        <v>0.34070782362420021</v>
      </c>
      <c r="JA10" s="338">
        <f t="shared" si="82"/>
        <v>0.60205780396241948</v>
      </c>
      <c r="JB10" s="338">
        <f t="shared" si="82"/>
        <v>0.30771843313634778</v>
      </c>
      <c r="JC10" s="338">
        <f t="shared" si="82"/>
        <v>1.1125294373162733</v>
      </c>
      <c r="JD10" s="338">
        <f t="shared" si="82"/>
        <v>0.56862615685053952</v>
      </c>
      <c r="JE10" s="338">
        <f t="shared" ref="JE10" si="83">P10*$AH10</f>
        <v>1.2764158480926495</v>
      </c>
      <c r="JF10" s="338">
        <f t="shared" ref="JF10" si="84">Q10*$AH10</f>
        <v>0.65239032235846528</v>
      </c>
      <c r="JG10" s="338">
        <f t="shared" ref="JG10" si="85">R10*$AH10</f>
        <v>0.58578597142289457</v>
      </c>
      <c r="JH10" s="338">
        <f t="shared" ref="JH10" si="86">S10*$AH10</f>
        <v>0.29940171872725724</v>
      </c>
      <c r="JK10" s="337" t="s">
        <v>198</v>
      </c>
      <c r="JL10" s="338">
        <f t="shared" ref="JL10:JW10" si="87">D10*$AI10</f>
        <v>5.7783042084315173E-2</v>
      </c>
      <c r="JM10" s="338">
        <f t="shared" si="87"/>
        <v>2.9533554843094417E-2</v>
      </c>
      <c r="JN10" s="338">
        <f t="shared" si="87"/>
        <v>7.5914823567292872E-2</v>
      </c>
      <c r="JO10" s="338">
        <f t="shared" si="87"/>
        <v>3.8800909823283006E-2</v>
      </c>
      <c r="JP10" s="338">
        <f t="shared" si="87"/>
        <v>7.3713939146154372E-2</v>
      </c>
      <c r="JQ10" s="338">
        <f t="shared" si="87"/>
        <v>3.7676013341367796E-2</v>
      </c>
      <c r="JR10" s="338">
        <f t="shared" si="87"/>
        <v>6.1683710089619467E-2</v>
      </c>
      <c r="JS10" s="338">
        <f t="shared" si="87"/>
        <v>3.1527229601361062E-2</v>
      </c>
      <c r="JT10" s="338">
        <f t="shared" si="87"/>
        <v>5.5711120504678101E-2</v>
      </c>
      <c r="JU10" s="338">
        <f t="shared" si="87"/>
        <v>2.8474572702391027E-2</v>
      </c>
      <c r="JV10" s="338">
        <f t="shared" si="87"/>
        <v>0.10294736010298013</v>
      </c>
      <c r="JW10" s="338">
        <f t="shared" si="87"/>
        <v>5.261753960818983E-2</v>
      </c>
      <c r="JX10" s="338">
        <f t="shared" ref="JX10" si="88">P10*$AI10</f>
        <v>0.11811250790066864</v>
      </c>
      <c r="JY10" s="338">
        <f t="shared" ref="JY10" si="89">Q10*$AI10</f>
        <v>6.0368615149230635E-2</v>
      </c>
      <c r="JZ10" s="338">
        <f t="shared" ref="JZ10" si="90">R10*$AI10</f>
        <v>5.4205414545092201E-2</v>
      </c>
      <c r="KA10" s="338">
        <f t="shared" ref="KA10" si="91">S10*$AI10</f>
        <v>2.7704989656380456E-2</v>
      </c>
      <c r="KD10" s="337" t="s">
        <v>198</v>
      </c>
      <c r="KE10" s="338">
        <f t="shared" ref="KE10:KP10" si="92">D10*$AJ10</f>
        <v>3.4891816598709637E-2</v>
      </c>
      <c r="KF10" s="338">
        <f t="shared" si="92"/>
        <v>1.7833595150451589E-2</v>
      </c>
      <c r="KG10" s="338">
        <f t="shared" si="92"/>
        <v>4.5840544310012783E-2</v>
      </c>
      <c r="KH10" s="338">
        <f t="shared" si="92"/>
        <v>2.3429611536228745E-2</v>
      </c>
      <c r="KI10" s="338">
        <f t="shared" si="92"/>
        <v>4.4511558282152426E-2</v>
      </c>
      <c r="KJ10" s="338">
        <f t="shared" si="92"/>
        <v>2.2750352010877911E-2</v>
      </c>
      <c r="KK10" s="338">
        <f t="shared" si="92"/>
        <v>3.7247203019087731E-2</v>
      </c>
      <c r="KL10" s="338">
        <f t="shared" si="92"/>
        <v>1.9037459320867065E-2</v>
      </c>
      <c r="KM10" s="338">
        <f t="shared" si="92"/>
        <v>3.3640703726214659E-2</v>
      </c>
      <c r="KN10" s="338">
        <f t="shared" si="92"/>
        <v>1.7194137460065272E-2</v>
      </c>
      <c r="KO10" s="338">
        <f t="shared" si="92"/>
        <v>6.2163920044104606E-2</v>
      </c>
      <c r="KP10" s="338">
        <f t="shared" si="92"/>
        <v>3.1772670244764566E-2</v>
      </c>
      <c r="KQ10" s="338">
        <f t="shared" ref="KQ10" si="93">P10*$AJ10</f>
        <v>7.1321270307477203E-2</v>
      </c>
      <c r="KR10" s="338">
        <f t="shared" ref="KR10" si="94">Q10*$AJ10</f>
        <v>3.645309371271057E-2</v>
      </c>
      <c r="KS10" s="338">
        <f t="shared" ref="KS10" si="95">R10*$AJ10</f>
        <v>3.2731495517398047E-2</v>
      </c>
      <c r="KT10" s="338">
        <f t="shared" ref="KT10" si="96">S10*$AJ10</f>
        <v>1.6729431042225667E-2</v>
      </c>
      <c r="KW10" s="337" t="s">
        <v>198</v>
      </c>
      <c r="KX10" s="338">
        <f t="shared" ref="KX10:LI10" si="97">D10*$AK10</f>
        <v>0.34895547545736871</v>
      </c>
      <c r="KY10" s="338">
        <f t="shared" si="97"/>
        <v>0.17835502078932175</v>
      </c>
      <c r="KZ10" s="338">
        <f t="shared" si="97"/>
        <v>0.45845445993536094</v>
      </c>
      <c r="LA10" s="338">
        <f t="shared" si="97"/>
        <v>0.23432116841140657</v>
      </c>
      <c r="LB10" s="338">
        <f t="shared" si="97"/>
        <v>0.44516317858529902</v>
      </c>
      <c r="LC10" s="338">
        <f t="shared" si="97"/>
        <v>0.2275278468324862</v>
      </c>
      <c r="LD10" s="338">
        <f t="shared" si="97"/>
        <v>0.37251185825227495</v>
      </c>
      <c r="LE10" s="338">
        <f t="shared" si="97"/>
        <v>0.190394949773385</v>
      </c>
      <c r="LF10" s="338">
        <f t="shared" si="97"/>
        <v>0.33644300892994622</v>
      </c>
      <c r="LG10" s="338">
        <f t="shared" si="97"/>
        <v>0.17195976011975028</v>
      </c>
      <c r="LH10" s="338">
        <f t="shared" si="97"/>
        <v>0.62170567169857827</v>
      </c>
      <c r="LI10" s="338">
        <f t="shared" si="97"/>
        <v>0.31776067664593993</v>
      </c>
      <c r="LJ10" s="338">
        <f t="shared" ref="LJ10" si="98">P10*$AK10</f>
        <v>0.71328896619528892</v>
      </c>
      <c r="LK10" s="338">
        <f t="shared" ref="LK10" si="99">Q10*$AK10</f>
        <v>0.36456991605536987</v>
      </c>
      <c r="LL10" s="338">
        <f t="shared" ref="LL10" si="100">R10*$AK10</f>
        <v>0.32734995463454225</v>
      </c>
      <c r="LM10" s="338">
        <f t="shared" ref="LM10" si="101">S10*$AK10</f>
        <v>0.16731219903543271</v>
      </c>
      <c r="LP10" s="337" t="s">
        <v>198</v>
      </c>
      <c r="LQ10" s="338">
        <f t="shared" ref="LQ10:MB10" si="102">D10*$AL10</f>
        <v>7.362650863547219E-5</v>
      </c>
      <c r="LR10" s="338">
        <f t="shared" si="102"/>
        <v>3.7631326635908004E-5</v>
      </c>
      <c r="LS10" s="338">
        <f t="shared" si="102"/>
        <v>9.6729822649036811E-5</v>
      </c>
      <c r="LT10" s="338">
        <f t="shared" si="102"/>
        <v>4.9439687131729898E-5</v>
      </c>
      <c r="LU10" s="338">
        <f t="shared" si="102"/>
        <v>9.3925480233104781E-5</v>
      </c>
      <c r="LV10" s="338">
        <f t="shared" si="102"/>
        <v>4.8006356563586898E-5</v>
      </c>
      <c r="LW10" s="338">
        <f t="shared" si="102"/>
        <v>7.8596696362134017E-5</v>
      </c>
      <c r="LX10" s="338">
        <f t="shared" si="102"/>
        <v>4.0171644807312944E-5</v>
      </c>
      <c r="LY10" s="338">
        <f t="shared" si="102"/>
        <v>7.0986489235791284E-5</v>
      </c>
      <c r="LZ10" s="338">
        <f t="shared" si="102"/>
        <v>3.6281983387182212E-5</v>
      </c>
      <c r="MA10" s="338">
        <f t="shared" si="102"/>
        <v>1.3117437961402483E-4</v>
      </c>
      <c r="MB10" s="338">
        <f t="shared" si="102"/>
        <v>6.7044682913834901E-5</v>
      </c>
      <c r="MC10" s="338">
        <f t="shared" ref="MC10" si="103">P10*$AL10</f>
        <v>1.5049764202820304E-4</v>
      </c>
      <c r="MD10" s="338">
        <f t="shared" ref="MD10" si="104">Q10*$AL10</f>
        <v>7.692101703663712E-5</v>
      </c>
      <c r="ME10" s="338">
        <f t="shared" ref="ME10" si="105">R10*$AL10</f>
        <v>6.9067935472661785E-5</v>
      </c>
      <c r="MF10" s="338">
        <f t="shared" ref="MF10" si="106">S10*$AL10</f>
        <v>3.5301389241582691E-5</v>
      </c>
      <c r="MI10" s="337" t="s">
        <v>198</v>
      </c>
      <c r="MJ10" s="338">
        <f t="shared" ref="MJ10:MU10" si="107">D10*$AM10</f>
        <v>7.7887250140575527E-3</v>
      </c>
      <c r="MK10" s="338">
        <f t="shared" si="107"/>
        <v>3.9809038960738593E-3</v>
      </c>
      <c r="ML10" s="338">
        <f t="shared" si="107"/>
        <v>1.0232754523265898E-2</v>
      </c>
      <c r="MM10" s="338">
        <f t="shared" si="107"/>
        <v>5.2300745341136781E-3</v>
      </c>
      <c r="MN10" s="338">
        <f t="shared" si="107"/>
        <v>9.9360916456181989E-3</v>
      </c>
      <c r="MO10" s="338">
        <f t="shared" si="107"/>
        <v>5.0784468410937471E-3</v>
      </c>
      <c r="MP10" s="338">
        <f t="shared" si="107"/>
        <v>8.3145060973746302E-3</v>
      </c>
      <c r="MQ10" s="338">
        <f t="shared" si="107"/>
        <v>4.2496364497692559E-3</v>
      </c>
      <c r="MR10" s="338">
        <f t="shared" si="107"/>
        <v>7.5094453698509103E-3</v>
      </c>
      <c r="MS10" s="338">
        <f t="shared" si="107"/>
        <v>3.8381609668126878E-3</v>
      </c>
      <c r="MT10" s="338">
        <f t="shared" si="107"/>
        <v>1.38765397224201E-2</v>
      </c>
      <c r="MU10" s="338">
        <f t="shared" si="107"/>
        <v>7.0924536359036044E-3</v>
      </c>
      <c r="MV10" s="338">
        <f t="shared" ref="MV10" si="108">P10*$AM10</f>
        <v>1.5920689039124185E-2</v>
      </c>
      <c r="MW10" s="338">
        <f t="shared" ref="MW10" si="109">Q10*$AM10</f>
        <v>8.1372410644412509E-3</v>
      </c>
      <c r="MX10" s="338">
        <f t="shared" ref="MX10" si="110">R10*$AM10</f>
        <v>7.306487386881967E-3</v>
      </c>
      <c r="MY10" s="338">
        <f t="shared" ref="MY10" si="111">S10*$AM10</f>
        <v>3.7344268866285608E-3</v>
      </c>
      <c r="NB10" s="337" t="s">
        <v>198</v>
      </c>
      <c r="NC10" s="338">
        <f t="shared" ref="NC10:NN10" si="112">D10*$AN10</f>
        <v>7.6534781843202535E-3</v>
      </c>
      <c r="ND10" s="338">
        <f t="shared" si="112"/>
        <v>3.9117777386525731E-3</v>
      </c>
      <c r="NE10" s="338">
        <f t="shared" si="112"/>
        <v>1.0055068495545843E-2</v>
      </c>
      <c r="NF10" s="338">
        <f t="shared" si="112"/>
        <v>5.1392572310567618E-3</v>
      </c>
      <c r="NG10" s="338">
        <f t="shared" si="112"/>
        <v>9.7635570019347067E-3</v>
      </c>
      <c r="NH10" s="338">
        <f t="shared" si="112"/>
        <v>4.9902624676555173E-3</v>
      </c>
      <c r="NI10" s="338">
        <f t="shared" si="112"/>
        <v>8.1701293748081289E-3</v>
      </c>
      <c r="NJ10" s="338">
        <f t="shared" si="112"/>
        <v>4.1758439026797108E-3</v>
      </c>
      <c r="NK10" s="338">
        <f t="shared" si="112"/>
        <v>7.3790480740772496E-3</v>
      </c>
      <c r="NL10" s="338">
        <f t="shared" si="112"/>
        <v>3.7715134600839278E-3</v>
      </c>
      <c r="NM10" s="338">
        <f t="shared" si="112"/>
        <v>1.3635581413865909E-2</v>
      </c>
      <c r="NN10" s="338">
        <f t="shared" si="112"/>
        <v>6.969297167087018E-3</v>
      </c>
      <c r="NO10" s="338">
        <f t="shared" ref="NO10" si="113">P10*$AN10</f>
        <v>1.5644235227250145E-2</v>
      </c>
      <c r="NP10" s="338">
        <f t="shared" ref="NP10" si="114">Q10*$AN10</f>
        <v>7.995942449483406E-3</v>
      </c>
      <c r="NQ10" s="338">
        <f t="shared" ref="NQ10" si="115">R10*$AN10</f>
        <v>7.1796143423454315E-3</v>
      </c>
      <c r="NR10" s="338">
        <f t="shared" ref="NR10" si="116">S10*$AN10</f>
        <v>3.6695806638654431E-3</v>
      </c>
    </row>
    <row r="11" spans="2:386" ht="12.75" customHeight="1" x14ac:dyDescent="0.2">
      <c r="B11" s="734"/>
      <c r="C11" s="123" t="s">
        <v>218</v>
      </c>
      <c r="D11" s="121">
        <f t="shared" ref="D11:O11" si="117">SUM(D12:D15)+D36</f>
        <v>2.8998619665703913</v>
      </c>
      <c r="E11" s="116">
        <f t="shared" si="117"/>
        <v>2.8998619665703913</v>
      </c>
      <c r="F11" s="121">
        <f t="shared" si="117"/>
        <v>3.8790361371006528</v>
      </c>
      <c r="G11" s="116">
        <f t="shared" si="117"/>
        <v>3.8790361371006528</v>
      </c>
      <c r="H11" s="121">
        <f t="shared" si="117"/>
        <v>3.7808326905917751</v>
      </c>
      <c r="I11" s="116">
        <f t="shared" si="117"/>
        <v>3.780832690591776</v>
      </c>
      <c r="J11" s="121">
        <f t="shared" si="117"/>
        <v>3.144060869018424</v>
      </c>
      <c r="K11" s="116">
        <f t="shared" si="117"/>
        <v>3.144060869018424</v>
      </c>
      <c r="L11" s="121">
        <f t="shared" si="117"/>
        <v>2.8446265005404792</v>
      </c>
      <c r="M11" s="116">
        <f t="shared" si="117"/>
        <v>2.8446265005404792</v>
      </c>
      <c r="N11" s="121">
        <f t="shared" si="117"/>
        <v>4.200268817204301</v>
      </c>
      <c r="O11" s="116">
        <f t="shared" si="117"/>
        <v>4.200268817204301</v>
      </c>
      <c r="P11" s="121">
        <f>SUM(P12:P15)+P36</f>
        <v>5.3099694676755611</v>
      </c>
      <c r="Q11" s="116">
        <f>SUM(Q12:Q15)+Q36</f>
        <v>5.3099694676755611</v>
      </c>
      <c r="R11" s="121">
        <f t="shared" ref="R11:S11" si="118">SUM(R12:R15)+R36</f>
        <v>2.8392447747286456</v>
      </c>
      <c r="S11" s="116">
        <f t="shared" si="118"/>
        <v>2.8392447747286456</v>
      </c>
      <c r="T11" s="119"/>
      <c r="U11" s="119"/>
      <c r="V11" s="123" t="s">
        <v>218</v>
      </c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327"/>
      <c r="AH11" s="327"/>
      <c r="AI11" s="327"/>
      <c r="AJ11" s="327"/>
      <c r="AK11" s="327"/>
      <c r="AL11" s="327"/>
      <c r="AM11" s="327"/>
      <c r="AN11" s="327"/>
      <c r="AO11" s="119"/>
      <c r="AP11" s="8"/>
      <c r="AQ11" s="123" t="s">
        <v>218</v>
      </c>
      <c r="AR11" s="49">
        <f>AR12+AR13+AR15+AR14+AR36</f>
        <v>323.03020383374451</v>
      </c>
      <c r="AS11" s="50">
        <f t="shared" ref="AS11" si="119">AS12+AS13+AS15+AS14+AS36</f>
        <v>323.03020383374451</v>
      </c>
      <c r="AT11" s="49">
        <f>AT12+AT13+AT15+AT14+AT36</f>
        <v>465.8137154746845</v>
      </c>
      <c r="AU11" s="50">
        <f>AU12+AU13+AU15+AU14+AU36</f>
        <v>465.8137154746845</v>
      </c>
      <c r="AV11" s="49">
        <f>AV12+AV13+AV15+AV14+AV36</f>
        <v>472.21021685150538</v>
      </c>
      <c r="AW11" s="50">
        <f t="shared" ref="AW11" si="120">AW12+AW13+AW15+AW14+AW36</f>
        <v>472.21021685150538</v>
      </c>
      <c r="AX11" s="49">
        <f>AX12+AX13+AX15+AX14+AX36</f>
        <v>355.04537693818469</v>
      </c>
      <c r="AY11" s="50">
        <f t="shared" ref="AY11" si="121">AY12+AY13+AY15+AY14+AY36</f>
        <v>355.04537693818469</v>
      </c>
      <c r="AZ11" s="49">
        <f>AZ12+AZ13+AZ15+AZ14+AZ36</f>
        <v>301.36971257422567</v>
      </c>
      <c r="BA11" s="50">
        <f>BA12+BA13+BA15+BA14+BA36</f>
        <v>301.36971257422567</v>
      </c>
      <c r="BB11" s="49">
        <f>BB12+BB13+BB15+BB14+BB36</f>
        <v>155.83293011393013</v>
      </c>
      <c r="BC11" s="50">
        <f t="shared" ref="BC11:BE11" si="122">BC12+BC13+BC15+BC14+BC36</f>
        <v>155.83293011393013</v>
      </c>
      <c r="BD11" s="49">
        <f>BD12+BD13+BD15+BD14+BD36</f>
        <v>310.93155711941773</v>
      </c>
      <c r="BE11" s="50">
        <f t="shared" si="122"/>
        <v>310.93155711941773</v>
      </c>
      <c r="BF11" s="49">
        <f>BF12+BF13+BF15+BF14+BF36</f>
        <v>301.16478156072907</v>
      </c>
      <c r="BG11" s="50">
        <f t="shared" ref="BG11" si="123">BG12+BG13+BG15+BG14+BG36</f>
        <v>301.16478156072907</v>
      </c>
      <c r="BI11" s="156"/>
      <c r="BJ11" s="123" t="s">
        <v>218</v>
      </c>
      <c r="BK11" s="49">
        <f t="shared" ref="BK11:BV11" si="124">BK12+BK13+BK15+BK14+BK36</f>
        <v>42.466242739080528</v>
      </c>
      <c r="BL11" s="49">
        <f>BL12+BL13+BL15+BL14+BL36</f>
        <v>42.466242739080528</v>
      </c>
      <c r="BM11" s="49">
        <f t="shared" si="124"/>
        <v>61.53736426932285</v>
      </c>
      <c r="BN11" s="49">
        <f t="shared" si="124"/>
        <v>61.53736426932285</v>
      </c>
      <c r="BO11" s="49">
        <f t="shared" si="124"/>
        <v>61.129409311843062</v>
      </c>
      <c r="BP11" s="49">
        <f t="shared" si="124"/>
        <v>61.129409311843062</v>
      </c>
      <c r="BQ11" s="49">
        <f t="shared" si="124"/>
        <v>46.927942409687013</v>
      </c>
      <c r="BR11" s="49">
        <f t="shared" si="124"/>
        <v>46.927942409687013</v>
      </c>
      <c r="BS11" s="49">
        <f t="shared" si="124"/>
        <v>40.16381340005649</v>
      </c>
      <c r="BT11" s="49">
        <f>BT12+BT13+BT15+BT14+BT36</f>
        <v>40.16381340005649</v>
      </c>
      <c r="BU11" s="49">
        <f>BU12+BU13+BU15+BU14+BU36</f>
        <v>31.893619509831101</v>
      </c>
      <c r="BV11" s="49">
        <f t="shared" si="124"/>
        <v>31.893619509831101</v>
      </c>
      <c r="BW11" s="49">
        <f t="shared" ref="BW11:BZ11" si="125">BW12+BW13+BW15+BW14+BW36</f>
        <v>48.778279542788304</v>
      </c>
      <c r="BX11" s="49">
        <f t="shared" si="125"/>
        <v>48.778279542788297</v>
      </c>
      <c r="BY11" s="49">
        <f t="shared" si="125"/>
        <v>40.116443795428822</v>
      </c>
      <c r="BZ11" s="49">
        <f t="shared" si="125"/>
        <v>40.116443795428822</v>
      </c>
      <c r="CA11" s="156"/>
      <c r="CB11" s="156"/>
      <c r="CC11" s="123" t="s">
        <v>218</v>
      </c>
      <c r="CD11" s="49">
        <f t="shared" ref="CD11:CO11" si="126">CD12+CD13+CD15+CD14+CD36</f>
        <v>1086.1017098283398</v>
      </c>
      <c r="CE11" s="49">
        <f t="shared" si="126"/>
        <v>1086.1017098283398</v>
      </c>
      <c r="CF11" s="49">
        <f t="shared" si="126"/>
        <v>1507.0779206746925</v>
      </c>
      <c r="CG11" s="49">
        <f t="shared" si="126"/>
        <v>1507.0779206746925</v>
      </c>
      <c r="CH11" s="49">
        <f t="shared" si="126"/>
        <v>1560.4016966391869</v>
      </c>
      <c r="CI11" s="49">
        <f t="shared" si="126"/>
        <v>1560.4016966391869</v>
      </c>
      <c r="CJ11" s="49">
        <f t="shared" si="126"/>
        <v>1176.4320283873033</v>
      </c>
      <c r="CK11" s="49">
        <f t="shared" si="126"/>
        <v>1176.4320283873033</v>
      </c>
      <c r="CL11" s="49">
        <f t="shared" si="126"/>
        <v>1005.7405972654676</v>
      </c>
      <c r="CM11" s="49">
        <f t="shared" si="126"/>
        <v>1005.7405972654676</v>
      </c>
      <c r="CN11" s="49">
        <f t="shared" si="126"/>
        <v>278.48137558526776</v>
      </c>
      <c r="CO11" s="220">
        <f t="shared" si="126"/>
        <v>278.48137558526776</v>
      </c>
      <c r="CP11" s="49">
        <f t="shared" ref="CP11:CS11" si="127">CP12+CP13+CP15+CP14+CP36</f>
        <v>789.68129065767221</v>
      </c>
      <c r="CQ11" s="49">
        <f t="shared" si="127"/>
        <v>789.68129065767221</v>
      </c>
      <c r="CR11" s="49">
        <f t="shared" si="127"/>
        <v>1005.4202961655967</v>
      </c>
      <c r="CS11" s="220">
        <f t="shared" si="127"/>
        <v>1005.4202961655967</v>
      </c>
      <c r="CV11" s="123" t="s">
        <v>218</v>
      </c>
      <c r="CW11" s="49">
        <f t="shared" ref="CW11:DH11" si="128">CW12+CW13+CW15+CW14+CW36</f>
        <v>0.28197886027029134</v>
      </c>
      <c r="CX11" s="49">
        <f t="shared" si="128"/>
        <v>0.28197886027029134</v>
      </c>
      <c r="CY11" s="49">
        <f t="shared" si="128"/>
        <v>0.36197154506388984</v>
      </c>
      <c r="CZ11" s="49">
        <f t="shared" si="128"/>
        <v>0.36197154506388984</v>
      </c>
      <c r="DA11" s="49">
        <f t="shared" si="128"/>
        <v>0.36965219128307109</v>
      </c>
      <c r="DB11" s="49">
        <f t="shared" si="128"/>
        <v>0.36965219128307109</v>
      </c>
      <c r="DC11" s="49">
        <f t="shared" si="128"/>
        <v>0.30144335445607051</v>
      </c>
      <c r="DD11" s="49">
        <f t="shared" si="128"/>
        <v>0.30144335445607051</v>
      </c>
      <c r="DE11" s="49">
        <f t="shared" si="128"/>
        <v>0.26809421594861649</v>
      </c>
      <c r="DF11" s="49">
        <f t="shared" si="128"/>
        <v>0.26809421594861649</v>
      </c>
      <c r="DG11" s="49">
        <f t="shared" si="128"/>
        <v>0.18071727292336615</v>
      </c>
      <c r="DH11" s="49">
        <f t="shared" si="128"/>
        <v>0.18071727292336615</v>
      </c>
      <c r="DI11" s="49">
        <f t="shared" ref="DI11:DL11" si="129">DI12+DI13+DI15+DI14+DI36</f>
        <v>0.24013206661540301</v>
      </c>
      <c r="DJ11" s="49">
        <f t="shared" si="129"/>
        <v>0.24013206661540301</v>
      </c>
      <c r="DK11" s="49">
        <f t="shared" si="129"/>
        <v>0.26796118145482928</v>
      </c>
      <c r="DL11" s="49">
        <f t="shared" si="129"/>
        <v>0.26796118145482928</v>
      </c>
      <c r="DO11" s="123" t="s">
        <v>218</v>
      </c>
      <c r="DP11" s="49">
        <f t="shared" ref="DP11:EA11" si="130">DP12+DP13+DP15+DP14+DP36</f>
        <v>20.83864654831671</v>
      </c>
      <c r="DQ11" s="49">
        <f>DQ12+DQ13+DQ15+DQ14+DQ36</f>
        <v>20.83864654831671</v>
      </c>
      <c r="DR11" s="49">
        <f t="shared" si="130"/>
        <v>27.888327465164274</v>
      </c>
      <c r="DS11" s="49">
        <f t="shared" si="130"/>
        <v>27.888327465164274</v>
      </c>
      <c r="DT11" s="49">
        <f t="shared" si="130"/>
        <v>27.658874761890907</v>
      </c>
      <c r="DU11" s="49">
        <f t="shared" si="130"/>
        <v>27.658874761890907</v>
      </c>
      <c r="DV11" s="49">
        <f t="shared" si="130"/>
        <v>22.597310771319108</v>
      </c>
      <c r="DW11" s="49">
        <f t="shared" si="130"/>
        <v>22.597310771319108</v>
      </c>
      <c r="DX11" s="49">
        <f t="shared" si="130"/>
        <v>19.911047435027111</v>
      </c>
      <c r="DY11" s="49">
        <f t="shared" si="130"/>
        <v>19.911047435027111</v>
      </c>
      <c r="DZ11" s="49">
        <f t="shared" si="130"/>
        <v>13.28512918276394</v>
      </c>
      <c r="EA11" s="49">
        <f t="shared" si="130"/>
        <v>13.28512918276394</v>
      </c>
      <c r="EB11" s="49">
        <f t="shared" ref="EB11:EE11" si="131">EB12+EB13+EB15+EB14+EB36</f>
        <v>4.4109704844826956</v>
      </c>
      <c r="EC11" s="49">
        <f t="shared" si="131"/>
        <v>4.4109704844826956</v>
      </c>
      <c r="ED11" s="49">
        <f t="shared" si="131"/>
        <v>19.89825258141774</v>
      </c>
      <c r="EE11" s="49">
        <f t="shared" si="131"/>
        <v>19.89825258141774</v>
      </c>
      <c r="EH11" s="123" t="s">
        <v>218</v>
      </c>
      <c r="EI11" s="49">
        <f t="shared" ref="EI11:ET11" si="132">EI12+EI13+EI15+EI14+EI36</f>
        <v>3.6414109155034122</v>
      </c>
      <c r="EJ11" s="49">
        <f t="shared" si="132"/>
        <v>3.6414109155034122</v>
      </c>
      <c r="EK11" s="49">
        <f t="shared" si="132"/>
        <v>5.4094258641260717</v>
      </c>
      <c r="EL11" s="49">
        <f t="shared" si="132"/>
        <v>5.4094258641260717</v>
      </c>
      <c r="EM11" s="49">
        <f t="shared" si="132"/>
        <v>5.5893184213166487</v>
      </c>
      <c r="EN11" s="49">
        <f t="shared" si="132"/>
        <v>5.5893184213166487</v>
      </c>
      <c r="EO11" s="49">
        <f t="shared" si="132"/>
        <v>4.0060727001694403</v>
      </c>
      <c r="EP11" s="49">
        <f t="shared" si="132"/>
        <v>4.0060727001694403</v>
      </c>
      <c r="EQ11" s="49">
        <f t="shared" si="132"/>
        <v>3.3306932065318033</v>
      </c>
      <c r="ER11" s="49">
        <f t="shared" si="132"/>
        <v>3.3306932065318033</v>
      </c>
      <c r="ES11" s="49">
        <f t="shared" si="132"/>
        <v>0.8081058456954463</v>
      </c>
      <c r="ET11" s="49">
        <f t="shared" si="132"/>
        <v>0.8081058456954463</v>
      </c>
      <c r="EU11" s="49">
        <f t="shared" ref="EU11:EX11" si="133">EU12+EU13+EU15+EU14+EU36</f>
        <v>2.5437074510942046</v>
      </c>
      <c r="EV11" s="49">
        <f t="shared" si="133"/>
        <v>2.5437074510942046</v>
      </c>
      <c r="EW11" s="49">
        <f t="shared" si="133"/>
        <v>3.3297896945713017</v>
      </c>
      <c r="EX11" s="49">
        <f t="shared" si="133"/>
        <v>3.3297896945713017</v>
      </c>
      <c r="FA11" s="123" t="s">
        <v>218</v>
      </c>
      <c r="FB11" s="53">
        <f t="shared" ref="FB11:FM11" si="134">FB12+FB13+FB15+FB14+FB36</f>
        <v>1.6806844299257242E-2</v>
      </c>
      <c r="FC11" s="53">
        <f t="shared" si="134"/>
        <v>1.6806844299257242E-2</v>
      </c>
      <c r="FD11" s="53">
        <f t="shared" si="134"/>
        <v>2.3518382976240471E-2</v>
      </c>
      <c r="FE11" s="53">
        <f t="shared" si="134"/>
        <v>2.3518382976240471E-2</v>
      </c>
      <c r="FF11" s="53">
        <f t="shared" si="134"/>
        <v>2.3497494715883738E-2</v>
      </c>
      <c r="FG11" s="53">
        <f t="shared" si="134"/>
        <v>2.3497494715883738E-2</v>
      </c>
      <c r="FH11" s="53">
        <f t="shared" si="134"/>
        <v>1.8418680882657412E-2</v>
      </c>
      <c r="FI11" s="53">
        <f t="shared" si="134"/>
        <v>1.8418680882657412E-2</v>
      </c>
      <c r="FJ11" s="53">
        <f t="shared" si="134"/>
        <v>1.5873752578862945E-2</v>
      </c>
      <c r="FK11" s="53">
        <f t="shared" si="134"/>
        <v>1.5873752578862945E-2</v>
      </c>
      <c r="FL11" s="53">
        <f t="shared" si="134"/>
        <v>1.1955122938392553E-2</v>
      </c>
      <c r="FM11" s="53">
        <f t="shared" si="134"/>
        <v>1.1955122938392553E-2</v>
      </c>
      <c r="FN11" s="53">
        <f t="shared" ref="FN11:FQ11" si="135">FN12+FN13+FN15+FN14+FN36</f>
        <v>1.7237050077680584E-2</v>
      </c>
      <c r="FO11" s="53">
        <f t="shared" si="135"/>
        <v>1.7237050077680584E-2</v>
      </c>
      <c r="FP11" s="53">
        <f t="shared" si="135"/>
        <v>1.5862244542408671E-2</v>
      </c>
      <c r="FQ11" s="53">
        <f t="shared" si="135"/>
        <v>1.5862244542408671E-2</v>
      </c>
      <c r="FT11" s="123" t="s">
        <v>218</v>
      </c>
      <c r="FU11" s="49">
        <f t="shared" ref="FU11:GF11" si="136">FU12+FU13+FU15+FU14+FU36</f>
        <v>4.4985481253318511</v>
      </c>
      <c r="FV11" s="49">
        <f t="shared" si="136"/>
        <v>4.4985481253318511</v>
      </c>
      <c r="FW11" s="49">
        <f t="shared" si="136"/>
        <v>6.3191229190832798</v>
      </c>
      <c r="FX11" s="49">
        <f t="shared" si="136"/>
        <v>6.3191229190832798</v>
      </c>
      <c r="FY11" s="49">
        <f t="shared" si="136"/>
        <v>6.4949802054903092</v>
      </c>
      <c r="FZ11" s="49">
        <f t="shared" si="136"/>
        <v>6.4949802054903092</v>
      </c>
      <c r="GA11" s="49">
        <f t="shared" si="136"/>
        <v>4.8921636840814307</v>
      </c>
      <c r="GB11" s="49">
        <f t="shared" si="136"/>
        <v>4.8921636840814307</v>
      </c>
      <c r="GC11" s="49">
        <f t="shared" si="136"/>
        <v>4.1675664225672682</v>
      </c>
      <c r="GD11" s="49">
        <f t="shared" si="136"/>
        <v>4.1675664225672682</v>
      </c>
      <c r="GE11" s="49">
        <f t="shared" si="136"/>
        <v>1.0705777414369935</v>
      </c>
      <c r="GF11" s="49">
        <f t="shared" si="136"/>
        <v>1.0705777414369935</v>
      </c>
      <c r="GG11" s="49">
        <f t="shared" ref="GG11:GJ11" si="137">GG12+GG13+GG15+GG14+GG36</f>
        <v>3.245967353774704</v>
      </c>
      <c r="GH11" s="49">
        <f t="shared" si="137"/>
        <v>3.245967353774704</v>
      </c>
      <c r="GI11" s="49">
        <f t="shared" si="137"/>
        <v>4.1658188770186477</v>
      </c>
      <c r="GJ11" s="49">
        <f t="shared" si="137"/>
        <v>4.1658188770186477</v>
      </c>
      <c r="GM11" s="123" t="s">
        <v>218</v>
      </c>
      <c r="GN11" s="49">
        <f t="shared" ref="GN11:GY11" si="138">GN12+GN13+GN15+GN14+GN36</f>
        <v>7.9089028407274782</v>
      </c>
      <c r="GO11" s="49">
        <f t="shared" si="138"/>
        <v>7.9089028407274782</v>
      </c>
      <c r="GP11" s="49">
        <f t="shared" si="138"/>
        <v>11.494596488939578</v>
      </c>
      <c r="GQ11" s="49">
        <f t="shared" si="138"/>
        <v>11.494596488939578</v>
      </c>
      <c r="GR11" s="49">
        <f t="shared" si="138"/>
        <v>11.520832427394469</v>
      </c>
      <c r="GS11" s="49">
        <f t="shared" si="138"/>
        <v>11.520832427394469</v>
      </c>
      <c r="GT11" s="49">
        <f t="shared" si="138"/>
        <v>8.6103521098660654</v>
      </c>
      <c r="GU11" s="49">
        <f t="shared" si="138"/>
        <v>8.6103521098660636</v>
      </c>
      <c r="GV11" s="49">
        <f t="shared" si="138"/>
        <v>7.2653587375804278</v>
      </c>
      <c r="GW11" s="49">
        <f t="shared" si="138"/>
        <v>7.2653587375804278</v>
      </c>
      <c r="GX11" s="49">
        <f t="shared" si="138"/>
        <v>4.7248776380946609</v>
      </c>
      <c r="GY11" s="49">
        <f t="shared" si="138"/>
        <v>4.7248776380946609</v>
      </c>
      <c r="GZ11" s="49">
        <f t="shared" ref="GZ11:HC11" si="139">GZ12+GZ13+GZ15+GZ14+GZ36</f>
        <v>7.3765959353765602</v>
      </c>
      <c r="HA11" s="49">
        <f t="shared" si="139"/>
        <v>7.3765959353765602</v>
      </c>
      <c r="HB11" s="49">
        <f t="shared" si="139"/>
        <v>7.2597446749771182</v>
      </c>
      <c r="HC11" s="49">
        <f t="shared" si="139"/>
        <v>7.2597446749771182</v>
      </c>
      <c r="HF11" s="123" t="s">
        <v>218</v>
      </c>
      <c r="HG11" s="56">
        <f>HG12+HG13+HG15+HG14+HG36</f>
        <v>113.66436770957898</v>
      </c>
      <c r="HH11" s="56">
        <f t="shared" ref="HH11:HR11" si="140">HH12+HH13+HH15+HH14+HH36</f>
        <v>113.66436770957898</v>
      </c>
      <c r="HI11" s="56">
        <f t="shared" si="140"/>
        <v>163.79868564876998</v>
      </c>
      <c r="HJ11" s="56">
        <f t="shared" si="140"/>
        <v>163.79868564876998</v>
      </c>
      <c r="HK11" s="56">
        <f t="shared" si="140"/>
        <v>168.1037693080518</v>
      </c>
      <c r="HL11" s="56">
        <f t="shared" si="140"/>
        <v>168.1037693080518</v>
      </c>
      <c r="HM11" s="56">
        <f t="shared" si="140"/>
        <v>124.43330137529401</v>
      </c>
      <c r="HN11" s="56">
        <f t="shared" si="140"/>
        <v>124.43330137529401</v>
      </c>
      <c r="HO11" s="56">
        <f t="shared" si="140"/>
        <v>104.91479778384866</v>
      </c>
      <c r="HP11" s="56">
        <f t="shared" si="140"/>
        <v>104.91479778384866</v>
      </c>
      <c r="HQ11" s="56">
        <f t="shared" si="140"/>
        <v>33.872711065545701</v>
      </c>
      <c r="HR11" s="56">
        <f t="shared" si="140"/>
        <v>33.872711065545694</v>
      </c>
      <c r="HS11" s="56">
        <f t="shared" ref="HS11:HV11" si="141">HS12+HS13+HS15+HS14+HS36</f>
        <v>81.100803007548279</v>
      </c>
      <c r="HT11" s="56">
        <f t="shared" si="141"/>
        <v>81.100803007548279</v>
      </c>
      <c r="HU11" s="56">
        <f t="shared" si="141"/>
        <v>104.87364218124144</v>
      </c>
      <c r="HV11" s="56">
        <f t="shared" si="141"/>
        <v>104.87364218124144</v>
      </c>
      <c r="HY11" s="337" t="s">
        <v>218</v>
      </c>
      <c r="HZ11" s="340">
        <f>HZ12+HZ13+HZ15+HZ14+HZ36</f>
        <v>0.10039730420972813</v>
      </c>
      <c r="IA11" s="340">
        <f t="shared" ref="IA11:IK11" si="142">IA12+IA13+IA15+IA14+IA36</f>
        <v>0.10039730420972813</v>
      </c>
      <c r="IB11" s="340">
        <f t="shared" si="142"/>
        <v>0.131945863765451</v>
      </c>
      <c r="IC11" s="340">
        <f t="shared" si="142"/>
        <v>0.131945863765451</v>
      </c>
      <c r="ID11" s="340">
        <f t="shared" si="142"/>
        <v>0.13401801386212342</v>
      </c>
      <c r="IE11" s="340">
        <f t="shared" si="142"/>
        <v>0.13401801386212342</v>
      </c>
      <c r="IF11" s="340">
        <f t="shared" si="142"/>
        <v>0.10801520722445601</v>
      </c>
      <c r="IG11" s="340">
        <f t="shared" si="142"/>
        <v>0.10801520722445601</v>
      </c>
      <c r="IH11" s="340">
        <f t="shared" si="142"/>
        <v>9.5344979151992054E-2</v>
      </c>
      <c r="II11" s="340">
        <f t="shared" si="142"/>
        <v>9.5344979151992054E-2</v>
      </c>
      <c r="IJ11" s="340">
        <f t="shared" si="142"/>
        <v>6.6689571780168461E-2</v>
      </c>
      <c r="IK11" s="340">
        <f t="shared" si="142"/>
        <v>6.6689571780168461E-2</v>
      </c>
      <c r="IL11" s="340">
        <f t="shared" ref="IL11:IO11" si="143">IL12+IL13+IL15+IL14+IL36</f>
        <v>8.894348510352805E-2</v>
      </c>
      <c r="IM11" s="340">
        <f t="shared" si="143"/>
        <v>8.894348510352805E-2</v>
      </c>
      <c r="IN11" s="340">
        <f t="shared" si="143"/>
        <v>9.5282870422679036E-2</v>
      </c>
      <c r="IO11" s="340">
        <f t="shared" si="143"/>
        <v>9.5282870422679036E-2</v>
      </c>
      <c r="IR11" s="337" t="s">
        <v>218</v>
      </c>
      <c r="IS11" s="340">
        <f>IS12+IS13+IS15+IS14+IS36</f>
        <v>12.904283616272608</v>
      </c>
      <c r="IT11" s="340">
        <f t="shared" ref="IT11:JA11" si="144">IT12+IT13+IT15+IT14+IT36</f>
        <v>12.904283616272608</v>
      </c>
      <c r="IU11" s="340">
        <f t="shared" si="144"/>
        <v>18.311242966904857</v>
      </c>
      <c r="IV11" s="340">
        <f t="shared" si="144"/>
        <v>18.311242966904857</v>
      </c>
      <c r="IW11" s="340">
        <f t="shared" si="144"/>
        <v>18.249391831823836</v>
      </c>
      <c r="IX11" s="340">
        <f t="shared" si="144"/>
        <v>18.249391831823836</v>
      </c>
      <c r="IY11" s="340">
        <f t="shared" si="144"/>
        <v>14.178029340526329</v>
      </c>
      <c r="IZ11" s="340">
        <f t="shared" si="144"/>
        <v>14.178029340526329</v>
      </c>
      <c r="JA11" s="340">
        <f t="shared" si="144"/>
        <v>12.23610763821989</v>
      </c>
      <c r="JB11" s="340">
        <f>JB12+JB13+JB15+JB14+JB36</f>
        <v>12.23610763821989</v>
      </c>
      <c r="JC11" s="340">
        <f>JC12+JC13+JC15+JC14+JC36</f>
        <v>9.4229565178438843</v>
      </c>
      <c r="JD11" s="340">
        <f>JD12+JD13+JD15+JD14+JD36</f>
        <v>9.4229565178438843</v>
      </c>
      <c r="JE11" s="340">
        <f t="shared" ref="JE11" si="145">JE12+JE13+JE15+JE14+JE36</f>
        <v>15.136433733116046</v>
      </c>
      <c r="JF11" s="340">
        <f>JF12+JF13+JF15+JF14+JF36</f>
        <v>15.136433733116046</v>
      </c>
      <c r="JG11" s="340">
        <f>JG12+JG13+JG15+JG14+JG36</f>
        <v>12.222084667476489</v>
      </c>
      <c r="JH11" s="340">
        <f>JH12+JH13+JH15+JH14+JH36</f>
        <v>12.222084667476489</v>
      </c>
      <c r="JK11" s="337" t="s">
        <v>218</v>
      </c>
      <c r="JL11" s="340">
        <f>JL12+JL13+JL15+JL14+JL36</f>
        <v>7.3463879292814438</v>
      </c>
      <c r="JM11" s="340">
        <f t="shared" ref="JM11:JW11" si="146">JM12+JM13+JM15+JM14+JM36</f>
        <v>7.3463879292814438</v>
      </c>
      <c r="JN11" s="340">
        <f t="shared" si="146"/>
        <v>10.286107742703248</v>
      </c>
      <c r="JO11" s="340">
        <f t="shared" si="146"/>
        <v>10.286107742703248</v>
      </c>
      <c r="JP11" s="340">
        <f t="shared" si="146"/>
        <v>10.428793483127688</v>
      </c>
      <c r="JQ11" s="340">
        <f t="shared" si="146"/>
        <v>10.428793483127688</v>
      </c>
      <c r="JR11" s="340">
        <f t="shared" si="146"/>
        <v>8.0457816953408869</v>
      </c>
      <c r="JS11" s="340">
        <f t="shared" si="146"/>
        <v>8.0457816953408869</v>
      </c>
      <c r="JT11" s="340">
        <f t="shared" si="146"/>
        <v>6.8636041592617012</v>
      </c>
      <c r="JU11" s="340">
        <f t="shared" si="146"/>
        <v>6.8636041592617012</v>
      </c>
      <c r="JV11" s="340">
        <f t="shared" si="146"/>
        <v>3.9269305968504398</v>
      </c>
      <c r="JW11" s="340">
        <f t="shared" si="146"/>
        <v>3.9269305968504398</v>
      </c>
      <c r="JX11" s="340">
        <f t="shared" ref="JX11:KA11" si="147">JX12+JX13+JX15+JX14+JX36</f>
        <v>7.7186987084086365</v>
      </c>
      <c r="JY11" s="340">
        <f t="shared" si="147"/>
        <v>7.7186987084086365</v>
      </c>
      <c r="JZ11" s="340">
        <f t="shared" si="147"/>
        <v>6.8611149995951228</v>
      </c>
      <c r="KA11" s="340">
        <f t="shared" si="147"/>
        <v>6.8611149995951228</v>
      </c>
      <c r="KD11" s="337" t="s">
        <v>218</v>
      </c>
      <c r="KE11" s="340">
        <f>KE12+KE13+KE15+KE14+KE36</f>
        <v>1.0273659453374717</v>
      </c>
      <c r="KF11" s="340">
        <f t="shared" ref="KF11:KO11" si="148">KF12+KF13+KF15+KF14+KF36</f>
        <v>1.0273659453374717</v>
      </c>
      <c r="KG11" s="340">
        <f t="shared" si="148"/>
        <v>1.4608319563237537</v>
      </c>
      <c r="KH11" s="340">
        <f t="shared" si="148"/>
        <v>1.4608319563237537</v>
      </c>
      <c r="KI11" s="340">
        <f t="shared" si="148"/>
        <v>1.4608190978657627</v>
      </c>
      <c r="KJ11" s="340">
        <f t="shared" si="148"/>
        <v>1.4608190978657627</v>
      </c>
      <c r="KK11" s="340">
        <f t="shared" si="148"/>
        <v>1.1294327334973484</v>
      </c>
      <c r="KL11" s="340">
        <f t="shared" si="148"/>
        <v>1.1294327334973484</v>
      </c>
      <c r="KM11" s="340">
        <f t="shared" si="148"/>
        <v>0.96913148166294194</v>
      </c>
      <c r="KN11" s="340">
        <f t="shared" si="148"/>
        <v>0.96913148166294194</v>
      </c>
      <c r="KO11" s="340">
        <f t="shared" si="148"/>
        <v>1.0089319316355814</v>
      </c>
      <c r="KP11" s="340">
        <f>KP12+KP13+KP15+KP14+KP36</f>
        <v>1.0089319316355814</v>
      </c>
      <c r="KQ11" s="340">
        <f t="shared" ref="KQ11:KS11" si="149">KQ12+KQ13+KQ15+KQ14+KQ36</f>
        <v>1.0606799401472899</v>
      </c>
      <c r="KR11" s="340">
        <f t="shared" si="149"/>
        <v>1.0606799401472899</v>
      </c>
      <c r="KS11" s="340">
        <f t="shared" si="149"/>
        <v>0.96843384239541019</v>
      </c>
      <c r="KT11" s="340">
        <f>KT12+KT13+KT15+KT14+KT36</f>
        <v>0.96843384239541019</v>
      </c>
      <c r="KW11" s="337" t="s">
        <v>218</v>
      </c>
      <c r="KX11" s="340">
        <f>KX12+KX13+KX15+KX14+KX36</f>
        <v>6.3581181807338201</v>
      </c>
      <c r="KY11" s="340">
        <f t="shared" ref="KY11:LH11" si="150">KY12+KY13+KY15+KY14+KY36</f>
        <v>6.3581181807338201</v>
      </c>
      <c r="KZ11" s="340">
        <f t="shared" si="150"/>
        <v>8.9348401577205809</v>
      </c>
      <c r="LA11" s="340">
        <f t="shared" si="150"/>
        <v>8.9348401577205809</v>
      </c>
      <c r="LB11" s="340">
        <f t="shared" si="150"/>
        <v>9.1765143907413016</v>
      </c>
      <c r="LC11" s="340">
        <f t="shared" si="150"/>
        <v>9.1765143907413016</v>
      </c>
      <c r="LD11" s="340">
        <f t="shared" si="150"/>
        <v>6.9159458434847547</v>
      </c>
      <c r="LE11" s="340">
        <f t="shared" si="150"/>
        <v>6.9159458434847547</v>
      </c>
      <c r="LF11" s="340">
        <f t="shared" si="150"/>
        <v>5.8932721663164394</v>
      </c>
      <c r="LG11" s="340">
        <f t="shared" si="150"/>
        <v>5.8932721663164394</v>
      </c>
      <c r="LH11" s="340">
        <f t="shared" si="150"/>
        <v>2.0563732488986135</v>
      </c>
      <c r="LI11" s="340">
        <f>LI12+LI13+LI15+LI14+LI36</f>
        <v>2.0563732488986135</v>
      </c>
      <c r="LJ11" s="340">
        <f t="shared" ref="LJ11:LL11" si="151">LJ12+LJ13+LJ15+LJ14+LJ36</f>
        <v>4.6786332774106638</v>
      </c>
      <c r="LK11" s="340">
        <f t="shared" si="151"/>
        <v>4.6786332774106638</v>
      </c>
      <c r="LL11" s="340">
        <f t="shared" si="151"/>
        <v>5.8907313236304359</v>
      </c>
      <c r="LM11" s="340">
        <f>LM12+LM13+LM15+LM14+LM36</f>
        <v>5.8907313236304359</v>
      </c>
      <c r="LP11" s="337" t="s">
        <v>218</v>
      </c>
      <c r="LQ11" s="340">
        <f>LQ12+LQ13+LQ15+LQ14+LQ36</f>
        <v>7.9055933542746502E-3</v>
      </c>
      <c r="LR11" s="340">
        <f t="shared" ref="LR11:MA11" si="152">LR12+LR13+LR15+LR14+LR36</f>
        <v>7.9055933542746502E-3</v>
      </c>
      <c r="LS11" s="340">
        <f t="shared" si="152"/>
        <v>1.1245051433969411E-2</v>
      </c>
      <c r="LT11" s="340">
        <f t="shared" si="152"/>
        <v>1.1245051433969411E-2</v>
      </c>
      <c r="LU11" s="340">
        <f t="shared" si="152"/>
        <v>1.1317553023682807E-2</v>
      </c>
      <c r="LV11" s="340">
        <f t="shared" si="152"/>
        <v>1.1317553023682807E-2</v>
      </c>
      <c r="LW11" s="340">
        <f t="shared" si="152"/>
        <v>8.6681820721670987E-3</v>
      </c>
      <c r="LX11" s="340">
        <f t="shared" si="152"/>
        <v>8.6681820721670987E-3</v>
      </c>
      <c r="LY11" s="340">
        <f t="shared" si="152"/>
        <v>7.4092427265451946E-3</v>
      </c>
      <c r="LZ11" s="340">
        <f t="shared" si="152"/>
        <v>7.4092427265451946E-3</v>
      </c>
      <c r="MA11" s="340">
        <f t="shared" si="152"/>
        <v>3.7921523873425209E-3</v>
      </c>
      <c r="MB11" s="340">
        <f>MB12+MB13+MB15+MB14+MB36</f>
        <v>3.7921523873425209E-3</v>
      </c>
      <c r="MC11" s="340">
        <f t="shared" ref="MC11:ME11" si="153">MC12+MC13+MC15+MC14+MC36</f>
        <v>3.2834140943415694E-3</v>
      </c>
      <c r="MD11" s="340">
        <f t="shared" si="153"/>
        <v>3.2834140943415685E-3</v>
      </c>
      <c r="ME11" s="340">
        <f t="shared" si="153"/>
        <v>7.4082564876180954E-3</v>
      </c>
      <c r="MF11" s="340">
        <f>MF12+MF13+MF15+MF14+MF36</f>
        <v>7.4082564876180954E-3</v>
      </c>
      <c r="MI11" s="337" t="s">
        <v>218</v>
      </c>
      <c r="MJ11" s="340">
        <f>MJ12+MJ13+MJ15+MJ14+MJ36</f>
        <v>9.9256837215846314E-2</v>
      </c>
      <c r="MK11" s="340">
        <f t="shared" ref="MK11:MT11" si="154">MK12+MK13+MK15+MK14+MK36</f>
        <v>9.9256837215846327E-2</v>
      </c>
      <c r="ML11" s="340">
        <f t="shared" si="154"/>
        <v>0.14062238805889937</v>
      </c>
      <c r="MM11" s="340">
        <f t="shared" si="154"/>
        <v>0.14062238805889937</v>
      </c>
      <c r="MN11" s="340">
        <f t="shared" si="154"/>
        <v>0.14035384968740366</v>
      </c>
      <c r="MO11" s="340">
        <f t="shared" si="154"/>
        <v>0.14035384968740366</v>
      </c>
      <c r="MP11" s="340">
        <f t="shared" si="154"/>
        <v>0.10901174943726123</v>
      </c>
      <c r="MQ11" s="340">
        <f t="shared" si="154"/>
        <v>0.10901174943726123</v>
      </c>
      <c r="MR11" s="340">
        <f t="shared" si="154"/>
        <v>9.3853608937073063E-2</v>
      </c>
      <c r="MS11" s="340">
        <f t="shared" si="154"/>
        <v>9.3853608937073063E-2</v>
      </c>
      <c r="MT11" s="340">
        <f t="shared" si="154"/>
        <v>6.9675391730623523E-2</v>
      </c>
      <c r="MU11" s="340">
        <f>MU12+MU13+MU15+MU14+MU36</f>
        <v>6.9675391730623523E-2</v>
      </c>
      <c r="MV11" s="340">
        <f t="shared" ref="MV11:MX11" si="155">MV12+MV13+MV15+MV14+MV36</f>
        <v>9.8259445900379216E-2</v>
      </c>
      <c r="MW11" s="340">
        <f t="shared" si="155"/>
        <v>9.8259445900379216E-2</v>
      </c>
      <c r="MX11" s="340">
        <f t="shared" si="155"/>
        <v>9.3764910099987137E-2</v>
      </c>
      <c r="MY11" s="340">
        <f>MY12+MY13+MY15+MY14+MY36</f>
        <v>9.3764910099987137E-2</v>
      </c>
      <c r="NB11" s="337" t="s">
        <v>218</v>
      </c>
      <c r="NC11" s="340">
        <f>NC12+NC13+NC15+NC14+NC36</f>
        <v>9.3797061445720573E-2</v>
      </c>
      <c r="ND11" s="340">
        <f t="shared" ref="ND11:NM11" si="156">ND12+ND13+ND15+ND14+ND36</f>
        <v>9.3797061445720573E-2</v>
      </c>
      <c r="NE11" s="340">
        <f t="shared" si="156"/>
        <v>0.13289649360877517</v>
      </c>
      <c r="NF11" s="340">
        <f t="shared" si="156"/>
        <v>0.13289649360877517</v>
      </c>
      <c r="NG11" s="340">
        <f t="shared" si="156"/>
        <v>0.13262400367802707</v>
      </c>
      <c r="NH11" s="340">
        <f t="shared" si="156"/>
        <v>0.13262400367802707</v>
      </c>
      <c r="NI11" s="340">
        <f t="shared" si="156"/>
        <v>0.10302488859610646</v>
      </c>
      <c r="NJ11" s="340">
        <f t="shared" si="156"/>
        <v>0.10302488859610646</v>
      </c>
      <c r="NK11" s="340">
        <f t="shared" si="156"/>
        <v>8.8683382510853559E-2</v>
      </c>
      <c r="NL11" s="340">
        <f t="shared" si="156"/>
        <v>8.8683382510853559E-2</v>
      </c>
      <c r="NM11" s="340">
        <f t="shared" si="156"/>
        <v>6.5719220685924826E-2</v>
      </c>
      <c r="NN11" s="340">
        <f>NN12+NN13+NN15+NN14+NN36</f>
        <v>6.5719220685924826E-2</v>
      </c>
      <c r="NO11" s="340">
        <f t="shared" ref="NO11:NQ11" si="157">NO12+NO13+NO15+NO14+NO36</f>
        <v>9.2031240961785957E-2</v>
      </c>
      <c r="NP11" s="340">
        <f t="shared" si="157"/>
        <v>9.2031240961785957E-2</v>
      </c>
      <c r="NQ11" s="340">
        <f t="shared" si="157"/>
        <v>8.8600690833000595E-2</v>
      </c>
      <c r="NR11" s="340">
        <f>NR12+NR13+NR15+NR14+NR36</f>
        <v>8.8600690833000595E-2</v>
      </c>
    </row>
    <row r="12" spans="2:386" ht="12.75" customHeight="1" x14ac:dyDescent="0.2">
      <c r="B12" s="734"/>
      <c r="C12" s="147" t="s">
        <v>66</v>
      </c>
      <c r="D12" s="121">
        <f>'Cell parameters'!D99/1000</f>
        <v>5.7997239331407824E-2</v>
      </c>
      <c r="E12" s="116">
        <f>'Cell parameters'!E99/1000</f>
        <v>5.7997239331407817E-2</v>
      </c>
      <c r="F12" s="121">
        <f>'Cell parameters'!F99/1000</f>
        <v>7.7580722742013067E-2</v>
      </c>
      <c r="G12" s="116">
        <f>'Cell parameters'!G99/1000</f>
        <v>7.7580722742013039E-2</v>
      </c>
      <c r="H12" s="121">
        <f>'Cell parameters'!H99/1000</f>
        <v>7.5616653811835521E-2</v>
      </c>
      <c r="I12" s="116">
        <f>'Cell parameters'!I99/1000</f>
        <v>7.5616653811835535E-2</v>
      </c>
      <c r="J12" s="121">
        <f>'Cell parameters'!J99/1000</f>
        <v>6.2881217380368476E-2</v>
      </c>
      <c r="K12" s="116">
        <f>'Cell parameters'!K99/1000</f>
        <v>6.2881217380368476E-2</v>
      </c>
      <c r="L12" s="121">
        <f>'Cell parameters'!L99/1000</f>
        <v>5.6892530010809579E-2</v>
      </c>
      <c r="M12" s="116">
        <f>'Cell parameters'!M99/1000</f>
        <v>5.6892530010809586E-2</v>
      </c>
      <c r="N12" s="121">
        <f>'Cell parameters'!N99/1000</f>
        <v>8.400537634408603E-2</v>
      </c>
      <c r="O12" s="116">
        <f>'Cell parameters'!O99/1000</f>
        <v>8.400537634408603E-2</v>
      </c>
      <c r="P12" s="121">
        <f>'Cell parameters'!P99/1000</f>
        <v>0.10619938935351123</v>
      </c>
      <c r="Q12" s="116">
        <f>'Cell parameters'!Q99/1000</f>
        <v>0.10619938935351124</v>
      </c>
      <c r="R12" s="121">
        <f>'Cell parameters'!R99/1000</f>
        <v>5.5354894064571475E-2</v>
      </c>
      <c r="S12" s="116">
        <f>'Cell parameters'!S99/1000</f>
        <v>5.5354894064571489E-2</v>
      </c>
      <c r="T12" s="121"/>
      <c r="U12" s="121"/>
      <c r="V12" s="147" t="s">
        <v>66</v>
      </c>
      <c r="W12" s="96">
        <f>'Ecoinvent 3.10'!M21</f>
        <v>23.456794467173108</v>
      </c>
      <c r="X12" s="96">
        <f>'Ecoinvent 3.10'!N21</f>
        <v>2.5097999999999998</v>
      </c>
      <c r="Y12" s="96">
        <f>'Ecoinvent 3.10'!O21</f>
        <v>14.627000000000001</v>
      </c>
      <c r="Z12" s="96">
        <f>'Ecoinvent 3.10'!P21</f>
        <v>6.2541000000000003E-3</v>
      </c>
      <c r="AA12" s="96">
        <f>'Ecoinvent 3.10'!Q21</f>
        <v>2.2887999999999999E-2</v>
      </c>
      <c r="AB12" s="96">
        <f>'Ecoinvent 3.10'!R21</f>
        <v>3.6481E-3</v>
      </c>
      <c r="AC12" s="96">
        <f>'Ecoinvent 3.10'!S21</f>
        <v>1.1883999999999999E-4</v>
      </c>
      <c r="AD12" s="96">
        <f>'Ecoinvent 3.10'!T21</f>
        <v>4.4416999999999998E-2</v>
      </c>
      <c r="AE12" s="96">
        <f>'Ecoinvent 3.10'!U21</f>
        <v>0.26490000000000002</v>
      </c>
      <c r="AF12" s="96">
        <f>'Ecoinvent 3.10'!V21</f>
        <v>0.73807999999999996</v>
      </c>
      <c r="AG12" s="327">
        <f>'Ecoinvent 3.10'!W21</f>
        <v>3.1310999999999999E-3</v>
      </c>
      <c r="AH12" s="327">
        <f>'Ecoinvent 3.10'!X21</f>
        <v>1.8152999999999999</v>
      </c>
      <c r="AI12" s="327">
        <f>'Ecoinvent 3.10'!Y21</f>
        <v>1.9435000000000001E-2</v>
      </c>
      <c r="AJ12" s="327">
        <f>'Ecoinvent 3.10'!Z21</f>
        <v>1.8759000000000001E-2</v>
      </c>
      <c r="AK12" s="327">
        <f>'Ecoinvent 3.10'!AA21</f>
        <v>7.2867000000000001E-2</v>
      </c>
      <c r="AL12" s="327">
        <f>'Ecoinvent 3.10'!AB21</f>
        <v>3.7951999999999998E-5</v>
      </c>
      <c r="AM12" s="327">
        <f>'Ecoinvent 3.10'!AC21</f>
        <v>5.4592E-3</v>
      </c>
      <c r="AN12" s="327">
        <f>'Ecoinvent 3.10'!AD21</f>
        <v>4.5881999999999997E-3</v>
      </c>
      <c r="AO12" s="121"/>
      <c r="AP12" s="8"/>
      <c r="AQ12" s="147" t="s">
        <v>66</v>
      </c>
      <c r="AR12" s="49">
        <f t="shared" ref="AR12:BC14" si="158">D12*$W12</f>
        <v>1.3604293226602815</v>
      </c>
      <c r="AS12" s="50">
        <f t="shared" si="158"/>
        <v>1.3604293226602815</v>
      </c>
      <c r="AT12" s="49">
        <f t="shared" si="158"/>
        <v>1.819795067974143</v>
      </c>
      <c r="AU12" s="50">
        <f t="shared" si="158"/>
        <v>1.8197950679741424</v>
      </c>
      <c r="AV12" s="49">
        <f t="shared" si="158"/>
        <v>1.7737243067596078</v>
      </c>
      <c r="AW12" s="50">
        <f t="shared" si="158"/>
        <v>1.773724306759608</v>
      </c>
      <c r="AX12" s="49">
        <f t="shared" si="158"/>
        <v>1.4749917919369366</v>
      </c>
      <c r="AY12" s="50">
        <f t="shared" si="158"/>
        <v>1.4749917919369366</v>
      </c>
      <c r="AZ12" s="49">
        <f>L12*$W12</f>
        <v>1.334516383181038</v>
      </c>
      <c r="BA12" s="50">
        <f t="shared" si="158"/>
        <v>1.3345163831810383</v>
      </c>
      <c r="BB12" s="49">
        <f t="shared" si="158"/>
        <v>1.9704968470407518</v>
      </c>
      <c r="BC12" s="50">
        <f t="shared" si="158"/>
        <v>1.9704968470407518</v>
      </c>
      <c r="BD12" s="49">
        <f t="shared" ref="BD12:BD14" si="159">P12*$W12</f>
        <v>2.4910972486046048</v>
      </c>
      <c r="BE12" s="50">
        <f t="shared" ref="BE12:BE14" si="160">Q12*$W12</f>
        <v>2.4910972486046052</v>
      </c>
      <c r="BF12" s="49">
        <f t="shared" ref="BF12:BF14" si="161">R12*$W12</f>
        <v>1.2984483728247938</v>
      </c>
      <c r="BG12" s="50">
        <f t="shared" ref="BG12:BG14" si="162">S12*$W12</f>
        <v>1.298448372824794</v>
      </c>
      <c r="BI12" s="156"/>
      <c r="BJ12" s="147" t="s">
        <v>66</v>
      </c>
      <c r="BK12" s="49">
        <f t="shared" ref="BK12:BZ14" si="163">D12*$X12</f>
        <v>0.14556147127396735</v>
      </c>
      <c r="BL12" s="49">
        <f t="shared" si="163"/>
        <v>0.14556147127396732</v>
      </c>
      <c r="BM12" s="49">
        <f t="shared" si="163"/>
        <v>0.19471209793790439</v>
      </c>
      <c r="BN12" s="49">
        <f t="shared" si="163"/>
        <v>0.19471209793790431</v>
      </c>
      <c r="BO12" s="49">
        <f t="shared" si="163"/>
        <v>0.18978267773694477</v>
      </c>
      <c r="BP12" s="49">
        <f t="shared" si="163"/>
        <v>0.18978267773694482</v>
      </c>
      <c r="BQ12" s="49">
        <f t="shared" si="163"/>
        <v>0.15781927938124879</v>
      </c>
      <c r="BR12" s="49">
        <f t="shared" si="163"/>
        <v>0.15781927938124879</v>
      </c>
      <c r="BS12" s="49">
        <f t="shared" si="163"/>
        <v>0.14278887182112987</v>
      </c>
      <c r="BT12" s="49">
        <f t="shared" si="163"/>
        <v>0.1427888718211299</v>
      </c>
      <c r="BU12" s="49">
        <f t="shared" si="163"/>
        <v>0.21083669354838711</v>
      </c>
      <c r="BV12" s="49">
        <f t="shared" si="163"/>
        <v>0.21083669354838711</v>
      </c>
      <c r="BW12" s="49">
        <f t="shared" si="163"/>
        <v>0.26653922739944247</v>
      </c>
      <c r="BX12" s="49">
        <f t="shared" si="163"/>
        <v>0.26653922739944247</v>
      </c>
      <c r="BY12" s="49">
        <f t="shared" si="163"/>
        <v>0.13892971312326147</v>
      </c>
      <c r="BZ12" s="49">
        <f t="shared" si="163"/>
        <v>0.13892971312326152</v>
      </c>
      <c r="CA12" s="156"/>
      <c r="CB12" s="156"/>
      <c r="CC12" s="147" t="s">
        <v>66</v>
      </c>
      <c r="CD12" s="49">
        <f t="shared" ref="CD12:CS14" si="164">D12*$Y12</f>
        <v>0.84832561970050224</v>
      </c>
      <c r="CE12" s="49">
        <f t="shared" si="164"/>
        <v>0.84832561970050213</v>
      </c>
      <c r="CF12" s="49">
        <f t="shared" si="164"/>
        <v>1.1347732315474253</v>
      </c>
      <c r="CG12" s="49">
        <f t="shared" si="164"/>
        <v>1.1347732315474248</v>
      </c>
      <c r="CH12" s="49">
        <f t="shared" si="164"/>
        <v>1.1060447953057182</v>
      </c>
      <c r="CI12" s="49">
        <f t="shared" si="164"/>
        <v>1.1060447953057184</v>
      </c>
      <c r="CJ12" s="49">
        <f t="shared" si="164"/>
        <v>0.91976356662264969</v>
      </c>
      <c r="CK12" s="49">
        <f t="shared" si="164"/>
        <v>0.91976356662264969</v>
      </c>
      <c r="CL12" s="49">
        <f t="shared" si="164"/>
        <v>0.83216703646811174</v>
      </c>
      <c r="CM12" s="49">
        <f t="shared" si="164"/>
        <v>0.83216703646811185</v>
      </c>
      <c r="CN12" s="49">
        <f t="shared" si="164"/>
        <v>1.2287466397849465</v>
      </c>
      <c r="CO12" s="220">
        <f t="shared" si="164"/>
        <v>1.2287466397849465</v>
      </c>
      <c r="CP12" s="49">
        <f t="shared" si="164"/>
        <v>1.5533784680738087</v>
      </c>
      <c r="CQ12" s="49">
        <f t="shared" si="164"/>
        <v>1.553378468073809</v>
      </c>
      <c r="CR12" s="49">
        <f t="shared" si="164"/>
        <v>0.80967603548248701</v>
      </c>
      <c r="CS12" s="220">
        <f t="shared" si="164"/>
        <v>0.80967603548248723</v>
      </c>
      <c r="CT12" s="55"/>
      <c r="CU12" s="55"/>
      <c r="CV12" s="147" t="s">
        <v>66</v>
      </c>
      <c r="CW12" s="49">
        <f t="shared" ref="CW12:DL14" si="165">D12*$Z12</f>
        <v>3.6272053450255769E-4</v>
      </c>
      <c r="CX12" s="49">
        <f t="shared" si="165"/>
        <v>3.6272053450255764E-4</v>
      </c>
      <c r="CY12" s="49">
        <f t="shared" si="165"/>
        <v>4.8519759810082395E-4</v>
      </c>
      <c r="CZ12" s="49">
        <f t="shared" si="165"/>
        <v>4.8519759810082379E-4</v>
      </c>
      <c r="DA12" s="49">
        <f t="shared" si="165"/>
        <v>4.7291411460460055E-4</v>
      </c>
      <c r="DB12" s="49">
        <f t="shared" si="165"/>
        <v>4.7291411460460066E-4</v>
      </c>
      <c r="DC12" s="49">
        <f t="shared" si="165"/>
        <v>3.932654216185625E-4</v>
      </c>
      <c r="DD12" s="49">
        <f t="shared" si="165"/>
        <v>3.932654216185625E-4</v>
      </c>
      <c r="DE12" s="49">
        <f t="shared" si="165"/>
        <v>3.5581157194060418E-4</v>
      </c>
      <c r="DF12" s="49">
        <f t="shared" si="165"/>
        <v>3.5581157194060424E-4</v>
      </c>
      <c r="DG12" s="49">
        <f t="shared" si="165"/>
        <v>5.2537802419354849E-4</v>
      </c>
      <c r="DH12" s="49">
        <f t="shared" si="165"/>
        <v>5.2537802419354849E-4</v>
      </c>
      <c r="DI12" s="49">
        <f t="shared" si="165"/>
        <v>6.6418160095579458E-4</v>
      </c>
      <c r="DJ12" s="49">
        <f t="shared" si="165"/>
        <v>6.6418160095579469E-4</v>
      </c>
      <c r="DK12" s="49">
        <f t="shared" si="165"/>
        <v>3.461950429692365E-4</v>
      </c>
      <c r="DL12" s="49">
        <f t="shared" si="165"/>
        <v>3.4619504296923656E-4</v>
      </c>
      <c r="DO12" s="147" t="s">
        <v>66</v>
      </c>
      <c r="DP12" s="49">
        <f t="shared" ref="DP12:EE14" si="166">D12*$AA12</f>
        <v>1.3274408138172621E-3</v>
      </c>
      <c r="DQ12" s="49">
        <f t="shared" si="166"/>
        <v>1.3274408138172621E-3</v>
      </c>
      <c r="DR12" s="49">
        <f t="shared" si="166"/>
        <v>1.7756675821191949E-3</v>
      </c>
      <c r="DS12" s="49">
        <f t="shared" si="166"/>
        <v>1.7756675821191943E-3</v>
      </c>
      <c r="DT12" s="49">
        <f t="shared" si="166"/>
        <v>1.7307139724452912E-3</v>
      </c>
      <c r="DU12" s="49">
        <f t="shared" si="166"/>
        <v>1.7307139724452917E-3</v>
      </c>
      <c r="DV12" s="49">
        <f t="shared" si="166"/>
        <v>1.4392253034018736E-3</v>
      </c>
      <c r="DW12" s="49">
        <f t="shared" si="166"/>
        <v>1.4392253034018736E-3</v>
      </c>
      <c r="DX12" s="49">
        <f t="shared" si="166"/>
        <v>1.3021562268874095E-3</v>
      </c>
      <c r="DY12" s="49">
        <f t="shared" si="166"/>
        <v>1.3021562268874097E-3</v>
      </c>
      <c r="DZ12" s="49">
        <f t="shared" si="166"/>
        <v>1.9227150537634409E-3</v>
      </c>
      <c r="EA12" s="49">
        <f t="shared" si="166"/>
        <v>1.9227150537634409E-3</v>
      </c>
      <c r="EB12" s="49">
        <f t="shared" si="166"/>
        <v>2.430691623523165E-3</v>
      </c>
      <c r="EC12" s="49">
        <f t="shared" si="166"/>
        <v>2.430691623523165E-3</v>
      </c>
      <c r="ED12" s="49">
        <f t="shared" si="166"/>
        <v>1.2669628153499119E-3</v>
      </c>
      <c r="EE12" s="49">
        <f t="shared" si="166"/>
        <v>1.2669628153499121E-3</v>
      </c>
      <c r="EH12" s="147" t="s">
        <v>66</v>
      </c>
      <c r="EI12" s="49">
        <f t="shared" ref="EI12:ET14" si="167">D12*$AB12</f>
        <v>2.1157972880490888E-4</v>
      </c>
      <c r="EJ12" s="49">
        <f t="shared" si="167"/>
        <v>2.1157972880490885E-4</v>
      </c>
      <c r="EK12" s="49">
        <f t="shared" si="167"/>
        <v>2.8302223463513789E-4</v>
      </c>
      <c r="EL12" s="49">
        <f t="shared" si="167"/>
        <v>2.8302223463513778E-4</v>
      </c>
      <c r="EM12" s="49">
        <f t="shared" si="167"/>
        <v>2.7585711477095718E-4</v>
      </c>
      <c r="EN12" s="49">
        <f t="shared" si="167"/>
        <v>2.7585711477095724E-4</v>
      </c>
      <c r="EO12" s="49">
        <f t="shared" si="167"/>
        <v>2.2939696912532224E-4</v>
      </c>
      <c r="EP12" s="49">
        <f t="shared" si="167"/>
        <v>2.2939696912532224E-4</v>
      </c>
      <c r="EQ12" s="49">
        <f t="shared" si="167"/>
        <v>2.0754963873243442E-4</v>
      </c>
      <c r="ER12" s="49">
        <f t="shared" si="167"/>
        <v>2.0754963873243444E-4</v>
      </c>
      <c r="ES12" s="49">
        <f t="shared" si="167"/>
        <v>3.0646001344086023E-4</v>
      </c>
      <c r="ET12" s="49">
        <f t="shared" si="167"/>
        <v>3.0646001344086023E-4</v>
      </c>
      <c r="EU12" s="49">
        <f t="shared" ref="EU12:EU14" si="168">P12*$AB12</f>
        <v>3.874259923005443E-4</v>
      </c>
      <c r="EV12" s="49">
        <f t="shared" ref="EV12:EV14" si="169">Q12*$AB12</f>
        <v>3.8742599230054436E-4</v>
      </c>
      <c r="EW12" s="49">
        <f t="shared" ref="EW12:EW14" si="170">R12*$AB12</f>
        <v>2.019401890369632E-4</v>
      </c>
      <c r="EX12" s="49">
        <f t="shared" ref="EX12:EX14" si="171">S12*$AB12</f>
        <v>2.0194018903696326E-4</v>
      </c>
      <c r="FA12" s="147" t="s">
        <v>66</v>
      </c>
      <c r="FB12" s="53">
        <f t="shared" ref="FB12:FM14" si="172">D12*$AC12</f>
        <v>6.8923919221445051E-6</v>
      </c>
      <c r="FC12" s="53">
        <f t="shared" si="172"/>
        <v>6.8923919221445042E-6</v>
      </c>
      <c r="FD12" s="53">
        <f t="shared" si="172"/>
        <v>9.2196930906608332E-6</v>
      </c>
      <c r="FE12" s="53">
        <f t="shared" si="172"/>
        <v>9.2196930906608298E-6</v>
      </c>
      <c r="FF12" s="53">
        <f t="shared" si="172"/>
        <v>8.9862831389985327E-6</v>
      </c>
      <c r="FG12" s="53">
        <f t="shared" si="172"/>
        <v>8.9862831389985344E-6</v>
      </c>
      <c r="FH12" s="53">
        <f t="shared" si="172"/>
        <v>7.472803873482989E-6</v>
      </c>
      <c r="FI12" s="53">
        <f t="shared" si="172"/>
        <v>7.472803873482989E-6</v>
      </c>
      <c r="FJ12" s="53">
        <f t="shared" si="172"/>
        <v>6.7611082664846101E-6</v>
      </c>
      <c r="FK12" s="53">
        <f t="shared" si="172"/>
        <v>6.7611082664846109E-6</v>
      </c>
      <c r="FL12" s="53">
        <f t="shared" si="172"/>
        <v>9.9831989247311837E-6</v>
      </c>
      <c r="FM12" s="53">
        <f t="shared" si="172"/>
        <v>9.9831989247311837E-6</v>
      </c>
      <c r="FN12" s="53">
        <f t="shared" ref="FN12:FN14" si="173">P12*$AC12</f>
        <v>1.2620735430771274E-5</v>
      </c>
      <c r="FO12" s="53">
        <f t="shared" ref="FO12:FO14" si="174">Q12*$AC12</f>
        <v>1.2620735430771275E-5</v>
      </c>
      <c r="FP12" s="53">
        <f t="shared" ref="FP12:FP14" si="175">R12*$AC12</f>
        <v>6.5783756106336736E-6</v>
      </c>
      <c r="FQ12" s="53">
        <f t="shared" ref="FQ12:FQ14" si="176">S12*$AC12</f>
        <v>6.5783756106336753E-6</v>
      </c>
      <c r="FT12" s="147" t="s">
        <v>66</v>
      </c>
      <c r="FU12" s="49">
        <f t="shared" ref="FU12:GF14" si="177">D12*$AD12</f>
        <v>2.5760633793831412E-3</v>
      </c>
      <c r="FV12" s="49">
        <f t="shared" si="177"/>
        <v>2.5760633793831408E-3</v>
      </c>
      <c r="FW12" s="49">
        <f t="shared" si="177"/>
        <v>3.4459029620319943E-3</v>
      </c>
      <c r="FX12" s="49">
        <f t="shared" si="177"/>
        <v>3.4459029620319929E-3</v>
      </c>
      <c r="FY12" s="49">
        <f t="shared" si="177"/>
        <v>3.3586649123602983E-3</v>
      </c>
      <c r="FZ12" s="49">
        <f t="shared" si="177"/>
        <v>3.3586649123602988E-3</v>
      </c>
      <c r="GA12" s="49">
        <f t="shared" si="177"/>
        <v>2.7929950323838265E-3</v>
      </c>
      <c r="GB12" s="49">
        <f t="shared" si="177"/>
        <v>2.7929950323838265E-3</v>
      </c>
      <c r="GC12" s="49">
        <f t="shared" si="177"/>
        <v>2.5269955054901291E-3</v>
      </c>
      <c r="GD12" s="49">
        <f t="shared" si="177"/>
        <v>2.5269955054901291E-3</v>
      </c>
      <c r="GE12" s="49">
        <f t="shared" si="177"/>
        <v>3.7312668010752691E-3</v>
      </c>
      <c r="GF12" s="49">
        <f t="shared" si="177"/>
        <v>3.7312668010752691E-3</v>
      </c>
      <c r="GG12" s="49">
        <f t="shared" ref="GG12:GG14" si="178">P12*$AD12</f>
        <v>4.7170582769149082E-3</v>
      </c>
      <c r="GH12" s="49">
        <f t="shared" ref="GH12:GH14" si="179">Q12*$AD12</f>
        <v>4.7170582769149082E-3</v>
      </c>
      <c r="GI12" s="49">
        <f t="shared" ref="GI12:GI14" si="180">R12*$AD12</f>
        <v>2.458698329666071E-3</v>
      </c>
      <c r="GJ12" s="49">
        <f t="shared" ref="GJ12:GJ14" si="181">S12*$AD12</f>
        <v>2.4586983296660718E-3</v>
      </c>
      <c r="GM12" s="147" t="s">
        <v>66</v>
      </c>
      <c r="GN12" s="49">
        <f t="shared" ref="GN12:GY14" si="182">D12*$AE12</f>
        <v>1.5363468698889934E-2</v>
      </c>
      <c r="GO12" s="49">
        <f t="shared" si="182"/>
        <v>1.5363468698889932E-2</v>
      </c>
      <c r="GP12" s="49">
        <f t="shared" si="182"/>
        <v>2.0551133454359265E-2</v>
      </c>
      <c r="GQ12" s="49">
        <f t="shared" si="182"/>
        <v>2.0551133454359254E-2</v>
      </c>
      <c r="GR12" s="49">
        <f t="shared" si="182"/>
        <v>2.003085159475523E-2</v>
      </c>
      <c r="GS12" s="49">
        <f t="shared" si="182"/>
        <v>2.0030851594755233E-2</v>
      </c>
      <c r="GT12" s="49">
        <f t="shared" si="182"/>
        <v>1.6657234484059612E-2</v>
      </c>
      <c r="GU12" s="49">
        <f t="shared" si="182"/>
        <v>1.6657234484059612E-2</v>
      </c>
      <c r="GV12" s="49">
        <f t="shared" si="182"/>
        <v>1.5070831199863459E-2</v>
      </c>
      <c r="GW12" s="49">
        <f t="shared" si="182"/>
        <v>1.5070831199863461E-2</v>
      </c>
      <c r="GX12" s="49">
        <f t="shared" si="182"/>
        <v>2.2253024193548392E-2</v>
      </c>
      <c r="GY12" s="49">
        <f t="shared" si="182"/>
        <v>2.2253024193548392E-2</v>
      </c>
      <c r="GZ12" s="49">
        <f t="shared" ref="GZ12:GZ14" si="183">P12*$AE12</f>
        <v>2.8132218239745127E-2</v>
      </c>
      <c r="HA12" s="49">
        <f t="shared" ref="HA12:HA14" si="184">Q12*$AE12</f>
        <v>2.8132218239745131E-2</v>
      </c>
      <c r="HB12" s="49">
        <f t="shared" ref="HB12:HB14" si="185">R12*$AE12</f>
        <v>1.4663511437704986E-2</v>
      </c>
      <c r="HC12" s="49">
        <f t="shared" ref="HC12:HC14" si="186">S12*$AE12</f>
        <v>1.4663511437704989E-2</v>
      </c>
      <c r="HF12" s="147" t="s">
        <v>66</v>
      </c>
      <c r="HG12" s="49">
        <f t="shared" ref="HG12:HR14" si="187">D12*$AF12</f>
        <v>4.2806602405725487E-2</v>
      </c>
      <c r="HH12" s="49">
        <f t="shared" si="187"/>
        <v>4.280660240572548E-2</v>
      </c>
      <c r="HI12" s="49">
        <f t="shared" si="187"/>
        <v>5.7260779841425004E-2</v>
      </c>
      <c r="HJ12" s="49">
        <f t="shared" si="187"/>
        <v>5.7260779841424983E-2</v>
      </c>
      <c r="HK12" s="49">
        <f t="shared" si="187"/>
        <v>5.5811139845439561E-2</v>
      </c>
      <c r="HL12" s="49">
        <f t="shared" si="187"/>
        <v>5.5811139845439568E-2</v>
      </c>
      <c r="HM12" s="49">
        <f t="shared" si="187"/>
        <v>4.6411368924102366E-2</v>
      </c>
      <c r="HN12" s="49">
        <f t="shared" si="187"/>
        <v>4.6411368924102366E-2</v>
      </c>
      <c r="HO12" s="49">
        <f t="shared" si="187"/>
        <v>4.1991238550378333E-2</v>
      </c>
      <c r="HP12" s="49">
        <f t="shared" si="187"/>
        <v>4.199123855037834E-2</v>
      </c>
      <c r="HQ12" s="49">
        <f t="shared" si="187"/>
        <v>6.2002688172043012E-2</v>
      </c>
      <c r="HR12" s="49">
        <f t="shared" si="187"/>
        <v>6.2002688172043012E-2</v>
      </c>
      <c r="HS12" s="49">
        <f t="shared" ref="HS12:HS14" si="188">P12*$AF12</f>
        <v>7.8383645294039558E-2</v>
      </c>
      <c r="HT12" s="49">
        <f t="shared" ref="HT12:HT14" si="189">Q12*$AF12</f>
        <v>7.8383645294039572E-2</v>
      </c>
      <c r="HU12" s="49">
        <f t="shared" ref="HU12:HU14" si="190">R12*$AF12</f>
        <v>4.0856340211178913E-2</v>
      </c>
      <c r="HV12" s="49">
        <f t="shared" ref="HV12:HV14" si="191">S12*$AF12</f>
        <v>4.085634021117892E-2</v>
      </c>
      <c r="HY12" s="339" t="s">
        <v>66</v>
      </c>
      <c r="HZ12" s="338">
        <f t="shared" ref="HZ12:IK14" si="192">D12*$AG12</f>
        <v>1.8159515607057104E-4</v>
      </c>
      <c r="IA12" s="338">
        <f t="shared" si="192"/>
        <v>1.8159515607057102E-4</v>
      </c>
      <c r="IB12" s="338">
        <f t="shared" si="192"/>
        <v>2.4291300097751712E-4</v>
      </c>
      <c r="IC12" s="338">
        <f t="shared" si="192"/>
        <v>2.4291300097751701E-4</v>
      </c>
      <c r="ID12" s="338">
        <f t="shared" si="192"/>
        <v>2.367633047502382E-4</v>
      </c>
      <c r="IE12" s="338">
        <f t="shared" si="192"/>
        <v>2.3676330475023825E-4</v>
      </c>
      <c r="IF12" s="338">
        <f t="shared" si="192"/>
        <v>1.9688737973967173E-4</v>
      </c>
      <c r="IG12" s="338">
        <f t="shared" si="192"/>
        <v>1.9688737973967173E-4</v>
      </c>
      <c r="IH12" s="338">
        <f t="shared" si="192"/>
        <v>1.7813620071684586E-4</v>
      </c>
      <c r="II12" s="338">
        <f t="shared" si="192"/>
        <v>1.7813620071684588E-4</v>
      </c>
      <c r="IJ12" s="338">
        <f t="shared" si="192"/>
        <v>2.6302923387096775E-4</v>
      </c>
      <c r="IK12" s="338">
        <f t="shared" si="192"/>
        <v>2.6302923387096775E-4</v>
      </c>
      <c r="IL12" s="338">
        <f t="shared" ref="IL12:IL14" si="193">P12*$AG12</f>
        <v>3.32520908004779E-4</v>
      </c>
      <c r="IM12" s="338">
        <f t="shared" ref="IM12:IM14" si="194">Q12*$AG12</f>
        <v>3.3252090800477905E-4</v>
      </c>
      <c r="IN12" s="338">
        <f t="shared" ref="IN12:IN14" si="195">R12*$AG12</f>
        <v>1.7332170880557973E-4</v>
      </c>
      <c r="IO12" s="338">
        <f t="shared" ref="IO12:IO14" si="196">S12*$AG12</f>
        <v>1.7332170880557978E-4</v>
      </c>
      <c r="IR12" s="339" t="s">
        <v>66</v>
      </c>
      <c r="IS12" s="338">
        <f t="shared" ref="IS12:JD14" si="197">D12*$AH12</f>
        <v>0.10528238855830462</v>
      </c>
      <c r="IT12" s="338">
        <f t="shared" si="197"/>
        <v>0.1052823885583046</v>
      </c>
      <c r="IU12" s="338">
        <f t="shared" si="197"/>
        <v>0.14083228599357631</v>
      </c>
      <c r="IV12" s="338">
        <f t="shared" si="197"/>
        <v>0.14083228599357625</v>
      </c>
      <c r="IW12" s="338">
        <f t="shared" si="197"/>
        <v>0.13726691166462501</v>
      </c>
      <c r="IX12" s="338">
        <f t="shared" si="197"/>
        <v>0.13726691166462504</v>
      </c>
      <c r="IY12" s="338">
        <f t="shared" si="197"/>
        <v>0.1141482739105829</v>
      </c>
      <c r="IZ12" s="338">
        <f t="shared" si="197"/>
        <v>0.1141482739105829</v>
      </c>
      <c r="JA12" s="338">
        <f t="shared" si="197"/>
        <v>0.10327700972862262</v>
      </c>
      <c r="JB12" s="338">
        <f t="shared" si="197"/>
        <v>0.10327700972862264</v>
      </c>
      <c r="JC12" s="338">
        <f t="shared" si="197"/>
        <v>0.15249495967741936</v>
      </c>
      <c r="JD12" s="338">
        <f t="shared" si="197"/>
        <v>0.15249495967741936</v>
      </c>
      <c r="JE12" s="338">
        <f t="shared" ref="JE12:JE14" si="198">P12*$AH12</f>
        <v>0.19278375149342891</v>
      </c>
      <c r="JF12" s="338">
        <f t="shared" ref="JF12:JF14" si="199">Q12*$AH12</f>
        <v>0.19278375149342894</v>
      </c>
      <c r="JG12" s="338">
        <f t="shared" ref="JG12:JG14" si="200">R12*$AH12</f>
        <v>0.10048573919541659</v>
      </c>
      <c r="JH12" s="338">
        <f t="shared" ref="JH12:JH14" si="201">S12*$AH12</f>
        <v>0.10048573919541662</v>
      </c>
      <c r="JK12" s="339" t="s">
        <v>66</v>
      </c>
      <c r="JL12" s="338">
        <f t="shared" ref="JL12:JW14" si="202">D12*$AI12</f>
        <v>1.127176346405911E-3</v>
      </c>
      <c r="JM12" s="338">
        <f t="shared" si="202"/>
        <v>1.127176346405911E-3</v>
      </c>
      <c r="JN12" s="338">
        <f t="shared" si="202"/>
        <v>1.5077813464910239E-3</v>
      </c>
      <c r="JO12" s="338">
        <f t="shared" si="202"/>
        <v>1.5077813464910235E-3</v>
      </c>
      <c r="JP12" s="338">
        <f t="shared" si="202"/>
        <v>1.4696096668330235E-3</v>
      </c>
      <c r="JQ12" s="338">
        <f t="shared" si="202"/>
        <v>1.4696096668330237E-3</v>
      </c>
      <c r="JR12" s="338">
        <f t="shared" si="202"/>
        <v>1.2220964597874613E-3</v>
      </c>
      <c r="JS12" s="338">
        <f t="shared" si="202"/>
        <v>1.2220964597874613E-3</v>
      </c>
      <c r="JT12" s="338">
        <f t="shared" si="202"/>
        <v>1.1057063207600842E-3</v>
      </c>
      <c r="JU12" s="338">
        <f t="shared" si="202"/>
        <v>1.1057063207600844E-3</v>
      </c>
      <c r="JV12" s="338">
        <f t="shared" si="202"/>
        <v>1.6326444892473121E-3</v>
      </c>
      <c r="JW12" s="338">
        <f t="shared" si="202"/>
        <v>1.6326444892473121E-3</v>
      </c>
      <c r="JX12" s="338">
        <f t="shared" ref="JX12:JX14" si="203">P12*$AI12</f>
        <v>2.0639851320854909E-3</v>
      </c>
      <c r="JY12" s="338">
        <f t="shared" ref="JY12:JY14" si="204">Q12*$AI12</f>
        <v>2.0639851320854909E-3</v>
      </c>
      <c r="JZ12" s="338">
        <f t="shared" ref="JZ12:JZ14" si="205">R12*$AI12</f>
        <v>1.0758223661449468E-3</v>
      </c>
      <c r="KA12" s="338">
        <f t="shared" ref="KA12:KA14" si="206">S12*$AI12</f>
        <v>1.075822366144947E-3</v>
      </c>
      <c r="KD12" s="339" t="s">
        <v>66</v>
      </c>
      <c r="KE12" s="338">
        <f t="shared" ref="KE12:KP14" si="207">D12*$AJ12</f>
        <v>1.0879702126178794E-3</v>
      </c>
      <c r="KF12" s="338">
        <f t="shared" si="207"/>
        <v>1.0879702126178794E-3</v>
      </c>
      <c r="KG12" s="338">
        <f t="shared" si="207"/>
        <v>1.4553367779174232E-3</v>
      </c>
      <c r="KH12" s="338">
        <f t="shared" si="207"/>
        <v>1.4553367779174228E-3</v>
      </c>
      <c r="KI12" s="338">
        <f t="shared" si="207"/>
        <v>1.4184928088562226E-3</v>
      </c>
      <c r="KJ12" s="338">
        <f t="shared" si="207"/>
        <v>1.4184928088562228E-3</v>
      </c>
      <c r="KK12" s="338">
        <f t="shared" si="207"/>
        <v>1.1795887568383323E-3</v>
      </c>
      <c r="KL12" s="338">
        <f t="shared" si="207"/>
        <v>1.1795887568383323E-3</v>
      </c>
      <c r="KM12" s="338">
        <f t="shared" si="207"/>
        <v>1.067246970472777E-3</v>
      </c>
      <c r="KN12" s="338">
        <f t="shared" si="207"/>
        <v>1.067246970472777E-3</v>
      </c>
      <c r="KO12" s="338">
        <f t="shared" si="207"/>
        <v>1.5758568548387101E-3</v>
      </c>
      <c r="KP12" s="338">
        <f t="shared" si="207"/>
        <v>1.5758568548387101E-3</v>
      </c>
      <c r="KQ12" s="338">
        <f t="shared" ref="KQ12:KQ14" si="208">P12*$AJ12</f>
        <v>1.9921943448825172E-3</v>
      </c>
      <c r="KR12" s="338">
        <f t="shared" ref="KR12:KR14" si="209">Q12*$AJ12</f>
        <v>1.9921943448825176E-3</v>
      </c>
      <c r="KS12" s="338">
        <f t="shared" ref="KS12:KS14" si="210">R12*$AJ12</f>
        <v>1.0384024577572964E-3</v>
      </c>
      <c r="KT12" s="338">
        <f t="shared" ref="KT12:KT14" si="211">S12*$AJ12</f>
        <v>1.0384024577572966E-3</v>
      </c>
      <c r="KW12" s="339" t="s">
        <v>66</v>
      </c>
      <c r="KX12" s="338">
        <f t="shared" ref="KX12:LI14" si="212">D12*$AK12</f>
        <v>4.226084838361694E-3</v>
      </c>
      <c r="KY12" s="338">
        <f t="shared" si="212"/>
        <v>4.2260848383616932E-3</v>
      </c>
      <c r="KZ12" s="338">
        <f t="shared" si="212"/>
        <v>5.6530745240422663E-3</v>
      </c>
      <c r="LA12" s="338">
        <f t="shared" si="212"/>
        <v>5.6530745240422646E-3</v>
      </c>
      <c r="LB12" s="338">
        <f t="shared" si="212"/>
        <v>5.5099587133070191E-3</v>
      </c>
      <c r="LC12" s="338">
        <f t="shared" si="212"/>
        <v>5.5099587133070199E-3</v>
      </c>
      <c r="LD12" s="338">
        <f t="shared" si="212"/>
        <v>4.58196566685531E-3</v>
      </c>
      <c r="LE12" s="338">
        <f t="shared" si="212"/>
        <v>4.58196566685531E-3</v>
      </c>
      <c r="LF12" s="338">
        <f t="shared" si="212"/>
        <v>4.1455879842976617E-3</v>
      </c>
      <c r="LG12" s="338">
        <f t="shared" si="212"/>
        <v>4.1455879842976625E-3</v>
      </c>
      <c r="LH12" s="338">
        <f t="shared" si="212"/>
        <v>6.1212197580645172E-3</v>
      </c>
      <c r="LI12" s="338">
        <f t="shared" si="212"/>
        <v>6.1212197580645172E-3</v>
      </c>
      <c r="LJ12" s="338">
        <f t="shared" ref="LJ12:LJ14" si="213">P12*$AK12</f>
        <v>7.7384309040223025E-3</v>
      </c>
      <c r="LK12" s="338">
        <f t="shared" ref="LK12:LK14" si="214">Q12*$AK12</f>
        <v>7.7384309040223033E-3</v>
      </c>
      <c r="LL12" s="338">
        <f t="shared" ref="LL12:LL14" si="215">R12*$AK12</f>
        <v>4.0335450658031298E-3</v>
      </c>
      <c r="LM12" s="338">
        <f t="shared" ref="LM12:LM14" si="216">S12*$AK12</f>
        <v>4.0335450658031307E-3</v>
      </c>
      <c r="LP12" s="339" t="s">
        <v>66</v>
      </c>
      <c r="LQ12" s="338">
        <f t="shared" ref="LQ12:MB14" si="217">D12*$AL12</f>
        <v>2.2011112271055896E-6</v>
      </c>
      <c r="LR12" s="338">
        <f t="shared" si="217"/>
        <v>2.2011112271055896E-6</v>
      </c>
      <c r="LS12" s="338">
        <f t="shared" si="217"/>
        <v>2.9443435895048799E-6</v>
      </c>
      <c r="LT12" s="338">
        <f t="shared" si="217"/>
        <v>2.9443435895048786E-6</v>
      </c>
      <c r="LU12" s="338">
        <f t="shared" si="217"/>
        <v>2.8698032454667815E-6</v>
      </c>
      <c r="LV12" s="338">
        <f t="shared" si="217"/>
        <v>2.8698032454667819E-6</v>
      </c>
      <c r="LW12" s="338">
        <f t="shared" si="217"/>
        <v>2.3864679620197443E-6</v>
      </c>
      <c r="LX12" s="338">
        <f t="shared" si="217"/>
        <v>2.3864679620197443E-6</v>
      </c>
      <c r="LY12" s="338">
        <f t="shared" si="217"/>
        <v>2.1591852989702452E-6</v>
      </c>
      <c r="LZ12" s="338">
        <f t="shared" si="217"/>
        <v>2.1591852989702452E-6</v>
      </c>
      <c r="MA12" s="338">
        <f t="shared" si="217"/>
        <v>3.1881720430107528E-6</v>
      </c>
      <c r="MB12" s="338">
        <f t="shared" si="217"/>
        <v>3.1881720430107528E-6</v>
      </c>
      <c r="MC12" s="338">
        <f t="shared" ref="MC12:MC14" si="218">P12*$AL12</f>
        <v>4.0304792247444579E-6</v>
      </c>
      <c r="MD12" s="338">
        <f t="shared" ref="MD12:MD14" si="219">Q12*$AL12</f>
        <v>4.0304792247444588E-6</v>
      </c>
      <c r="ME12" s="338">
        <f t="shared" ref="ME12:ME14" si="220">R12*$AL12</f>
        <v>2.1008289395386167E-6</v>
      </c>
      <c r="MF12" s="338">
        <f t="shared" ref="MF12:MF14" si="221">S12*$AL12</f>
        <v>2.1008289395386171E-6</v>
      </c>
      <c r="MI12" s="339" t="s">
        <v>66</v>
      </c>
      <c r="MJ12" s="338">
        <f t="shared" ref="MJ12:MU14" si="222">D12*$AM12</f>
        <v>3.166185289580216E-4</v>
      </c>
      <c r="MK12" s="338">
        <f t="shared" si="222"/>
        <v>3.1661852895802155E-4</v>
      </c>
      <c r="ML12" s="338">
        <f t="shared" si="222"/>
        <v>4.2352868159319774E-4</v>
      </c>
      <c r="MM12" s="338">
        <f t="shared" si="222"/>
        <v>4.2352868159319757E-4</v>
      </c>
      <c r="MN12" s="338">
        <f t="shared" si="222"/>
        <v>4.128064364895725E-4</v>
      </c>
      <c r="MO12" s="338">
        <f t="shared" si="222"/>
        <v>4.1280643648957256E-4</v>
      </c>
      <c r="MP12" s="338">
        <f t="shared" si="222"/>
        <v>3.4328114192290758E-4</v>
      </c>
      <c r="MQ12" s="338">
        <f t="shared" si="222"/>
        <v>3.4328114192290758E-4</v>
      </c>
      <c r="MR12" s="338">
        <f t="shared" si="222"/>
        <v>3.1058769983501164E-4</v>
      </c>
      <c r="MS12" s="338">
        <f t="shared" si="222"/>
        <v>3.1058769983501169E-4</v>
      </c>
      <c r="MT12" s="338">
        <f t="shared" si="222"/>
        <v>4.5860215053763445E-4</v>
      </c>
      <c r="MU12" s="338">
        <f t="shared" si="222"/>
        <v>4.5860215053763445E-4</v>
      </c>
      <c r="MV12" s="338">
        <f t="shared" ref="MV12:MV14" si="223">P12*$AM12</f>
        <v>5.7976370635868851E-4</v>
      </c>
      <c r="MW12" s="338">
        <f t="shared" ref="MW12:MW14" si="224">Q12*$AM12</f>
        <v>5.7976370635868851E-4</v>
      </c>
      <c r="MX12" s="338">
        <f t="shared" ref="MX12:MX14" si="225">R12*$AM12</f>
        <v>3.0219343767730859E-4</v>
      </c>
      <c r="MY12" s="338">
        <f t="shared" ref="MY12:MY14" si="226">S12*$AM12</f>
        <v>3.0219343767730865E-4</v>
      </c>
      <c r="NB12" s="339" t="s">
        <v>66</v>
      </c>
      <c r="NC12" s="338">
        <f t="shared" ref="NC12:NN14" si="227">D12*$AN12</f>
        <v>2.6610293350036538E-4</v>
      </c>
      <c r="ND12" s="338">
        <f t="shared" si="227"/>
        <v>2.6610293350036533E-4</v>
      </c>
      <c r="NE12" s="338">
        <f t="shared" si="227"/>
        <v>3.5595587208490432E-4</v>
      </c>
      <c r="NF12" s="338">
        <f t="shared" si="227"/>
        <v>3.5595587208490421E-4</v>
      </c>
      <c r="NG12" s="338">
        <f t="shared" si="227"/>
        <v>3.469443310194637E-4</v>
      </c>
      <c r="NH12" s="338">
        <f t="shared" si="227"/>
        <v>3.4694433101946381E-4</v>
      </c>
      <c r="NI12" s="338">
        <f t="shared" si="227"/>
        <v>2.8851160158460665E-4</v>
      </c>
      <c r="NJ12" s="338">
        <f t="shared" si="227"/>
        <v>2.8851160158460665E-4</v>
      </c>
      <c r="NK12" s="338">
        <f t="shared" si="227"/>
        <v>2.6103430619559649E-4</v>
      </c>
      <c r="NL12" s="338">
        <f t="shared" si="227"/>
        <v>2.6103430619559654E-4</v>
      </c>
      <c r="NM12" s="338">
        <f t="shared" si="227"/>
        <v>3.8543346774193548E-4</v>
      </c>
      <c r="NN12" s="338">
        <f t="shared" si="227"/>
        <v>3.8543346774193548E-4</v>
      </c>
      <c r="NO12" s="338">
        <f t="shared" ref="NO12:NO14" si="228">P12*$AN12</f>
        <v>4.8726403823178016E-4</v>
      </c>
      <c r="NP12" s="338">
        <f t="shared" ref="NP12:NP14" si="229">Q12*$AN12</f>
        <v>4.8726403823178027E-4</v>
      </c>
      <c r="NQ12" s="338">
        <f t="shared" ref="NQ12:NQ14" si="230">R12*$AN12</f>
        <v>2.539793249470668E-4</v>
      </c>
      <c r="NR12" s="338">
        <f t="shared" ref="NR12:NR14" si="231">S12*$AN12</f>
        <v>2.5397932494706691E-4</v>
      </c>
    </row>
    <row r="13" spans="2:386" ht="12.75" customHeight="1" x14ac:dyDescent="0.2">
      <c r="B13" s="734"/>
      <c r="C13" s="147" t="s">
        <v>67</v>
      </c>
      <c r="D13" s="121">
        <f>'Cell parameters'!D98/1000</f>
        <v>4.3497929498555861E-2</v>
      </c>
      <c r="E13" s="116">
        <f>'Cell parameters'!E98/1000</f>
        <v>4.3497929498555868E-2</v>
      </c>
      <c r="F13" s="121">
        <f>'Cell parameters'!F98/1000</f>
        <v>5.8185542056509797E-2</v>
      </c>
      <c r="G13" s="116">
        <f>'Cell parameters'!G98/1000</f>
        <v>5.8185542056509776E-2</v>
      </c>
      <c r="H13" s="121">
        <f>'Cell parameters'!H98/1000</f>
        <v>5.6712490358876627E-2</v>
      </c>
      <c r="I13" s="116">
        <f>'Cell parameters'!I98/1000</f>
        <v>5.6712490358876627E-2</v>
      </c>
      <c r="J13" s="121">
        <f>'Cell parameters'!J98/1000</f>
        <v>4.7160913035276357E-2</v>
      </c>
      <c r="K13" s="116">
        <f>'Cell parameters'!K98/1000</f>
        <v>4.716091303527635E-2</v>
      </c>
      <c r="L13" s="121">
        <f>'Cell parameters'!L98/1000</f>
        <v>4.2669397508107186E-2</v>
      </c>
      <c r="M13" s="116">
        <f>'Cell parameters'!M98/1000</f>
        <v>4.2669397508107179E-2</v>
      </c>
      <c r="N13" s="121">
        <f>'Cell parameters'!N98/1000</f>
        <v>6.300403225806453E-2</v>
      </c>
      <c r="O13" s="116">
        <f>'Cell parameters'!O98/1000</f>
        <v>6.3004032258064516E-2</v>
      </c>
      <c r="P13" s="121">
        <f>'Cell parameters'!P98/1000</f>
        <v>7.964954201513344E-2</v>
      </c>
      <c r="Q13" s="116">
        <f>'Cell parameters'!Q98/1000</f>
        <v>7.9649542015133426E-2</v>
      </c>
      <c r="R13" s="121">
        <f>'Cell parameters'!R98/1000</f>
        <v>4.1516170548428613E-2</v>
      </c>
      <c r="S13" s="116">
        <f>'Cell parameters'!S98/1000</f>
        <v>4.1516170548428613E-2</v>
      </c>
      <c r="T13" s="318"/>
      <c r="U13" s="119"/>
      <c r="V13" s="147" t="s">
        <v>628</v>
      </c>
      <c r="W13" s="96">
        <f>'Ecoinvent 3.10'!M6</f>
        <v>48.690718853323887</v>
      </c>
      <c r="X13" s="96">
        <f>'Ecoinvent 3.10'!N6</f>
        <v>16.527000000000001</v>
      </c>
      <c r="Y13" s="96">
        <f>'Ecoinvent 3.10'!O6</f>
        <v>77.825000000000003</v>
      </c>
      <c r="Z13" s="96">
        <f>'Ecoinvent 3.10'!P6</f>
        <v>4.6198999999999997E-2</v>
      </c>
      <c r="AA13" s="96">
        <f>'Ecoinvent 3.10'!Q6</f>
        <v>10.906000000000001</v>
      </c>
      <c r="AB13" s="96">
        <f>'Ecoinvent 3.10'!R6</f>
        <v>0.12445000000000001</v>
      </c>
      <c r="AC13" s="96">
        <f>'Ecoinvent 3.10'!S6</f>
        <v>4.1412000000000003E-3</v>
      </c>
      <c r="AD13" s="96">
        <f>'Ecoinvent 3.10'!T6</f>
        <v>0.75333000000000006</v>
      </c>
      <c r="AE13" s="96">
        <f>'Ecoinvent 3.10'!U6</f>
        <v>1.6986000000000001</v>
      </c>
      <c r="AF13" s="96">
        <f>'Ecoinvent 3.10'!V6</f>
        <v>17.273</v>
      </c>
      <c r="AG13" s="327">
        <f>'Ecoinvent 3.10'!W6</f>
        <v>2.2447000000000002E-2</v>
      </c>
      <c r="AH13" s="327">
        <f>'Ecoinvent 3.10'!X6</f>
        <v>3.0777000000000001</v>
      </c>
      <c r="AI13" s="327">
        <f>'Ecoinvent 3.10'!Y6</f>
        <v>0.98468</v>
      </c>
      <c r="AJ13" s="327">
        <f>'Ecoinvent 3.10'!Z6</f>
        <v>0.18140000000000001</v>
      </c>
      <c r="AK13" s="327">
        <f>'Ecoinvent 3.10'!AA6</f>
        <v>1.0325</v>
      </c>
      <c r="AL13" s="327">
        <f>'Ecoinvent 3.10'!AB6</f>
        <v>3.0236999999999999E-4</v>
      </c>
      <c r="AM13" s="327">
        <f>'Ecoinvent 3.10'!AC6</f>
        <v>2.5971000000000001E-2</v>
      </c>
      <c r="AN13" s="327">
        <f>'Ecoinvent 3.10'!AD6</f>
        <v>2.5007999999999999E-2</v>
      </c>
      <c r="AO13" s="119"/>
      <c r="AP13" s="8"/>
      <c r="AQ13" s="147" t="s">
        <v>628</v>
      </c>
      <c r="AR13" s="49">
        <f t="shared" si="158"/>
        <v>2.117945455915887</v>
      </c>
      <c r="AS13" s="50">
        <f t="shared" si="158"/>
        <v>2.1179454559158875</v>
      </c>
      <c r="AT13" s="49">
        <f t="shared" si="158"/>
        <v>2.8330958696017716</v>
      </c>
      <c r="AU13" s="50">
        <f t="shared" si="158"/>
        <v>2.8330958696017703</v>
      </c>
      <c r="AV13" s="49">
        <f t="shared" si="158"/>
        <v>2.7613719235359033</v>
      </c>
      <c r="AW13" s="50">
        <f t="shared" si="158"/>
        <v>2.7613719235359033</v>
      </c>
      <c r="AX13" s="49">
        <f t="shared" si="158"/>
        <v>2.2962987574666989</v>
      </c>
      <c r="AY13" s="50">
        <f t="shared" si="158"/>
        <v>2.2962987574666984</v>
      </c>
      <c r="AZ13" s="49">
        <f t="shared" si="158"/>
        <v>2.0776036377079659</v>
      </c>
      <c r="BA13" s="50">
        <f t="shared" si="158"/>
        <v>2.0776036377079654</v>
      </c>
      <c r="BB13" s="49">
        <f t="shared" si="158"/>
        <v>3.067711621303169</v>
      </c>
      <c r="BC13" s="50">
        <f t="shared" si="158"/>
        <v>3.0677116213031681</v>
      </c>
      <c r="BD13" s="49">
        <f t="shared" si="159"/>
        <v>3.8781934570548708</v>
      </c>
      <c r="BE13" s="50">
        <f t="shared" si="160"/>
        <v>3.87819345705487</v>
      </c>
      <c r="BF13" s="49">
        <f t="shared" si="161"/>
        <v>2.021452188040183</v>
      </c>
      <c r="BG13" s="50">
        <f t="shared" si="162"/>
        <v>2.021452188040183</v>
      </c>
      <c r="BI13" s="156"/>
      <c r="BJ13" s="147" t="s">
        <v>628</v>
      </c>
      <c r="BK13" s="49">
        <f t="shared" si="163"/>
        <v>0.71889028082263273</v>
      </c>
      <c r="BL13" s="49">
        <f t="shared" si="163"/>
        <v>0.71889028082263284</v>
      </c>
      <c r="BM13" s="49">
        <f t="shared" si="163"/>
        <v>0.96163245356793747</v>
      </c>
      <c r="BN13" s="49">
        <f t="shared" si="163"/>
        <v>0.96163245356793714</v>
      </c>
      <c r="BO13" s="49">
        <f t="shared" si="163"/>
        <v>0.93728732816115412</v>
      </c>
      <c r="BP13" s="49">
        <f t="shared" si="163"/>
        <v>0.93728732816115412</v>
      </c>
      <c r="BQ13" s="49">
        <f t="shared" si="163"/>
        <v>0.7794284097340124</v>
      </c>
      <c r="BR13" s="49">
        <f t="shared" si="163"/>
        <v>0.77942840973401228</v>
      </c>
      <c r="BS13" s="49">
        <f t="shared" si="163"/>
        <v>0.70519713261648753</v>
      </c>
      <c r="BT13" s="49">
        <f t="shared" si="163"/>
        <v>0.70519713261648742</v>
      </c>
      <c r="BU13" s="49">
        <f t="shared" si="163"/>
        <v>1.0412676411290325</v>
      </c>
      <c r="BV13" s="49">
        <f t="shared" si="163"/>
        <v>1.0412676411290323</v>
      </c>
      <c r="BW13" s="49">
        <f t="shared" si="163"/>
        <v>1.3163679808841104</v>
      </c>
      <c r="BX13" s="49">
        <f t="shared" si="163"/>
        <v>1.3163679808841102</v>
      </c>
      <c r="BY13" s="49">
        <f t="shared" si="163"/>
        <v>0.68613775065387972</v>
      </c>
      <c r="BZ13" s="49">
        <f t="shared" si="163"/>
        <v>0.68613775065387972</v>
      </c>
      <c r="CA13" s="156"/>
      <c r="CB13" s="156"/>
      <c r="CC13" s="147" t="s">
        <v>628</v>
      </c>
      <c r="CD13" s="49">
        <f t="shared" si="164"/>
        <v>3.3852263632251098</v>
      </c>
      <c r="CE13" s="49">
        <f t="shared" si="164"/>
        <v>3.3852263632251107</v>
      </c>
      <c r="CF13" s="49">
        <f t="shared" si="164"/>
        <v>4.528289810547875</v>
      </c>
      <c r="CG13" s="49">
        <f t="shared" si="164"/>
        <v>4.5282898105478733</v>
      </c>
      <c r="CH13" s="49">
        <f t="shared" si="164"/>
        <v>4.4136495621795735</v>
      </c>
      <c r="CI13" s="49">
        <f t="shared" si="164"/>
        <v>4.4136495621795735</v>
      </c>
      <c r="CJ13" s="49">
        <f t="shared" si="164"/>
        <v>3.6702980569703825</v>
      </c>
      <c r="CK13" s="49">
        <f t="shared" si="164"/>
        <v>3.670298056970382</v>
      </c>
      <c r="CL13" s="49">
        <f t="shared" si="164"/>
        <v>3.3207458610684419</v>
      </c>
      <c r="CM13" s="49">
        <f t="shared" si="164"/>
        <v>3.3207458610684415</v>
      </c>
      <c r="CN13" s="49">
        <f t="shared" si="164"/>
        <v>4.9032888104838719</v>
      </c>
      <c r="CO13" s="220">
        <f t="shared" si="164"/>
        <v>4.903288810483871</v>
      </c>
      <c r="CP13" s="49">
        <f t="shared" si="164"/>
        <v>6.1987256073277601</v>
      </c>
      <c r="CQ13" s="49">
        <f t="shared" si="164"/>
        <v>6.1987256073277592</v>
      </c>
      <c r="CR13" s="49">
        <f t="shared" si="164"/>
        <v>3.2309959729314568</v>
      </c>
      <c r="CS13" s="220">
        <f t="shared" si="164"/>
        <v>3.2309959729314568</v>
      </c>
      <c r="CV13" s="147" t="s">
        <v>628</v>
      </c>
      <c r="CW13" s="49">
        <f t="shared" si="165"/>
        <v>2.009560844903782E-3</v>
      </c>
      <c r="CX13" s="49">
        <f t="shared" si="165"/>
        <v>2.0095608449037824E-3</v>
      </c>
      <c r="CY13" s="49">
        <f t="shared" si="165"/>
        <v>2.6881138574686961E-3</v>
      </c>
      <c r="CZ13" s="49">
        <f t="shared" si="165"/>
        <v>2.6881138574686948E-3</v>
      </c>
      <c r="DA13" s="49">
        <f t="shared" si="165"/>
        <v>2.6200603420897411E-3</v>
      </c>
      <c r="DB13" s="49">
        <f t="shared" si="165"/>
        <v>2.6200603420897411E-3</v>
      </c>
      <c r="DC13" s="49">
        <f t="shared" si="165"/>
        <v>2.1787870213167324E-3</v>
      </c>
      <c r="DD13" s="49">
        <f t="shared" si="165"/>
        <v>2.178787021316732E-3</v>
      </c>
      <c r="DE13" s="49">
        <f t="shared" si="165"/>
        <v>1.9712834954770438E-3</v>
      </c>
      <c r="DF13" s="49">
        <f t="shared" si="165"/>
        <v>1.9712834954770434E-3</v>
      </c>
      <c r="DG13" s="49">
        <f t="shared" si="165"/>
        <v>2.9107232862903231E-3</v>
      </c>
      <c r="DH13" s="49">
        <f t="shared" si="165"/>
        <v>2.9107232862903222E-3</v>
      </c>
      <c r="DI13" s="49">
        <f t="shared" si="165"/>
        <v>3.6797291915571496E-3</v>
      </c>
      <c r="DJ13" s="49">
        <f t="shared" si="165"/>
        <v>3.6797291915571491E-3</v>
      </c>
      <c r="DK13" s="49">
        <f t="shared" si="165"/>
        <v>1.9180055631668534E-3</v>
      </c>
      <c r="DL13" s="49">
        <f t="shared" si="165"/>
        <v>1.9180055631668534E-3</v>
      </c>
      <c r="DO13" s="147" t="s">
        <v>628</v>
      </c>
      <c r="DP13" s="49">
        <f t="shared" si="166"/>
        <v>0.47438841911125024</v>
      </c>
      <c r="DQ13" s="49">
        <f t="shared" si="166"/>
        <v>0.47438841911125035</v>
      </c>
      <c r="DR13" s="49">
        <f t="shared" si="166"/>
        <v>0.63457152166829589</v>
      </c>
      <c r="DS13" s="49">
        <f t="shared" si="166"/>
        <v>0.63457152166829567</v>
      </c>
      <c r="DT13" s="49">
        <f t="shared" si="166"/>
        <v>0.61850641985390853</v>
      </c>
      <c r="DU13" s="49">
        <f t="shared" si="166"/>
        <v>0.61850641985390853</v>
      </c>
      <c r="DV13" s="49">
        <f t="shared" si="166"/>
        <v>0.51433691756272393</v>
      </c>
      <c r="DW13" s="49">
        <f t="shared" si="166"/>
        <v>0.51433691756272393</v>
      </c>
      <c r="DX13" s="49">
        <f t="shared" si="166"/>
        <v>0.46535244922341701</v>
      </c>
      <c r="DY13" s="49">
        <f t="shared" si="166"/>
        <v>0.4653524492234169</v>
      </c>
      <c r="DZ13" s="49">
        <f t="shared" si="166"/>
        <v>0.68712197580645185</v>
      </c>
      <c r="EA13" s="49">
        <f t="shared" si="166"/>
        <v>0.68712197580645162</v>
      </c>
      <c r="EB13" s="49">
        <f t="shared" si="166"/>
        <v>0.86865790521704533</v>
      </c>
      <c r="EC13" s="49">
        <f t="shared" si="166"/>
        <v>0.86865790521704522</v>
      </c>
      <c r="ED13" s="49">
        <f t="shared" si="166"/>
        <v>0.45277535600116248</v>
      </c>
      <c r="EE13" s="49">
        <f t="shared" si="166"/>
        <v>0.45277535600116248</v>
      </c>
      <c r="EH13" s="147" t="s">
        <v>628</v>
      </c>
      <c r="EI13" s="49">
        <f t="shared" si="167"/>
        <v>5.4133173260952775E-3</v>
      </c>
      <c r="EJ13" s="49">
        <f t="shared" si="167"/>
        <v>5.4133173260952783E-3</v>
      </c>
      <c r="EK13" s="49">
        <f t="shared" si="167"/>
        <v>7.2411907089326441E-3</v>
      </c>
      <c r="EL13" s="49">
        <f t="shared" si="167"/>
        <v>7.2411907089326415E-3</v>
      </c>
      <c r="EM13" s="49">
        <f t="shared" si="167"/>
        <v>7.0578694251621967E-3</v>
      </c>
      <c r="EN13" s="49">
        <f t="shared" si="167"/>
        <v>7.0578694251621967E-3</v>
      </c>
      <c r="EO13" s="49">
        <f t="shared" si="167"/>
        <v>5.8691756272401426E-3</v>
      </c>
      <c r="EP13" s="49">
        <f t="shared" si="167"/>
        <v>5.8691756272401417E-3</v>
      </c>
      <c r="EQ13" s="49">
        <f t="shared" si="167"/>
        <v>5.3102065198839393E-3</v>
      </c>
      <c r="ER13" s="49">
        <f t="shared" si="167"/>
        <v>5.3102065198839385E-3</v>
      </c>
      <c r="ES13" s="49">
        <f t="shared" si="167"/>
        <v>7.840851814516131E-3</v>
      </c>
      <c r="ET13" s="49">
        <f t="shared" si="167"/>
        <v>7.8408518145161293E-3</v>
      </c>
      <c r="EU13" s="49">
        <f t="shared" si="168"/>
        <v>9.9123855037833563E-3</v>
      </c>
      <c r="EV13" s="49">
        <f t="shared" si="169"/>
        <v>9.9123855037833546E-3</v>
      </c>
      <c r="EW13" s="49">
        <f t="shared" si="170"/>
        <v>5.1666874247519408E-3</v>
      </c>
      <c r="EX13" s="49">
        <f t="shared" si="171"/>
        <v>5.1666874247519408E-3</v>
      </c>
      <c r="FA13" s="147" t="s">
        <v>628</v>
      </c>
      <c r="FB13" s="53">
        <f t="shared" si="172"/>
        <v>1.8013362563941955E-4</v>
      </c>
      <c r="FC13" s="53">
        <f t="shared" si="172"/>
        <v>1.8013362563941958E-4</v>
      </c>
      <c r="FD13" s="53">
        <f t="shared" si="172"/>
        <v>2.4095796676441839E-4</v>
      </c>
      <c r="FE13" s="53">
        <f t="shared" si="172"/>
        <v>2.4095796676441831E-4</v>
      </c>
      <c r="FF13" s="53">
        <f t="shared" si="172"/>
        <v>2.3485776507417989E-4</v>
      </c>
      <c r="FG13" s="53">
        <f t="shared" si="172"/>
        <v>2.3485776507417989E-4</v>
      </c>
      <c r="FH13" s="53">
        <f t="shared" si="172"/>
        <v>1.9530277306168645E-4</v>
      </c>
      <c r="FI13" s="53">
        <f t="shared" si="172"/>
        <v>1.9530277306168642E-4</v>
      </c>
      <c r="FJ13" s="53">
        <f t="shared" si="172"/>
        <v>1.7670250896057349E-4</v>
      </c>
      <c r="FK13" s="53">
        <f t="shared" si="172"/>
        <v>1.7670250896057346E-4</v>
      </c>
      <c r="FL13" s="53">
        <f t="shared" si="172"/>
        <v>2.6091229838709685E-4</v>
      </c>
      <c r="FM13" s="53">
        <f t="shared" si="172"/>
        <v>2.6091229838709679E-4</v>
      </c>
      <c r="FN13" s="53">
        <f t="shared" si="173"/>
        <v>3.2984468339307063E-4</v>
      </c>
      <c r="FO13" s="53">
        <f t="shared" si="174"/>
        <v>3.2984468339307058E-4</v>
      </c>
      <c r="FP13" s="53">
        <f t="shared" si="175"/>
        <v>1.7192676547515259E-4</v>
      </c>
      <c r="FQ13" s="53">
        <f t="shared" si="176"/>
        <v>1.7192676547515259E-4</v>
      </c>
      <c r="FT13" s="147" t="s">
        <v>628</v>
      </c>
      <c r="FU13" s="49">
        <f t="shared" si="177"/>
        <v>3.2768295229147086E-2</v>
      </c>
      <c r="FV13" s="49">
        <f t="shared" si="177"/>
        <v>3.2768295229147093E-2</v>
      </c>
      <c r="FW13" s="49">
        <f t="shared" si="177"/>
        <v>4.3832914397430527E-2</v>
      </c>
      <c r="FX13" s="49">
        <f t="shared" si="177"/>
        <v>4.3832914397430513E-2</v>
      </c>
      <c r="FY13" s="49">
        <f t="shared" si="177"/>
        <v>4.2723220362052533E-2</v>
      </c>
      <c r="FZ13" s="49">
        <f t="shared" si="177"/>
        <v>4.2723220362052533E-2</v>
      </c>
      <c r="GA13" s="49">
        <f t="shared" si="177"/>
        <v>3.552773061686474E-2</v>
      </c>
      <c r="GB13" s="49">
        <f t="shared" si="177"/>
        <v>3.5527730616864733E-2</v>
      </c>
      <c r="GC13" s="49">
        <f t="shared" si="177"/>
        <v>3.214413722478239E-2</v>
      </c>
      <c r="GD13" s="49">
        <f t="shared" si="177"/>
        <v>3.2144137224782383E-2</v>
      </c>
      <c r="GE13" s="49">
        <f t="shared" si="177"/>
        <v>4.7462827620967755E-2</v>
      </c>
      <c r="GF13" s="49">
        <f t="shared" si="177"/>
        <v>4.7462827620967749E-2</v>
      </c>
      <c r="GG13" s="49">
        <f t="shared" si="178"/>
        <v>6.000238948626048E-2</v>
      </c>
      <c r="GH13" s="49">
        <f t="shared" si="179"/>
        <v>6.0002389486260466E-2</v>
      </c>
      <c r="GI13" s="49">
        <f t="shared" si="180"/>
        <v>3.1275376759247728E-2</v>
      </c>
      <c r="GJ13" s="49">
        <f t="shared" si="181"/>
        <v>3.1275376759247728E-2</v>
      </c>
      <c r="GM13" s="147" t="s">
        <v>628</v>
      </c>
      <c r="GN13" s="49">
        <f t="shared" si="182"/>
        <v>7.3885583046246997E-2</v>
      </c>
      <c r="GO13" s="49">
        <f t="shared" si="182"/>
        <v>7.3885583046246997E-2</v>
      </c>
      <c r="GP13" s="49">
        <f t="shared" si="182"/>
        <v>9.8833961737187545E-2</v>
      </c>
      <c r="GQ13" s="49">
        <f t="shared" si="182"/>
        <v>9.8833961737187517E-2</v>
      </c>
      <c r="GR13" s="49">
        <f t="shared" si="182"/>
        <v>9.6331836123587838E-2</v>
      </c>
      <c r="GS13" s="49">
        <f t="shared" si="182"/>
        <v>9.6331836123587838E-2</v>
      </c>
      <c r="GT13" s="49">
        <f t="shared" si="182"/>
        <v>8.0107526881720431E-2</v>
      </c>
      <c r="GU13" s="49">
        <f t="shared" si="182"/>
        <v>8.0107526881720417E-2</v>
      </c>
      <c r="GV13" s="49">
        <f t="shared" si="182"/>
        <v>7.2478238607270873E-2</v>
      </c>
      <c r="GW13" s="49">
        <f t="shared" si="182"/>
        <v>7.2478238607270859E-2</v>
      </c>
      <c r="GX13" s="49">
        <f t="shared" si="182"/>
        <v>0.10701864919354842</v>
      </c>
      <c r="GY13" s="49">
        <f t="shared" si="182"/>
        <v>0.10701864919354839</v>
      </c>
      <c r="GZ13" s="49">
        <f t="shared" si="183"/>
        <v>0.13529271206690566</v>
      </c>
      <c r="HA13" s="49">
        <f t="shared" si="184"/>
        <v>0.13529271206690566</v>
      </c>
      <c r="HB13" s="49">
        <f t="shared" si="185"/>
        <v>7.0519367293560842E-2</v>
      </c>
      <c r="HC13" s="49">
        <f t="shared" si="186"/>
        <v>7.0519367293560842E-2</v>
      </c>
      <c r="HF13" s="147" t="s">
        <v>628</v>
      </c>
      <c r="HG13" s="49">
        <f t="shared" si="187"/>
        <v>0.75133973622855532</v>
      </c>
      <c r="HH13" s="49">
        <f t="shared" si="187"/>
        <v>0.75133973622855554</v>
      </c>
      <c r="HI13" s="49">
        <f t="shared" si="187"/>
        <v>1.0050388679420936</v>
      </c>
      <c r="HJ13" s="49">
        <f t="shared" si="187"/>
        <v>1.0050388679420934</v>
      </c>
      <c r="HK13" s="49">
        <f t="shared" si="187"/>
        <v>0.97959484596887592</v>
      </c>
      <c r="HL13" s="49">
        <f t="shared" si="187"/>
        <v>0.97959484596887592</v>
      </c>
      <c r="HM13" s="49">
        <f t="shared" si="187"/>
        <v>0.81461045085832851</v>
      </c>
      <c r="HN13" s="49">
        <f t="shared" si="187"/>
        <v>0.81461045085832839</v>
      </c>
      <c r="HO13" s="49">
        <f t="shared" si="187"/>
        <v>0.73702850315753543</v>
      </c>
      <c r="HP13" s="49">
        <f t="shared" si="187"/>
        <v>0.73702850315753532</v>
      </c>
      <c r="HQ13" s="49">
        <f t="shared" si="187"/>
        <v>1.0882686491935487</v>
      </c>
      <c r="HR13" s="49">
        <f t="shared" si="187"/>
        <v>1.0882686491935483</v>
      </c>
      <c r="HS13" s="49">
        <f t="shared" si="188"/>
        <v>1.3757865392273998</v>
      </c>
      <c r="HT13" s="49">
        <f t="shared" si="189"/>
        <v>1.3757865392273996</v>
      </c>
      <c r="HU13" s="49">
        <f t="shared" si="190"/>
        <v>0.7171088138830074</v>
      </c>
      <c r="HV13" s="49">
        <f t="shared" si="191"/>
        <v>0.7171088138830074</v>
      </c>
      <c r="HY13" s="339" t="s">
        <v>628</v>
      </c>
      <c r="HZ13" s="338">
        <f t="shared" si="192"/>
        <v>9.7639802345408347E-4</v>
      </c>
      <c r="IA13" s="338">
        <f t="shared" si="192"/>
        <v>9.7639802345408369E-4</v>
      </c>
      <c r="IB13" s="338">
        <f t="shared" si="192"/>
        <v>1.3060908625424756E-3</v>
      </c>
      <c r="IC13" s="338">
        <f t="shared" si="192"/>
        <v>1.3060908625424749E-3</v>
      </c>
      <c r="ID13" s="338">
        <f t="shared" si="192"/>
        <v>1.2730252710857037E-3</v>
      </c>
      <c r="IE13" s="338">
        <f t="shared" si="192"/>
        <v>1.2730252710857037E-3</v>
      </c>
      <c r="IF13" s="338">
        <f t="shared" si="192"/>
        <v>1.0586210149028485E-3</v>
      </c>
      <c r="IG13" s="338">
        <f t="shared" si="192"/>
        <v>1.0586210149028483E-3</v>
      </c>
      <c r="IH13" s="338">
        <f t="shared" si="192"/>
        <v>9.577999658644821E-4</v>
      </c>
      <c r="II13" s="338">
        <f t="shared" si="192"/>
        <v>9.5779996586448188E-4</v>
      </c>
      <c r="IJ13" s="338">
        <f t="shared" si="192"/>
        <v>1.4142515120967745E-3</v>
      </c>
      <c r="IK13" s="338">
        <f t="shared" si="192"/>
        <v>1.4142515120967743E-3</v>
      </c>
      <c r="IL13" s="338">
        <f t="shared" si="193"/>
        <v>1.7878932696137005E-3</v>
      </c>
      <c r="IM13" s="338">
        <f t="shared" si="194"/>
        <v>1.7878932696137001E-3</v>
      </c>
      <c r="IN13" s="338">
        <f t="shared" si="195"/>
        <v>9.3191348030057712E-4</v>
      </c>
      <c r="IO13" s="338">
        <f t="shared" si="196"/>
        <v>9.3191348030057712E-4</v>
      </c>
      <c r="IR13" s="339" t="s">
        <v>628</v>
      </c>
      <c r="IS13" s="338">
        <f t="shared" si="197"/>
        <v>0.13387357761770538</v>
      </c>
      <c r="IT13" s="338">
        <f t="shared" si="197"/>
        <v>0.13387357761770541</v>
      </c>
      <c r="IU13" s="338">
        <f t="shared" si="197"/>
        <v>0.17907764278732022</v>
      </c>
      <c r="IV13" s="338">
        <f t="shared" si="197"/>
        <v>0.17907764278732013</v>
      </c>
      <c r="IW13" s="338">
        <f t="shared" si="197"/>
        <v>0.17454403157751461</v>
      </c>
      <c r="IX13" s="338">
        <f t="shared" si="197"/>
        <v>0.17454403157751461</v>
      </c>
      <c r="IY13" s="338">
        <f t="shared" si="197"/>
        <v>0.14514714204867005</v>
      </c>
      <c r="IZ13" s="338">
        <f t="shared" si="197"/>
        <v>0.14514714204867002</v>
      </c>
      <c r="JA13" s="338">
        <f t="shared" si="197"/>
        <v>0.13132360471070148</v>
      </c>
      <c r="JB13" s="338">
        <f t="shared" si="197"/>
        <v>0.13132360471070148</v>
      </c>
      <c r="JC13" s="338">
        <f t="shared" si="197"/>
        <v>0.19390751008064522</v>
      </c>
      <c r="JD13" s="338">
        <f t="shared" si="197"/>
        <v>0.19390751008064516</v>
      </c>
      <c r="JE13" s="338">
        <f t="shared" si="198"/>
        <v>0.2451373954599762</v>
      </c>
      <c r="JF13" s="338">
        <f t="shared" si="199"/>
        <v>0.24513739545997615</v>
      </c>
      <c r="JG13" s="338">
        <f t="shared" si="200"/>
        <v>0.12777431809689874</v>
      </c>
      <c r="JH13" s="338">
        <f t="shared" si="201"/>
        <v>0.12777431809689874</v>
      </c>
      <c r="JK13" s="339" t="s">
        <v>628</v>
      </c>
      <c r="JL13" s="338">
        <f t="shared" si="202"/>
        <v>4.2831541218637983E-2</v>
      </c>
      <c r="JM13" s="338">
        <f t="shared" si="202"/>
        <v>4.283154121863799E-2</v>
      </c>
      <c r="JN13" s="338">
        <f t="shared" si="202"/>
        <v>5.7294139552204068E-2</v>
      </c>
      <c r="JO13" s="338">
        <f t="shared" si="202"/>
        <v>5.7294139552204047E-2</v>
      </c>
      <c r="JP13" s="338">
        <f t="shared" si="202"/>
        <v>5.5843655006578639E-2</v>
      </c>
      <c r="JQ13" s="338">
        <f t="shared" si="202"/>
        <v>5.5843655006578639E-2</v>
      </c>
      <c r="JR13" s="338">
        <f t="shared" si="202"/>
        <v>4.643840784757592E-2</v>
      </c>
      <c r="JS13" s="338">
        <f t="shared" si="202"/>
        <v>4.6438407847575913E-2</v>
      </c>
      <c r="JT13" s="338">
        <f t="shared" si="202"/>
        <v>4.2015702338282987E-2</v>
      </c>
      <c r="JU13" s="338">
        <f t="shared" si="202"/>
        <v>4.201570233828298E-2</v>
      </c>
      <c r="JV13" s="338">
        <f t="shared" si="202"/>
        <v>6.2038810483870978E-2</v>
      </c>
      <c r="JW13" s="338">
        <f t="shared" si="202"/>
        <v>6.2038810483870964E-2</v>
      </c>
      <c r="JX13" s="338">
        <f t="shared" si="203"/>
        <v>7.8429311031461599E-2</v>
      </c>
      <c r="JY13" s="338">
        <f t="shared" si="204"/>
        <v>7.8429311031461585E-2</v>
      </c>
      <c r="JZ13" s="338">
        <f t="shared" si="205"/>
        <v>4.0880142815626686E-2</v>
      </c>
      <c r="KA13" s="338">
        <f t="shared" si="206"/>
        <v>4.0880142815626686E-2</v>
      </c>
      <c r="KD13" s="339" t="s">
        <v>628</v>
      </c>
      <c r="KE13" s="338">
        <f t="shared" si="207"/>
        <v>7.8905244110380329E-3</v>
      </c>
      <c r="KF13" s="338">
        <f t="shared" si="207"/>
        <v>7.8905244110380347E-3</v>
      </c>
      <c r="KG13" s="338">
        <f t="shared" si="207"/>
        <v>1.0554857329050878E-2</v>
      </c>
      <c r="KH13" s="338">
        <f t="shared" si="207"/>
        <v>1.0554857329050874E-2</v>
      </c>
      <c r="KI13" s="338">
        <f t="shared" si="207"/>
        <v>1.028764575110022E-2</v>
      </c>
      <c r="KJ13" s="338">
        <f t="shared" si="207"/>
        <v>1.028764575110022E-2</v>
      </c>
      <c r="KK13" s="338">
        <f t="shared" si="207"/>
        <v>8.5549896245991318E-3</v>
      </c>
      <c r="KL13" s="338">
        <f t="shared" si="207"/>
        <v>8.5549896245991301E-3</v>
      </c>
      <c r="KM13" s="338">
        <f t="shared" si="207"/>
        <v>7.740228707970644E-3</v>
      </c>
      <c r="KN13" s="338">
        <f t="shared" si="207"/>
        <v>7.7402287079706422E-3</v>
      </c>
      <c r="KO13" s="338">
        <f t="shared" si="207"/>
        <v>1.1428931451612907E-2</v>
      </c>
      <c r="KP13" s="338">
        <f t="shared" si="207"/>
        <v>1.1428931451612903E-2</v>
      </c>
      <c r="KQ13" s="338">
        <f t="shared" si="208"/>
        <v>1.4448426921545207E-2</v>
      </c>
      <c r="KR13" s="338">
        <f t="shared" si="209"/>
        <v>1.4448426921545203E-2</v>
      </c>
      <c r="KS13" s="338">
        <f t="shared" si="210"/>
        <v>7.5310333374849509E-3</v>
      </c>
      <c r="KT13" s="338">
        <f t="shared" si="211"/>
        <v>7.5310333374849509E-3</v>
      </c>
      <c r="KW13" s="339" t="s">
        <v>628</v>
      </c>
      <c r="KX13" s="338">
        <f t="shared" si="212"/>
        <v>4.4911612207258922E-2</v>
      </c>
      <c r="KY13" s="338">
        <f t="shared" si="212"/>
        <v>4.4911612207258936E-2</v>
      </c>
      <c r="KZ13" s="338">
        <f t="shared" si="212"/>
        <v>6.0076572173346367E-2</v>
      </c>
      <c r="LA13" s="338">
        <f t="shared" si="212"/>
        <v>6.0076572173346339E-2</v>
      </c>
      <c r="LB13" s="338">
        <f t="shared" si="212"/>
        <v>5.8555646295540116E-2</v>
      </c>
      <c r="LC13" s="338">
        <f t="shared" si="212"/>
        <v>5.8555646295540116E-2</v>
      </c>
      <c r="LD13" s="338">
        <f t="shared" si="212"/>
        <v>4.8693642708922839E-2</v>
      </c>
      <c r="LE13" s="338">
        <f t="shared" si="212"/>
        <v>4.8693642708922832E-2</v>
      </c>
      <c r="LF13" s="338">
        <f t="shared" si="212"/>
        <v>4.4056152927120666E-2</v>
      </c>
      <c r="LG13" s="338">
        <f t="shared" si="212"/>
        <v>4.4056152927120659E-2</v>
      </c>
      <c r="LH13" s="338">
        <f t="shared" si="212"/>
        <v>6.5051663306451624E-2</v>
      </c>
      <c r="LI13" s="338">
        <f t="shared" si="212"/>
        <v>6.505166330645161E-2</v>
      </c>
      <c r="LJ13" s="338">
        <f t="shared" si="213"/>
        <v>8.2238152130625269E-2</v>
      </c>
      <c r="LK13" s="338">
        <f t="shared" si="214"/>
        <v>8.2238152130625256E-2</v>
      </c>
      <c r="LL13" s="338">
        <f t="shared" si="215"/>
        <v>4.2865446091252542E-2</v>
      </c>
      <c r="LM13" s="338">
        <f t="shared" si="216"/>
        <v>4.2865446091252542E-2</v>
      </c>
      <c r="LP13" s="339" t="s">
        <v>628</v>
      </c>
      <c r="LQ13" s="338">
        <f t="shared" si="217"/>
        <v>1.3152468942478335E-5</v>
      </c>
      <c r="LR13" s="338">
        <f t="shared" si="217"/>
        <v>1.3152468942478338E-5</v>
      </c>
      <c r="LS13" s="338">
        <f t="shared" si="217"/>
        <v>1.7593562351626866E-5</v>
      </c>
      <c r="LT13" s="338">
        <f t="shared" si="217"/>
        <v>1.7593562351626859E-5</v>
      </c>
      <c r="LU13" s="338">
        <f t="shared" si="217"/>
        <v>1.7148155709813525E-5</v>
      </c>
      <c r="LV13" s="338">
        <f t="shared" si="217"/>
        <v>1.7148155709813525E-5</v>
      </c>
      <c r="LW13" s="338">
        <f t="shared" si="217"/>
        <v>1.4260045274476512E-5</v>
      </c>
      <c r="LX13" s="338">
        <f t="shared" si="217"/>
        <v>1.4260045274476509E-5</v>
      </c>
      <c r="LY13" s="338">
        <f t="shared" si="217"/>
        <v>1.290194572452637E-5</v>
      </c>
      <c r="LZ13" s="338">
        <f t="shared" si="217"/>
        <v>1.2901945724526368E-5</v>
      </c>
      <c r="MA13" s="338">
        <f t="shared" si="217"/>
        <v>1.905052923387097E-5</v>
      </c>
      <c r="MB13" s="338">
        <f t="shared" si="217"/>
        <v>1.9050529233870966E-5</v>
      </c>
      <c r="MC13" s="338">
        <f t="shared" si="218"/>
        <v>2.4083632019115899E-5</v>
      </c>
      <c r="MD13" s="338">
        <f t="shared" si="219"/>
        <v>2.4083632019115892E-5</v>
      </c>
      <c r="ME13" s="338">
        <f t="shared" si="220"/>
        <v>1.255324448872836E-5</v>
      </c>
      <c r="MF13" s="338">
        <f t="shared" si="221"/>
        <v>1.255324448872836E-5</v>
      </c>
      <c r="MI13" s="339" t="s">
        <v>628</v>
      </c>
      <c r="MJ13" s="338">
        <f t="shared" si="222"/>
        <v>1.1296847270069943E-3</v>
      </c>
      <c r="MK13" s="338">
        <f t="shared" si="222"/>
        <v>1.1296847270069945E-3</v>
      </c>
      <c r="ML13" s="338">
        <f t="shared" si="222"/>
        <v>1.511136712749616E-3</v>
      </c>
      <c r="MM13" s="338">
        <f t="shared" si="222"/>
        <v>1.5111367127496154E-3</v>
      </c>
      <c r="MN13" s="338">
        <f t="shared" si="222"/>
        <v>1.4728800871103849E-3</v>
      </c>
      <c r="MO13" s="338">
        <f t="shared" si="222"/>
        <v>1.4728800871103849E-3</v>
      </c>
      <c r="MP13" s="338">
        <f t="shared" si="222"/>
        <v>1.2248160724391624E-3</v>
      </c>
      <c r="MQ13" s="338">
        <f t="shared" si="222"/>
        <v>1.2248160724391622E-3</v>
      </c>
      <c r="MR13" s="338">
        <f t="shared" si="222"/>
        <v>1.1081669226830518E-3</v>
      </c>
      <c r="MS13" s="338">
        <f t="shared" si="222"/>
        <v>1.1081669226830515E-3</v>
      </c>
      <c r="MT13" s="338">
        <f t="shared" si="222"/>
        <v>1.636277721774194E-3</v>
      </c>
      <c r="MU13" s="338">
        <f t="shared" si="222"/>
        <v>1.6362777217741936E-3</v>
      </c>
      <c r="MV13" s="338">
        <f t="shared" si="223"/>
        <v>2.0685782556750308E-3</v>
      </c>
      <c r="MW13" s="338">
        <f t="shared" si="224"/>
        <v>2.0685782556750304E-3</v>
      </c>
      <c r="MX13" s="338">
        <f t="shared" si="225"/>
        <v>1.0782164653132397E-3</v>
      </c>
      <c r="MY13" s="338">
        <f t="shared" si="226"/>
        <v>1.0782164653132397E-3</v>
      </c>
      <c r="NB13" s="339" t="s">
        <v>628</v>
      </c>
      <c r="NC13" s="338">
        <f t="shared" si="227"/>
        <v>1.087796220899885E-3</v>
      </c>
      <c r="ND13" s="338">
        <f t="shared" si="227"/>
        <v>1.087796220899885E-3</v>
      </c>
      <c r="NE13" s="338">
        <f t="shared" si="227"/>
        <v>1.455104035749197E-3</v>
      </c>
      <c r="NF13" s="338">
        <f t="shared" si="227"/>
        <v>1.4551040357491964E-3</v>
      </c>
      <c r="NG13" s="338">
        <f t="shared" si="227"/>
        <v>1.4182659588947866E-3</v>
      </c>
      <c r="NH13" s="338">
        <f t="shared" si="227"/>
        <v>1.4182659588947866E-3</v>
      </c>
      <c r="NI13" s="338">
        <f t="shared" si="227"/>
        <v>1.179400113186191E-3</v>
      </c>
      <c r="NJ13" s="338">
        <f t="shared" si="227"/>
        <v>1.1794001131861908E-3</v>
      </c>
      <c r="NK13" s="338">
        <f t="shared" si="227"/>
        <v>1.0670762928827445E-3</v>
      </c>
      <c r="NL13" s="338">
        <f t="shared" si="227"/>
        <v>1.0670762928827442E-3</v>
      </c>
      <c r="NM13" s="338">
        <f t="shared" si="227"/>
        <v>1.5756048387096776E-3</v>
      </c>
      <c r="NN13" s="338">
        <f t="shared" si="227"/>
        <v>1.5756048387096774E-3</v>
      </c>
      <c r="NO13" s="338">
        <f t="shared" si="228"/>
        <v>1.9918757467144569E-3</v>
      </c>
      <c r="NP13" s="338">
        <f t="shared" si="229"/>
        <v>1.9918757467144565E-3</v>
      </c>
      <c r="NQ13" s="338">
        <f t="shared" si="230"/>
        <v>1.0382363930751027E-3</v>
      </c>
      <c r="NR13" s="338">
        <f t="shared" si="231"/>
        <v>1.0382363930751027E-3</v>
      </c>
    </row>
    <row r="14" spans="2:386" ht="12.75" customHeight="1" x14ac:dyDescent="0.2">
      <c r="B14" s="734"/>
      <c r="C14" s="147" t="s">
        <v>68</v>
      </c>
      <c r="D14" s="143">
        <f>'Cell parameters'!D112/1000</f>
        <v>1.4499309832851957</v>
      </c>
      <c r="E14" s="127">
        <f>'Cell parameters'!E112/1000</f>
        <v>1.4499309832851957</v>
      </c>
      <c r="F14" s="143">
        <f>'Cell parameters'!F112/1000</f>
        <v>1.9395180685503264</v>
      </c>
      <c r="G14" s="127">
        <f>'Cell parameters'!G112/1000</f>
        <v>1.9395180685503264</v>
      </c>
      <c r="H14" s="143">
        <f>'Cell parameters'!H112/1000</f>
        <v>1.8904163452958878</v>
      </c>
      <c r="I14" s="127">
        <f>'Cell parameters'!I112/1000</f>
        <v>1.8904163452958878</v>
      </c>
      <c r="J14" s="143">
        <f>'Cell parameters'!J112/1000</f>
        <v>1.5720304345092118</v>
      </c>
      <c r="K14" s="127">
        <f>'Cell parameters'!K112/1000</f>
        <v>1.5720304345092118</v>
      </c>
      <c r="L14" s="143">
        <f>'Cell parameters'!L112/1000</f>
        <v>1.4223132502702394</v>
      </c>
      <c r="M14" s="127">
        <f>'Cell parameters'!M112/1000</f>
        <v>1.4223132502702394</v>
      </c>
      <c r="N14" s="143">
        <f>'Cell parameters'!N112/1000</f>
        <v>2.1001344086021505</v>
      </c>
      <c r="O14" s="127">
        <f>'Cell parameters'!O112/1000</f>
        <v>2.1001344086021505</v>
      </c>
      <c r="P14" s="143">
        <f>'Cell parameters'!P112/1000</f>
        <v>2.6549847338377806</v>
      </c>
      <c r="Q14" s="127">
        <f>'Cell parameters'!Q112/1000</f>
        <v>2.6549847338377806</v>
      </c>
      <c r="R14" s="143">
        <f>'Cell parameters'!R112/1000</f>
        <v>1.4196223873643228</v>
      </c>
      <c r="S14" s="127">
        <f>'Cell parameters'!S112/1000</f>
        <v>1.4196223873643228</v>
      </c>
      <c r="T14" s="318"/>
      <c r="U14" s="119"/>
      <c r="V14" s="147" t="s">
        <v>68</v>
      </c>
      <c r="W14" s="96">
        <f>'Ecoinvent 3.10'!M7</f>
        <v>41.886769193906389</v>
      </c>
      <c r="X14" s="96">
        <f>'Ecoinvent 3.10'!N7</f>
        <v>9.0867000000000004</v>
      </c>
      <c r="Y14" s="96">
        <f>'Ecoinvent 3.10'!O7</f>
        <v>77.320999999999998</v>
      </c>
      <c r="Z14" s="96">
        <f>'Ecoinvent 3.10'!P7</f>
        <v>2.6065999999999999E-2</v>
      </c>
      <c r="AA14" s="96">
        <f>'Ecoinvent 3.10'!Q7</f>
        <v>6.7847000000000005E-2</v>
      </c>
      <c r="AB14" s="96">
        <f>'Ecoinvent 3.10'!R7</f>
        <v>0.28034999999999999</v>
      </c>
      <c r="AC14" s="96">
        <f>'Ecoinvent 3.10'!S7</f>
        <v>2.434E-3</v>
      </c>
      <c r="AD14" s="96">
        <f>'Ecoinvent 3.10'!T7</f>
        <v>0.30120000000000002</v>
      </c>
      <c r="AE14" s="96">
        <f>'Ecoinvent 3.10'!U7</f>
        <v>1.2070000000000001</v>
      </c>
      <c r="AF14" s="96">
        <f>'Ecoinvent 3.10'!V7</f>
        <v>7.4701000000000004</v>
      </c>
      <c r="AG14" s="327">
        <f>'Ecoinvent 3.10'!W7</f>
        <v>1.1672E-2</v>
      </c>
      <c r="AH14" s="327">
        <f>'Ecoinvent 3.10'!X7</f>
        <v>2.855</v>
      </c>
      <c r="AI14" s="327">
        <f>'Ecoinvent 3.10'!Y7</f>
        <v>0.49192999999999998</v>
      </c>
      <c r="AJ14" s="327">
        <f>'Ecoinvent 3.10'!Z7</f>
        <v>0.17080000000000001</v>
      </c>
      <c r="AK14" s="327">
        <f>'Ecoinvent 3.10'!AA7</f>
        <v>0.46011000000000002</v>
      </c>
      <c r="AL14" s="327">
        <f>'Ecoinvent 3.10'!AB7</f>
        <v>2.1524000000000001E-4</v>
      </c>
      <c r="AM14" s="327">
        <f>'Ecoinvent 3.10'!AC7</f>
        <v>1.8713E-2</v>
      </c>
      <c r="AN14" s="327">
        <f>'Ecoinvent 3.10'!AD7</f>
        <v>1.7391E-2</v>
      </c>
      <c r="AO14" s="119"/>
      <c r="AP14" s="8"/>
      <c r="AQ14" s="147" t="s">
        <v>68</v>
      </c>
      <c r="AR14" s="49">
        <f t="shared" si="158"/>
        <v>60.732924443960734</v>
      </c>
      <c r="AS14" s="50">
        <f t="shared" si="158"/>
        <v>60.732924443960734</v>
      </c>
      <c r="AT14" s="49">
        <f t="shared" si="158"/>
        <v>81.240145684778625</v>
      </c>
      <c r="AU14" s="50">
        <f t="shared" si="158"/>
        <v>81.240145684778625</v>
      </c>
      <c r="AV14" s="49">
        <f t="shared" si="158"/>
        <v>79.183433135796889</v>
      </c>
      <c r="AW14" s="50">
        <f t="shared" si="158"/>
        <v>79.183433135796889</v>
      </c>
      <c r="AX14" s="49">
        <f t="shared" si="158"/>
        <v>65.847275976083722</v>
      </c>
      <c r="AY14" s="50">
        <f t="shared" si="158"/>
        <v>65.847275976083722</v>
      </c>
      <c r="AZ14" s="49">
        <f t="shared" si="158"/>
        <v>59.576106835504326</v>
      </c>
      <c r="BA14" s="50">
        <f t="shared" si="158"/>
        <v>59.576106835504326</v>
      </c>
      <c r="BB14" s="49">
        <f t="shared" si="158"/>
        <v>87.967845249299373</v>
      </c>
      <c r="BC14" s="50">
        <f t="shared" si="158"/>
        <v>87.967845249299373</v>
      </c>
      <c r="BD14" s="49">
        <f t="shared" si="159"/>
        <v>111.2087327596081</v>
      </c>
      <c r="BE14" s="50">
        <f t="shared" si="160"/>
        <v>111.2087327596081</v>
      </c>
      <c r="BF14" s="49">
        <f t="shared" si="161"/>
        <v>59.463395282031755</v>
      </c>
      <c r="BG14" s="50">
        <f t="shared" si="162"/>
        <v>59.463395282031755</v>
      </c>
      <c r="BI14" s="156"/>
      <c r="BJ14" s="147" t="s">
        <v>68</v>
      </c>
      <c r="BK14" s="49">
        <f t="shared" si="163"/>
        <v>13.175087865817588</v>
      </c>
      <c r="BL14" s="49">
        <f t="shared" si="163"/>
        <v>13.175087865817588</v>
      </c>
      <c r="BM14" s="49">
        <f t="shared" si="163"/>
        <v>17.623818833496252</v>
      </c>
      <c r="BN14" s="49">
        <f t="shared" si="163"/>
        <v>17.623818833496252</v>
      </c>
      <c r="BO14" s="49">
        <f t="shared" si="163"/>
        <v>17.177646204800144</v>
      </c>
      <c r="BP14" s="49">
        <f t="shared" si="163"/>
        <v>17.177646204800144</v>
      </c>
      <c r="BQ14" s="49">
        <f t="shared" si="163"/>
        <v>14.284568949254854</v>
      </c>
      <c r="BR14" s="49">
        <f t="shared" si="163"/>
        <v>14.284568949254854</v>
      </c>
      <c r="BS14" s="49">
        <f t="shared" si="163"/>
        <v>12.924133811230584</v>
      </c>
      <c r="BT14" s="49">
        <f t="shared" si="163"/>
        <v>12.924133811230584</v>
      </c>
      <c r="BU14" s="49">
        <f t="shared" si="163"/>
        <v>19.08329133064516</v>
      </c>
      <c r="BV14" s="49">
        <f t="shared" si="163"/>
        <v>19.08329133064516</v>
      </c>
      <c r="BW14" s="49">
        <f t="shared" si="163"/>
        <v>24.12504978096376</v>
      </c>
      <c r="BX14" s="49">
        <f t="shared" si="163"/>
        <v>24.12504978096376</v>
      </c>
      <c r="BY14" s="49">
        <f t="shared" si="163"/>
        <v>12.899682747263393</v>
      </c>
      <c r="BZ14" s="49">
        <f t="shared" si="163"/>
        <v>12.899682747263393</v>
      </c>
      <c r="CA14" s="156"/>
      <c r="CB14" s="156"/>
      <c r="CC14" s="147" t="s">
        <v>68</v>
      </c>
      <c r="CD14" s="49">
        <f t="shared" si="164"/>
        <v>112.11011355859461</v>
      </c>
      <c r="CE14" s="49">
        <f t="shared" si="164"/>
        <v>112.11011355859461</v>
      </c>
      <c r="CF14" s="49">
        <f t="shared" si="164"/>
        <v>149.96547657837979</v>
      </c>
      <c r="CG14" s="49">
        <f t="shared" si="164"/>
        <v>149.96547657837979</v>
      </c>
      <c r="CH14" s="49">
        <f t="shared" si="164"/>
        <v>146.16888223462334</v>
      </c>
      <c r="CI14" s="49">
        <f t="shared" si="164"/>
        <v>146.16888223462334</v>
      </c>
      <c r="CJ14" s="49">
        <f t="shared" si="164"/>
        <v>121.55096522668676</v>
      </c>
      <c r="CK14" s="49">
        <f t="shared" si="164"/>
        <v>121.55096522668676</v>
      </c>
      <c r="CL14" s="49">
        <f t="shared" si="164"/>
        <v>109.97468282414518</v>
      </c>
      <c r="CM14" s="49">
        <f t="shared" si="164"/>
        <v>109.97468282414518</v>
      </c>
      <c r="CN14" s="49">
        <f t="shared" si="164"/>
        <v>162.38449260752688</v>
      </c>
      <c r="CO14" s="220">
        <f t="shared" si="164"/>
        <v>162.38449260752688</v>
      </c>
      <c r="CP14" s="49">
        <f t="shared" si="164"/>
        <v>205.28607460507104</v>
      </c>
      <c r="CQ14" s="49">
        <f t="shared" si="164"/>
        <v>205.28607460507104</v>
      </c>
      <c r="CR14" s="49">
        <f t="shared" si="164"/>
        <v>109.76662261339681</v>
      </c>
      <c r="CS14" s="220">
        <f t="shared" si="164"/>
        <v>109.76662261339681</v>
      </c>
      <c r="CV14" s="147" t="s">
        <v>68</v>
      </c>
      <c r="CW14" s="49">
        <f t="shared" si="165"/>
        <v>3.7793901010311909E-2</v>
      </c>
      <c r="CX14" s="49">
        <f t="shared" si="165"/>
        <v>3.7793901010311909E-2</v>
      </c>
      <c r="CY14" s="49">
        <f t="shared" si="165"/>
        <v>5.0555477974832806E-2</v>
      </c>
      <c r="CZ14" s="49">
        <f t="shared" si="165"/>
        <v>5.0555477974832806E-2</v>
      </c>
      <c r="DA14" s="49">
        <f t="shared" si="165"/>
        <v>4.9275592456482609E-2</v>
      </c>
      <c r="DB14" s="49">
        <f t="shared" si="165"/>
        <v>4.9275592456482609E-2</v>
      </c>
      <c r="DC14" s="49">
        <f t="shared" si="165"/>
        <v>4.0976545305917114E-2</v>
      </c>
      <c r="DD14" s="49">
        <f t="shared" si="165"/>
        <v>4.0976545305917114E-2</v>
      </c>
      <c r="DE14" s="49">
        <f t="shared" si="165"/>
        <v>3.7074017181544058E-2</v>
      </c>
      <c r="DF14" s="49">
        <f t="shared" si="165"/>
        <v>3.7074017181544058E-2</v>
      </c>
      <c r="DG14" s="49">
        <f t="shared" si="165"/>
        <v>5.4742103494623655E-2</v>
      </c>
      <c r="DH14" s="49">
        <f t="shared" si="165"/>
        <v>5.4742103494623655E-2</v>
      </c>
      <c r="DI14" s="49">
        <f t="shared" si="165"/>
        <v>6.9204832072215589E-2</v>
      </c>
      <c r="DJ14" s="49">
        <f t="shared" si="165"/>
        <v>6.9204832072215589E-2</v>
      </c>
      <c r="DK14" s="49">
        <f t="shared" si="165"/>
        <v>3.7003877149038439E-2</v>
      </c>
      <c r="DL14" s="49">
        <f t="shared" si="165"/>
        <v>3.7003877149038439E-2</v>
      </c>
      <c r="DO14" s="147" t="s">
        <v>68</v>
      </c>
      <c r="DP14" s="49">
        <f t="shared" si="166"/>
        <v>9.8373467422950681E-2</v>
      </c>
      <c r="DQ14" s="49">
        <f t="shared" si="166"/>
        <v>9.8373467422950681E-2</v>
      </c>
      <c r="DR14" s="49">
        <f t="shared" si="166"/>
        <v>0.13159048239693399</v>
      </c>
      <c r="DS14" s="49">
        <f t="shared" si="166"/>
        <v>0.13159048239693399</v>
      </c>
      <c r="DT14" s="49">
        <f t="shared" si="166"/>
        <v>0.1282590777792901</v>
      </c>
      <c r="DU14" s="49">
        <f t="shared" si="166"/>
        <v>0.1282590777792901</v>
      </c>
      <c r="DV14" s="49">
        <f t="shared" si="166"/>
        <v>0.1066575488901465</v>
      </c>
      <c r="DW14" s="49">
        <f t="shared" si="166"/>
        <v>0.1066575488901465</v>
      </c>
      <c r="DX14" s="49">
        <f t="shared" si="166"/>
        <v>9.6499687091084932E-2</v>
      </c>
      <c r="DY14" s="49">
        <f t="shared" si="166"/>
        <v>9.6499687091084932E-2</v>
      </c>
      <c r="DZ14" s="49">
        <f t="shared" si="166"/>
        <v>0.14248781922043011</v>
      </c>
      <c r="EA14" s="49">
        <f t="shared" si="166"/>
        <v>0.14248781922043011</v>
      </c>
      <c r="EB14" s="49">
        <f t="shared" si="166"/>
        <v>0.1801327492366919</v>
      </c>
      <c r="EC14" s="49">
        <f t="shared" si="166"/>
        <v>0.1801327492366919</v>
      </c>
      <c r="ED14" s="49">
        <f t="shared" si="166"/>
        <v>9.6317120115507221E-2</v>
      </c>
      <c r="EE14" s="49">
        <f t="shared" si="166"/>
        <v>9.6317120115507221E-2</v>
      </c>
      <c r="EH14" s="147" t="s">
        <v>68</v>
      </c>
      <c r="EI14" s="49">
        <f t="shared" si="167"/>
        <v>0.40648815116400461</v>
      </c>
      <c r="EJ14" s="49">
        <f t="shared" si="167"/>
        <v>0.40648815116400461</v>
      </c>
      <c r="EK14" s="49">
        <f t="shared" si="167"/>
        <v>0.54374389051808403</v>
      </c>
      <c r="EL14" s="49">
        <f t="shared" si="167"/>
        <v>0.54374389051808403</v>
      </c>
      <c r="EM14" s="49">
        <f t="shared" si="167"/>
        <v>0.52997822240370207</v>
      </c>
      <c r="EN14" s="49">
        <f t="shared" si="167"/>
        <v>0.52997822240370207</v>
      </c>
      <c r="EO14" s="49">
        <f t="shared" si="167"/>
        <v>0.44071873231465752</v>
      </c>
      <c r="EP14" s="49">
        <f t="shared" si="167"/>
        <v>0.44071873231465752</v>
      </c>
      <c r="EQ14" s="49">
        <f t="shared" si="167"/>
        <v>0.39874551971326161</v>
      </c>
      <c r="ER14" s="49">
        <f t="shared" si="167"/>
        <v>0.39874551971326161</v>
      </c>
      <c r="ES14" s="49">
        <f t="shared" si="167"/>
        <v>0.58877268145161288</v>
      </c>
      <c r="ET14" s="49">
        <f t="shared" si="167"/>
        <v>0.58877268145161288</v>
      </c>
      <c r="EU14" s="49">
        <f t="shared" si="168"/>
        <v>0.74432497013142174</v>
      </c>
      <c r="EV14" s="49">
        <f t="shared" si="169"/>
        <v>0.74432497013142174</v>
      </c>
      <c r="EW14" s="49">
        <f t="shared" si="170"/>
        <v>0.39799113629758787</v>
      </c>
      <c r="EX14" s="49">
        <f t="shared" si="171"/>
        <v>0.39799113629758787</v>
      </c>
      <c r="FA14" s="147" t="s">
        <v>68</v>
      </c>
      <c r="FB14" s="53">
        <f t="shared" si="172"/>
        <v>3.5291320133161662E-3</v>
      </c>
      <c r="FC14" s="53">
        <f t="shared" si="172"/>
        <v>3.5291320133161662E-3</v>
      </c>
      <c r="FD14" s="53">
        <f t="shared" si="172"/>
        <v>4.720786978851494E-3</v>
      </c>
      <c r="FE14" s="53">
        <f t="shared" si="172"/>
        <v>4.720786978851494E-3</v>
      </c>
      <c r="FF14" s="53">
        <f t="shared" si="172"/>
        <v>4.6012733844501908E-3</v>
      </c>
      <c r="FG14" s="53">
        <f t="shared" si="172"/>
        <v>4.6012733844501908E-3</v>
      </c>
      <c r="FH14" s="53">
        <f t="shared" si="172"/>
        <v>3.8263220775954215E-3</v>
      </c>
      <c r="FI14" s="53">
        <f t="shared" si="172"/>
        <v>3.8263220775954215E-3</v>
      </c>
      <c r="FJ14" s="53">
        <f t="shared" si="172"/>
        <v>3.4619104511577625E-3</v>
      </c>
      <c r="FK14" s="53">
        <f t="shared" si="172"/>
        <v>3.4619104511577625E-3</v>
      </c>
      <c r="FL14" s="53">
        <f t="shared" si="172"/>
        <v>5.1117271505376344E-3</v>
      </c>
      <c r="FM14" s="53">
        <f t="shared" si="172"/>
        <v>5.1117271505376344E-3</v>
      </c>
      <c r="FN14" s="53">
        <f t="shared" si="173"/>
        <v>6.4622328421611577E-3</v>
      </c>
      <c r="FO14" s="53">
        <f t="shared" si="174"/>
        <v>6.4622328421611577E-3</v>
      </c>
      <c r="FP14" s="53">
        <f t="shared" si="175"/>
        <v>3.4553608908447614E-3</v>
      </c>
      <c r="FQ14" s="53">
        <f t="shared" si="176"/>
        <v>3.4553608908447614E-3</v>
      </c>
      <c r="FT14" s="147" t="s">
        <v>68</v>
      </c>
      <c r="FU14" s="49">
        <f t="shared" si="177"/>
        <v>0.43671921216550097</v>
      </c>
      <c r="FV14" s="49">
        <f t="shared" si="177"/>
        <v>0.43671921216550097</v>
      </c>
      <c r="FW14" s="49">
        <f t="shared" si="177"/>
        <v>0.58418284224735839</v>
      </c>
      <c r="FX14" s="49">
        <f t="shared" si="177"/>
        <v>0.58418284224735839</v>
      </c>
      <c r="FY14" s="49">
        <f t="shared" si="177"/>
        <v>0.56939340320312148</v>
      </c>
      <c r="FZ14" s="49">
        <f t="shared" si="177"/>
        <v>0.56939340320312148</v>
      </c>
      <c r="GA14" s="49">
        <f t="shared" si="177"/>
        <v>0.4734955668741746</v>
      </c>
      <c r="GB14" s="49">
        <f t="shared" si="177"/>
        <v>0.4734955668741746</v>
      </c>
      <c r="GC14" s="49">
        <f t="shared" si="177"/>
        <v>0.42840075098139613</v>
      </c>
      <c r="GD14" s="49">
        <f t="shared" si="177"/>
        <v>0.42840075098139613</v>
      </c>
      <c r="GE14" s="49">
        <f t="shared" si="177"/>
        <v>0.63256048387096775</v>
      </c>
      <c r="GF14" s="49">
        <f t="shared" si="177"/>
        <v>0.63256048387096775</v>
      </c>
      <c r="GG14" s="49">
        <f t="shared" si="178"/>
        <v>0.79968140183193959</v>
      </c>
      <c r="GH14" s="49">
        <f t="shared" si="179"/>
        <v>0.79968140183193959</v>
      </c>
      <c r="GI14" s="49">
        <f t="shared" si="180"/>
        <v>0.42759026307413406</v>
      </c>
      <c r="GJ14" s="49">
        <f t="shared" si="181"/>
        <v>0.42759026307413406</v>
      </c>
      <c r="GM14" s="147" t="s">
        <v>68</v>
      </c>
      <c r="GN14" s="49">
        <f t="shared" si="182"/>
        <v>1.7500666968252312</v>
      </c>
      <c r="GO14" s="49">
        <f t="shared" si="182"/>
        <v>1.7500666968252312</v>
      </c>
      <c r="GP14" s="49">
        <f t="shared" si="182"/>
        <v>2.3409983087402439</v>
      </c>
      <c r="GQ14" s="49">
        <f t="shared" si="182"/>
        <v>2.3409983087402439</v>
      </c>
      <c r="GR14" s="49">
        <f t="shared" si="182"/>
        <v>2.2817325287721366</v>
      </c>
      <c r="GS14" s="49">
        <f t="shared" si="182"/>
        <v>2.2817325287721366</v>
      </c>
      <c r="GT14" s="49">
        <f t="shared" si="182"/>
        <v>1.8974407344526187</v>
      </c>
      <c r="GU14" s="49">
        <f t="shared" si="182"/>
        <v>1.8974407344526187</v>
      </c>
      <c r="GV14" s="49">
        <f t="shared" si="182"/>
        <v>1.7167320930761789</v>
      </c>
      <c r="GW14" s="49">
        <f t="shared" si="182"/>
        <v>1.7167320930761789</v>
      </c>
      <c r="GX14" s="49">
        <f t="shared" si="182"/>
        <v>2.534862231182796</v>
      </c>
      <c r="GY14" s="49">
        <f t="shared" si="182"/>
        <v>2.534862231182796</v>
      </c>
      <c r="GZ14" s="49">
        <f t="shared" si="183"/>
        <v>3.2045665737422011</v>
      </c>
      <c r="HA14" s="49">
        <f t="shared" si="184"/>
        <v>3.2045665737422011</v>
      </c>
      <c r="HB14" s="49">
        <f t="shared" si="185"/>
        <v>1.7134842215487378</v>
      </c>
      <c r="HC14" s="49">
        <f t="shared" si="186"/>
        <v>1.7134842215487378</v>
      </c>
      <c r="HF14" s="147" t="s">
        <v>68</v>
      </c>
      <c r="HG14" s="49">
        <f t="shared" si="187"/>
        <v>10.83112943823874</v>
      </c>
      <c r="HH14" s="49">
        <f t="shared" si="187"/>
        <v>10.83112943823874</v>
      </c>
      <c r="HI14" s="49">
        <f t="shared" si="187"/>
        <v>14.488393923877794</v>
      </c>
      <c r="HJ14" s="49">
        <f t="shared" si="187"/>
        <v>14.488393923877794</v>
      </c>
      <c r="HK14" s="49">
        <f t="shared" si="187"/>
        <v>14.121599140994812</v>
      </c>
      <c r="HL14" s="49">
        <f t="shared" si="187"/>
        <v>14.121599140994812</v>
      </c>
      <c r="HM14" s="49">
        <f t="shared" si="187"/>
        <v>11.743224548827264</v>
      </c>
      <c r="HN14" s="49">
        <f t="shared" si="187"/>
        <v>11.743224548827264</v>
      </c>
      <c r="HO14" s="49">
        <f t="shared" si="187"/>
        <v>10.624822210843716</v>
      </c>
      <c r="HP14" s="49">
        <f t="shared" si="187"/>
        <v>10.624822210843716</v>
      </c>
      <c r="HQ14" s="49">
        <f t="shared" si="187"/>
        <v>15.688214045698926</v>
      </c>
      <c r="HR14" s="49">
        <f t="shared" si="187"/>
        <v>15.688214045698926</v>
      </c>
      <c r="HS14" s="49">
        <f t="shared" si="188"/>
        <v>19.833001460241604</v>
      </c>
      <c r="HT14" s="49">
        <f t="shared" si="189"/>
        <v>19.833001460241604</v>
      </c>
      <c r="HU14" s="49">
        <f t="shared" si="190"/>
        <v>10.604721195850228</v>
      </c>
      <c r="HV14" s="49">
        <f t="shared" si="191"/>
        <v>10.604721195850228</v>
      </c>
      <c r="HY14" s="339" t="s">
        <v>68</v>
      </c>
      <c r="HZ14" s="338">
        <f t="shared" si="192"/>
        <v>1.6923594436904804E-2</v>
      </c>
      <c r="IA14" s="338">
        <f t="shared" si="192"/>
        <v>1.6923594436904804E-2</v>
      </c>
      <c r="IB14" s="338">
        <f t="shared" si="192"/>
        <v>2.2638054896119409E-2</v>
      </c>
      <c r="IC14" s="338">
        <f t="shared" si="192"/>
        <v>2.2638054896119409E-2</v>
      </c>
      <c r="ID14" s="338">
        <f t="shared" si="192"/>
        <v>2.2064939582293601E-2</v>
      </c>
      <c r="IE14" s="338">
        <f t="shared" si="192"/>
        <v>2.2064939582293601E-2</v>
      </c>
      <c r="IF14" s="338">
        <f t="shared" si="192"/>
        <v>1.834873923159152E-2</v>
      </c>
      <c r="IG14" s="338">
        <f t="shared" si="192"/>
        <v>1.834873923159152E-2</v>
      </c>
      <c r="IH14" s="338">
        <f t="shared" si="192"/>
        <v>1.6601240257154235E-2</v>
      </c>
      <c r="II14" s="338">
        <f t="shared" si="192"/>
        <v>1.6601240257154235E-2</v>
      </c>
      <c r="IJ14" s="338">
        <f t="shared" si="192"/>
        <v>2.4512768817204302E-2</v>
      </c>
      <c r="IK14" s="338">
        <f t="shared" si="192"/>
        <v>2.4512768817204302E-2</v>
      </c>
      <c r="IL14" s="338">
        <f t="shared" si="193"/>
        <v>3.0988981813354573E-2</v>
      </c>
      <c r="IM14" s="338">
        <f t="shared" si="194"/>
        <v>3.0988981813354573E-2</v>
      </c>
      <c r="IN14" s="338">
        <f t="shared" si="195"/>
        <v>1.6569832505316375E-2</v>
      </c>
      <c r="IO14" s="338">
        <f t="shared" si="196"/>
        <v>1.6569832505316375E-2</v>
      </c>
      <c r="IR14" s="339" t="s">
        <v>68</v>
      </c>
      <c r="IS14" s="338">
        <f t="shared" si="197"/>
        <v>4.1395529572792338</v>
      </c>
      <c r="IT14" s="338">
        <f t="shared" si="197"/>
        <v>4.1395529572792338</v>
      </c>
      <c r="IU14" s="338">
        <f t="shared" si="197"/>
        <v>5.5373240857111821</v>
      </c>
      <c r="IV14" s="338">
        <f t="shared" si="197"/>
        <v>5.5373240857111821</v>
      </c>
      <c r="IW14" s="338">
        <f t="shared" si="197"/>
        <v>5.3971386658197593</v>
      </c>
      <c r="IX14" s="338">
        <f t="shared" si="197"/>
        <v>5.3971386658197593</v>
      </c>
      <c r="IY14" s="338">
        <f t="shared" si="197"/>
        <v>4.4881468905237991</v>
      </c>
      <c r="IZ14" s="338">
        <f t="shared" si="197"/>
        <v>4.4881468905237991</v>
      </c>
      <c r="JA14" s="338">
        <f t="shared" si="197"/>
        <v>4.060704329521533</v>
      </c>
      <c r="JB14" s="338">
        <f t="shared" si="197"/>
        <v>4.060704329521533</v>
      </c>
      <c r="JC14" s="338">
        <f t="shared" si="197"/>
        <v>5.99588373655914</v>
      </c>
      <c r="JD14" s="338">
        <f t="shared" si="197"/>
        <v>5.99588373655914</v>
      </c>
      <c r="JE14" s="338">
        <f t="shared" si="198"/>
        <v>7.5799814151068636</v>
      </c>
      <c r="JF14" s="338">
        <f t="shared" si="199"/>
        <v>7.5799814151068636</v>
      </c>
      <c r="JG14" s="338">
        <f t="shared" si="200"/>
        <v>4.0530219159251413</v>
      </c>
      <c r="JH14" s="338">
        <f t="shared" si="201"/>
        <v>4.0530219159251413</v>
      </c>
      <c r="JK14" s="339" t="s">
        <v>68</v>
      </c>
      <c r="JL14" s="338">
        <f t="shared" si="202"/>
        <v>0.71326454860748623</v>
      </c>
      <c r="JM14" s="338">
        <f t="shared" si="202"/>
        <v>0.71326454860748623</v>
      </c>
      <c r="JN14" s="338">
        <f t="shared" si="202"/>
        <v>0.95410712346196203</v>
      </c>
      <c r="JO14" s="338">
        <f t="shared" si="202"/>
        <v>0.95410712346196203</v>
      </c>
      <c r="JP14" s="338">
        <f t="shared" si="202"/>
        <v>0.929952512741406</v>
      </c>
      <c r="JQ14" s="338">
        <f t="shared" si="202"/>
        <v>0.929952512741406</v>
      </c>
      <c r="JR14" s="338">
        <f t="shared" si="202"/>
        <v>0.77332893164811656</v>
      </c>
      <c r="JS14" s="338">
        <f t="shared" si="202"/>
        <v>0.77332893164811656</v>
      </c>
      <c r="JT14" s="338">
        <f t="shared" si="202"/>
        <v>0.69967855720543881</v>
      </c>
      <c r="JU14" s="338">
        <f t="shared" si="202"/>
        <v>0.69967855720543881</v>
      </c>
      <c r="JV14" s="338">
        <f t="shared" si="202"/>
        <v>1.0331191196236558</v>
      </c>
      <c r="JW14" s="338">
        <f t="shared" si="202"/>
        <v>1.0331191196236558</v>
      </c>
      <c r="JX14" s="338">
        <f t="shared" si="203"/>
        <v>1.3060666401168193</v>
      </c>
      <c r="JY14" s="338">
        <f t="shared" si="204"/>
        <v>1.3060666401168193</v>
      </c>
      <c r="JZ14" s="338">
        <f t="shared" si="205"/>
        <v>0.69835484101613132</v>
      </c>
      <c r="KA14" s="338">
        <f t="shared" si="206"/>
        <v>0.69835484101613132</v>
      </c>
      <c r="KD14" s="339" t="s">
        <v>68</v>
      </c>
      <c r="KE14" s="338">
        <f t="shared" si="207"/>
        <v>0.24764821194511144</v>
      </c>
      <c r="KF14" s="338">
        <f t="shared" si="207"/>
        <v>0.24764821194511144</v>
      </c>
      <c r="KG14" s="338">
        <f t="shared" si="207"/>
        <v>0.33126968610839574</v>
      </c>
      <c r="KH14" s="338">
        <f t="shared" si="207"/>
        <v>0.33126968610839574</v>
      </c>
      <c r="KI14" s="338">
        <f t="shared" si="207"/>
        <v>0.32288311177653767</v>
      </c>
      <c r="KJ14" s="338">
        <f t="shared" si="207"/>
        <v>0.32288311177653767</v>
      </c>
      <c r="KK14" s="338">
        <f t="shared" si="207"/>
        <v>0.26850279821417339</v>
      </c>
      <c r="KL14" s="338">
        <f t="shared" si="207"/>
        <v>0.26850279821417339</v>
      </c>
      <c r="KM14" s="338">
        <f t="shared" si="207"/>
        <v>0.2429311031461569</v>
      </c>
      <c r="KN14" s="338">
        <f t="shared" si="207"/>
        <v>0.2429311031461569</v>
      </c>
      <c r="KO14" s="338">
        <f t="shared" si="207"/>
        <v>0.35870295698924731</v>
      </c>
      <c r="KP14" s="338">
        <f t="shared" si="207"/>
        <v>0.35870295698924731</v>
      </c>
      <c r="KQ14" s="338">
        <f t="shared" si="208"/>
        <v>0.45347139253949292</v>
      </c>
      <c r="KR14" s="338">
        <f t="shared" si="209"/>
        <v>0.45347139253949292</v>
      </c>
      <c r="KS14" s="338">
        <f t="shared" si="210"/>
        <v>0.24247150376182633</v>
      </c>
      <c r="KT14" s="338">
        <f t="shared" si="211"/>
        <v>0.24247150376182633</v>
      </c>
      <c r="KW14" s="339" t="s">
        <v>68</v>
      </c>
      <c r="KX14" s="338">
        <f t="shared" si="212"/>
        <v>0.66712774471935143</v>
      </c>
      <c r="KY14" s="338">
        <f t="shared" si="212"/>
        <v>0.66712774471935143</v>
      </c>
      <c r="KZ14" s="338">
        <f t="shared" si="212"/>
        <v>0.89239165852069069</v>
      </c>
      <c r="LA14" s="338">
        <f t="shared" si="212"/>
        <v>0.89239165852069069</v>
      </c>
      <c r="LB14" s="338">
        <f t="shared" si="212"/>
        <v>0.86979946463409097</v>
      </c>
      <c r="LC14" s="338">
        <f t="shared" si="212"/>
        <v>0.86979946463409097</v>
      </c>
      <c r="LD14" s="338">
        <f t="shared" si="212"/>
        <v>0.72330692322203349</v>
      </c>
      <c r="LE14" s="338">
        <f t="shared" si="212"/>
        <v>0.72330692322203349</v>
      </c>
      <c r="LF14" s="338">
        <f t="shared" si="212"/>
        <v>0.65442054958183982</v>
      </c>
      <c r="LG14" s="338">
        <f t="shared" si="212"/>
        <v>0.65442054958183982</v>
      </c>
      <c r="LH14" s="338">
        <f t="shared" si="212"/>
        <v>0.9662928427419355</v>
      </c>
      <c r="LI14" s="338">
        <f t="shared" si="212"/>
        <v>0.9662928427419355</v>
      </c>
      <c r="LJ14" s="338">
        <f t="shared" si="213"/>
        <v>1.2215850258861012</v>
      </c>
      <c r="LK14" s="338">
        <f t="shared" si="214"/>
        <v>1.2215850258861012</v>
      </c>
      <c r="LL14" s="338">
        <f t="shared" si="215"/>
        <v>0.65318245665019858</v>
      </c>
      <c r="LM14" s="338">
        <f t="shared" si="216"/>
        <v>0.65318245665019858</v>
      </c>
      <c r="LP14" s="339" t="s">
        <v>68</v>
      </c>
      <c r="LQ14" s="338">
        <f t="shared" si="217"/>
        <v>3.1208314484230552E-4</v>
      </c>
      <c r="LR14" s="338">
        <f t="shared" si="217"/>
        <v>3.1208314484230552E-4</v>
      </c>
      <c r="LS14" s="338">
        <f t="shared" si="217"/>
        <v>4.1746186907477226E-4</v>
      </c>
      <c r="LT14" s="338">
        <f t="shared" si="217"/>
        <v>4.1746186907477226E-4</v>
      </c>
      <c r="LU14" s="338">
        <f t="shared" si="217"/>
        <v>4.0689321416148691E-4</v>
      </c>
      <c r="LV14" s="338">
        <f t="shared" si="217"/>
        <v>4.0689321416148691E-4</v>
      </c>
      <c r="LW14" s="338">
        <f t="shared" si="217"/>
        <v>3.3836383072376273E-4</v>
      </c>
      <c r="LX14" s="338">
        <f t="shared" si="217"/>
        <v>3.3836383072376273E-4</v>
      </c>
      <c r="LY14" s="338">
        <f t="shared" si="217"/>
        <v>3.0613870398816633E-4</v>
      </c>
      <c r="LZ14" s="338">
        <f t="shared" si="217"/>
        <v>3.0613870398816633E-4</v>
      </c>
      <c r="MA14" s="338">
        <f t="shared" si="217"/>
        <v>4.5203293010752691E-4</v>
      </c>
      <c r="MB14" s="338">
        <f t="shared" si="217"/>
        <v>4.5203293010752691E-4</v>
      </c>
      <c r="MC14" s="338">
        <f t="shared" si="218"/>
        <v>5.714589141112439E-4</v>
      </c>
      <c r="MD14" s="338">
        <f t="shared" si="219"/>
        <v>5.714589141112439E-4</v>
      </c>
      <c r="ME14" s="338">
        <f t="shared" si="220"/>
        <v>3.0555952265629683E-4</v>
      </c>
      <c r="MF14" s="338">
        <f t="shared" si="221"/>
        <v>3.0555952265629683E-4</v>
      </c>
      <c r="MI14" s="339" t="s">
        <v>68</v>
      </c>
      <c r="MJ14" s="338">
        <f t="shared" si="222"/>
        <v>2.7132558490215865E-2</v>
      </c>
      <c r="MK14" s="338">
        <f t="shared" si="222"/>
        <v>2.7132558490215865E-2</v>
      </c>
      <c r="ML14" s="338">
        <f t="shared" si="222"/>
        <v>3.6294201616782255E-2</v>
      </c>
      <c r="MM14" s="338">
        <f t="shared" si="222"/>
        <v>3.6294201616782255E-2</v>
      </c>
      <c r="MN14" s="338">
        <f t="shared" si="222"/>
        <v>3.5375361069521952E-2</v>
      </c>
      <c r="MO14" s="338">
        <f t="shared" si="222"/>
        <v>3.5375361069521952E-2</v>
      </c>
      <c r="MP14" s="338">
        <f t="shared" si="222"/>
        <v>2.9417405520970882E-2</v>
      </c>
      <c r="MQ14" s="338">
        <f t="shared" si="222"/>
        <v>2.9417405520970882E-2</v>
      </c>
      <c r="MR14" s="338">
        <f t="shared" si="222"/>
        <v>2.6615747852306991E-2</v>
      </c>
      <c r="MS14" s="338">
        <f t="shared" si="222"/>
        <v>2.6615747852306991E-2</v>
      </c>
      <c r="MT14" s="338">
        <f t="shared" si="222"/>
        <v>3.9299815188172042E-2</v>
      </c>
      <c r="MU14" s="338">
        <f t="shared" si="222"/>
        <v>3.9299815188172042E-2</v>
      </c>
      <c r="MV14" s="338">
        <f t="shared" si="223"/>
        <v>4.9682729324306389E-2</v>
      </c>
      <c r="MW14" s="338">
        <f t="shared" si="224"/>
        <v>4.9682729324306389E-2</v>
      </c>
      <c r="MX14" s="338">
        <f t="shared" si="225"/>
        <v>2.6565393734748574E-2</v>
      </c>
      <c r="MY14" s="338">
        <f t="shared" si="226"/>
        <v>2.6565393734748574E-2</v>
      </c>
      <c r="NB14" s="339" t="s">
        <v>68</v>
      </c>
      <c r="NC14" s="338">
        <f t="shared" si="227"/>
        <v>2.5215749730312837E-2</v>
      </c>
      <c r="ND14" s="338">
        <f t="shared" si="227"/>
        <v>2.5215749730312837E-2</v>
      </c>
      <c r="NE14" s="338">
        <f t="shared" si="227"/>
        <v>3.3730158730158728E-2</v>
      </c>
      <c r="NF14" s="338">
        <f t="shared" si="227"/>
        <v>3.3730158730158728E-2</v>
      </c>
      <c r="NG14" s="338">
        <f t="shared" si="227"/>
        <v>3.2876230661040784E-2</v>
      </c>
      <c r="NH14" s="338">
        <f t="shared" si="227"/>
        <v>3.2876230661040784E-2</v>
      </c>
      <c r="NI14" s="338">
        <f t="shared" si="227"/>
        <v>2.7339181286549701E-2</v>
      </c>
      <c r="NJ14" s="338">
        <f t="shared" si="227"/>
        <v>2.7339181286549701E-2</v>
      </c>
      <c r="NK14" s="338">
        <f t="shared" si="227"/>
        <v>2.4735449735449732E-2</v>
      </c>
      <c r="NL14" s="338">
        <f t="shared" si="227"/>
        <v>2.4735449735449732E-2</v>
      </c>
      <c r="NM14" s="338">
        <f t="shared" si="227"/>
        <v>3.6523437499999999E-2</v>
      </c>
      <c r="NN14" s="338">
        <f t="shared" si="227"/>
        <v>3.6523437499999999E-2</v>
      </c>
      <c r="NO14" s="338">
        <f t="shared" si="228"/>
        <v>4.617283950617284E-2</v>
      </c>
      <c r="NP14" s="338">
        <f t="shared" si="229"/>
        <v>4.617283950617284E-2</v>
      </c>
      <c r="NQ14" s="338">
        <f t="shared" si="230"/>
        <v>2.4688652938652939E-2</v>
      </c>
      <c r="NR14" s="338">
        <f t="shared" si="231"/>
        <v>2.4688652938652939E-2</v>
      </c>
    </row>
    <row r="15" spans="2:386" ht="12.75" customHeight="1" x14ac:dyDescent="0.2">
      <c r="B15" s="734"/>
      <c r="C15" s="147" t="s">
        <v>624</v>
      </c>
      <c r="D15" s="136">
        <f>'CAM Characteristics'!C22</f>
        <v>1.348435814455232</v>
      </c>
      <c r="E15" s="120">
        <f>'CAM Characteristics'!C22</f>
        <v>1.348435814455232</v>
      </c>
      <c r="F15" s="136">
        <f>'CAM Characteristics'!D22</f>
        <v>1.8037518037518037</v>
      </c>
      <c r="G15" s="120">
        <f>'CAM Characteristics'!D22</f>
        <v>1.8037518037518037</v>
      </c>
      <c r="H15" s="136">
        <f>'CAM Characteristics'!E22</f>
        <v>1.7580872011251756</v>
      </c>
      <c r="I15" s="120">
        <f>'CAM Characteristics'!E22</f>
        <v>1.7580872011251756</v>
      </c>
      <c r="J15" s="136">
        <f>'CAM Characteristics'!F22</f>
        <v>1.4619883040935671</v>
      </c>
      <c r="K15" s="120">
        <f>'CAM Characteristics'!F22</f>
        <v>1.4619883040935671</v>
      </c>
      <c r="L15" s="136">
        <f>'CAM Characteristics'!G22</f>
        <v>1.3227513227513228</v>
      </c>
      <c r="M15" s="120">
        <f>'CAM Characteristics'!G22</f>
        <v>1.3227513227513228</v>
      </c>
      <c r="N15" s="121"/>
      <c r="O15" s="116"/>
      <c r="P15" s="142">
        <f>'CAM Characteristics'!I22</f>
        <v>2.4691358024691357</v>
      </c>
      <c r="Q15" s="125">
        <f>'CAM Characteristics'!I22</f>
        <v>2.4691358024691357</v>
      </c>
      <c r="R15" s="136">
        <f>'CAM Characteristics'!J22</f>
        <v>1.3227513227513228</v>
      </c>
      <c r="S15" s="120">
        <f>'CAM Characteristics'!J22</f>
        <v>1.3227513227513228</v>
      </c>
      <c r="T15" s="318"/>
      <c r="U15" s="119"/>
      <c r="V15" s="147" t="s">
        <v>624</v>
      </c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327"/>
      <c r="AH15" s="327"/>
      <c r="AI15" s="327"/>
      <c r="AJ15" s="327"/>
      <c r="AK15" s="327"/>
      <c r="AL15" s="327"/>
      <c r="AM15" s="327"/>
      <c r="AN15" s="327"/>
      <c r="AO15" s="119"/>
      <c r="AP15" s="8"/>
      <c r="AQ15" s="147" t="s">
        <v>624</v>
      </c>
      <c r="AR15" s="56">
        <f>SUM(AR16:AR32)</f>
        <v>258.81890461120764</v>
      </c>
      <c r="AS15" s="57">
        <f>SUM(AS16:AS32)</f>
        <v>258.81890461120764</v>
      </c>
      <c r="AT15" s="56">
        <f>SUM(AT16:AT32)</f>
        <v>379.92067885232996</v>
      </c>
      <c r="AU15" s="57">
        <f t="shared" ref="AU15:BC15" si="232">SUM(AU16:AU32)</f>
        <v>379.92067885232996</v>
      </c>
      <c r="AV15" s="56">
        <f t="shared" si="232"/>
        <v>388.49168748541302</v>
      </c>
      <c r="AW15" s="57">
        <f t="shared" si="232"/>
        <v>388.49168748541302</v>
      </c>
      <c r="AX15" s="56">
        <f>SUM(AX16:AX32)</f>
        <v>285.42681041269731</v>
      </c>
      <c r="AY15" s="57">
        <f t="shared" si="232"/>
        <v>285.42681041269731</v>
      </c>
      <c r="AZ15" s="56">
        <f t="shared" si="232"/>
        <v>238.38148571783233</v>
      </c>
      <c r="BA15" s="57">
        <f>SUM(BA16:BA32)</f>
        <v>238.38148571783233</v>
      </c>
      <c r="BB15" s="56">
        <f t="shared" si="232"/>
        <v>0</v>
      </c>
      <c r="BC15" s="57">
        <f t="shared" si="232"/>
        <v>0</v>
      </c>
      <c r="BD15" s="56">
        <f>SUM(BD16:BD32)</f>
        <v>193.35353365415017</v>
      </c>
      <c r="BE15" s="57">
        <f>SUM(BE16:BE32)</f>
        <v>193.35353365415017</v>
      </c>
      <c r="BF15" s="56">
        <f t="shared" ref="BF15:BG15" si="233">SUM(BF16:BF32)</f>
        <v>238.38148571783233</v>
      </c>
      <c r="BG15" s="57">
        <f t="shared" si="233"/>
        <v>238.38148571783233</v>
      </c>
      <c r="BI15" s="156"/>
      <c r="BJ15" s="147" t="s">
        <v>624</v>
      </c>
      <c r="BK15" s="56">
        <f t="shared" ref="BK15:BZ15" si="234">SUM(BK16:BK32)</f>
        <v>28.426703121166341</v>
      </c>
      <c r="BL15" s="56">
        <f t="shared" si="234"/>
        <v>28.426703121166341</v>
      </c>
      <c r="BM15" s="56">
        <f t="shared" si="234"/>
        <v>42.75720088432076</v>
      </c>
      <c r="BN15" s="56">
        <f t="shared" si="234"/>
        <v>42.75720088432076</v>
      </c>
      <c r="BO15" s="56">
        <f t="shared" si="234"/>
        <v>42.824693101144824</v>
      </c>
      <c r="BP15" s="56">
        <f t="shared" si="234"/>
        <v>42.824693101144824</v>
      </c>
      <c r="BQ15" s="56">
        <f t="shared" si="234"/>
        <v>31.706125771316898</v>
      </c>
      <c r="BR15" s="56">
        <f t="shared" si="234"/>
        <v>31.706125771316898</v>
      </c>
      <c r="BS15" s="56">
        <f t="shared" si="234"/>
        <v>26.391693584388285</v>
      </c>
      <c r="BT15" s="56">
        <f t="shared" si="234"/>
        <v>26.391693584388285</v>
      </c>
      <c r="BU15" s="56">
        <f t="shared" si="234"/>
        <v>0</v>
      </c>
      <c r="BV15" s="56">
        <f t="shared" si="234"/>
        <v>0</v>
      </c>
      <c r="BW15" s="56">
        <f t="shared" si="234"/>
        <v>23.07032255354099</v>
      </c>
      <c r="BX15" s="56">
        <f t="shared" si="234"/>
        <v>23.07032255354099</v>
      </c>
      <c r="BY15" s="56">
        <f t="shared" si="234"/>
        <v>26.391693584388285</v>
      </c>
      <c r="BZ15" s="56">
        <f t="shared" si="234"/>
        <v>26.391693584388285</v>
      </c>
      <c r="CA15" s="156"/>
      <c r="CB15" s="156"/>
      <c r="CC15" s="147" t="s">
        <v>624</v>
      </c>
      <c r="CD15" s="56">
        <f t="shared" ref="CD15:CS15" si="235">SUM(CD16:CD32)</f>
        <v>969.75804428681954</v>
      </c>
      <c r="CE15" s="56">
        <f t="shared" si="235"/>
        <v>969.75804428681954</v>
      </c>
      <c r="CF15" s="56">
        <f t="shared" si="235"/>
        <v>1351.4493810542174</v>
      </c>
      <c r="CG15" s="56">
        <f t="shared" si="235"/>
        <v>1351.4493810542174</v>
      </c>
      <c r="CH15" s="56">
        <f t="shared" si="235"/>
        <v>1408.7131200470781</v>
      </c>
      <c r="CI15" s="56">
        <f t="shared" si="235"/>
        <v>1408.7131200470781</v>
      </c>
      <c r="CJ15" s="56">
        <f t="shared" si="235"/>
        <v>1050.2910015370235</v>
      </c>
      <c r="CK15" s="56">
        <f t="shared" si="235"/>
        <v>1050.2910015370235</v>
      </c>
      <c r="CL15" s="56">
        <f t="shared" si="235"/>
        <v>891.61300154378591</v>
      </c>
      <c r="CM15" s="56">
        <f t="shared" si="235"/>
        <v>891.61300154378591</v>
      </c>
      <c r="CN15" s="56">
        <f t="shared" si="235"/>
        <v>0</v>
      </c>
      <c r="CO15" s="56">
        <f t="shared" si="235"/>
        <v>0</v>
      </c>
      <c r="CP15" s="56">
        <f t="shared" si="235"/>
        <v>576.64311197719962</v>
      </c>
      <c r="CQ15" s="56">
        <f t="shared" si="235"/>
        <v>576.64311197719962</v>
      </c>
      <c r="CR15" s="56">
        <f t="shared" si="235"/>
        <v>891.61300154378591</v>
      </c>
      <c r="CS15" s="56">
        <f t="shared" si="235"/>
        <v>891.61300154378591</v>
      </c>
      <c r="CV15" s="147" t="s">
        <v>624</v>
      </c>
      <c r="CW15" s="56">
        <f t="shared" ref="CW15:DL15" si="236">SUM(CW16:CW32)</f>
        <v>0.24181267788057309</v>
      </c>
      <c r="CX15" s="56">
        <f t="shared" si="236"/>
        <v>0.24181267788057309</v>
      </c>
      <c r="CY15" s="56">
        <f t="shared" si="236"/>
        <v>0.30824275563348752</v>
      </c>
      <c r="CZ15" s="56">
        <f t="shared" si="236"/>
        <v>0.30824275563348752</v>
      </c>
      <c r="DA15" s="56">
        <f t="shared" si="236"/>
        <v>0.31728362436989416</v>
      </c>
      <c r="DB15" s="56">
        <f t="shared" si="236"/>
        <v>0.31728362436989416</v>
      </c>
      <c r="DC15" s="56">
        <f t="shared" si="236"/>
        <v>0.25789475670721812</v>
      </c>
      <c r="DD15" s="56">
        <f t="shared" si="236"/>
        <v>0.25789475670721812</v>
      </c>
      <c r="DE15" s="56">
        <f t="shared" si="236"/>
        <v>0.22869310369965479</v>
      </c>
      <c r="DF15" s="56">
        <f t="shared" si="236"/>
        <v>0.22869310369965479</v>
      </c>
      <c r="DG15" s="56">
        <f t="shared" si="236"/>
        <v>0</v>
      </c>
      <c r="DH15" s="56">
        <f t="shared" si="236"/>
        <v>0</v>
      </c>
      <c r="DI15" s="56">
        <f t="shared" si="236"/>
        <v>0.16658332375067447</v>
      </c>
      <c r="DJ15" s="56">
        <f t="shared" si="236"/>
        <v>0.16658332375067447</v>
      </c>
      <c r="DK15" s="56">
        <f t="shared" si="236"/>
        <v>0.22869310369965479</v>
      </c>
      <c r="DL15" s="56">
        <f t="shared" si="236"/>
        <v>0.22869310369965479</v>
      </c>
      <c r="DO15" s="147" t="s">
        <v>624</v>
      </c>
      <c r="DP15" s="56">
        <f t="shared" ref="DP15:EE15" si="237">SUM(DP16:DP32)</f>
        <v>20.26455722096869</v>
      </c>
      <c r="DQ15" s="56">
        <f t="shared" si="237"/>
        <v>20.26455722096869</v>
      </c>
      <c r="DR15" s="56">
        <f t="shared" si="237"/>
        <v>27.120389793516924</v>
      </c>
      <c r="DS15" s="56">
        <f t="shared" si="237"/>
        <v>27.120389793516924</v>
      </c>
      <c r="DT15" s="56">
        <f t="shared" si="237"/>
        <v>26.910378550285262</v>
      </c>
      <c r="DU15" s="56">
        <f t="shared" si="237"/>
        <v>26.910378550285262</v>
      </c>
      <c r="DV15" s="56">
        <f t="shared" si="237"/>
        <v>21.974877079562834</v>
      </c>
      <c r="DW15" s="56">
        <f t="shared" si="237"/>
        <v>21.974877079562834</v>
      </c>
      <c r="DX15" s="56">
        <f t="shared" si="237"/>
        <v>19.34789314248572</v>
      </c>
      <c r="DY15" s="56">
        <f t="shared" si="237"/>
        <v>19.34789314248572</v>
      </c>
      <c r="DZ15" s="56">
        <f t="shared" si="237"/>
        <v>0</v>
      </c>
      <c r="EA15" s="56">
        <f t="shared" si="237"/>
        <v>0</v>
      </c>
      <c r="EB15" s="56">
        <f t="shared" si="237"/>
        <v>3.3597491384054354</v>
      </c>
      <c r="EC15" s="56">
        <f t="shared" si="237"/>
        <v>3.3597491384054354</v>
      </c>
      <c r="ED15" s="56">
        <f t="shared" si="237"/>
        <v>19.34789314248572</v>
      </c>
      <c r="EE15" s="56">
        <f t="shared" si="237"/>
        <v>19.34789314248572</v>
      </c>
      <c r="EH15" s="147" t="s">
        <v>624</v>
      </c>
      <c r="EI15" s="56">
        <f t="shared" ref="EI15:EX15" si="238">SUM(EI16:EI32)</f>
        <v>3.2292978672845072</v>
      </c>
      <c r="EJ15" s="56">
        <f t="shared" si="238"/>
        <v>3.2292978672845072</v>
      </c>
      <c r="EK15" s="56">
        <f t="shared" si="238"/>
        <v>4.8581577606644197</v>
      </c>
      <c r="EL15" s="56">
        <f t="shared" si="238"/>
        <v>4.8581577606644197</v>
      </c>
      <c r="EM15" s="56">
        <f t="shared" si="238"/>
        <v>5.0520064723730131</v>
      </c>
      <c r="EN15" s="56">
        <f t="shared" si="238"/>
        <v>5.0520064723730131</v>
      </c>
      <c r="EO15" s="56">
        <f t="shared" si="238"/>
        <v>3.5592553952584169</v>
      </c>
      <c r="EP15" s="56">
        <f t="shared" si="238"/>
        <v>3.5592553952584169</v>
      </c>
      <c r="EQ15" s="56">
        <f t="shared" si="238"/>
        <v>2.9264299306599253</v>
      </c>
      <c r="ER15" s="56">
        <f t="shared" si="238"/>
        <v>2.9264299306599253</v>
      </c>
      <c r="ES15" s="56">
        <f t="shared" si="238"/>
        <v>0</v>
      </c>
      <c r="ET15" s="56">
        <f t="shared" si="238"/>
        <v>0</v>
      </c>
      <c r="EU15" s="56">
        <f t="shared" si="238"/>
        <v>1.789082669466699</v>
      </c>
      <c r="EV15" s="56">
        <f t="shared" si="238"/>
        <v>1.789082669466699</v>
      </c>
      <c r="EW15" s="56">
        <f t="shared" si="238"/>
        <v>2.9264299306599253</v>
      </c>
      <c r="EX15" s="56">
        <f t="shared" si="238"/>
        <v>2.9264299306599253</v>
      </c>
      <c r="FA15" s="147" t="s">
        <v>624</v>
      </c>
      <c r="FB15" s="485">
        <f t="shared" ref="FB15:FQ15" si="239">SUM(FB16:FB32)</f>
        <v>1.3090686268379512E-2</v>
      </c>
      <c r="FC15" s="485">
        <f t="shared" si="239"/>
        <v>1.3090686268379512E-2</v>
      </c>
      <c r="FD15" s="485">
        <f t="shared" si="239"/>
        <v>1.85474183375339E-2</v>
      </c>
      <c r="FE15" s="485">
        <f t="shared" si="239"/>
        <v>1.85474183375339E-2</v>
      </c>
      <c r="FF15" s="485">
        <f t="shared" si="239"/>
        <v>1.8652377283220369E-2</v>
      </c>
      <c r="FG15" s="485">
        <f t="shared" si="239"/>
        <v>1.8652377283220369E-2</v>
      </c>
      <c r="FH15" s="485">
        <f t="shared" si="239"/>
        <v>1.4389583228126824E-2</v>
      </c>
      <c r="FI15" s="485">
        <f t="shared" si="239"/>
        <v>1.4389583228126824E-2</v>
      </c>
      <c r="FJ15" s="485">
        <f t="shared" si="239"/>
        <v>1.2228378510478125E-2</v>
      </c>
      <c r="FK15" s="485">
        <f t="shared" si="239"/>
        <v>1.2228378510478125E-2</v>
      </c>
      <c r="FL15" s="485">
        <f t="shared" si="239"/>
        <v>0</v>
      </c>
      <c r="FM15" s="485">
        <f t="shared" si="239"/>
        <v>0</v>
      </c>
      <c r="FN15" s="485">
        <f t="shared" si="239"/>
        <v>1.0432351816695586E-2</v>
      </c>
      <c r="FO15" s="485">
        <f t="shared" si="239"/>
        <v>1.0432351816695586E-2</v>
      </c>
      <c r="FP15" s="485">
        <f t="shared" si="239"/>
        <v>1.2228378510478125E-2</v>
      </c>
      <c r="FQ15" s="485">
        <f t="shared" si="239"/>
        <v>1.2228378510478125E-2</v>
      </c>
      <c r="FT15" s="147" t="s">
        <v>624</v>
      </c>
      <c r="FU15" s="56">
        <f t="shared" ref="FU15:GJ15" si="240">SUM(FU16:FU32)</f>
        <v>4.0264845545578201</v>
      </c>
      <c r="FV15" s="56">
        <f t="shared" si="240"/>
        <v>4.0264845545578201</v>
      </c>
      <c r="FW15" s="56">
        <f t="shared" si="240"/>
        <v>5.6876612594764593</v>
      </c>
      <c r="FX15" s="56">
        <f t="shared" si="240"/>
        <v>5.6876612594764593</v>
      </c>
      <c r="FY15" s="56">
        <f t="shared" si="240"/>
        <v>5.8795049170127749</v>
      </c>
      <c r="FZ15" s="56">
        <f t="shared" si="240"/>
        <v>5.8795049170127749</v>
      </c>
      <c r="GA15" s="56">
        <f t="shared" si="240"/>
        <v>4.3803473915580069</v>
      </c>
      <c r="GB15" s="56">
        <f t="shared" si="240"/>
        <v>4.3803473915580069</v>
      </c>
      <c r="GC15" s="56">
        <f t="shared" si="240"/>
        <v>3.7044945388555997</v>
      </c>
      <c r="GD15" s="56">
        <f t="shared" si="240"/>
        <v>3.7044945388555997</v>
      </c>
      <c r="GE15" s="56">
        <f t="shared" si="240"/>
        <v>0</v>
      </c>
      <c r="GF15" s="56">
        <f t="shared" si="240"/>
        <v>0</v>
      </c>
      <c r="GG15" s="56">
        <f t="shared" si="240"/>
        <v>2.3815665041795895</v>
      </c>
      <c r="GH15" s="56">
        <f t="shared" si="240"/>
        <v>2.3815665041795895</v>
      </c>
      <c r="GI15" s="56">
        <f t="shared" si="240"/>
        <v>3.7044945388555997</v>
      </c>
      <c r="GJ15" s="56">
        <f t="shared" si="240"/>
        <v>3.7044945388555997</v>
      </c>
      <c r="GM15" s="147" t="s">
        <v>624</v>
      </c>
      <c r="GN15" s="56">
        <f t="shared" ref="GN15:HC15" si="241">SUM(GN16:GN32)</f>
        <v>6.0695870921571107</v>
      </c>
      <c r="GO15" s="56">
        <f t="shared" si="241"/>
        <v>6.0695870921571107</v>
      </c>
      <c r="GP15" s="56">
        <f t="shared" si="241"/>
        <v>9.0342130850077886</v>
      </c>
      <c r="GQ15" s="56">
        <f t="shared" si="241"/>
        <v>9.0342130850077886</v>
      </c>
      <c r="GR15" s="56">
        <f t="shared" si="241"/>
        <v>9.1227372109039884</v>
      </c>
      <c r="GS15" s="56">
        <f t="shared" si="241"/>
        <v>9.1227372109039884</v>
      </c>
      <c r="GT15" s="56">
        <f t="shared" si="241"/>
        <v>6.6161466140476657</v>
      </c>
      <c r="GU15" s="56">
        <f t="shared" si="241"/>
        <v>6.6161466140476657</v>
      </c>
      <c r="GV15" s="56">
        <f t="shared" si="241"/>
        <v>5.4610775746971143</v>
      </c>
      <c r="GW15" s="56">
        <f t="shared" si="241"/>
        <v>5.4610775746971143</v>
      </c>
      <c r="GX15" s="56">
        <f t="shared" si="241"/>
        <v>0</v>
      </c>
      <c r="GY15" s="56">
        <f t="shared" si="241"/>
        <v>0</v>
      </c>
      <c r="GZ15" s="56">
        <f t="shared" si="241"/>
        <v>4.0086044313277087</v>
      </c>
      <c r="HA15" s="56">
        <f t="shared" si="241"/>
        <v>4.0086044313277087</v>
      </c>
      <c r="HB15" s="56">
        <f t="shared" si="241"/>
        <v>5.4610775746971143</v>
      </c>
      <c r="HC15" s="56">
        <f t="shared" si="241"/>
        <v>5.4610775746971143</v>
      </c>
      <c r="HF15" s="147" t="s">
        <v>624</v>
      </c>
      <c r="HG15" s="56">
        <f t="shared" ref="HG15:HV15" si="242">SUM(HG16:HG32)</f>
        <v>102.03909193270597</v>
      </c>
      <c r="HH15" s="56">
        <f t="shared" si="242"/>
        <v>102.03909193270597</v>
      </c>
      <c r="HI15" s="56">
        <f t="shared" si="242"/>
        <v>148.24799207710868</v>
      </c>
      <c r="HJ15" s="56">
        <f t="shared" si="242"/>
        <v>148.24799207710868</v>
      </c>
      <c r="HK15" s="56">
        <f t="shared" si="242"/>
        <v>152.94676418124266</v>
      </c>
      <c r="HL15" s="56">
        <f t="shared" si="242"/>
        <v>152.94676418124266</v>
      </c>
      <c r="HM15" s="56">
        <f t="shared" si="242"/>
        <v>111.82905500668431</v>
      </c>
      <c r="HN15" s="56">
        <f t="shared" si="242"/>
        <v>111.82905500668431</v>
      </c>
      <c r="HO15" s="56">
        <f t="shared" si="242"/>
        <v>93.510955831297025</v>
      </c>
      <c r="HP15" s="56">
        <f t="shared" si="242"/>
        <v>93.510955831297025</v>
      </c>
      <c r="HQ15" s="56">
        <f t="shared" si="242"/>
        <v>0</v>
      </c>
      <c r="HR15" s="56">
        <f t="shared" si="242"/>
        <v>0</v>
      </c>
      <c r="HS15" s="56">
        <f t="shared" si="242"/>
        <v>59.81363136278523</v>
      </c>
      <c r="HT15" s="56">
        <f t="shared" si="242"/>
        <v>59.81363136278523</v>
      </c>
      <c r="HU15" s="56">
        <f t="shared" si="242"/>
        <v>93.510955831297025</v>
      </c>
      <c r="HV15" s="56">
        <f t="shared" si="242"/>
        <v>93.510955831297025</v>
      </c>
      <c r="HY15" s="339" t="s">
        <v>624</v>
      </c>
      <c r="HZ15" s="485">
        <f t="shared" ref="HZ15:IO15" si="243">SUM(HZ16:HZ32)</f>
        <v>8.2315716593298671E-2</v>
      </c>
      <c r="IA15" s="485">
        <f t="shared" si="243"/>
        <v>8.2315716593298671E-2</v>
      </c>
      <c r="IB15" s="485">
        <f t="shared" si="243"/>
        <v>0.10775880500581159</v>
      </c>
      <c r="IC15" s="485">
        <f t="shared" si="243"/>
        <v>0.10775880500581159</v>
      </c>
      <c r="ID15" s="485">
        <f t="shared" si="243"/>
        <v>0.11044328570399388</v>
      </c>
      <c r="IE15" s="485">
        <f t="shared" si="243"/>
        <v>0.11044328570399388</v>
      </c>
      <c r="IF15" s="485">
        <f t="shared" si="243"/>
        <v>8.8410959598221983E-2</v>
      </c>
      <c r="IG15" s="485">
        <f t="shared" si="243"/>
        <v>8.8410959598221983E-2</v>
      </c>
      <c r="IH15" s="485">
        <f t="shared" si="243"/>
        <v>7.76078027282565E-2</v>
      </c>
      <c r="II15" s="485">
        <f t="shared" si="243"/>
        <v>7.76078027282565E-2</v>
      </c>
      <c r="IJ15" s="485">
        <f t="shared" si="243"/>
        <v>0</v>
      </c>
      <c r="IK15" s="485">
        <f t="shared" si="243"/>
        <v>0</v>
      </c>
      <c r="IL15" s="485">
        <f t="shared" si="243"/>
        <v>5.5834089112555003E-2</v>
      </c>
      <c r="IM15" s="485">
        <f t="shared" si="243"/>
        <v>5.5834089112555003E-2</v>
      </c>
      <c r="IN15" s="485">
        <f t="shared" si="243"/>
        <v>7.76078027282565E-2</v>
      </c>
      <c r="IO15" s="485">
        <f t="shared" si="243"/>
        <v>7.76078027282565E-2</v>
      </c>
      <c r="IR15" s="339" t="s">
        <v>624</v>
      </c>
      <c r="IS15" s="340">
        <f t="shared" ref="IS15:JH15" si="244">SUM(IS16:IS32)</f>
        <v>8.5255746928173632</v>
      </c>
      <c r="IT15" s="340">
        <f t="shared" si="244"/>
        <v>8.5255746928173632</v>
      </c>
      <c r="IU15" s="340">
        <f t="shared" si="244"/>
        <v>12.45400895241278</v>
      </c>
      <c r="IV15" s="340">
        <f t="shared" si="244"/>
        <v>12.45400895241278</v>
      </c>
      <c r="IW15" s="340">
        <f t="shared" si="244"/>
        <v>12.540442222761936</v>
      </c>
      <c r="IX15" s="340">
        <f t="shared" si="244"/>
        <v>12.540442222761936</v>
      </c>
      <c r="IY15" s="340">
        <f t="shared" si="244"/>
        <v>9.4305870340432776</v>
      </c>
      <c r="IZ15" s="340">
        <f t="shared" si="244"/>
        <v>9.4305870340432776</v>
      </c>
      <c r="JA15" s="340">
        <f t="shared" si="244"/>
        <v>7.9408026942590322</v>
      </c>
      <c r="JB15" s="340">
        <f t="shared" si="244"/>
        <v>7.9408026942590322</v>
      </c>
      <c r="JC15" s="340">
        <f t="shared" si="244"/>
        <v>0</v>
      </c>
      <c r="JD15" s="340">
        <f t="shared" si="244"/>
        <v>0</v>
      </c>
      <c r="JE15" s="340">
        <f t="shared" si="244"/>
        <v>7.1185311710557784</v>
      </c>
      <c r="JF15" s="340">
        <f t="shared" si="244"/>
        <v>7.1185311710557784</v>
      </c>
      <c r="JG15" s="340">
        <f t="shared" si="244"/>
        <v>7.9408026942590322</v>
      </c>
      <c r="JH15" s="340">
        <f t="shared" si="244"/>
        <v>7.9408026942590322</v>
      </c>
      <c r="JK15" s="339" t="s">
        <v>624</v>
      </c>
      <c r="JL15" s="340">
        <f t="shared" ref="JL15:KA15" si="245">SUM(JL16:JL32)</f>
        <v>6.5891646631089138</v>
      </c>
      <c r="JM15" s="340">
        <f t="shared" si="245"/>
        <v>6.5891646631089138</v>
      </c>
      <c r="JN15" s="340">
        <f t="shared" si="245"/>
        <v>9.2731986983425898</v>
      </c>
      <c r="JO15" s="340">
        <f t="shared" si="245"/>
        <v>9.2731986983425898</v>
      </c>
      <c r="JP15" s="340">
        <f t="shared" si="245"/>
        <v>9.4415277057128701</v>
      </c>
      <c r="JQ15" s="340">
        <f t="shared" si="245"/>
        <v>9.4415277057128701</v>
      </c>
      <c r="JR15" s="340">
        <f t="shared" si="245"/>
        <v>7.2247922593854073</v>
      </c>
      <c r="JS15" s="340">
        <f t="shared" si="245"/>
        <v>7.2247922593854073</v>
      </c>
      <c r="JT15" s="340">
        <f t="shared" si="245"/>
        <v>6.1208041933972197</v>
      </c>
      <c r="JU15" s="340">
        <f t="shared" si="245"/>
        <v>6.1208041933972197</v>
      </c>
      <c r="JV15" s="340">
        <f t="shared" si="245"/>
        <v>0</v>
      </c>
      <c r="JW15" s="340">
        <f t="shared" si="245"/>
        <v>0</v>
      </c>
      <c r="JX15" s="340">
        <f t="shared" si="245"/>
        <v>6.3321387721282703</v>
      </c>
      <c r="JY15" s="340">
        <f t="shared" si="245"/>
        <v>6.3321387721282703</v>
      </c>
      <c r="JZ15" s="340">
        <f t="shared" si="245"/>
        <v>6.1208041933972197</v>
      </c>
      <c r="KA15" s="340">
        <f t="shared" si="245"/>
        <v>6.1208041933972197</v>
      </c>
      <c r="KD15" s="339" t="s">
        <v>624</v>
      </c>
      <c r="KE15" s="340">
        <f t="shared" ref="KE15:KT15" si="246">SUM(KE16:KE32)</f>
        <v>0.77073923876870432</v>
      </c>
      <c r="KF15" s="340">
        <f t="shared" si="246"/>
        <v>0.77073923876870432</v>
      </c>
      <c r="KG15" s="340">
        <f t="shared" si="246"/>
        <v>1.1175520761083897</v>
      </c>
      <c r="KH15" s="340">
        <f t="shared" si="246"/>
        <v>1.1175520761083897</v>
      </c>
      <c r="KI15" s="340">
        <f t="shared" si="246"/>
        <v>1.1262298475292687</v>
      </c>
      <c r="KJ15" s="340">
        <f t="shared" si="246"/>
        <v>1.1262298475292687</v>
      </c>
      <c r="KK15" s="340">
        <f t="shared" si="246"/>
        <v>0.85119535690173753</v>
      </c>
      <c r="KL15" s="340">
        <f t="shared" si="246"/>
        <v>0.85119535690173753</v>
      </c>
      <c r="KM15" s="340">
        <f t="shared" si="246"/>
        <v>0.71739290283834156</v>
      </c>
      <c r="KN15" s="340">
        <f t="shared" si="246"/>
        <v>0.71739290283834156</v>
      </c>
      <c r="KO15" s="340">
        <f t="shared" si="246"/>
        <v>0</v>
      </c>
      <c r="KP15" s="340">
        <f t="shared" si="246"/>
        <v>0</v>
      </c>
      <c r="KQ15" s="340">
        <f t="shared" si="246"/>
        <v>0.59076792634136932</v>
      </c>
      <c r="KR15" s="340">
        <f t="shared" si="246"/>
        <v>0.59076792634136932</v>
      </c>
      <c r="KS15" s="340">
        <f t="shared" si="246"/>
        <v>0.71739290283834156</v>
      </c>
      <c r="KT15" s="340">
        <f t="shared" si="246"/>
        <v>0.71739290283834156</v>
      </c>
      <c r="KW15" s="339" t="s">
        <v>624</v>
      </c>
      <c r="KX15" s="340">
        <f t="shared" ref="KX15:LM15" si="247">SUM(KX16:KX32)</f>
        <v>5.641852738968848</v>
      </c>
      <c r="KY15" s="340">
        <f t="shared" si="247"/>
        <v>5.641852738968848</v>
      </c>
      <c r="KZ15" s="340">
        <f t="shared" si="247"/>
        <v>7.9767188525025023</v>
      </c>
      <c r="LA15" s="340">
        <f t="shared" si="247"/>
        <v>7.9767188525025023</v>
      </c>
      <c r="LB15" s="340">
        <f t="shared" si="247"/>
        <v>8.2426493210983622</v>
      </c>
      <c r="LC15" s="340">
        <f t="shared" si="247"/>
        <v>8.2426493210983622</v>
      </c>
      <c r="LD15" s="340">
        <f t="shared" si="247"/>
        <v>6.1393633118869424</v>
      </c>
      <c r="LE15" s="340">
        <f t="shared" si="247"/>
        <v>6.1393633118869424</v>
      </c>
      <c r="LF15" s="340">
        <f t="shared" si="247"/>
        <v>5.1906498758231816</v>
      </c>
      <c r="LG15" s="340">
        <f t="shared" si="247"/>
        <v>5.1906498758231816</v>
      </c>
      <c r="LH15" s="340">
        <f t="shared" si="247"/>
        <v>0</v>
      </c>
      <c r="LI15" s="340">
        <f t="shared" si="247"/>
        <v>0</v>
      </c>
      <c r="LJ15" s="340">
        <f t="shared" si="247"/>
        <v>3.3670716684899151</v>
      </c>
      <c r="LK15" s="340">
        <f t="shared" si="247"/>
        <v>3.3670716684899151</v>
      </c>
      <c r="LL15" s="340">
        <f t="shared" si="247"/>
        <v>5.1906498758231816</v>
      </c>
      <c r="LM15" s="340">
        <f t="shared" si="247"/>
        <v>5.1906498758231816</v>
      </c>
      <c r="LP15" s="339" t="s">
        <v>624</v>
      </c>
      <c r="LQ15" s="340">
        <f t="shared" ref="LQ15:MF15" si="248">SUM(LQ16:LQ32)</f>
        <v>7.5781566292627599E-3</v>
      </c>
      <c r="LR15" s="340">
        <f t="shared" si="248"/>
        <v>7.5781566292627599E-3</v>
      </c>
      <c r="LS15" s="340">
        <f t="shared" si="248"/>
        <v>1.0807051658953506E-2</v>
      </c>
      <c r="LT15" s="340">
        <f t="shared" si="248"/>
        <v>1.0807051658953506E-2</v>
      </c>
      <c r="LU15" s="340">
        <f t="shared" si="248"/>
        <v>1.0890641850566039E-2</v>
      </c>
      <c r="LV15" s="340">
        <f t="shared" si="248"/>
        <v>1.0890641850566039E-2</v>
      </c>
      <c r="LW15" s="340">
        <f t="shared" si="248"/>
        <v>8.3131717282068397E-3</v>
      </c>
      <c r="LX15" s="340">
        <f t="shared" si="248"/>
        <v>8.3131717282068397E-3</v>
      </c>
      <c r="LY15" s="340">
        <f t="shared" si="248"/>
        <v>7.0880428915335312E-3</v>
      </c>
      <c r="LZ15" s="340">
        <f t="shared" si="248"/>
        <v>7.0880428915335312E-3</v>
      </c>
      <c r="MA15" s="340">
        <f t="shared" si="248"/>
        <v>0</v>
      </c>
      <c r="MB15" s="340">
        <f t="shared" si="248"/>
        <v>0</v>
      </c>
      <c r="MC15" s="340">
        <f t="shared" si="248"/>
        <v>2.6838410689864647E-3</v>
      </c>
      <c r="MD15" s="340">
        <f t="shared" si="248"/>
        <v>2.6838410689864647E-3</v>
      </c>
      <c r="ME15" s="340">
        <f t="shared" si="248"/>
        <v>7.0880428915335312E-3</v>
      </c>
      <c r="MF15" s="340">
        <f t="shared" si="248"/>
        <v>7.0880428915335312E-3</v>
      </c>
      <c r="MI15" s="339" t="s">
        <v>624</v>
      </c>
      <c r="MJ15" s="340">
        <f t="shared" ref="MJ15:MY15" si="249">SUM(MJ16:MJ32)</f>
        <v>7.0677975469665436E-2</v>
      </c>
      <c r="MK15" s="340">
        <f t="shared" si="249"/>
        <v>7.0677975469665436E-2</v>
      </c>
      <c r="ML15" s="340">
        <f t="shared" si="249"/>
        <v>0.10239352104777431</v>
      </c>
      <c r="MM15" s="340">
        <f t="shared" si="249"/>
        <v>0.10239352104777431</v>
      </c>
      <c r="MN15" s="340">
        <f t="shared" si="249"/>
        <v>0.10309280209428177</v>
      </c>
      <c r="MO15" s="340">
        <f t="shared" si="249"/>
        <v>0.10309280209428177</v>
      </c>
      <c r="MP15" s="340">
        <f t="shared" si="249"/>
        <v>7.8026246701928273E-2</v>
      </c>
      <c r="MQ15" s="340">
        <f t="shared" si="249"/>
        <v>7.8026246701928273E-2</v>
      </c>
      <c r="MR15" s="340">
        <f t="shared" si="249"/>
        <v>6.581910646224802E-2</v>
      </c>
      <c r="MS15" s="340">
        <f t="shared" si="249"/>
        <v>6.581910646224802E-2</v>
      </c>
      <c r="MT15" s="340">
        <f t="shared" si="249"/>
        <v>0</v>
      </c>
      <c r="MU15" s="340">
        <f t="shared" si="249"/>
        <v>0</v>
      </c>
      <c r="MV15" s="340">
        <f t="shared" si="249"/>
        <v>4.5928374614039112E-2</v>
      </c>
      <c r="MW15" s="340">
        <f t="shared" si="249"/>
        <v>4.5928374614039112E-2</v>
      </c>
      <c r="MX15" s="340">
        <f t="shared" si="249"/>
        <v>6.581910646224802E-2</v>
      </c>
      <c r="MY15" s="340">
        <f t="shared" si="249"/>
        <v>6.581910646224802E-2</v>
      </c>
      <c r="NB15" s="339" t="s">
        <v>624</v>
      </c>
      <c r="NC15" s="340">
        <f t="shared" ref="NC15:NR15" si="250">SUM(NC16:NC32)</f>
        <v>6.7227412561007491E-2</v>
      </c>
      <c r="ND15" s="340">
        <f t="shared" si="250"/>
        <v>6.7227412561007491E-2</v>
      </c>
      <c r="NE15" s="340">
        <f t="shared" si="250"/>
        <v>9.7355274970782349E-2</v>
      </c>
      <c r="NF15" s="340">
        <f t="shared" si="250"/>
        <v>9.7355274970782349E-2</v>
      </c>
      <c r="NG15" s="340">
        <f t="shared" si="250"/>
        <v>9.7982562727072023E-2</v>
      </c>
      <c r="NH15" s="340">
        <f t="shared" si="250"/>
        <v>9.7982562727072023E-2</v>
      </c>
      <c r="NI15" s="340">
        <f t="shared" si="250"/>
        <v>7.421779559478596E-2</v>
      </c>
      <c r="NJ15" s="340">
        <f t="shared" si="250"/>
        <v>7.421779559478596E-2</v>
      </c>
      <c r="NK15" s="340">
        <f t="shared" si="250"/>
        <v>6.2619822176325488E-2</v>
      </c>
      <c r="NL15" s="340">
        <f t="shared" si="250"/>
        <v>6.2619822176325488E-2</v>
      </c>
      <c r="NM15" s="340">
        <f t="shared" si="250"/>
        <v>0</v>
      </c>
      <c r="NN15" s="340">
        <f t="shared" si="250"/>
        <v>0</v>
      </c>
      <c r="NO15" s="340">
        <f t="shared" si="250"/>
        <v>4.3379261670666878E-2</v>
      </c>
      <c r="NP15" s="340">
        <f t="shared" si="250"/>
        <v>4.3379261670666878E-2</v>
      </c>
      <c r="NQ15" s="340">
        <f t="shared" si="250"/>
        <v>6.2619822176325488E-2</v>
      </c>
      <c r="NR15" s="340">
        <f t="shared" si="250"/>
        <v>6.2619822176325488E-2</v>
      </c>
    </row>
    <row r="16" spans="2:386" ht="14.25" customHeight="1" x14ac:dyDescent="0.25">
      <c r="B16" s="734"/>
      <c r="C16" s="148" t="s">
        <v>368</v>
      </c>
      <c r="D16" s="193"/>
      <c r="E16" s="194"/>
      <c r="F16" s="143">
        <f>'CAM Characteristics'!D56/1000</f>
        <v>0.69016993782691582</v>
      </c>
      <c r="G16" s="127">
        <f>'CAM Characteristics'!D56/1000</f>
        <v>0.69016993782691582</v>
      </c>
      <c r="H16" s="143">
        <f>'CAM Characteristics'!E56/1000</f>
        <v>0.67009100542891142</v>
      </c>
      <c r="I16" s="127">
        <f>'CAM Characteristics'!E56/1000</f>
        <v>0.67009100542891142</v>
      </c>
      <c r="J16" s="193"/>
      <c r="K16" s="194"/>
      <c r="L16" s="193"/>
      <c r="M16" s="194"/>
      <c r="N16" s="143"/>
      <c r="O16" s="127"/>
      <c r="P16" s="193"/>
      <c r="Q16" s="194"/>
      <c r="R16" s="193"/>
      <c r="S16" s="194"/>
      <c r="T16" s="318"/>
      <c r="U16" s="119"/>
      <c r="V16" s="148" t="s">
        <v>368</v>
      </c>
      <c r="W16" s="96">
        <f>'Ecoinvent 3.10'!M8</f>
        <v>29.827926632637222</v>
      </c>
      <c r="X16" s="96">
        <f>'Ecoinvent 3.10'!N8</f>
        <v>8.1082999999999998</v>
      </c>
      <c r="Y16" s="96">
        <f>'Ecoinvent 3.10'!O8</f>
        <v>79.290999999999997</v>
      </c>
      <c r="Z16" s="96">
        <f>'Ecoinvent 3.10'!P8</f>
        <v>4.8938000000000002E-2</v>
      </c>
      <c r="AA16" s="96">
        <f>'Ecoinvent 3.10'!Q8</f>
        <v>26.823</v>
      </c>
      <c r="AB16" s="96">
        <f>'Ecoinvent 3.10'!R8</f>
        <v>8.7756000000000001E-2</v>
      </c>
      <c r="AC16" s="96">
        <f>'Ecoinvent 3.10'!S8</f>
        <v>4.6760999999999999E-3</v>
      </c>
      <c r="AD16" s="96">
        <f>'Ecoinvent 3.10'!T8</f>
        <v>0.70374000000000003</v>
      </c>
      <c r="AE16" s="96">
        <f>'Ecoinvent 3.10'!U8</f>
        <v>1.7015</v>
      </c>
      <c r="AF16" s="96">
        <f>'Ecoinvent 3.10'!V8</f>
        <v>15.747</v>
      </c>
      <c r="AG16" s="96">
        <f>'Ecoinvent 3.10'!W8</f>
        <v>1.8803E-2</v>
      </c>
      <c r="AH16" s="96">
        <f>'Ecoinvent 3.10'!X8</f>
        <v>2.0499000000000001</v>
      </c>
      <c r="AI16" s="96">
        <f>'Ecoinvent 3.10'!Y8</f>
        <v>0.28543000000000002</v>
      </c>
      <c r="AJ16" s="96">
        <f>'Ecoinvent 3.10'!Z8</f>
        <v>0.23585999999999999</v>
      </c>
      <c r="AK16" s="96">
        <f>'Ecoinvent 3.10'!AA8</f>
        <v>0.96316999999999997</v>
      </c>
      <c r="AL16" s="96">
        <f>'Ecoinvent 3.10'!AB8</f>
        <v>6.2123999999999999E-3</v>
      </c>
      <c r="AM16" s="96">
        <f>'Ecoinvent 3.10'!AC8</f>
        <v>2.9071E-2</v>
      </c>
      <c r="AN16" s="96">
        <f>'Ecoinvent 3.10'!AD8</f>
        <v>2.8277E-2</v>
      </c>
      <c r="AO16" s="119"/>
      <c r="AP16" s="8"/>
      <c r="AQ16" s="148" t="s">
        <v>368</v>
      </c>
      <c r="AR16" s="49">
        <f t="shared" ref="AR16:BC17" si="251">D16*$W16</f>
        <v>0</v>
      </c>
      <c r="AS16" s="50">
        <f t="shared" si="251"/>
        <v>0</v>
      </c>
      <c r="AT16" s="49">
        <f t="shared" si="251"/>
        <v>20.586338269553039</v>
      </c>
      <c r="AU16" s="50">
        <f t="shared" si="251"/>
        <v>20.586338269553039</v>
      </c>
      <c r="AV16" s="49">
        <f t="shared" si="251"/>
        <v>19.987425347123679</v>
      </c>
      <c r="AW16" s="50">
        <f t="shared" si="251"/>
        <v>19.987425347123679</v>
      </c>
      <c r="AX16" s="49">
        <f t="shared" si="251"/>
        <v>0</v>
      </c>
      <c r="AY16" s="50">
        <f t="shared" si="251"/>
        <v>0</v>
      </c>
      <c r="AZ16" s="49">
        <f t="shared" si="251"/>
        <v>0</v>
      </c>
      <c r="BA16" s="50">
        <f t="shared" si="251"/>
        <v>0</v>
      </c>
      <c r="BB16" s="49">
        <f t="shared" si="251"/>
        <v>0</v>
      </c>
      <c r="BC16" s="50">
        <f t="shared" si="251"/>
        <v>0</v>
      </c>
      <c r="BD16" s="49">
        <f t="shared" ref="BD16:BD17" si="252">P16*$W16</f>
        <v>0</v>
      </c>
      <c r="BE16" s="50">
        <f t="shared" ref="BE16:BE17" si="253">Q16*$W16</f>
        <v>0</v>
      </c>
      <c r="BF16" s="49">
        <f t="shared" ref="BF16:BF17" si="254">R16*$W16</f>
        <v>0</v>
      </c>
      <c r="BG16" s="50">
        <f t="shared" ref="BG16:BG17" si="255">S16*$W16</f>
        <v>0</v>
      </c>
      <c r="BI16" s="156"/>
      <c r="BJ16" s="148" t="s">
        <v>368</v>
      </c>
      <c r="BK16" s="49">
        <f t="shared" ref="BK16:BZ21" si="256">D16*$X16</f>
        <v>0</v>
      </c>
      <c r="BL16" s="49">
        <f t="shared" si="256"/>
        <v>0</v>
      </c>
      <c r="BM16" s="49">
        <f t="shared" si="256"/>
        <v>5.5961049068819815</v>
      </c>
      <c r="BN16" s="49">
        <f t="shared" si="256"/>
        <v>5.5961049068819815</v>
      </c>
      <c r="BO16" s="49">
        <f t="shared" si="256"/>
        <v>5.4332988993192428</v>
      </c>
      <c r="BP16" s="49">
        <f t="shared" si="256"/>
        <v>5.4332988993192428</v>
      </c>
      <c r="BQ16" s="49">
        <f t="shared" si="256"/>
        <v>0</v>
      </c>
      <c r="BR16" s="49">
        <f t="shared" si="256"/>
        <v>0</v>
      </c>
      <c r="BS16" s="49">
        <f t="shared" si="256"/>
        <v>0</v>
      </c>
      <c r="BT16" s="49">
        <f t="shared" si="256"/>
        <v>0</v>
      </c>
      <c r="BU16" s="49">
        <f t="shared" si="256"/>
        <v>0</v>
      </c>
      <c r="BV16" s="49">
        <f t="shared" si="256"/>
        <v>0</v>
      </c>
      <c r="BW16" s="49">
        <f t="shared" si="256"/>
        <v>0</v>
      </c>
      <c r="BX16" s="49">
        <f t="shared" si="256"/>
        <v>0</v>
      </c>
      <c r="BY16" s="49">
        <f t="shared" si="256"/>
        <v>0</v>
      </c>
      <c r="BZ16" s="49">
        <f t="shared" si="256"/>
        <v>0</v>
      </c>
      <c r="CA16" s="156"/>
      <c r="CB16" s="156"/>
      <c r="CC16" s="148" t="s">
        <v>368</v>
      </c>
      <c r="CD16" s="49">
        <f t="shared" ref="CD16:CS20" si="257">D16*$Y16</f>
        <v>0</v>
      </c>
      <c r="CE16" s="49">
        <f t="shared" si="257"/>
        <v>0</v>
      </c>
      <c r="CF16" s="49">
        <f t="shared" si="257"/>
        <v>54.724264540233982</v>
      </c>
      <c r="CG16" s="49">
        <f t="shared" si="257"/>
        <v>54.724264540233982</v>
      </c>
      <c r="CH16" s="49">
        <f t="shared" si="257"/>
        <v>53.132185911463814</v>
      </c>
      <c r="CI16" s="49">
        <f t="shared" si="257"/>
        <v>53.132185911463814</v>
      </c>
      <c r="CJ16" s="49">
        <f t="shared" si="257"/>
        <v>0</v>
      </c>
      <c r="CK16" s="49">
        <f t="shared" si="257"/>
        <v>0</v>
      </c>
      <c r="CL16" s="49">
        <f t="shared" si="257"/>
        <v>0</v>
      </c>
      <c r="CM16" s="49">
        <f t="shared" si="257"/>
        <v>0</v>
      </c>
      <c r="CN16" s="49">
        <f t="shared" si="257"/>
        <v>0</v>
      </c>
      <c r="CO16" s="220">
        <f t="shared" si="257"/>
        <v>0</v>
      </c>
      <c r="CP16" s="49">
        <f t="shared" si="257"/>
        <v>0</v>
      </c>
      <c r="CQ16" s="49">
        <f t="shared" si="257"/>
        <v>0</v>
      </c>
      <c r="CR16" s="49">
        <f t="shared" si="257"/>
        <v>0</v>
      </c>
      <c r="CS16" s="220">
        <f t="shared" si="257"/>
        <v>0</v>
      </c>
      <c r="CV16" s="148" t="s">
        <v>368</v>
      </c>
      <c r="CW16" s="49">
        <f t="shared" ref="CW16:DL20" si="258">D16*$Z16</f>
        <v>0</v>
      </c>
      <c r="CX16" s="49">
        <f t="shared" si="258"/>
        <v>0</v>
      </c>
      <c r="CY16" s="49">
        <f t="shared" si="258"/>
        <v>3.377553641737361E-2</v>
      </c>
      <c r="CZ16" s="49">
        <f t="shared" si="258"/>
        <v>3.377553641737361E-2</v>
      </c>
      <c r="DA16" s="49">
        <f t="shared" si="258"/>
        <v>3.2792913623680066E-2</v>
      </c>
      <c r="DB16" s="49">
        <f t="shared" si="258"/>
        <v>3.2792913623680066E-2</v>
      </c>
      <c r="DC16" s="49">
        <f t="shared" si="258"/>
        <v>0</v>
      </c>
      <c r="DD16" s="49">
        <f t="shared" si="258"/>
        <v>0</v>
      </c>
      <c r="DE16" s="49">
        <f t="shared" si="258"/>
        <v>0</v>
      </c>
      <c r="DF16" s="49">
        <f t="shared" si="258"/>
        <v>0</v>
      </c>
      <c r="DG16" s="49">
        <f t="shared" si="258"/>
        <v>0</v>
      </c>
      <c r="DH16" s="49">
        <f t="shared" si="258"/>
        <v>0</v>
      </c>
      <c r="DI16" s="49">
        <f t="shared" si="258"/>
        <v>0</v>
      </c>
      <c r="DJ16" s="49">
        <f t="shared" si="258"/>
        <v>0</v>
      </c>
      <c r="DK16" s="49">
        <f t="shared" si="258"/>
        <v>0</v>
      </c>
      <c r="DL16" s="49">
        <f t="shared" si="258"/>
        <v>0</v>
      </c>
      <c r="DO16" s="148" t="s">
        <v>368</v>
      </c>
      <c r="DP16" s="49">
        <f t="shared" ref="DP16:EE20" si="259">D16*$AA16</f>
        <v>0</v>
      </c>
      <c r="DQ16" s="49">
        <f t="shared" si="259"/>
        <v>0</v>
      </c>
      <c r="DR16" s="49">
        <f t="shared" si="259"/>
        <v>18.512428242331364</v>
      </c>
      <c r="DS16" s="49">
        <f t="shared" si="259"/>
        <v>18.512428242331364</v>
      </c>
      <c r="DT16" s="49">
        <f t="shared" si="259"/>
        <v>17.973851038619692</v>
      </c>
      <c r="DU16" s="49">
        <f t="shared" si="259"/>
        <v>17.973851038619692</v>
      </c>
      <c r="DV16" s="49">
        <f t="shared" si="259"/>
        <v>0</v>
      </c>
      <c r="DW16" s="49">
        <f t="shared" si="259"/>
        <v>0</v>
      </c>
      <c r="DX16" s="49">
        <f t="shared" si="259"/>
        <v>0</v>
      </c>
      <c r="DY16" s="49">
        <f t="shared" si="259"/>
        <v>0</v>
      </c>
      <c r="DZ16" s="49">
        <f t="shared" si="259"/>
        <v>0</v>
      </c>
      <c r="EA16" s="49">
        <f t="shared" si="259"/>
        <v>0</v>
      </c>
      <c r="EB16" s="49">
        <f t="shared" si="259"/>
        <v>0</v>
      </c>
      <c r="EC16" s="49">
        <f t="shared" si="259"/>
        <v>0</v>
      </c>
      <c r="ED16" s="49">
        <f t="shared" si="259"/>
        <v>0</v>
      </c>
      <c r="EE16" s="49">
        <f t="shared" si="259"/>
        <v>0</v>
      </c>
      <c r="EH16" s="148" t="s">
        <v>368</v>
      </c>
      <c r="EI16" s="49">
        <f t="shared" ref="EI16:ET17" si="260">D16*$AB16</f>
        <v>0</v>
      </c>
      <c r="EJ16" s="49">
        <f t="shared" si="260"/>
        <v>0</v>
      </c>
      <c r="EK16" s="49">
        <f t="shared" si="260"/>
        <v>6.0566553063938829E-2</v>
      </c>
      <c r="EL16" s="49">
        <f t="shared" si="260"/>
        <v>6.0566553063938829E-2</v>
      </c>
      <c r="EM16" s="49">
        <f t="shared" si="260"/>
        <v>5.8804506272419552E-2</v>
      </c>
      <c r="EN16" s="49">
        <f t="shared" si="260"/>
        <v>5.8804506272419552E-2</v>
      </c>
      <c r="EO16" s="49">
        <f t="shared" si="260"/>
        <v>0</v>
      </c>
      <c r="EP16" s="49">
        <f t="shared" si="260"/>
        <v>0</v>
      </c>
      <c r="EQ16" s="49">
        <f t="shared" si="260"/>
        <v>0</v>
      </c>
      <c r="ER16" s="49">
        <f t="shared" si="260"/>
        <v>0</v>
      </c>
      <c r="ES16" s="49">
        <f t="shared" si="260"/>
        <v>0</v>
      </c>
      <c r="ET16" s="49">
        <f t="shared" si="260"/>
        <v>0</v>
      </c>
      <c r="EU16" s="49">
        <f t="shared" ref="EU16:EU17" si="261">P16*$AB16</f>
        <v>0</v>
      </c>
      <c r="EV16" s="49">
        <f t="shared" ref="EV16:EV17" si="262">Q16*$AB16</f>
        <v>0</v>
      </c>
      <c r="EW16" s="49">
        <f t="shared" ref="EW16:EW17" si="263">R16*$AB16</f>
        <v>0</v>
      </c>
      <c r="EX16" s="49">
        <f t="shared" ref="EX16:EX17" si="264">S16*$AB16</f>
        <v>0</v>
      </c>
      <c r="FA16" s="148" t="s">
        <v>368</v>
      </c>
      <c r="FB16" s="53">
        <f t="shared" ref="FB16:FM17" si="265">D16*$AC16</f>
        <v>0</v>
      </c>
      <c r="FC16" s="53">
        <f t="shared" si="265"/>
        <v>0</v>
      </c>
      <c r="FD16" s="53">
        <f t="shared" si="265"/>
        <v>3.2273036462724409E-3</v>
      </c>
      <c r="FE16" s="53">
        <f t="shared" si="265"/>
        <v>3.2273036462724409E-3</v>
      </c>
      <c r="FF16" s="53">
        <f t="shared" si="265"/>
        <v>3.1334125504861327E-3</v>
      </c>
      <c r="FG16" s="53">
        <f t="shared" si="265"/>
        <v>3.1334125504861327E-3</v>
      </c>
      <c r="FH16" s="53">
        <f t="shared" si="265"/>
        <v>0</v>
      </c>
      <c r="FI16" s="53">
        <f t="shared" si="265"/>
        <v>0</v>
      </c>
      <c r="FJ16" s="53">
        <f t="shared" si="265"/>
        <v>0</v>
      </c>
      <c r="FK16" s="53">
        <f t="shared" si="265"/>
        <v>0</v>
      </c>
      <c r="FL16" s="53">
        <f t="shared" si="265"/>
        <v>0</v>
      </c>
      <c r="FM16" s="53">
        <f t="shared" si="265"/>
        <v>0</v>
      </c>
      <c r="FN16" s="53">
        <f t="shared" ref="FN16:FN17" si="266">P16*$AC16</f>
        <v>0</v>
      </c>
      <c r="FO16" s="53">
        <f t="shared" ref="FO16:FO17" si="267">Q16*$AC16</f>
        <v>0</v>
      </c>
      <c r="FP16" s="53">
        <f t="shared" ref="FP16:FP17" si="268">R16*$AC16</f>
        <v>0</v>
      </c>
      <c r="FQ16" s="53">
        <f t="shared" ref="FQ16:FQ17" si="269">S16*$AC16</f>
        <v>0</v>
      </c>
      <c r="FT16" s="148" t="s">
        <v>368</v>
      </c>
      <c r="FU16" s="49">
        <f t="shared" ref="FU16:GF17" si="270">D16*$AD16</f>
        <v>0</v>
      </c>
      <c r="FV16" s="49">
        <f t="shared" si="270"/>
        <v>0</v>
      </c>
      <c r="FW16" s="49">
        <f t="shared" si="270"/>
        <v>0.48570019204631376</v>
      </c>
      <c r="FX16" s="49">
        <f t="shared" si="270"/>
        <v>0.48570019204631376</v>
      </c>
      <c r="FY16" s="49">
        <f t="shared" si="270"/>
        <v>0.47156984416054215</v>
      </c>
      <c r="FZ16" s="49">
        <f t="shared" si="270"/>
        <v>0.47156984416054215</v>
      </c>
      <c r="GA16" s="49">
        <f t="shared" si="270"/>
        <v>0</v>
      </c>
      <c r="GB16" s="49">
        <f t="shared" si="270"/>
        <v>0</v>
      </c>
      <c r="GC16" s="49">
        <f t="shared" si="270"/>
        <v>0</v>
      </c>
      <c r="GD16" s="49">
        <f t="shared" si="270"/>
        <v>0</v>
      </c>
      <c r="GE16" s="49">
        <f t="shared" si="270"/>
        <v>0</v>
      </c>
      <c r="GF16" s="49">
        <f t="shared" si="270"/>
        <v>0</v>
      </c>
      <c r="GG16" s="49">
        <f t="shared" ref="GG16:GG17" si="271">P16*$AD16</f>
        <v>0</v>
      </c>
      <c r="GH16" s="49">
        <f t="shared" ref="GH16:GH17" si="272">Q16*$AD16</f>
        <v>0</v>
      </c>
      <c r="GI16" s="49">
        <f t="shared" ref="GI16:GI17" si="273">R16*$AD16</f>
        <v>0</v>
      </c>
      <c r="GJ16" s="49">
        <f t="shared" ref="GJ16:GJ17" si="274">S16*$AD16</f>
        <v>0</v>
      </c>
      <c r="GM16" s="148" t="s">
        <v>368</v>
      </c>
      <c r="GN16" s="49">
        <f t="shared" ref="GN16:GY17" si="275">D16*$AE16</f>
        <v>0</v>
      </c>
      <c r="GO16" s="49">
        <f t="shared" si="275"/>
        <v>0</v>
      </c>
      <c r="GP16" s="49">
        <f t="shared" si="275"/>
        <v>1.1743241492124974</v>
      </c>
      <c r="GQ16" s="49">
        <f t="shared" si="275"/>
        <v>1.1743241492124974</v>
      </c>
      <c r="GR16" s="49">
        <f t="shared" si="275"/>
        <v>1.1401598457372928</v>
      </c>
      <c r="GS16" s="49">
        <f t="shared" si="275"/>
        <v>1.1401598457372928</v>
      </c>
      <c r="GT16" s="49">
        <f t="shared" si="275"/>
        <v>0</v>
      </c>
      <c r="GU16" s="49">
        <f t="shared" si="275"/>
        <v>0</v>
      </c>
      <c r="GV16" s="49">
        <f t="shared" si="275"/>
        <v>0</v>
      </c>
      <c r="GW16" s="49">
        <f t="shared" si="275"/>
        <v>0</v>
      </c>
      <c r="GX16" s="49">
        <f t="shared" si="275"/>
        <v>0</v>
      </c>
      <c r="GY16" s="49">
        <f t="shared" si="275"/>
        <v>0</v>
      </c>
      <c r="GZ16" s="49">
        <f t="shared" ref="GZ16:GZ17" si="276">P16*$AE16</f>
        <v>0</v>
      </c>
      <c r="HA16" s="49">
        <f t="shared" ref="HA16:HA17" si="277">Q16*$AE16</f>
        <v>0</v>
      </c>
      <c r="HB16" s="49">
        <f t="shared" ref="HB16:HB17" si="278">R16*$AE16</f>
        <v>0</v>
      </c>
      <c r="HC16" s="49">
        <f t="shared" ref="HC16:HC17" si="279">S16*$AE16</f>
        <v>0</v>
      </c>
      <c r="HF16" s="148" t="s">
        <v>368</v>
      </c>
      <c r="HG16" s="49">
        <f t="shared" ref="HG16:HR17" si="280">D16*$AF16</f>
        <v>0</v>
      </c>
      <c r="HH16" s="49">
        <f t="shared" si="280"/>
        <v>0</v>
      </c>
      <c r="HI16" s="49">
        <f t="shared" si="280"/>
        <v>10.868106010960444</v>
      </c>
      <c r="HJ16" s="49">
        <f t="shared" si="280"/>
        <v>10.868106010960444</v>
      </c>
      <c r="HK16" s="49">
        <f t="shared" si="280"/>
        <v>10.551923062489069</v>
      </c>
      <c r="HL16" s="49">
        <f t="shared" si="280"/>
        <v>10.551923062489069</v>
      </c>
      <c r="HM16" s="49">
        <f t="shared" si="280"/>
        <v>0</v>
      </c>
      <c r="HN16" s="49">
        <f t="shared" si="280"/>
        <v>0</v>
      </c>
      <c r="HO16" s="49">
        <f t="shared" si="280"/>
        <v>0</v>
      </c>
      <c r="HP16" s="49">
        <f t="shared" si="280"/>
        <v>0</v>
      </c>
      <c r="HQ16" s="49">
        <f t="shared" si="280"/>
        <v>0</v>
      </c>
      <c r="HR16" s="49">
        <f t="shared" si="280"/>
        <v>0</v>
      </c>
      <c r="HS16" s="49">
        <f t="shared" ref="HS16:HS17" si="281">P16*$AF16</f>
        <v>0</v>
      </c>
      <c r="HT16" s="49">
        <f t="shared" ref="HT16:HT17" si="282">Q16*$AF16</f>
        <v>0</v>
      </c>
      <c r="HU16" s="49">
        <f t="shared" ref="HU16:HU17" si="283">R16*$AF16</f>
        <v>0</v>
      </c>
      <c r="HV16" s="49">
        <f t="shared" ref="HV16:HV17" si="284">S16*$AF16</f>
        <v>0</v>
      </c>
      <c r="HY16" s="341" t="s">
        <v>711</v>
      </c>
      <c r="HZ16" s="338">
        <f t="shared" ref="HZ16:IK17" si="285">D16*$AG16</f>
        <v>0</v>
      </c>
      <c r="IA16" s="338">
        <f t="shared" si="285"/>
        <v>0</v>
      </c>
      <c r="IB16" s="338">
        <f t="shared" si="285"/>
        <v>1.2977265340959498E-2</v>
      </c>
      <c r="IC16" s="338">
        <f t="shared" si="285"/>
        <v>1.2977265340959498E-2</v>
      </c>
      <c r="ID16" s="338">
        <f t="shared" si="285"/>
        <v>1.2599721175079822E-2</v>
      </c>
      <c r="IE16" s="338">
        <f t="shared" si="285"/>
        <v>1.2599721175079822E-2</v>
      </c>
      <c r="IF16" s="338">
        <f t="shared" si="285"/>
        <v>0</v>
      </c>
      <c r="IG16" s="338">
        <f t="shared" si="285"/>
        <v>0</v>
      </c>
      <c r="IH16" s="338">
        <f t="shared" si="285"/>
        <v>0</v>
      </c>
      <c r="II16" s="338">
        <f t="shared" si="285"/>
        <v>0</v>
      </c>
      <c r="IJ16" s="338">
        <f t="shared" si="285"/>
        <v>0</v>
      </c>
      <c r="IK16" s="338">
        <f t="shared" si="285"/>
        <v>0</v>
      </c>
      <c r="IL16" s="338">
        <f t="shared" ref="IL16:IL17" si="286">P16*$AG16</f>
        <v>0</v>
      </c>
      <c r="IM16" s="338">
        <f t="shared" ref="IM16:IM17" si="287">Q16*$AG16</f>
        <v>0</v>
      </c>
      <c r="IN16" s="338">
        <f t="shared" ref="IN16:IN17" si="288">R16*$AG16</f>
        <v>0</v>
      </c>
      <c r="IO16" s="338">
        <f t="shared" ref="IO16:IO17" si="289">S16*$AG16</f>
        <v>0</v>
      </c>
      <c r="IR16" s="341" t="s">
        <v>711</v>
      </c>
      <c r="IS16" s="338">
        <f t="shared" ref="IS16:JD17" si="290">D16*$AH16</f>
        <v>0</v>
      </c>
      <c r="IT16" s="338">
        <f t="shared" si="290"/>
        <v>0</v>
      </c>
      <c r="IU16" s="338">
        <f t="shared" si="290"/>
        <v>1.4147793555513948</v>
      </c>
      <c r="IV16" s="338">
        <f t="shared" si="290"/>
        <v>1.4147793555513948</v>
      </c>
      <c r="IW16" s="338">
        <f t="shared" si="290"/>
        <v>1.3736195520287255</v>
      </c>
      <c r="IX16" s="338">
        <f t="shared" si="290"/>
        <v>1.3736195520287255</v>
      </c>
      <c r="IY16" s="338">
        <f t="shared" si="290"/>
        <v>0</v>
      </c>
      <c r="IZ16" s="338">
        <f t="shared" si="290"/>
        <v>0</v>
      </c>
      <c r="JA16" s="338">
        <f t="shared" si="290"/>
        <v>0</v>
      </c>
      <c r="JB16" s="338">
        <f t="shared" si="290"/>
        <v>0</v>
      </c>
      <c r="JC16" s="338">
        <f t="shared" si="290"/>
        <v>0</v>
      </c>
      <c r="JD16" s="338">
        <f t="shared" si="290"/>
        <v>0</v>
      </c>
      <c r="JE16" s="338">
        <f t="shared" ref="JE16:JE17" si="291">P16*$AH16</f>
        <v>0</v>
      </c>
      <c r="JF16" s="338">
        <f t="shared" ref="JF16:JF17" si="292">Q16*$AH16</f>
        <v>0</v>
      </c>
      <c r="JG16" s="338">
        <f t="shared" ref="JG16:JG17" si="293">R16*$AH16</f>
        <v>0</v>
      </c>
      <c r="JH16" s="338">
        <f t="shared" ref="JH16:JH17" si="294">S16*$AH16</f>
        <v>0</v>
      </c>
      <c r="JK16" s="341" t="s">
        <v>711</v>
      </c>
      <c r="JL16" s="338">
        <f t="shared" ref="JL16:JW17" si="295">D16*$AI16</f>
        <v>0</v>
      </c>
      <c r="JM16" s="338">
        <f t="shared" si="295"/>
        <v>0</v>
      </c>
      <c r="JN16" s="338">
        <f t="shared" si="295"/>
        <v>0.19699520535393661</v>
      </c>
      <c r="JO16" s="338">
        <f t="shared" si="295"/>
        <v>0.19699520535393661</v>
      </c>
      <c r="JP16" s="338">
        <f t="shared" si="295"/>
        <v>0.19126407567957421</v>
      </c>
      <c r="JQ16" s="338">
        <f t="shared" si="295"/>
        <v>0.19126407567957421</v>
      </c>
      <c r="JR16" s="338">
        <f t="shared" si="295"/>
        <v>0</v>
      </c>
      <c r="JS16" s="338">
        <f t="shared" si="295"/>
        <v>0</v>
      </c>
      <c r="JT16" s="338">
        <f t="shared" si="295"/>
        <v>0</v>
      </c>
      <c r="JU16" s="338">
        <f t="shared" si="295"/>
        <v>0</v>
      </c>
      <c r="JV16" s="338">
        <f t="shared" si="295"/>
        <v>0</v>
      </c>
      <c r="JW16" s="338">
        <f t="shared" si="295"/>
        <v>0</v>
      </c>
      <c r="JX16" s="338">
        <f t="shared" ref="JX16:JX17" si="296">P16*$AI16</f>
        <v>0</v>
      </c>
      <c r="JY16" s="338">
        <f t="shared" ref="JY16:JY17" si="297">Q16*$AI16</f>
        <v>0</v>
      </c>
      <c r="JZ16" s="338">
        <f t="shared" ref="JZ16:JZ17" si="298">R16*$AI16</f>
        <v>0</v>
      </c>
      <c r="KA16" s="338">
        <f t="shared" ref="KA16:KA17" si="299">S16*$AI16</f>
        <v>0</v>
      </c>
      <c r="KD16" s="341" t="s">
        <v>711</v>
      </c>
      <c r="KE16" s="338">
        <f t="shared" ref="KE16:KP17" si="300">D16*$AJ16</f>
        <v>0</v>
      </c>
      <c r="KF16" s="338">
        <f t="shared" si="300"/>
        <v>0</v>
      </c>
      <c r="KG16" s="338">
        <f t="shared" si="300"/>
        <v>0.16278348153585637</v>
      </c>
      <c r="KH16" s="338">
        <f t="shared" si="300"/>
        <v>0.16278348153585637</v>
      </c>
      <c r="KI16" s="338">
        <f t="shared" si="300"/>
        <v>0.15804766454046304</v>
      </c>
      <c r="KJ16" s="338">
        <f t="shared" si="300"/>
        <v>0.15804766454046304</v>
      </c>
      <c r="KK16" s="338">
        <f t="shared" si="300"/>
        <v>0</v>
      </c>
      <c r="KL16" s="338">
        <f t="shared" si="300"/>
        <v>0</v>
      </c>
      <c r="KM16" s="338">
        <f t="shared" si="300"/>
        <v>0</v>
      </c>
      <c r="KN16" s="338">
        <f t="shared" si="300"/>
        <v>0</v>
      </c>
      <c r="KO16" s="338">
        <f t="shared" si="300"/>
        <v>0</v>
      </c>
      <c r="KP16" s="338">
        <f t="shared" si="300"/>
        <v>0</v>
      </c>
      <c r="KQ16" s="338">
        <f t="shared" ref="KQ16:KQ17" si="301">P16*$AJ16</f>
        <v>0</v>
      </c>
      <c r="KR16" s="338">
        <f t="shared" ref="KR16:KR17" si="302">Q16*$AJ16</f>
        <v>0</v>
      </c>
      <c r="KS16" s="338">
        <f t="shared" ref="KS16:KS17" si="303">R16*$AJ16</f>
        <v>0</v>
      </c>
      <c r="KT16" s="338">
        <f t="shared" ref="KT16:KT17" si="304">S16*$AJ16</f>
        <v>0</v>
      </c>
      <c r="KW16" s="341" t="s">
        <v>711</v>
      </c>
      <c r="KX16" s="338">
        <f t="shared" ref="KX16:LI17" si="305">D16*$AK16</f>
        <v>0</v>
      </c>
      <c r="KY16" s="338">
        <f t="shared" si="305"/>
        <v>0</v>
      </c>
      <c r="KZ16" s="338">
        <f t="shared" si="305"/>
        <v>0.66475097901675051</v>
      </c>
      <c r="LA16" s="338">
        <f t="shared" si="305"/>
        <v>0.66475097901675051</v>
      </c>
      <c r="LB16" s="338">
        <f t="shared" si="305"/>
        <v>0.64541155369896464</v>
      </c>
      <c r="LC16" s="338">
        <f t="shared" si="305"/>
        <v>0.64541155369896464</v>
      </c>
      <c r="LD16" s="338">
        <f t="shared" si="305"/>
        <v>0</v>
      </c>
      <c r="LE16" s="338">
        <f t="shared" si="305"/>
        <v>0</v>
      </c>
      <c r="LF16" s="338">
        <f t="shared" si="305"/>
        <v>0</v>
      </c>
      <c r="LG16" s="338">
        <f t="shared" si="305"/>
        <v>0</v>
      </c>
      <c r="LH16" s="338">
        <f t="shared" si="305"/>
        <v>0</v>
      </c>
      <c r="LI16" s="338">
        <f t="shared" si="305"/>
        <v>0</v>
      </c>
      <c r="LJ16" s="338">
        <f t="shared" ref="LJ16:LJ17" si="306">P16*$AK16</f>
        <v>0</v>
      </c>
      <c r="LK16" s="338">
        <f t="shared" ref="LK16:LK17" si="307">Q16*$AK16</f>
        <v>0</v>
      </c>
      <c r="LL16" s="338">
        <f t="shared" ref="LL16:LL17" si="308">R16*$AK16</f>
        <v>0</v>
      </c>
      <c r="LM16" s="338">
        <f t="shared" ref="LM16:LM17" si="309">S16*$AK16</f>
        <v>0</v>
      </c>
      <c r="LP16" s="341" t="s">
        <v>711</v>
      </c>
      <c r="LQ16" s="338">
        <f t="shared" ref="LQ16:MB17" si="310">D16*$AL16</f>
        <v>0</v>
      </c>
      <c r="LR16" s="338">
        <f t="shared" si="310"/>
        <v>0</v>
      </c>
      <c r="LS16" s="338">
        <f t="shared" si="310"/>
        <v>4.2876117217559321E-3</v>
      </c>
      <c r="LT16" s="338">
        <f t="shared" si="310"/>
        <v>4.2876117217559321E-3</v>
      </c>
      <c r="LU16" s="338">
        <f t="shared" si="310"/>
        <v>4.1628733621265693E-3</v>
      </c>
      <c r="LV16" s="338">
        <f t="shared" si="310"/>
        <v>4.1628733621265693E-3</v>
      </c>
      <c r="LW16" s="338">
        <f t="shared" si="310"/>
        <v>0</v>
      </c>
      <c r="LX16" s="338">
        <f t="shared" si="310"/>
        <v>0</v>
      </c>
      <c r="LY16" s="338">
        <f t="shared" si="310"/>
        <v>0</v>
      </c>
      <c r="LZ16" s="338">
        <f t="shared" si="310"/>
        <v>0</v>
      </c>
      <c r="MA16" s="338">
        <f t="shared" si="310"/>
        <v>0</v>
      </c>
      <c r="MB16" s="338">
        <f t="shared" si="310"/>
        <v>0</v>
      </c>
      <c r="MC16" s="338">
        <f t="shared" ref="MC16:MC17" si="311">P16*$AL16</f>
        <v>0</v>
      </c>
      <c r="MD16" s="338">
        <f t="shared" ref="MD16:MD17" si="312">Q16*$AL16</f>
        <v>0</v>
      </c>
      <c r="ME16" s="338">
        <f t="shared" ref="ME16:ME17" si="313">R16*$AL16</f>
        <v>0</v>
      </c>
      <c r="MF16" s="338">
        <f t="shared" ref="MF16:MF17" si="314">S16*$AL16</f>
        <v>0</v>
      </c>
      <c r="MI16" s="341" t="s">
        <v>711</v>
      </c>
      <c r="MJ16" s="338">
        <f t="shared" ref="MJ16:MU17" si="315">D16*$AM16</f>
        <v>0</v>
      </c>
      <c r="MK16" s="338">
        <f t="shared" si="315"/>
        <v>0</v>
      </c>
      <c r="ML16" s="338">
        <f t="shared" si="315"/>
        <v>2.0063930262566268E-2</v>
      </c>
      <c r="MM16" s="338">
        <f t="shared" si="315"/>
        <v>2.0063930262566268E-2</v>
      </c>
      <c r="MN16" s="338">
        <f t="shared" si="315"/>
        <v>1.9480215618823883E-2</v>
      </c>
      <c r="MO16" s="338">
        <f t="shared" si="315"/>
        <v>1.9480215618823883E-2</v>
      </c>
      <c r="MP16" s="338">
        <f t="shared" si="315"/>
        <v>0</v>
      </c>
      <c r="MQ16" s="338">
        <f t="shared" si="315"/>
        <v>0</v>
      </c>
      <c r="MR16" s="338">
        <f t="shared" si="315"/>
        <v>0</v>
      </c>
      <c r="MS16" s="338">
        <f t="shared" si="315"/>
        <v>0</v>
      </c>
      <c r="MT16" s="338">
        <f t="shared" si="315"/>
        <v>0</v>
      </c>
      <c r="MU16" s="338">
        <f t="shared" si="315"/>
        <v>0</v>
      </c>
      <c r="MV16" s="338">
        <f t="shared" ref="MV16:MV17" si="316">P16*$AM16</f>
        <v>0</v>
      </c>
      <c r="MW16" s="338">
        <f t="shared" ref="MW16:MW17" si="317">Q16*$AM16</f>
        <v>0</v>
      </c>
      <c r="MX16" s="338">
        <f t="shared" ref="MX16:MX17" si="318">R16*$AM16</f>
        <v>0</v>
      </c>
      <c r="MY16" s="338">
        <f t="shared" ref="MY16:MY17" si="319">S16*$AM16</f>
        <v>0</v>
      </c>
      <c r="NB16" s="341" t="s">
        <v>711</v>
      </c>
      <c r="NC16" s="338">
        <f t="shared" ref="NC16:NN17" si="320">D16*$AN16</f>
        <v>0</v>
      </c>
      <c r="ND16" s="338">
        <f t="shared" si="320"/>
        <v>0</v>
      </c>
      <c r="NE16" s="338">
        <f t="shared" si="320"/>
        <v>1.9515935331931699E-2</v>
      </c>
      <c r="NF16" s="338">
        <f t="shared" si="320"/>
        <v>1.9515935331931699E-2</v>
      </c>
      <c r="NG16" s="338">
        <f t="shared" si="320"/>
        <v>1.8948163360513328E-2</v>
      </c>
      <c r="NH16" s="338">
        <f t="shared" si="320"/>
        <v>1.8948163360513328E-2</v>
      </c>
      <c r="NI16" s="338">
        <f t="shared" si="320"/>
        <v>0</v>
      </c>
      <c r="NJ16" s="338">
        <f t="shared" si="320"/>
        <v>0</v>
      </c>
      <c r="NK16" s="338">
        <f t="shared" si="320"/>
        <v>0</v>
      </c>
      <c r="NL16" s="338">
        <f t="shared" si="320"/>
        <v>0</v>
      </c>
      <c r="NM16" s="338">
        <f t="shared" si="320"/>
        <v>0</v>
      </c>
      <c r="NN16" s="338">
        <f t="shared" si="320"/>
        <v>0</v>
      </c>
      <c r="NO16" s="338">
        <f t="shared" ref="NO16:NO17" si="321">P16*$AN16</f>
        <v>0</v>
      </c>
      <c r="NP16" s="338">
        <f t="shared" ref="NP16:NP17" si="322">Q16*$AN16</f>
        <v>0</v>
      </c>
      <c r="NQ16" s="338">
        <f t="shared" ref="NQ16:NQ17" si="323">R16*$AN16</f>
        <v>0</v>
      </c>
      <c r="NR16" s="338">
        <f t="shared" ref="NR16:NR17" si="324">S16*$AN16</f>
        <v>0</v>
      </c>
    </row>
    <row r="17" spans="2:382" ht="12.75" customHeight="1" x14ac:dyDescent="0.2">
      <c r="B17" s="734"/>
      <c r="C17" s="148" t="s">
        <v>131</v>
      </c>
      <c r="D17" s="143">
        <f>'CAM Characteristics'!C57/1000</f>
        <v>0.33394054942913337</v>
      </c>
      <c r="E17" s="127">
        <f>'CAM Characteristics'!C57/1000</f>
        <v>0.33394054942913337</v>
      </c>
      <c r="F17" s="195"/>
      <c r="G17" s="196"/>
      <c r="H17" s="195"/>
      <c r="I17" s="196"/>
      <c r="J17" s="143">
        <f>'CAM Characteristics'!F57/1000</f>
        <v>0.35989196308843008</v>
      </c>
      <c r="K17" s="127">
        <f>'CAM Characteristics'!F57/1000</f>
        <v>0.35989196308843008</v>
      </c>
      <c r="L17" s="143">
        <f>'CAM Characteristics'!G57/1000</f>
        <v>0.32502923201988604</v>
      </c>
      <c r="M17" s="127">
        <f>'CAM Characteristics'!G57/1000</f>
        <v>0.32502923201988604</v>
      </c>
      <c r="N17" s="143"/>
      <c r="O17" s="127"/>
      <c r="P17" s="193"/>
      <c r="Q17" s="194"/>
      <c r="R17" s="143">
        <f>'CAM Characteristics'!J57/1000</f>
        <v>0.32502923201988604</v>
      </c>
      <c r="S17" s="127">
        <f>'CAM Characteristics'!J57/1000</f>
        <v>0.32502923201988604</v>
      </c>
      <c r="T17" s="318"/>
      <c r="U17" s="119"/>
      <c r="V17" s="148" t="s">
        <v>131</v>
      </c>
      <c r="W17" s="96">
        <f>'Ecoinvent 3.10'!M10</f>
        <v>54.178208064816104</v>
      </c>
      <c r="X17" s="96">
        <f>'Ecoinvent 3.10'!N10</f>
        <v>15.558</v>
      </c>
      <c r="Y17" s="96">
        <f>'Ecoinvent 3.10'!O10</f>
        <v>142.31</v>
      </c>
      <c r="Z17" s="96">
        <f>'Ecoinvent 3.10'!P10</f>
        <v>8.3553000000000002E-2</v>
      </c>
      <c r="AA17" s="96">
        <f>'Ecoinvent 3.10'!Q10</f>
        <v>43.543999999999997</v>
      </c>
      <c r="AB17" s="96">
        <f>'Ecoinvent 3.10'!R10</f>
        <v>0.14912</v>
      </c>
      <c r="AC17" s="96">
        <f>'Ecoinvent 3.10'!S10</f>
        <v>7.9451999999999995E-3</v>
      </c>
      <c r="AD17" s="96">
        <f>'Ecoinvent 3.10'!T10</f>
        <v>1.2293000000000001</v>
      </c>
      <c r="AE17" s="96">
        <f>'Ecoinvent 3.10'!U10</f>
        <v>3.0192999999999999</v>
      </c>
      <c r="AF17" s="96">
        <f>'Ecoinvent 3.10'!V10</f>
        <v>27.573</v>
      </c>
      <c r="AG17" s="327">
        <f>'Ecoinvent 3.10'!W10</f>
        <v>3.2518999999999999E-2</v>
      </c>
      <c r="AH17" s="327">
        <f>'Ecoinvent 3.10'!X10</f>
        <v>3.7145999999999999</v>
      </c>
      <c r="AI17" s="327">
        <f>'Ecoinvent 3.10'!Y10</f>
        <v>0.53774999999999995</v>
      </c>
      <c r="AJ17" s="327">
        <f>'Ecoinvent 3.10'!Z10</f>
        <v>0.41064000000000001</v>
      </c>
      <c r="AK17" s="327">
        <f>'Ecoinvent 3.10'!AA10</f>
        <v>1.6881999999999999</v>
      </c>
      <c r="AL17" s="327">
        <f>'Ecoinvent 3.10'!AB10</f>
        <v>1.0109999999999999E-2</v>
      </c>
      <c r="AM17" s="327">
        <f>'Ecoinvent 3.10'!AC10</f>
        <v>5.0776000000000002E-2</v>
      </c>
      <c r="AN17" s="327">
        <f>'Ecoinvent 3.10'!AD10</f>
        <v>4.9326000000000002E-2</v>
      </c>
      <c r="AO17" s="119"/>
      <c r="AP17" s="8"/>
      <c r="AQ17" s="148" t="s">
        <v>131</v>
      </c>
      <c r="AR17" s="49">
        <f t="shared" si="251"/>
        <v>18.092300568250593</v>
      </c>
      <c r="AS17" s="50">
        <f t="shared" si="251"/>
        <v>18.092300568250593</v>
      </c>
      <c r="AT17" s="49">
        <f t="shared" si="251"/>
        <v>0</v>
      </c>
      <c r="AU17" s="50">
        <f t="shared" si="251"/>
        <v>0</v>
      </c>
      <c r="AV17" s="49">
        <f t="shared" si="251"/>
        <v>0</v>
      </c>
      <c r="AW17" s="50">
        <f t="shared" si="251"/>
        <v>0</v>
      </c>
      <c r="AX17" s="49">
        <f t="shared" si="251"/>
        <v>19.498301657060082</v>
      </c>
      <c r="AY17" s="50">
        <f t="shared" si="251"/>
        <v>19.498301657060082</v>
      </c>
      <c r="AZ17" s="49">
        <f t="shared" si="251"/>
        <v>17.609501359520774</v>
      </c>
      <c r="BA17" s="50">
        <f t="shared" si="251"/>
        <v>17.609501359520774</v>
      </c>
      <c r="BB17" s="49">
        <f t="shared" si="251"/>
        <v>0</v>
      </c>
      <c r="BC17" s="50">
        <f t="shared" si="251"/>
        <v>0</v>
      </c>
      <c r="BD17" s="49">
        <f t="shared" si="252"/>
        <v>0</v>
      </c>
      <c r="BE17" s="50">
        <f t="shared" si="253"/>
        <v>0</v>
      </c>
      <c r="BF17" s="49">
        <f t="shared" si="254"/>
        <v>17.609501359520774</v>
      </c>
      <c r="BG17" s="50">
        <f t="shared" si="255"/>
        <v>17.609501359520774</v>
      </c>
      <c r="BI17" s="156"/>
      <c r="BJ17" s="148" t="s">
        <v>131</v>
      </c>
      <c r="BK17" s="49">
        <f t="shared" si="256"/>
        <v>5.1954470680184572</v>
      </c>
      <c r="BL17" s="49">
        <f t="shared" si="256"/>
        <v>5.1954470680184572</v>
      </c>
      <c r="BM17" s="49">
        <f t="shared" si="256"/>
        <v>0</v>
      </c>
      <c r="BN17" s="49">
        <f t="shared" si="256"/>
        <v>0</v>
      </c>
      <c r="BO17" s="49">
        <f t="shared" si="256"/>
        <v>0</v>
      </c>
      <c r="BP17" s="49">
        <f t="shared" si="256"/>
        <v>0</v>
      </c>
      <c r="BQ17" s="49">
        <f t="shared" si="256"/>
        <v>5.5991991617297954</v>
      </c>
      <c r="BR17" s="49">
        <f t="shared" si="256"/>
        <v>5.5991991617297954</v>
      </c>
      <c r="BS17" s="49">
        <f t="shared" si="256"/>
        <v>5.0568047917653871</v>
      </c>
      <c r="BT17" s="49">
        <f t="shared" si="256"/>
        <v>5.0568047917653871</v>
      </c>
      <c r="BU17" s="49">
        <f t="shared" si="256"/>
        <v>0</v>
      </c>
      <c r="BV17" s="49">
        <f t="shared" si="256"/>
        <v>0</v>
      </c>
      <c r="BW17" s="49">
        <f t="shared" si="256"/>
        <v>0</v>
      </c>
      <c r="BX17" s="49">
        <f t="shared" si="256"/>
        <v>0</v>
      </c>
      <c r="BY17" s="49">
        <f t="shared" si="256"/>
        <v>5.0568047917653871</v>
      </c>
      <c r="BZ17" s="49">
        <f t="shared" si="256"/>
        <v>5.0568047917653871</v>
      </c>
      <c r="CA17" s="156"/>
      <c r="CB17" s="156"/>
      <c r="CC17" s="148" t="s">
        <v>131</v>
      </c>
      <c r="CD17" s="49">
        <f t="shared" si="257"/>
        <v>47.523079589259972</v>
      </c>
      <c r="CE17" s="49">
        <f t="shared" si="257"/>
        <v>47.523079589259972</v>
      </c>
      <c r="CF17" s="49">
        <f t="shared" si="257"/>
        <v>0</v>
      </c>
      <c r="CG17" s="49">
        <f t="shared" si="257"/>
        <v>0</v>
      </c>
      <c r="CH17" s="49">
        <f t="shared" si="257"/>
        <v>0</v>
      </c>
      <c r="CI17" s="49">
        <f t="shared" si="257"/>
        <v>0</v>
      </c>
      <c r="CJ17" s="49">
        <f t="shared" si="257"/>
        <v>51.216225267114488</v>
      </c>
      <c r="CK17" s="49">
        <f t="shared" si="257"/>
        <v>51.216225267114488</v>
      </c>
      <c r="CL17" s="49">
        <f t="shared" si="257"/>
        <v>46.254910008749981</v>
      </c>
      <c r="CM17" s="49">
        <f t="shared" si="257"/>
        <v>46.254910008749981</v>
      </c>
      <c r="CN17" s="49">
        <f t="shared" si="257"/>
        <v>0</v>
      </c>
      <c r="CO17" s="220">
        <f t="shared" si="257"/>
        <v>0</v>
      </c>
      <c r="CP17" s="49">
        <f t="shared" si="257"/>
        <v>0</v>
      </c>
      <c r="CQ17" s="49">
        <f t="shared" si="257"/>
        <v>0</v>
      </c>
      <c r="CR17" s="49">
        <f t="shared" si="257"/>
        <v>46.254910008749981</v>
      </c>
      <c r="CS17" s="220">
        <f t="shared" si="257"/>
        <v>46.254910008749981</v>
      </c>
      <c r="CV17" s="148" t="s">
        <v>131</v>
      </c>
      <c r="CW17" s="49">
        <f t="shared" si="258"/>
        <v>2.7901734726452382E-2</v>
      </c>
      <c r="CX17" s="49">
        <f t="shared" si="258"/>
        <v>2.7901734726452382E-2</v>
      </c>
      <c r="CY17" s="49">
        <f t="shared" si="258"/>
        <v>0</v>
      </c>
      <c r="CZ17" s="49">
        <f t="shared" si="258"/>
        <v>0</v>
      </c>
      <c r="DA17" s="49">
        <f t="shared" si="258"/>
        <v>0</v>
      </c>
      <c r="DB17" s="49">
        <f t="shared" si="258"/>
        <v>0</v>
      </c>
      <c r="DC17" s="49">
        <f t="shared" si="258"/>
        <v>3.0070053191927598E-2</v>
      </c>
      <c r="DD17" s="49">
        <f t="shared" si="258"/>
        <v>3.0070053191927598E-2</v>
      </c>
      <c r="DE17" s="49">
        <f t="shared" si="258"/>
        <v>2.715716742295754E-2</v>
      </c>
      <c r="DF17" s="49">
        <f t="shared" si="258"/>
        <v>2.715716742295754E-2</v>
      </c>
      <c r="DG17" s="49">
        <f t="shared" si="258"/>
        <v>0</v>
      </c>
      <c r="DH17" s="49">
        <f t="shared" si="258"/>
        <v>0</v>
      </c>
      <c r="DI17" s="49">
        <f t="shared" si="258"/>
        <v>0</v>
      </c>
      <c r="DJ17" s="49">
        <f t="shared" si="258"/>
        <v>0</v>
      </c>
      <c r="DK17" s="49">
        <f t="shared" si="258"/>
        <v>2.715716742295754E-2</v>
      </c>
      <c r="DL17" s="49">
        <f t="shared" si="258"/>
        <v>2.715716742295754E-2</v>
      </c>
      <c r="DO17" s="148" t="s">
        <v>131</v>
      </c>
      <c r="DP17" s="49">
        <f>D17*$AA17</f>
        <v>14.541107284342182</v>
      </c>
      <c r="DQ17" s="49">
        <f t="shared" si="259"/>
        <v>14.541107284342182</v>
      </c>
      <c r="DR17" s="49">
        <f t="shared" si="259"/>
        <v>0</v>
      </c>
      <c r="DS17" s="49">
        <f t="shared" si="259"/>
        <v>0</v>
      </c>
      <c r="DT17" s="49">
        <f t="shared" si="259"/>
        <v>0</v>
      </c>
      <c r="DU17" s="49">
        <f t="shared" si="259"/>
        <v>0</v>
      </c>
      <c r="DV17" s="49">
        <f t="shared" si="259"/>
        <v>15.671135640722598</v>
      </c>
      <c r="DW17" s="49">
        <f t="shared" si="259"/>
        <v>15.671135640722598</v>
      </c>
      <c r="DX17" s="49">
        <f t="shared" si="259"/>
        <v>14.153072879073918</v>
      </c>
      <c r="DY17" s="49">
        <f t="shared" si="259"/>
        <v>14.153072879073918</v>
      </c>
      <c r="DZ17" s="49">
        <f t="shared" si="259"/>
        <v>0</v>
      </c>
      <c r="EA17" s="49">
        <f t="shared" si="259"/>
        <v>0</v>
      </c>
      <c r="EB17" s="49">
        <f t="shared" si="259"/>
        <v>0</v>
      </c>
      <c r="EC17" s="49">
        <f t="shared" si="259"/>
        <v>0</v>
      </c>
      <c r="ED17" s="49">
        <f t="shared" si="259"/>
        <v>14.153072879073918</v>
      </c>
      <c r="EE17" s="49">
        <f t="shared" si="259"/>
        <v>14.153072879073918</v>
      </c>
      <c r="EH17" s="148" t="s">
        <v>131</v>
      </c>
      <c r="EI17" s="49">
        <f t="shared" si="260"/>
        <v>4.9797214730872369E-2</v>
      </c>
      <c r="EJ17" s="49">
        <f t="shared" si="260"/>
        <v>4.9797214730872369E-2</v>
      </c>
      <c r="EK17" s="49">
        <f t="shared" si="260"/>
        <v>0</v>
      </c>
      <c r="EL17" s="49">
        <f t="shared" si="260"/>
        <v>0</v>
      </c>
      <c r="EM17" s="49">
        <f t="shared" si="260"/>
        <v>0</v>
      </c>
      <c r="EN17" s="49">
        <f t="shared" si="260"/>
        <v>0</v>
      </c>
      <c r="EO17" s="49">
        <f t="shared" si="260"/>
        <v>5.3667089535746691E-2</v>
      </c>
      <c r="EP17" s="49">
        <f t="shared" si="260"/>
        <v>5.3667089535746691E-2</v>
      </c>
      <c r="EQ17" s="49">
        <f t="shared" si="260"/>
        <v>4.8468359078805409E-2</v>
      </c>
      <c r="ER17" s="49">
        <f t="shared" si="260"/>
        <v>4.8468359078805409E-2</v>
      </c>
      <c r="ES17" s="49">
        <f t="shared" si="260"/>
        <v>0</v>
      </c>
      <c r="ET17" s="49">
        <f t="shared" si="260"/>
        <v>0</v>
      </c>
      <c r="EU17" s="49">
        <f t="shared" si="261"/>
        <v>0</v>
      </c>
      <c r="EV17" s="49">
        <f t="shared" si="262"/>
        <v>0</v>
      </c>
      <c r="EW17" s="49">
        <f t="shared" si="263"/>
        <v>4.8468359078805409E-2</v>
      </c>
      <c r="EX17" s="49">
        <f t="shared" si="264"/>
        <v>4.8468359078805409E-2</v>
      </c>
      <c r="FA17" s="148" t="s">
        <v>131</v>
      </c>
      <c r="FB17" s="53">
        <f t="shared" si="265"/>
        <v>2.6532244533243503E-3</v>
      </c>
      <c r="FC17" s="53">
        <f t="shared" si="265"/>
        <v>2.6532244533243503E-3</v>
      </c>
      <c r="FD17" s="53">
        <f t="shared" si="265"/>
        <v>0</v>
      </c>
      <c r="FE17" s="53">
        <f t="shared" si="265"/>
        <v>0</v>
      </c>
      <c r="FF17" s="53">
        <f t="shared" si="265"/>
        <v>0</v>
      </c>
      <c r="FG17" s="53">
        <f t="shared" si="265"/>
        <v>0</v>
      </c>
      <c r="FH17" s="53">
        <f t="shared" si="265"/>
        <v>2.8594136251301945E-3</v>
      </c>
      <c r="FI17" s="53">
        <f t="shared" si="265"/>
        <v>2.8594136251301945E-3</v>
      </c>
      <c r="FJ17" s="53">
        <f t="shared" si="265"/>
        <v>2.5824222542443986E-3</v>
      </c>
      <c r="FK17" s="53">
        <f t="shared" si="265"/>
        <v>2.5824222542443986E-3</v>
      </c>
      <c r="FL17" s="53">
        <f t="shared" si="265"/>
        <v>0</v>
      </c>
      <c r="FM17" s="53">
        <f t="shared" si="265"/>
        <v>0</v>
      </c>
      <c r="FN17" s="53">
        <f t="shared" si="266"/>
        <v>0</v>
      </c>
      <c r="FO17" s="53">
        <f t="shared" si="267"/>
        <v>0</v>
      </c>
      <c r="FP17" s="53">
        <f t="shared" si="268"/>
        <v>2.5824222542443986E-3</v>
      </c>
      <c r="FQ17" s="53">
        <f t="shared" si="269"/>
        <v>2.5824222542443986E-3</v>
      </c>
      <c r="FT17" s="148" t="s">
        <v>131</v>
      </c>
      <c r="FU17" s="49">
        <f t="shared" si="270"/>
        <v>0.41051311741323365</v>
      </c>
      <c r="FV17" s="49">
        <f t="shared" si="270"/>
        <v>0.41051311741323365</v>
      </c>
      <c r="FW17" s="49">
        <f t="shared" si="270"/>
        <v>0</v>
      </c>
      <c r="FX17" s="49">
        <f t="shared" si="270"/>
        <v>0</v>
      </c>
      <c r="FY17" s="49">
        <f t="shared" si="270"/>
        <v>0</v>
      </c>
      <c r="FZ17" s="49">
        <f t="shared" si="270"/>
        <v>0</v>
      </c>
      <c r="GA17" s="49">
        <f t="shared" si="270"/>
        <v>0.44241519022460712</v>
      </c>
      <c r="GB17" s="49">
        <f t="shared" si="270"/>
        <v>0.44241519022460712</v>
      </c>
      <c r="GC17" s="49">
        <f t="shared" si="270"/>
        <v>0.3995584349220459</v>
      </c>
      <c r="GD17" s="49">
        <f t="shared" si="270"/>
        <v>0.3995584349220459</v>
      </c>
      <c r="GE17" s="49">
        <f t="shared" si="270"/>
        <v>0</v>
      </c>
      <c r="GF17" s="49">
        <f t="shared" si="270"/>
        <v>0</v>
      </c>
      <c r="GG17" s="49">
        <f t="shared" si="271"/>
        <v>0</v>
      </c>
      <c r="GH17" s="49">
        <f t="shared" si="272"/>
        <v>0</v>
      </c>
      <c r="GI17" s="49">
        <f t="shared" si="273"/>
        <v>0.3995584349220459</v>
      </c>
      <c r="GJ17" s="49">
        <f t="shared" si="274"/>
        <v>0.3995584349220459</v>
      </c>
      <c r="GM17" s="148" t="s">
        <v>131</v>
      </c>
      <c r="GN17" s="49">
        <f t="shared" si="275"/>
        <v>1.0082667008913824</v>
      </c>
      <c r="GO17" s="49">
        <f t="shared" si="275"/>
        <v>1.0082667008913824</v>
      </c>
      <c r="GP17" s="49">
        <f t="shared" si="275"/>
        <v>0</v>
      </c>
      <c r="GQ17" s="49">
        <f t="shared" si="275"/>
        <v>0</v>
      </c>
      <c r="GR17" s="49">
        <f t="shared" si="275"/>
        <v>0</v>
      </c>
      <c r="GS17" s="49">
        <f t="shared" si="275"/>
        <v>0</v>
      </c>
      <c r="GT17" s="49">
        <f t="shared" si="275"/>
        <v>1.086621804152897</v>
      </c>
      <c r="GU17" s="49">
        <f t="shared" si="275"/>
        <v>1.086621804152897</v>
      </c>
      <c r="GV17" s="49">
        <f t="shared" si="275"/>
        <v>0.98136076023764185</v>
      </c>
      <c r="GW17" s="49">
        <f t="shared" si="275"/>
        <v>0.98136076023764185</v>
      </c>
      <c r="GX17" s="49">
        <f t="shared" si="275"/>
        <v>0</v>
      </c>
      <c r="GY17" s="49">
        <f t="shared" si="275"/>
        <v>0</v>
      </c>
      <c r="GZ17" s="49">
        <f t="shared" si="276"/>
        <v>0</v>
      </c>
      <c r="HA17" s="49">
        <f t="shared" si="277"/>
        <v>0</v>
      </c>
      <c r="HB17" s="49">
        <f t="shared" si="278"/>
        <v>0.98136076023764185</v>
      </c>
      <c r="HC17" s="49">
        <f t="shared" si="279"/>
        <v>0.98136076023764185</v>
      </c>
      <c r="HF17" s="148" t="s">
        <v>131</v>
      </c>
      <c r="HG17" s="49">
        <f t="shared" si="280"/>
        <v>9.207742769409494</v>
      </c>
      <c r="HH17" s="49">
        <f t="shared" si="280"/>
        <v>9.207742769409494</v>
      </c>
      <c r="HI17" s="49">
        <f t="shared" si="280"/>
        <v>0</v>
      </c>
      <c r="HJ17" s="49">
        <f t="shared" si="280"/>
        <v>0</v>
      </c>
      <c r="HK17" s="49">
        <f t="shared" si="280"/>
        <v>0</v>
      </c>
      <c r="HL17" s="49">
        <f t="shared" si="280"/>
        <v>0</v>
      </c>
      <c r="HM17" s="49">
        <f t="shared" si="280"/>
        <v>9.9233010982372836</v>
      </c>
      <c r="HN17" s="49">
        <f t="shared" si="280"/>
        <v>9.9233010982372836</v>
      </c>
      <c r="HO17" s="49">
        <f t="shared" si="280"/>
        <v>8.9620310144843174</v>
      </c>
      <c r="HP17" s="49">
        <f t="shared" si="280"/>
        <v>8.9620310144843174</v>
      </c>
      <c r="HQ17" s="49">
        <f t="shared" si="280"/>
        <v>0</v>
      </c>
      <c r="HR17" s="49">
        <f t="shared" si="280"/>
        <v>0</v>
      </c>
      <c r="HS17" s="49">
        <f t="shared" si="281"/>
        <v>0</v>
      </c>
      <c r="HT17" s="49">
        <f t="shared" si="282"/>
        <v>0</v>
      </c>
      <c r="HU17" s="49">
        <f t="shared" si="283"/>
        <v>8.9620310144843174</v>
      </c>
      <c r="HV17" s="49">
        <f t="shared" si="284"/>
        <v>8.9620310144843174</v>
      </c>
      <c r="HY17" s="341" t="s">
        <v>131</v>
      </c>
      <c r="HZ17" s="338">
        <f t="shared" si="285"/>
        <v>1.0859412726885988E-2</v>
      </c>
      <c r="IA17" s="338">
        <f t="shared" si="285"/>
        <v>1.0859412726885988E-2</v>
      </c>
      <c r="IB17" s="338">
        <f t="shared" si="285"/>
        <v>0</v>
      </c>
      <c r="IC17" s="338">
        <f t="shared" si="285"/>
        <v>0</v>
      </c>
      <c r="ID17" s="338">
        <f t="shared" si="285"/>
        <v>0</v>
      </c>
      <c r="IE17" s="338">
        <f t="shared" si="285"/>
        <v>0</v>
      </c>
      <c r="IF17" s="338">
        <f t="shared" si="285"/>
        <v>1.1703326747672658E-2</v>
      </c>
      <c r="IG17" s="338">
        <f t="shared" si="285"/>
        <v>1.1703326747672658E-2</v>
      </c>
      <c r="IH17" s="338">
        <f t="shared" si="285"/>
        <v>1.0569625596054674E-2</v>
      </c>
      <c r="II17" s="338">
        <f t="shared" si="285"/>
        <v>1.0569625596054674E-2</v>
      </c>
      <c r="IJ17" s="338">
        <f t="shared" si="285"/>
        <v>0</v>
      </c>
      <c r="IK17" s="338">
        <f t="shared" si="285"/>
        <v>0</v>
      </c>
      <c r="IL17" s="338">
        <f t="shared" si="286"/>
        <v>0</v>
      </c>
      <c r="IM17" s="338">
        <f t="shared" si="287"/>
        <v>0</v>
      </c>
      <c r="IN17" s="338">
        <f t="shared" si="288"/>
        <v>1.0569625596054674E-2</v>
      </c>
      <c r="IO17" s="338">
        <f t="shared" si="289"/>
        <v>1.0569625596054674E-2</v>
      </c>
      <c r="IR17" s="341" t="s">
        <v>131</v>
      </c>
      <c r="IS17" s="338">
        <f t="shared" si="290"/>
        <v>1.2404555649094589</v>
      </c>
      <c r="IT17" s="338">
        <f t="shared" si="290"/>
        <v>1.2404555649094589</v>
      </c>
      <c r="IU17" s="338">
        <f t="shared" si="290"/>
        <v>0</v>
      </c>
      <c r="IV17" s="338">
        <f t="shared" si="290"/>
        <v>0</v>
      </c>
      <c r="IW17" s="338">
        <f t="shared" si="290"/>
        <v>0</v>
      </c>
      <c r="IX17" s="338">
        <f t="shared" si="290"/>
        <v>0</v>
      </c>
      <c r="IY17" s="338">
        <f t="shared" si="290"/>
        <v>1.3368546860882824</v>
      </c>
      <c r="IZ17" s="338">
        <f t="shared" si="290"/>
        <v>1.3368546860882824</v>
      </c>
      <c r="JA17" s="338">
        <f t="shared" si="290"/>
        <v>1.2073535852610686</v>
      </c>
      <c r="JB17" s="338">
        <f t="shared" si="290"/>
        <v>1.2073535852610686</v>
      </c>
      <c r="JC17" s="338">
        <f t="shared" si="290"/>
        <v>0</v>
      </c>
      <c r="JD17" s="338">
        <f t="shared" si="290"/>
        <v>0</v>
      </c>
      <c r="JE17" s="338">
        <f t="shared" si="291"/>
        <v>0</v>
      </c>
      <c r="JF17" s="338">
        <f t="shared" si="292"/>
        <v>0</v>
      </c>
      <c r="JG17" s="338">
        <f t="shared" si="293"/>
        <v>1.2073535852610686</v>
      </c>
      <c r="JH17" s="338">
        <f t="shared" si="294"/>
        <v>1.2073535852610686</v>
      </c>
      <c r="JK17" s="341" t="s">
        <v>131</v>
      </c>
      <c r="JL17" s="338">
        <f t="shared" si="295"/>
        <v>0.17957653045551644</v>
      </c>
      <c r="JM17" s="338">
        <f t="shared" si="295"/>
        <v>0.17957653045551644</v>
      </c>
      <c r="JN17" s="338">
        <f t="shared" si="295"/>
        <v>0</v>
      </c>
      <c r="JO17" s="338">
        <f t="shared" si="295"/>
        <v>0</v>
      </c>
      <c r="JP17" s="338">
        <f t="shared" si="295"/>
        <v>0</v>
      </c>
      <c r="JQ17" s="338">
        <f t="shared" si="295"/>
        <v>0</v>
      </c>
      <c r="JR17" s="338">
        <f t="shared" si="295"/>
        <v>0.19353190315080326</v>
      </c>
      <c r="JS17" s="338">
        <f t="shared" si="295"/>
        <v>0.19353190315080326</v>
      </c>
      <c r="JT17" s="338">
        <f t="shared" si="295"/>
        <v>0.1747844695186937</v>
      </c>
      <c r="JU17" s="338">
        <f t="shared" si="295"/>
        <v>0.1747844695186937</v>
      </c>
      <c r="JV17" s="338">
        <f t="shared" si="295"/>
        <v>0</v>
      </c>
      <c r="JW17" s="338">
        <f t="shared" si="295"/>
        <v>0</v>
      </c>
      <c r="JX17" s="338">
        <f t="shared" si="296"/>
        <v>0</v>
      </c>
      <c r="JY17" s="338">
        <f t="shared" si="297"/>
        <v>0</v>
      </c>
      <c r="JZ17" s="338">
        <f t="shared" si="298"/>
        <v>0.1747844695186937</v>
      </c>
      <c r="KA17" s="338">
        <f t="shared" si="299"/>
        <v>0.1747844695186937</v>
      </c>
      <c r="KD17" s="341" t="s">
        <v>131</v>
      </c>
      <c r="KE17" s="338">
        <f t="shared" si="300"/>
        <v>0.13712934721757933</v>
      </c>
      <c r="KF17" s="338">
        <f t="shared" si="300"/>
        <v>0.13712934721757933</v>
      </c>
      <c r="KG17" s="338">
        <f t="shared" si="300"/>
        <v>0</v>
      </c>
      <c r="KH17" s="338">
        <f t="shared" si="300"/>
        <v>0</v>
      </c>
      <c r="KI17" s="338">
        <f t="shared" si="300"/>
        <v>0</v>
      </c>
      <c r="KJ17" s="338">
        <f t="shared" si="300"/>
        <v>0</v>
      </c>
      <c r="KK17" s="338">
        <f t="shared" si="300"/>
        <v>0.14778603572263294</v>
      </c>
      <c r="KL17" s="338">
        <f t="shared" si="300"/>
        <v>0.14778603572263294</v>
      </c>
      <c r="KM17" s="338">
        <f t="shared" si="300"/>
        <v>0.13347000383664601</v>
      </c>
      <c r="KN17" s="338">
        <f t="shared" si="300"/>
        <v>0.13347000383664601</v>
      </c>
      <c r="KO17" s="338">
        <f t="shared" si="300"/>
        <v>0</v>
      </c>
      <c r="KP17" s="338">
        <f t="shared" si="300"/>
        <v>0</v>
      </c>
      <c r="KQ17" s="338">
        <f t="shared" si="301"/>
        <v>0</v>
      </c>
      <c r="KR17" s="338">
        <f t="shared" si="302"/>
        <v>0</v>
      </c>
      <c r="KS17" s="338">
        <f t="shared" si="303"/>
        <v>0.13347000383664601</v>
      </c>
      <c r="KT17" s="338">
        <f t="shared" si="304"/>
        <v>0.13347000383664601</v>
      </c>
      <c r="KW17" s="341" t="s">
        <v>131</v>
      </c>
      <c r="KX17" s="338">
        <f t="shared" si="305"/>
        <v>0.56375843554626293</v>
      </c>
      <c r="KY17" s="338">
        <f t="shared" si="305"/>
        <v>0.56375843554626293</v>
      </c>
      <c r="KZ17" s="338">
        <f t="shared" si="305"/>
        <v>0</v>
      </c>
      <c r="LA17" s="338">
        <f t="shared" si="305"/>
        <v>0</v>
      </c>
      <c r="LB17" s="338">
        <f t="shared" si="305"/>
        <v>0</v>
      </c>
      <c r="LC17" s="338">
        <f t="shared" si="305"/>
        <v>0</v>
      </c>
      <c r="LD17" s="338">
        <f t="shared" si="305"/>
        <v>0.60756961208588767</v>
      </c>
      <c r="LE17" s="338">
        <f t="shared" si="305"/>
        <v>0.60756961208588767</v>
      </c>
      <c r="LF17" s="338">
        <f t="shared" si="305"/>
        <v>0.54871434949597153</v>
      </c>
      <c r="LG17" s="338">
        <f t="shared" si="305"/>
        <v>0.54871434949597153</v>
      </c>
      <c r="LH17" s="338">
        <f t="shared" si="305"/>
        <v>0</v>
      </c>
      <c r="LI17" s="338">
        <f t="shared" si="305"/>
        <v>0</v>
      </c>
      <c r="LJ17" s="338">
        <f t="shared" si="306"/>
        <v>0</v>
      </c>
      <c r="LK17" s="338">
        <f t="shared" si="307"/>
        <v>0</v>
      </c>
      <c r="LL17" s="338">
        <f t="shared" si="308"/>
        <v>0.54871434949597153</v>
      </c>
      <c r="LM17" s="338">
        <f t="shared" si="309"/>
        <v>0.54871434949597153</v>
      </c>
      <c r="LP17" s="341" t="s">
        <v>131</v>
      </c>
      <c r="LQ17" s="338">
        <f t="shared" si="310"/>
        <v>3.3761389547285383E-3</v>
      </c>
      <c r="LR17" s="338">
        <f t="shared" si="310"/>
        <v>3.3761389547285383E-3</v>
      </c>
      <c r="LS17" s="338">
        <f t="shared" si="310"/>
        <v>0</v>
      </c>
      <c r="LT17" s="338">
        <f t="shared" si="310"/>
        <v>0</v>
      </c>
      <c r="LU17" s="338">
        <f t="shared" si="310"/>
        <v>0</v>
      </c>
      <c r="LV17" s="338">
        <f t="shared" si="310"/>
        <v>0</v>
      </c>
      <c r="LW17" s="338">
        <f t="shared" si="310"/>
        <v>3.638507746824028E-3</v>
      </c>
      <c r="LX17" s="338">
        <f t="shared" si="310"/>
        <v>3.638507746824028E-3</v>
      </c>
      <c r="LY17" s="338">
        <f t="shared" si="310"/>
        <v>3.2860455357210474E-3</v>
      </c>
      <c r="LZ17" s="338">
        <f t="shared" si="310"/>
        <v>3.2860455357210474E-3</v>
      </c>
      <c r="MA17" s="338">
        <f t="shared" si="310"/>
        <v>0</v>
      </c>
      <c r="MB17" s="338">
        <f t="shared" si="310"/>
        <v>0</v>
      </c>
      <c r="MC17" s="338">
        <f t="shared" si="311"/>
        <v>0</v>
      </c>
      <c r="MD17" s="338">
        <f t="shared" si="312"/>
        <v>0</v>
      </c>
      <c r="ME17" s="338">
        <f t="shared" si="313"/>
        <v>3.2860455357210474E-3</v>
      </c>
      <c r="MF17" s="338">
        <f t="shared" si="314"/>
        <v>3.2860455357210474E-3</v>
      </c>
      <c r="MI17" s="341" t="s">
        <v>131</v>
      </c>
      <c r="MJ17" s="338">
        <f t="shared" si="315"/>
        <v>1.6956165337813675E-2</v>
      </c>
      <c r="MK17" s="338">
        <f t="shared" si="315"/>
        <v>1.6956165337813675E-2</v>
      </c>
      <c r="ML17" s="338">
        <f t="shared" si="315"/>
        <v>0</v>
      </c>
      <c r="MM17" s="338">
        <f t="shared" si="315"/>
        <v>0</v>
      </c>
      <c r="MN17" s="338">
        <f t="shared" si="315"/>
        <v>0</v>
      </c>
      <c r="MO17" s="338">
        <f t="shared" si="315"/>
        <v>0</v>
      </c>
      <c r="MP17" s="338">
        <f t="shared" si="315"/>
        <v>1.8273874317778126E-2</v>
      </c>
      <c r="MQ17" s="338">
        <f t="shared" si="315"/>
        <v>1.8273874317778126E-2</v>
      </c>
      <c r="MR17" s="338">
        <f t="shared" si="315"/>
        <v>1.6503684285041734E-2</v>
      </c>
      <c r="MS17" s="338">
        <f t="shared" si="315"/>
        <v>1.6503684285041734E-2</v>
      </c>
      <c r="MT17" s="338">
        <f t="shared" si="315"/>
        <v>0</v>
      </c>
      <c r="MU17" s="338">
        <f t="shared" si="315"/>
        <v>0</v>
      </c>
      <c r="MV17" s="338">
        <f t="shared" si="316"/>
        <v>0</v>
      </c>
      <c r="MW17" s="338">
        <f t="shared" si="317"/>
        <v>0</v>
      </c>
      <c r="MX17" s="338">
        <f t="shared" si="318"/>
        <v>1.6503684285041734E-2</v>
      </c>
      <c r="MY17" s="338">
        <f t="shared" si="319"/>
        <v>1.6503684285041734E-2</v>
      </c>
      <c r="NB17" s="341" t="s">
        <v>131</v>
      </c>
      <c r="NC17" s="338">
        <f t="shared" si="320"/>
        <v>1.6471951541141432E-2</v>
      </c>
      <c r="ND17" s="338">
        <f t="shared" si="320"/>
        <v>1.6471951541141432E-2</v>
      </c>
      <c r="NE17" s="338">
        <f t="shared" si="320"/>
        <v>0</v>
      </c>
      <c r="NF17" s="338">
        <f t="shared" si="320"/>
        <v>0</v>
      </c>
      <c r="NG17" s="338">
        <f t="shared" si="320"/>
        <v>0</v>
      </c>
      <c r="NH17" s="338">
        <f t="shared" si="320"/>
        <v>0</v>
      </c>
      <c r="NI17" s="338">
        <f t="shared" si="320"/>
        <v>1.7752030971299904E-2</v>
      </c>
      <c r="NJ17" s="338">
        <f t="shared" si="320"/>
        <v>1.7752030971299904E-2</v>
      </c>
      <c r="NK17" s="338">
        <f t="shared" si="320"/>
        <v>1.6032391898612899E-2</v>
      </c>
      <c r="NL17" s="338">
        <f t="shared" si="320"/>
        <v>1.6032391898612899E-2</v>
      </c>
      <c r="NM17" s="338">
        <f t="shared" si="320"/>
        <v>0</v>
      </c>
      <c r="NN17" s="338">
        <f t="shared" si="320"/>
        <v>0</v>
      </c>
      <c r="NO17" s="338">
        <f t="shared" si="321"/>
        <v>0</v>
      </c>
      <c r="NP17" s="338">
        <f t="shared" si="322"/>
        <v>0</v>
      </c>
      <c r="NQ17" s="338">
        <f t="shared" si="323"/>
        <v>1.6032391898612899E-2</v>
      </c>
      <c r="NR17" s="338">
        <f t="shared" si="324"/>
        <v>1.6032391898612899E-2</v>
      </c>
    </row>
    <row r="18" spans="2:382" ht="12.75" customHeight="1" x14ac:dyDescent="0.25">
      <c r="B18" s="734"/>
      <c r="C18" s="148" t="s">
        <v>577</v>
      </c>
      <c r="D18" s="195"/>
      <c r="E18" s="196"/>
      <c r="F18" s="195"/>
      <c r="G18" s="196"/>
      <c r="H18" s="195"/>
      <c r="I18" s="196"/>
      <c r="J18" s="195"/>
      <c r="K18" s="196"/>
      <c r="L18" s="195"/>
      <c r="M18" s="196"/>
      <c r="N18" s="143"/>
      <c r="O18" s="127"/>
      <c r="P18" s="143">
        <f>'CAM Characteristics'!I58/1000</f>
        <v>1.170479590360711</v>
      </c>
      <c r="Q18" s="143">
        <f>'CAM Characteristics'!I58/1000</f>
        <v>1.170479590360711</v>
      </c>
      <c r="R18" s="195"/>
      <c r="S18" s="196"/>
      <c r="T18" s="318"/>
      <c r="U18" s="119"/>
      <c r="V18" s="148" t="s">
        <v>577</v>
      </c>
      <c r="W18" s="96">
        <f>'Ecoinvent 3.10'!M11</f>
        <v>1.3814716995952694</v>
      </c>
      <c r="X18" s="96">
        <f>'Ecoinvent 3.10'!N11</f>
        <v>0.35428999999999999</v>
      </c>
      <c r="Y18" s="96">
        <f>'Ecoinvent 3.10'!O11</f>
        <v>5.5420999999999996</v>
      </c>
      <c r="Z18" s="96">
        <f>'Ecoinvent 3.10'!P11</f>
        <v>3.2816999999999998E-3</v>
      </c>
      <c r="AA18" s="96">
        <f>'Ecoinvent 3.10'!Q11</f>
        <v>7.8510000000000003E-3</v>
      </c>
      <c r="AB18" s="96">
        <f>'Ecoinvent 3.10'!R11</f>
        <v>1.6954E-2</v>
      </c>
      <c r="AC18" s="96">
        <f>'Ecoinvent 3.10'!S11</f>
        <v>1.9572E-4</v>
      </c>
      <c r="AD18" s="96">
        <f>'Ecoinvent 3.10'!T11</f>
        <v>4.8223000000000002E-2</v>
      </c>
      <c r="AE18" s="96">
        <f>'Ecoinvent 3.10'!U11</f>
        <v>0.13572000000000001</v>
      </c>
      <c r="AF18" s="96">
        <f>'Ecoinvent 3.10'!V11</f>
        <v>0.88431999999999999</v>
      </c>
      <c r="AG18" s="327">
        <f>'Ecoinvent 3.10'!W11</f>
        <v>8.7633999999999997E-4</v>
      </c>
      <c r="AH18" s="327">
        <f>'Ecoinvent 3.10'!X11</f>
        <v>8.2319000000000003E-2</v>
      </c>
      <c r="AI18" s="327">
        <f>'Ecoinvent 3.10'!Y11</f>
        <v>2.2055000000000002E-2</v>
      </c>
      <c r="AJ18" s="327">
        <f>'Ecoinvent 3.10'!Z11</f>
        <v>2.8549999999999999E-2</v>
      </c>
      <c r="AK18" s="327">
        <f>'Ecoinvent 3.10'!AA11</f>
        <v>6.6274E-2</v>
      </c>
      <c r="AL18" s="327">
        <f>'Ecoinvent 3.10'!AB11</f>
        <v>3.4752999999999997E-5</v>
      </c>
      <c r="AM18" s="327">
        <f>'Ecoinvent 3.10'!AC11</f>
        <v>1.0039999999999999E-3</v>
      </c>
      <c r="AN18" s="327">
        <f>'Ecoinvent 3.10'!AD11</f>
        <v>9.7287000000000003E-4</v>
      </c>
      <c r="AO18" s="119"/>
      <c r="AP18" s="8"/>
      <c r="AQ18" s="148" t="s">
        <v>577</v>
      </c>
      <c r="AR18" s="49">
        <f t="shared" ref="AR18" si="325">D18*$W18</f>
        <v>0</v>
      </c>
      <c r="AS18" s="50">
        <f t="shared" ref="AS18" si="326">E18*$W18</f>
        <v>0</v>
      </c>
      <c r="AT18" s="49">
        <f t="shared" ref="AT18" si="327">F18*$W18</f>
        <v>0</v>
      </c>
      <c r="AU18" s="50">
        <f t="shared" ref="AU18" si="328">G18*$W18</f>
        <v>0</v>
      </c>
      <c r="AV18" s="49">
        <f t="shared" ref="AV18" si="329">H18*$W18</f>
        <v>0</v>
      </c>
      <c r="AW18" s="50">
        <f t="shared" ref="AW18" si="330">I18*$W18</f>
        <v>0</v>
      </c>
      <c r="AX18" s="49">
        <f t="shared" ref="AX18" si="331">J18*$W18</f>
        <v>0</v>
      </c>
      <c r="AY18" s="50">
        <f t="shared" ref="AY18" si="332">K18*$W18</f>
        <v>0</v>
      </c>
      <c r="AZ18" s="49">
        <f t="shared" ref="AZ18" si="333">L18*$W18</f>
        <v>0</v>
      </c>
      <c r="BA18" s="50">
        <f t="shared" ref="BA18" si="334">M18*$W18</f>
        <v>0</v>
      </c>
      <c r="BB18" s="49">
        <f t="shared" ref="BB18" si="335">N18*$W18</f>
        <v>0</v>
      </c>
      <c r="BC18" s="50">
        <f t="shared" ref="BC18" si="336">O18*$W18</f>
        <v>0</v>
      </c>
      <c r="BD18" s="49">
        <f t="shared" ref="BD18" si="337">P18*$W18</f>
        <v>1.6169844290371862</v>
      </c>
      <c r="BE18" s="50">
        <f t="shared" ref="BE18" si="338">Q18*$W18</f>
        <v>1.6169844290371862</v>
      </c>
      <c r="BF18" s="49">
        <f t="shared" ref="BF18" si="339">R18*$W18</f>
        <v>0</v>
      </c>
      <c r="BG18" s="50">
        <f t="shared" ref="BG18" si="340">S18*$W18</f>
        <v>0</v>
      </c>
      <c r="BI18" s="156"/>
      <c r="BJ18" s="148" t="s">
        <v>577</v>
      </c>
      <c r="BK18" s="49">
        <f t="shared" si="256"/>
        <v>0</v>
      </c>
      <c r="BL18" s="49">
        <f t="shared" si="256"/>
        <v>0</v>
      </c>
      <c r="BM18" s="49">
        <f t="shared" si="256"/>
        <v>0</v>
      </c>
      <c r="BN18" s="49">
        <f t="shared" si="256"/>
        <v>0</v>
      </c>
      <c r="BO18" s="49">
        <f t="shared" si="256"/>
        <v>0</v>
      </c>
      <c r="BP18" s="49">
        <f t="shared" si="256"/>
        <v>0</v>
      </c>
      <c r="BQ18" s="49">
        <f t="shared" si="256"/>
        <v>0</v>
      </c>
      <c r="BR18" s="49">
        <f t="shared" si="256"/>
        <v>0</v>
      </c>
      <c r="BS18" s="49">
        <f t="shared" si="256"/>
        <v>0</v>
      </c>
      <c r="BT18" s="49">
        <f t="shared" si="256"/>
        <v>0</v>
      </c>
      <c r="BU18" s="49">
        <f t="shared" si="256"/>
        <v>0</v>
      </c>
      <c r="BV18" s="49">
        <f t="shared" si="256"/>
        <v>0</v>
      </c>
      <c r="BW18" s="49">
        <f t="shared" si="256"/>
        <v>0.41468921406889631</v>
      </c>
      <c r="BX18" s="49">
        <f t="shared" si="256"/>
        <v>0.41468921406889631</v>
      </c>
      <c r="BY18" s="49">
        <f t="shared" si="256"/>
        <v>0</v>
      </c>
      <c r="BZ18" s="49">
        <f t="shared" si="256"/>
        <v>0</v>
      </c>
      <c r="CA18" s="156"/>
      <c r="CB18" s="156"/>
      <c r="CC18" s="148" t="s">
        <v>577</v>
      </c>
      <c r="CD18" s="49">
        <f t="shared" si="257"/>
        <v>0</v>
      </c>
      <c r="CE18" s="49">
        <f t="shared" si="257"/>
        <v>0</v>
      </c>
      <c r="CF18" s="49">
        <f t="shared" si="257"/>
        <v>0</v>
      </c>
      <c r="CG18" s="49">
        <f t="shared" si="257"/>
        <v>0</v>
      </c>
      <c r="CH18" s="49">
        <f t="shared" si="257"/>
        <v>0</v>
      </c>
      <c r="CI18" s="49">
        <f t="shared" si="257"/>
        <v>0</v>
      </c>
      <c r="CJ18" s="49">
        <f t="shared" si="257"/>
        <v>0</v>
      </c>
      <c r="CK18" s="49">
        <f t="shared" si="257"/>
        <v>0</v>
      </c>
      <c r="CL18" s="49">
        <f t="shared" si="257"/>
        <v>0</v>
      </c>
      <c r="CM18" s="49">
        <f t="shared" si="257"/>
        <v>0</v>
      </c>
      <c r="CN18" s="49">
        <f t="shared" si="257"/>
        <v>0</v>
      </c>
      <c r="CO18" s="220">
        <f t="shared" si="257"/>
        <v>0</v>
      </c>
      <c r="CP18" s="49">
        <f t="shared" si="257"/>
        <v>6.4869149377380957</v>
      </c>
      <c r="CQ18" s="49">
        <f t="shared" si="257"/>
        <v>6.4869149377380957</v>
      </c>
      <c r="CR18" s="49">
        <f t="shared" si="257"/>
        <v>0</v>
      </c>
      <c r="CS18" s="220">
        <f t="shared" si="257"/>
        <v>0</v>
      </c>
      <c r="CV18" s="148" t="s">
        <v>577</v>
      </c>
      <c r="CW18" s="49">
        <f t="shared" si="258"/>
        <v>0</v>
      </c>
      <c r="CX18" s="49">
        <f t="shared" si="258"/>
        <v>0</v>
      </c>
      <c r="CY18" s="49">
        <f t="shared" si="258"/>
        <v>0</v>
      </c>
      <c r="CZ18" s="49">
        <f t="shared" si="258"/>
        <v>0</v>
      </c>
      <c r="DA18" s="49">
        <f t="shared" si="258"/>
        <v>0</v>
      </c>
      <c r="DB18" s="49">
        <f t="shared" si="258"/>
        <v>0</v>
      </c>
      <c r="DC18" s="49">
        <f t="shared" si="258"/>
        <v>0</v>
      </c>
      <c r="DD18" s="49">
        <f t="shared" si="258"/>
        <v>0</v>
      </c>
      <c r="DE18" s="49">
        <f t="shared" si="258"/>
        <v>0</v>
      </c>
      <c r="DF18" s="49">
        <f t="shared" si="258"/>
        <v>0</v>
      </c>
      <c r="DG18" s="49">
        <f t="shared" si="258"/>
        <v>0</v>
      </c>
      <c r="DH18" s="49">
        <f t="shared" si="258"/>
        <v>0</v>
      </c>
      <c r="DI18" s="49">
        <f t="shared" si="258"/>
        <v>3.8411628716867453E-3</v>
      </c>
      <c r="DJ18" s="49">
        <f t="shared" si="258"/>
        <v>3.8411628716867453E-3</v>
      </c>
      <c r="DK18" s="49">
        <f t="shared" si="258"/>
        <v>0</v>
      </c>
      <c r="DL18" s="49">
        <f t="shared" si="258"/>
        <v>0</v>
      </c>
      <c r="DO18" s="148" t="s">
        <v>577</v>
      </c>
      <c r="DP18" s="49">
        <f t="shared" si="259"/>
        <v>0</v>
      </c>
      <c r="DQ18" s="49">
        <f t="shared" si="259"/>
        <v>0</v>
      </c>
      <c r="DR18" s="49">
        <f t="shared" si="259"/>
        <v>0</v>
      </c>
      <c r="DS18" s="49">
        <f t="shared" si="259"/>
        <v>0</v>
      </c>
      <c r="DT18" s="49">
        <f t="shared" si="259"/>
        <v>0</v>
      </c>
      <c r="DU18" s="49">
        <f t="shared" si="259"/>
        <v>0</v>
      </c>
      <c r="DV18" s="49">
        <f t="shared" si="259"/>
        <v>0</v>
      </c>
      <c r="DW18" s="49">
        <f t="shared" si="259"/>
        <v>0</v>
      </c>
      <c r="DX18" s="49">
        <f t="shared" si="259"/>
        <v>0</v>
      </c>
      <c r="DY18" s="49">
        <f t="shared" si="259"/>
        <v>0</v>
      </c>
      <c r="DZ18" s="49">
        <f t="shared" si="259"/>
        <v>0</v>
      </c>
      <c r="EA18" s="49">
        <f t="shared" si="259"/>
        <v>0</v>
      </c>
      <c r="EB18" s="49">
        <f t="shared" si="259"/>
        <v>9.1894352639219426E-3</v>
      </c>
      <c r="EC18" s="49">
        <f t="shared" si="259"/>
        <v>9.1894352639219426E-3</v>
      </c>
      <c r="ED18" s="49">
        <f t="shared" si="259"/>
        <v>0</v>
      </c>
      <c r="EE18" s="49">
        <f t="shared" si="259"/>
        <v>0</v>
      </c>
      <c r="EH18" s="148" t="s">
        <v>577</v>
      </c>
      <c r="EI18" s="49">
        <f t="shared" ref="EI18" si="341">D18*$AB18</f>
        <v>0</v>
      </c>
      <c r="EJ18" s="49">
        <f t="shared" ref="EJ18" si="342">E18*$AB18</f>
        <v>0</v>
      </c>
      <c r="EK18" s="49">
        <f t="shared" ref="EK18" si="343">F18*$AB18</f>
        <v>0</v>
      </c>
      <c r="EL18" s="49">
        <f t="shared" ref="EL18" si="344">G18*$AB18</f>
        <v>0</v>
      </c>
      <c r="EM18" s="49">
        <f t="shared" ref="EM18" si="345">H18*$AB18</f>
        <v>0</v>
      </c>
      <c r="EN18" s="49">
        <f t="shared" ref="EN18" si="346">I18*$AB18</f>
        <v>0</v>
      </c>
      <c r="EO18" s="49">
        <f t="shared" ref="EO18" si="347">J18*$AB18</f>
        <v>0</v>
      </c>
      <c r="EP18" s="49">
        <f t="shared" ref="EP18" si="348">K18*$AB18</f>
        <v>0</v>
      </c>
      <c r="EQ18" s="49">
        <f t="shared" ref="EQ18" si="349">L18*$AB18</f>
        <v>0</v>
      </c>
      <c r="ER18" s="49">
        <f t="shared" ref="ER18" si="350">M18*$AB18</f>
        <v>0</v>
      </c>
      <c r="ES18" s="49">
        <f t="shared" ref="ES18" si="351">N18*$AB18</f>
        <v>0</v>
      </c>
      <c r="ET18" s="49">
        <f t="shared" ref="ET18" si="352">O18*$AB18</f>
        <v>0</v>
      </c>
      <c r="EU18" s="49">
        <f t="shared" ref="EU18" si="353">P18*$AB18</f>
        <v>1.9844310974975497E-2</v>
      </c>
      <c r="EV18" s="49">
        <f t="shared" ref="EV18" si="354">Q18*$AB18</f>
        <v>1.9844310974975497E-2</v>
      </c>
      <c r="EW18" s="49">
        <f t="shared" ref="EW18" si="355">R18*$AB18</f>
        <v>0</v>
      </c>
      <c r="EX18" s="49">
        <f t="shared" ref="EX18" si="356">S18*$AB18</f>
        <v>0</v>
      </c>
      <c r="FA18" s="148" t="s">
        <v>577</v>
      </c>
      <c r="FB18" s="53">
        <f t="shared" ref="FB18" si="357">D18*$AC18</f>
        <v>0</v>
      </c>
      <c r="FC18" s="53">
        <f t="shared" ref="FC18" si="358">E18*$AC18</f>
        <v>0</v>
      </c>
      <c r="FD18" s="53">
        <f t="shared" ref="FD18" si="359">F18*$AC18</f>
        <v>0</v>
      </c>
      <c r="FE18" s="53">
        <f t="shared" ref="FE18" si="360">G18*$AC18</f>
        <v>0</v>
      </c>
      <c r="FF18" s="53">
        <f t="shared" ref="FF18" si="361">H18*$AC18</f>
        <v>0</v>
      </c>
      <c r="FG18" s="53">
        <f t="shared" ref="FG18" si="362">I18*$AC18</f>
        <v>0</v>
      </c>
      <c r="FH18" s="53">
        <f t="shared" ref="FH18" si="363">J18*$AC18</f>
        <v>0</v>
      </c>
      <c r="FI18" s="53">
        <f t="shared" ref="FI18" si="364">K18*$AC18</f>
        <v>0</v>
      </c>
      <c r="FJ18" s="53">
        <f t="shared" ref="FJ18" si="365">L18*$AC18</f>
        <v>0</v>
      </c>
      <c r="FK18" s="53">
        <f t="shared" ref="FK18" si="366">M18*$AC18</f>
        <v>0</v>
      </c>
      <c r="FL18" s="53">
        <f t="shared" ref="FL18" si="367">N18*$AC18</f>
        <v>0</v>
      </c>
      <c r="FM18" s="53">
        <f t="shared" ref="FM18" si="368">O18*$AC18</f>
        <v>0</v>
      </c>
      <c r="FN18" s="53">
        <f t="shared" ref="FN18" si="369">P18*$AC18</f>
        <v>2.2908626542539836E-4</v>
      </c>
      <c r="FO18" s="53">
        <f t="shared" ref="FO18" si="370">Q18*$AC18</f>
        <v>2.2908626542539836E-4</v>
      </c>
      <c r="FP18" s="53">
        <f t="shared" ref="FP18" si="371">R18*$AC18</f>
        <v>0</v>
      </c>
      <c r="FQ18" s="53">
        <f t="shared" ref="FQ18" si="372">S18*$AC18</f>
        <v>0</v>
      </c>
      <c r="FT18" s="148" t="s">
        <v>577</v>
      </c>
      <c r="FU18" s="49">
        <f t="shared" ref="FU18" si="373">D18*$AD18</f>
        <v>0</v>
      </c>
      <c r="FV18" s="49">
        <f t="shared" ref="FV18" si="374">E18*$AD18</f>
        <v>0</v>
      </c>
      <c r="FW18" s="49">
        <f t="shared" ref="FW18" si="375">F18*$AD18</f>
        <v>0</v>
      </c>
      <c r="FX18" s="49">
        <f t="shared" ref="FX18" si="376">G18*$AD18</f>
        <v>0</v>
      </c>
      <c r="FY18" s="49">
        <f t="shared" ref="FY18" si="377">H18*$AD18</f>
        <v>0</v>
      </c>
      <c r="FZ18" s="49">
        <f t="shared" ref="FZ18" si="378">I18*$AD18</f>
        <v>0</v>
      </c>
      <c r="GA18" s="49">
        <f t="shared" ref="GA18" si="379">J18*$AD18</f>
        <v>0</v>
      </c>
      <c r="GB18" s="49">
        <f t="shared" ref="GB18" si="380">K18*$AD18</f>
        <v>0</v>
      </c>
      <c r="GC18" s="49">
        <f t="shared" ref="GC18" si="381">L18*$AD18</f>
        <v>0</v>
      </c>
      <c r="GD18" s="49">
        <f t="shared" ref="GD18" si="382">M18*$AD18</f>
        <v>0</v>
      </c>
      <c r="GE18" s="49">
        <f t="shared" ref="GE18" si="383">N18*$AD18</f>
        <v>0</v>
      </c>
      <c r="GF18" s="49">
        <f t="shared" ref="GF18" si="384">O18*$AD18</f>
        <v>0</v>
      </c>
      <c r="GG18" s="49">
        <f t="shared" ref="GG18" si="385">P18*$AD18</f>
        <v>5.6444037285964567E-2</v>
      </c>
      <c r="GH18" s="49">
        <f t="shared" ref="GH18" si="386">Q18*$AD18</f>
        <v>5.6444037285964567E-2</v>
      </c>
      <c r="GI18" s="49">
        <f t="shared" ref="GI18" si="387">R18*$AD18</f>
        <v>0</v>
      </c>
      <c r="GJ18" s="49">
        <f t="shared" ref="GJ18" si="388">S18*$AD18</f>
        <v>0</v>
      </c>
      <c r="GM18" s="148" t="s">
        <v>577</v>
      </c>
      <c r="GN18" s="49">
        <f t="shared" ref="GN18" si="389">D18*$AE18</f>
        <v>0</v>
      </c>
      <c r="GO18" s="49">
        <f t="shared" ref="GO18" si="390">E18*$AE18</f>
        <v>0</v>
      </c>
      <c r="GP18" s="49">
        <f t="shared" ref="GP18" si="391">F18*$AE18</f>
        <v>0</v>
      </c>
      <c r="GQ18" s="49">
        <f t="shared" ref="GQ18" si="392">G18*$AE18</f>
        <v>0</v>
      </c>
      <c r="GR18" s="49">
        <f t="shared" ref="GR18" si="393">H18*$AE18</f>
        <v>0</v>
      </c>
      <c r="GS18" s="49">
        <f t="shared" ref="GS18" si="394">I18*$AE18</f>
        <v>0</v>
      </c>
      <c r="GT18" s="49">
        <f t="shared" ref="GT18" si="395">J18*$AE18</f>
        <v>0</v>
      </c>
      <c r="GU18" s="49">
        <f t="shared" ref="GU18" si="396">K18*$AE18</f>
        <v>0</v>
      </c>
      <c r="GV18" s="49">
        <f t="shared" ref="GV18" si="397">L18*$AE18</f>
        <v>0</v>
      </c>
      <c r="GW18" s="49">
        <f t="shared" ref="GW18" si="398">M18*$AE18</f>
        <v>0</v>
      </c>
      <c r="GX18" s="49">
        <f t="shared" ref="GX18" si="399">N18*$AE18</f>
        <v>0</v>
      </c>
      <c r="GY18" s="49">
        <f t="shared" ref="GY18" si="400">O18*$AE18</f>
        <v>0</v>
      </c>
      <c r="GZ18" s="49">
        <f t="shared" ref="GZ18" si="401">P18*$AE18</f>
        <v>0.15885749000375571</v>
      </c>
      <c r="HA18" s="49">
        <f t="shared" ref="HA18" si="402">Q18*$AE18</f>
        <v>0.15885749000375571</v>
      </c>
      <c r="HB18" s="49">
        <f t="shared" ref="HB18" si="403">R18*$AE18</f>
        <v>0</v>
      </c>
      <c r="HC18" s="49">
        <f t="shared" ref="HC18" si="404">S18*$AE18</f>
        <v>0</v>
      </c>
      <c r="HF18" s="148" t="s">
        <v>577</v>
      </c>
      <c r="HG18" s="49">
        <f t="shared" ref="HG18" si="405">D18*$AF18</f>
        <v>0</v>
      </c>
      <c r="HH18" s="49">
        <f t="shared" ref="HH18" si="406">E18*$AF18</f>
        <v>0</v>
      </c>
      <c r="HI18" s="49">
        <f t="shared" ref="HI18" si="407">F18*$AF18</f>
        <v>0</v>
      </c>
      <c r="HJ18" s="49">
        <f t="shared" ref="HJ18" si="408">G18*$AF18</f>
        <v>0</v>
      </c>
      <c r="HK18" s="49">
        <f t="shared" ref="HK18" si="409">H18*$AF18</f>
        <v>0</v>
      </c>
      <c r="HL18" s="49">
        <f t="shared" ref="HL18" si="410">I18*$AF18</f>
        <v>0</v>
      </c>
      <c r="HM18" s="49">
        <f t="shared" ref="HM18" si="411">J18*$AF18</f>
        <v>0</v>
      </c>
      <c r="HN18" s="49">
        <f t="shared" ref="HN18" si="412">K18*$AF18</f>
        <v>0</v>
      </c>
      <c r="HO18" s="49">
        <f t="shared" ref="HO18" si="413">L18*$AF18</f>
        <v>0</v>
      </c>
      <c r="HP18" s="49">
        <f t="shared" ref="HP18" si="414">M18*$AF18</f>
        <v>0</v>
      </c>
      <c r="HQ18" s="49">
        <f t="shared" ref="HQ18" si="415">N18*$AF18</f>
        <v>0</v>
      </c>
      <c r="HR18" s="49">
        <f t="shared" ref="HR18" si="416">O18*$AF18</f>
        <v>0</v>
      </c>
      <c r="HS18" s="49">
        <f t="shared" ref="HS18" si="417">P18*$AF18</f>
        <v>1.0350785113477841</v>
      </c>
      <c r="HT18" s="49">
        <f t="shared" ref="HT18" si="418">Q18*$AF18</f>
        <v>1.0350785113477841</v>
      </c>
      <c r="HU18" s="49">
        <f t="shared" ref="HU18" si="419">R18*$AF18</f>
        <v>0</v>
      </c>
      <c r="HV18" s="49">
        <f t="shared" ref="HV18" si="420">S18*$AF18</f>
        <v>0</v>
      </c>
      <c r="HY18" s="341" t="s">
        <v>712</v>
      </c>
      <c r="HZ18" s="338">
        <f t="shared" ref="HZ18" si="421">D18*$AG18</f>
        <v>0</v>
      </c>
      <c r="IA18" s="338">
        <f t="shared" ref="IA18" si="422">E18*$AG18</f>
        <v>0</v>
      </c>
      <c r="IB18" s="338">
        <f t="shared" ref="IB18" si="423">F18*$AG18</f>
        <v>0</v>
      </c>
      <c r="IC18" s="338">
        <f t="shared" ref="IC18" si="424">G18*$AG18</f>
        <v>0</v>
      </c>
      <c r="ID18" s="338">
        <f t="shared" ref="ID18" si="425">H18*$AG18</f>
        <v>0</v>
      </c>
      <c r="IE18" s="338">
        <f t="shared" ref="IE18" si="426">I18*$AG18</f>
        <v>0</v>
      </c>
      <c r="IF18" s="338">
        <f t="shared" ref="IF18" si="427">J18*$AG18</f>
        <v>0</v>
      </c>
      <c r="IG18" s="338">
        <f t="shared" ref="IG18" si="428">K18*$AG18</f>
        <v>0</v>
      </c>
      <c r="IH18" s="338">
        <f t="shared" ref="IH18" si="429">L18*$AG18</f>
        <v>0</v>
      </c>
      <c r="II18" s="338">
        <f t="shared" ref="II18" si="430">M18*$AG18</f>
        <v>0</v>
      </c>
      <c r="IJ18" s="338">
        <f t="shared" ref="IJ18" si="431">N18*$AG18</f>
        <v>0</v>
      </c>
      <c r="IK18" s="338">
        <f t="shared" ref="IK18" si="432">O18*$AG18</f>
        <v>0</v>
      </c>
      <c r="IL18" s="338">
        <f t="shared" ref="IL18" si="433">P18*$AG18</f>
        <v>1.0257380842167054E-3</v>
      </c>
      <c r="IM18" s="338">
        <f t="shared" ref="IM18" si="434">Q18*$AG18</f>
        <v>1.0257380842167054E-3</v>
      </c>
      <c r="IN18" s="338">
        <f t="shared" ref="IN18" si="435">R18*$AG18</f>
        <v>0</v>
      </c>
      <c r="IO18" s="338">
        <f t="shared" ref="IO18" si="436">S18*$AG18</f>
        <v>0</v>
      </c>
      <c r="IR18" s="341" t="s">
        <v>712</v>
      </c>
      <c r="IS18" s="338">
        <f t="shared" ref="IS18" si="437">D18*$AH18</f>
        <v>0</v>
      </c>
      <c r="IT18" s="338">
        <f t="shared" ref="IT18" si="438">E18*$AH18</f>
        <v>0</v>
      </c>
      <c r="IU18" s="338">
        <f t="shared" ref="IU18" si="439">F18*$AH18</f>
        <v>0</v>
      </c>
      <c r="IV18" s="338">
        <f t="shared" ref="IV18" si="440">G18*$AH18</f>
        <v>0</v>
      </c>
      <c r="IW18" s="338">
        <f t="shared" ref="IW18" si="441">H18*$AH18</f>
        <v>0</v>
      </c>
      <c r="IX18" s="338">
        <f t="shared" ref="IX18" si="442">I18*$AH18</f>
        <v>0</v>
      </c>
      <c r="IY18" s="338">
        <f t="shared" ref="IY18" si="443">J18*$AH18</f>
        <v>0</v>
      </c>
      <c r="IZ18" s="338">
        <f t="shared" ref="IZ18" si="444">K18*$AH18</f>
        <v>0</v>
      </c>
      <c r="JA18" s="338">
        <f t="shared" ref="JA18" si="445">L18*$AH18</f>
        <v>0</v>
      </c>
      <c r="JB18" s="338">
        <f t="shared" ref="JB18" si="446">M18*$AH18</f>
        <v>0</v>
      </c>
      <c r="JC18" s="338">
        <f t="shared" ref="JC18" si="447">N18*$AH18</f>
        <v>0</v>
      </c>
      <c r="JD18" s="338">
        <f t="shared" ref="JD18" si="448">O18*$AH18</f>
        <v>0</v>
      </c>
      <c r="JE18" s="338">
        <f t="shared" ref="JE18" si="449">P18*$AH18</f>
        <v>9.6352709398903377E-2</v>
      </c>
      <c r="JF18" s="338">
        <f t="shared" ref="JF18" si="450">Q18*$AH18</f>
        <v>9.6352709398903377E-2</v>
      </c>
      <c r="JG18" s="338">
        <f t="shared" ref="JG18" si="451">R18*$AH18</f>
        <v>0</v>
      </c>
      <c r="JH18" s="338">
        <f t="shared" ref="JH18" si="452">S18*$AH18</f>
        <v>0</v>
      </c>
      <c r="JK18" s="341" t="s">
        <v>712</v>
      </c>
      <c r="JL18" s="338">
        <f t="shared" ref="JL18" si="453">D18*$AI18</f>
        <v>0</v>
      </c>
      <c r="JM18" s="338">
        <f t="shared" ref="JM18" si="454">E18*$AI18</f>
        <v>0</v>
      </c>
      <c r="JN18" s="338">
        <f t="shared" ref="JN18" si="455">F18*$AI18</f>
        <v>0</v>
      </c>
      <c r="JO18" s="338">
        <f t="shared" ref="JO18" si="456">G18*$AI18</f>
        <v>0</v>
      </c>
      <c r="JP18" s="338">
        <f t="shared" ref="JP18" si="457">H18*$AI18</f>
        <v>0</v>
      </c>
      <c r="JQ18" s="338">
        <f t="shared" ref="JQ18" si="458">I18*$AI18</f>
        <v>0</v>
      </c>
      <c r="JR18" s="338">
        <f t="shared" ref="JR18" si="459">J18*$AI18</f>
        <v>0</v>
      </c>
      <c r="JS18" s="338">
        <f t="shared" ref="JS18" si="460">K18*$AI18</f>
        <v>0</v>
      </c>
      <c r="JT18" s="338">
        <f t="shared" ref="JT18" si="461">L18*$AI18</f>
        <v>0</v>
      </c>
      <c r="JU18" s="338">
        <f t="shared" ref="JU18" si="462">M18*$AI18</f>
        <v>0</v>
      </c>
      <c r="JV18" s="338">
        <f t="shared" ref="JV18" si="463">N18*$AI18</f>
        <v>0</v>
      </c>
      <c r="JW18" s="338">
        <f t="shared" ref="JW18" si="464">O18*$AI18</f>
        <v>0</v>
      </c>
      <c r="JX18" s="338">
        <f t="shared" ref="JX18" si="465">P18*$AI18</f>
        <v>2.5814927365405485E-2</v>
      </c>
      <c r="JY18" s="338">
        <f t="shared" ref="JY18" si="466">Q18*$AI18</f>
        <v>2.5814927365405485E-2</v>
      </c>
      <c r="JZ18" s="338">
        <f t="shared" ref="JZ18" si="467">R18*$AI18</f>
        <v>0</v>
      </c>
      <c r="KA18" s="338">
        <f t="shared" ref="KA18" si="468">S18*$AI18</f>
        <v>0</v>
      </c>
      <c r="KD18" s="341" t="s">
        <v>712</v>
      </c>
      <c r="KE18" s="338">
        <f t="shared" ref="KE18" si="469">D18*$AJ18</f>
        <v>0</v>
      </c>
      <c r="KF18" s="338">
        <f t="shared" ref="KF18" si="470">E18*$AJ18</f>
        <v>0</v>
      </c>
      <c r="KG18" s="338">
        <f t="shared" ref="KG18" si="471">F18*$AJ18</f>
        <v>0</v>
      </c>
      <c r="KH18" s="338">
        <f t="shared" ref="KH18" si="472">G18*$AJ18</f>
        <v>0</v>
      </c>
      <c r="KI18" s="338">
        <f t="shared" ref="KI18" si="473">H18*$AJ18</f>
        <v>0</v>
      </c>
      <c r="KJ18" s="338">
        <f t="shared" ref="KJ18" si="474">I18*$AJ18</f>
        <v>0</v>
      </c>
      <c r="KK18" s="338">
        <f t="shared" ref="KK18" si="475">J18*$AJ18</f>
        <v>0</v>
      </c>
      <c r="KL18" s="338">
        <f t="shared" ref="KL18" si="476">K18*$AJ18</f>
        <v>0</v>
      </c>
      <c r="KM18" s="338">
        <f t="shared" ref="KM18" si="477">L18*$AJ18</f>
        <v>0</v>
      </c>
      <c r="KN18" s="338">
        <f t="shared" ref="KN18" si="478">M18*$AJ18</f>
        <v>0</v>
      </c>
      <c r="KO18" s="338">
        <f t="shared" ref="KO18" si="479">N18*$AJ18</f>
        <v>0</v>
      </c>
      <c r="KP18" s="338">
        <f t="shared" ref="KP18" si="480">O18*$AJ18</f>
        <v>0</v>
      </c>
      <c r="KQ18" s="338">
        <f t="shared" ref="KQ18" si="481">P18*$AJ18</f>
        <v>3.3417192304798296E-2</v>
      </c>
      <c r="KR18" s="338">
        <f t="shared" ref="KR18" si="482">Q18*$AJ18</f>
        <v>3.3417192304798296E-2</v>
      </c>
      <c r="KS18" s="338">
        <f t="shared" ref="KS18" si="483">R18*$AJ18</f>
        <v>0</v>
      </c>
      <c r="KT18" s="338">
        <f t="shared" ref="KT18" si="484">S18*$AJ18</f>
        <v>0</v>
      </c>
      <c r="KW18" s="341" t="s">
        <v>712</v>
      </c>
      <c r="KX18" s="338">
        <f t="shared" ref="KX18" si="485">D18*$AK18</f>
        <v>0</v>
      </c>
      <c r="KY18" s="338">
        <f t="shared" ref="KY18" si="486">E18*$AK18</f>
        <v>0</v>
      </c>
      <c r="KZ18" s="338">
        <f t="shared" ref="KZ18" si="487">F18*$AK18</f>
        <v>0</v>
      </c>
      <c r="LA18" s="338">
        <f t="shared" ref="LA18" si="488">G18*$AK18</f>
        <v>0</v>
      </c>
      <c r="LB18" s="338">
        <f t="shared" ref="LB18" si="489">H18*$AK18</f>
        <v>0</v>
      </c>
      <c r="LC18" s="338">
        <f t="shared" ref="LC18" si="490">I18*$AK18</f>
        <v>0</v>
      </c>
      <c r="LD18" s="338">
        <f t="shared" ref="LD18" si="491">J18*$AK18</f>
        <v>0</v>
      </c>
      <c r="LE18" s="338">
        <f t="shared" ref="LE18" si="492">K18*$AK18</f>
        <v>0</v>
      </c>
      <c r="LF18" s="338">
        <f t="shared" ref="LF18" si="493">L18*$AK18</f>
        <v>0</v>
      </c>
      <c r="LG18" s="338">
        <f t="shared" ref="LG18" si="494">M18*$AK18</f>
        <v>0</v>
      </c>
      <c r="LH18" s="338">
        <f t="shared" ref="LH18" si="495">N18*$AK18</f>
        <v>0</v>
      </c>
      <c r="LI18" s="338">
        <f t="shared" ref="LI18" si="496">O18*$AK18</f>
        <v>0</v>
      </c>
      <c r="LJ18" s="338">
        <f t="shared" ref="LJ18" si="497">P18*$AK18</f>
        <v>7.7572364371565769E-2</v>
      </c>
      <c r="LK18" s="338">
        <f t="shared" ref="LK18" si="498">Q18*$AK18</f>
        <v>7.7572364371565769E-2</v>
      </c>
      <c r="LL18" s="338">
        <f t="shared" ref="LL18" si="499">R18*$AK18</f>
        <v>0</v>
      </c>
      <c r="LM18" s="338">
        <f t="shared" ref="LM18" si="500">S18*$AK18</f>
        <v>0</v>
      </c>
      <c r="LP18" s="341" t="s">
        <v>712</v>
      </c>
      <c r="LQ18" s="338">
        <f t="shared" ref="LQ18" si="501">D18*$AL18</f>
        <v>0</v>
      </c>
      <c r="LR18" s="338">
        <f t="shared" ref="LR18" si="502">E18*$AL18</f>
        <v>0</v>
      </c>
      <c r="LS18" s="338">
        <f t="shared" ref="LS18" si="503">F18*$AL18</f>
        <v>0</v>
      </c>
      <c r="LT18" s="338">
        <f t="shared" ref="LT18" si="504">G18*$AL18</f>
        <v>0</v>
      </c>
      <c r="LU18" s="338">
        <f t="shared" ref="LU18" si="505">H18*$AL18</f>
        <v>0</v>
      </c>
      <c r="LV18" s="338">
        <f t="shared" ref="LV18" si="506">I18*$AL18</f>
        <v>0</v>
      </c>
      <c r="LW18" s="338">
        <f t="shared" ref="LW18" si="507">J18*$AL18</f>
        <v>0</v>
      </c>
      <c r="LX18" s="338">
        <f t="shared" ref="LX18" si="508">K18*$AL18</f>
        <v>0</v>
      </c>
      <c r="LY18" s="338">
        <f t="shared" ref="LY18" si="509">L18*$AL18</f>
        <v>0</v>
      </c>
      <c r="LZ18" s="338">
        <f t="shared" ref="LZ18" si="510">M18*$AL18</f>
        <v>0</v>
      </c>
      <c r="MA18" s="338">
        <f t="shared" ref="MA18" si="511">N18*$AL18</f>
        <v>0</v>
      </c>
      <c r="MB18" s="338">
        <f t="shared" ref="MB18" si="512">O18*$AL18</f>
        <v>0</v>
      </c>
      <c r="MC18" s="338">
        <f t="shared" ref="MC18" si="513">P18*$AL18</f>
        <v>4.0677677203805786E-5</v>
      </c>
      <c r="MD18" s="338">
        <f t="shared" ref="MD18" si="514">Q18*$AL18</f>
        <v>4.0677677203805786E-5</v>
      </c>
      <c r="ME18" s="338">
        <f t="shared" ref="ME18" si="515">R18*$AL18</f>
        <v>0</v>
      </c>
      <c r="MF18" s="338">
        <f t="shared" ref="MF18" si="516">S18*$AL18</f>
        <v>0</v>
      </c>
      <c r="MI18" s="341" t="s">
        <v>712</v>
      </c>
      <c r="MJ18" s="338">
        <f t="shared" ref="MJ18" si="517">D18*$AM18</f>
        <v>0</v>
      </c>
      <c r="MK18" s="338">
        <f t="shared" ref="MK18" si="518">E18*$AM18</f>
        <v>0</v>
      </c>
      <c r="ML18" s="338">
        <f t="shared" ref="ML18" si="519">F18*$AM18</f>
        <v>0</v>
      </c>
      <c r="MM18" s="338">
        <f t="shared" ref="MM18" si="520">G18*$AM18</f>
        <v>0</v>
      </c>
      <c r="MN18" s="338">
        <f t="shared" ref="MN18" si="521">H18*$AM18</f>
        <v>0</v>
      </c>
      <c r="MO18" s="338">
        <f t="shared" ref="MO18" si="522">I18*$AM18</f>
        <v>0</v>
      </c>
      <c r="MP18" s="338">
        <f t="shared" ref="MP18" si="523">J18*$AM18</f>
        <v>0</v>
      </c>
      <c r="MQ18" s="338">
        <f t="shared" ref="MQ18" si="524">K18*$AM18</f>
        <v>0</v>
      </c>
      <c r="MR18" s="338">
        <f t="shared" ref="MR18" si="525">L18*$AM18</f>
        <v>0</v>
      </c>
      <c r="MS18" s="338">
        <f t="shared" ref="MS18" si="526">M18*$AM18</f>
        <v>0</v>
      </c>
      <c r="MT18" s="338">
        <f t="shared" ref="MT18" si="527">N18*$AM18</f>
        <v>0</v>
      </c>
      <c r="MU18" s="338">
        <f t="shared" ref="MU18" si="528">O18*$AM18</f>
        <v>0</v>
      </c>
      <c r="MV18" s="338">
        <f t="shared" ref="MV18" si="529">P18*$AM18</f>
        <v>1.1751615087221537E-3</v>
      </c>
      <c r="MW18" s="338">
        <f t="shared" ref="MW18" si="530">Q18*$AM18</f>
        <v>1.1751615087221537E-3</v>
      </c>
      <c r="MX18" s="338">
        <f t="shared" ref="MX18" si="531">R18*$AM18</f>
        <v>0</v>
      </c>
      <c r="MY18" s="338">
        <f t="shared" ref="MY18" si="532">S18*$AM18</f>
        <v>0</v>
      </c>
      <c r="NB18" s="341" t="s">
        <v>712</v>
      </c>
      <c r="NC18" s="338">
        <f t="shared" ref="NC18" si="533">D18*$AN18</f>
        <v>0</v>
      </c>
      <c r="ND18" s="338">
        <f t="shared" ref="ND18" si="534">E18*$AN18</f>
        <v>0</v>
      </c>
      <c r="NE18" s="338">
        <f t="shared" ref="NE18" si="535">F18*$AN18</f>
        <v>0</v>
      </c>
      <c r="NF18" s="338">
        <f t="shared" ref="NF18" si="536">G18*$AN18</f>
        <v>0</v>
      </c>
      <c r="NG18" s="338">
        <f t="shared" ref="NG18" si="537">H18*$AN18</f>
        <v>0</v>
      </c>
      <c r="NH18" s="338">
        <f t="shared" ref="NH18" si="538">I18*$AN18</f>
        <v>0</v>
      </c>
      <c r="NI18" s="338">
        <f t="shared" ref="NI18" si="539">J18*$AN18</f>
        <v>0</v>
      </c>
      <c r="NJ18" s="338">
        <f t="shared" ref="NJ18" si="540">K18*$AN18</f>
        <v>0</v>
      </c>
      <c r="NK18" s="338">
        <f t="shared" ref="NK18" si="541">L18*$AN18</f>
        <v>0</v>
      </c>
      <c r="NL18" s="338">
        <f t="shared" ref="NL18" si="542">M18*$AN18</f>
        <v>0</v>
      </c>
      <c r="NM18" s="338">
        <f t="shared" ref="NM18" si="543">N18*$AN18</f>
        <v>0</v>
      </c>
      <c r="NN18" s="338">
        <f t="shared" ref="NN18" si="544">O18*$AN18</f>
        <v>0</v>
      </c>
      <c r="NO18" s="338">
        <f t="shared" ref="NO18" si="545">P18*$AN18</f>
        <v>1.138724479074225E-3</v>
      </c>
      <c r="NP18" s="338">
        <f t="shared" ref="NP18" si="546">Q18*$AN18</f>
        <v>1.138724479074225E-3</v>
      </c>
      <c r="NQ18" s="338">
        <f t="shared" ref="NQ18" si="547">R18*$AN18</f>
        <v>0</v>
      </c>
      <c r="NR18" s="338">
        <f t="shared" ref="NR18" si="548">S18*$AN18</f>
        <v>0</v>
      </c>
    </row>
    <row r="19" spans="2:382" ht="14.25" customHeight="1" x14ac:dyDescent="0.25">
      <c r="B19" s="734"/>
      <c r="C19" s="148" t="s">
        <v>376</v>
      </c>
      <c r="D19" s="143">
        <f>'CAM Characteristics'!C92/1000</f>
        <v>0.10820631821955161</v>
      </c>
      <c r="E19" s="127">
        <f>'CAM Characteristics'!C92/1000</f>
        <v>0.10820631821955161</v>
      </c>
      <c r="F19" s="143">
        <f>'CAM Characteristics'!D92/1000</f>
        <v>0.1494427895638375</v>
      </c>
      <c r="G19" s="127">
        <f>'CAM Characteristics'!D92/1000</f>
        <v>0.1494427895638375</v>
      </c>
      <c r="H19" s="143">
        <f>'CAM Characteristics'!E92/1000</f>
        <v>0.14509508980967348</v>
      </c>
      <c r="I19" s="127">
        <f>'CAM Characteristics'!E92/1000</f>
        <v>0.14509508980967348</v>
      </c>
      <c r="J19" s="143">
        <f>'CAM Characteristics'!F92/1000</f>
        <v>0.12022198015308375</v>
      </c>
      <c r="K19" s="127">
        <f>'CAM Characteristics'!F92/1000</f>
        <v>0.12022198015308375</v>
      </c>
      <c r="L19" s="143">
        <f>'CAM Characteristics'!G92/1000</f>
        <v>0.10857607807003292</v>
      </c>
      <c r="M19" s="127">
        <f>'CAM Characteristics'!G92/1000</f>
        <v>0.10857607807003292</v>
      </c>
      <c r="N19" s="143"/>
      <c r="O19" s="127"/>
      <c r="P19" s="143">
        <f>'CAM Characteristics'!I99/1000</f>
        <v>0.17668589364946768</v>
      </c>
      <c r="Q19" s="143">
        <f>'CAM Characteristics'!I99/1000</f>
        <v>0.17668589364946768</v>
      </c>
      <c r="R19" s="143">
        <f>'CAM Characteristics'!J92/1000</f>
        <v>0.10857607807003292</v>
      </c>
      <c r="S19" s="127">
        <f>'CAM Characteristics'!J92/1000</f>
        <v>0.10857607807003292</v>
      </c>
      <c r="T19" s="318"/>
      <c r="U19" s="119"/>
      <c r="V19" s="148" t="s">
        <v>376</v>
      </c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327"/>
      <c r="AH19" s="327"/>
      <c r="AI19" s="327"/>
      <c r="AJ19" s="327"/>
      <c r="AK19" s="327"/>
      <c r="AL19" s="327"/>
      <c r="AM19" s="327"/>
      <c r="AN19" s="327"/>
      <c r="AO19" s="119"/>
      <c r="AP19" s="8"/>
      <c r="AQ19" s="148" t="s">
        <v>376</v>
      </c>
      <c r="AR19" s="49"/>
      <c r="AS19" s="50"/>
      <c r="AT19" s="49"/>
      <c r="AU19" s="50"/>
      <c r="AV19" s="49"/>
      <c r="AW19" s="50"/>
      <c r="AX19" s="49"/>
      <c r="AY19" s="50"/>
      <c r="AZ19" s="49"/>
      <c r="BA19" s="50"/>
      <c r="BB19" s="49"/>
      <c r="BC19" s="50"/>
      <c r="BD19" s="49"/>
      <c r="BE19" s="50"/>
      <c r="BF19" s="49"/>
      <c r="BG19" s="50"/>
      <c r="BI19" s="156"/>
      <c r="BJ19" s="148" t="s">
        <v>376</v>
      </c>
      <c r="BK19" s="49">
        <f t="shared" si="256"/>
        <v>0</v>
      </c>
      <c r="BL19" s="49">
        <f t="shared" si="256"/>
        <v>0</v>
      </c>
      <c r="BM19" s="49">
        <f t="shared" si="256"/>
        <v>0</v>
      </c>
      <c r="BN19" s="49">
        <f t="shared" si="256"/>
        <v>0</v>
      </c>
      <c r="BO19" s="49">
        <f t="shared" si="256"/>
        <v>0</v>
      </c>
      <c r="BP19" s="49">
        <f t="shared" si="256"/>
        <v>0</v>
      </c>
      <c r="BQ19" s="49">
        <f t="shared" si="256"/>
        <v>0</v>
      </c>
      <c r="BR19" s="49">
        <f t="shared" si="256"/>
        <v>0</v>
      </c>
      <c r="BS19" s="49">
        <f t="shared" si="256"/>
        <v>0</v>
      </c>
      <c r="BT19" s="49">
        <f t="shared" si="256"/>
        <v>0</v>
      </c>
      <c r="BU19" s="49">
        <f t="shared" si="256"/>
        <v>0</v>
      </c>
      <c r="BV19" s="49">
        <f t="shared" si="256"/>
        <v>0</v>
      </c>
      <c r="BW19" s="49">
        <f t="shared" si="256"/>
        <v>0</v>
      </c>
      <c r="BX19" s="49">
        <f t="shared" si="256"/>
        <v>0</v>
      </c>
      <c r="BY19" s="49">
        <f t="shared" si="256"/>
        <v>0</v>
      </c>
      <c r="BZ19" s="49">
        <f t="shared" si="256"/>
        <v>0</v>
      </c>
      <c r="CA19" s="156"/>
      <c r="CB19" s="156"/>
      <c r="CC19" s="148" t="s">
        <v>376</v>
      </c>
      <c r="CD19" s="49">
        <f t="shared" si="257"/>
        <v>0</v>
      </c>
      <c r="CE19" s="49">
        <f t="shared" si="257"/>
        <v>0</v>
      </c>
      <c r="CF19" s="49">
        <f t="shared" si="257"/>
        <v>0</v>
      </c>
      <c r="CG19" s="49">
        <f t="shared" si="257"/>
        <v>0</v>
      </c>
      <c r="CH19" s="49">
        <f t="shared" si="257"/>
        <v>0</v>
      </c>
      <c r="CI19" s="49">
        <f t="shared" si="257"/>
        <v>0</v>
      </c>
      <c r="CJ19" s="49">
        <f t="shared" si="257"/>
        <v>0</v>
      </c>
      <c r="CK19" s="49">
        <f t="shared" si="257"/>
        <v>0</v>
      </c>
      <c r="CL19" s="49">
        <f t="shared" si="257"/>
        <v>0</v>
      </c>
      <c r="CM19" s="49">
        <f t="shared" si="257"/>
        <v>0</v>
      </c>
      <c r="CN19" s="49">
        <f t="shared" si="257"/>
        <v>0</v>
      </c>
      <c r="CO19" s="220">
        <f t="shared" si="257"/>
        <v>0</v>
      </c>
      <c r="CP19" s="49">
        <f t="shared" si="257"/>
        <v>0</v>
      </c>
      <c r="CQ19" s="49">
        <f t="shared" si="257"/>
        <v>0</v>
      </c>
      <c r="CR19" s="49">
        <f t="shared" si="257"/>
        <v>0</v>
      </c>
      <c r="CS19" s="220">
        <f t="shared" si="257"/>
        <v>0</v>
      </c>
      <c r="CV19" s="148" t="s">
        <v>376</v>
      </c>
      <c r="CW19" s="49">
        <f t="shared" si="258"/>
        <v>0</v>
      </c>
      <c r="CX19" s="49">
        <f t="shared" si="258"/>
        <v>0</v>
      </c>
      <c r="CY19" s="49">
        <f t="shared" si="258"/>
        <v>0</v>
      </c>
      <c r="CZ19" s="49">
        <f t="shared" si="258"/>
        <v>0</v>
      </c>
      <c r="DA19" s="49">
        <f t="shared" si="258"/>
        <v>0</v>
      </c>
      <c r="DB19" s="49">
        <f t="shared" si="258"/>
        <v>0</v>
      </c>
      <c r="DC19" s="49">
        <f t="shared" si="258"/>
        <v>0</v>
      </c>
      <c r="DD19" s="49">
        <f t="shared" si="258"/>
        <v>0</v>
      </c>
      <c r="DE19" s="49">
        <f t="shared" si="258"/>
        <v>0</v>
      </c>
      <c r="DF19" s="49">
        <f t="shared" si="258"/>
        <v>0</v>
      </c>
      <c r="DG19" s="49">
        <f t="shared" si="258"/>
        <v>0</v>
      </c>
      <c r="DH19" s="49">
        <f t="shared" si="258"/>
        <v>0</v>
      </c>
      <c r="DI19" s="49">
        <f t="shared" si="258"/>
        <v>0</v>
      </c>
      <c r="DJ19" s="49">
        <f t="shared" si="258"/>
        <v>0</v>
      </c>
      <c r="DK19" s="49">
        <f t="shared" si="258"/>
        <v>0</v>
      </c>
      <c r="DL19" s="49">
        <f t="shared" si="258"/>
        <v>0</v>
      </c>
      <c r="DO19" s="148" t="s">
        <v>376</v>
      </c>
      <c r="DP19" s="49">
        <f t="shared" si="259"/>
        <v>0</v>
      </c>
      <c r="DQ19" s="49">
        <f t="shared" si="259"/>
        <v>0</v>
      </c>
      <c r="DR19" s="49">
        <f t="shared" si="259"/>
        <v>0</v>
      </c>
      <c r="DS19" s="49">
        <f t="shared" si="259"/>
        <v>0</v>
      </c>
      <c r="DT19" s="49">
        <f t="shared" si="259"/>
        <v>0</v>
      </c>
      <c r="DU19" s="49">
        <f t="shared" si="259"/>
        <v>0</v>
      </c>
      <c r="DV19" s="49">
        <f t="shared" si="259"/>
        <v>0</v>
      </c>
      <c r="DW19" s="49">
        <f t="shared" si="259"/>
        <v>0</v>
      </c>
      <c r="DX19" s="49">
        <f t="shared" si="259"/>
        <v>0</v>
      </c>
      <c r="DY19" s="49">
        <f t="shared" si="259"/>
        <v>0</v>
      </c>
      <c r="DZ19" s="49">
        <f t="shared" si="259"/>
        <v>0</v>
      </c>
      <c r="EA19" s="49">
        <f t="shared" si="259"/>
        <v>0</v>
      </c>
      <c r="EB19" s="49">
        <f t="shared" si="259"/>
        <v>0</v>
      </c>
      <c r="EC19" s="49">
        <f t="shared" si="259"/>
        <v>0</v>
      </c>
      <c r="ED19" s="49">
        <f t="shared" si="259"/>
        <v>0</v>
      </c>
      <c r="EE19" s="49">
        <f t="shared" si="259"/>
        <v>0</v>
      </c>
      <c r="EH19" s="148" t="s">
        <v>376</v>
      </c>
      <c r="EI19" s="49">
        <f t="shared" ref="EI19:ET20" si="549">D19*$AB19</f>
        <v>0</v>
      </c>
      <c r="EJ19" s="49">
        <f t="shared" si="549"/>
        <v>0</v>
      </c>
      <c r="EK19" s="49">
        <f t="shared" si="549"/>
        <v>0</v>
      </c>
      <c r="EL19" s="49">
        <f t="shared" si="549"/>
        <v>0</v>
      </c>
      <c r="EM19" s="49">
        <f t="shared" si="549"/>
        <v>0</v>
      </c>
      <c r="EN19" s="49">
        <f t="shared" si="549"/>
        <v>0</v>
      </c>
      <c r="EO19" s="49">
        <f t="shared" si="549"/>
        <v>0</v>
      </c>
      <c r="EP19" s="49">
        <f t="shared" si="549"/>
        <v>0</v>
      </c>
      <c r="EQ19" s="49">
        <f t="shared" si="549"/>
        <v>0</v>
      </c>
      <c r="ER19" s="49">
        <f t="shared" si="549"/>
        <v>0</v>
      </c>
      <c r="ES19" s="49">
        <f t="shared" si="549"/>
        <v>0</v>
      </c>
      <c r="ET19" s="49">
        <f t="shared" si="549"/>
        <v>0</v>
      </c>
      <c r="EU19" s="49">
        <f t="shared" ref="EU19:EU20" si="550">P19*$AB19</f>
        <v>0</v>
      </c>
      <c r="EV19" s="49">
        <f t="shared" ref="EV19:EV20" si="551">Q19*$AB19</f>
        <v>0</v>
      </c>
      <c r="EW19" s="49">
        <f t="shared" ref="EW19:EW20" si="552">R19*$AB19</f>
        <v>0</v>
      </c>
      <c r="EX19" s="49">
        <f t="shared" ref="EX19:EX20" si="553">S19*$AB19</f>
        <v>0</v>
      </c>
      <c r="FA19" s="148" t="s">
        <v>376</v>
      </c>
      <c r="FB19" s="53">
        <f t="shared" ref="FB19:FM21" si="554">D19*$AC19</f>
        <v>0</v>
      </c>
      <c r="FC19" s="53">
        <f t="shared" si="554"/>
        <v>0</v>
      </c>
      <c r="FD19" s="53">
        <f t="shared" si="554"/>
        <v>0</v>
      </c>
      <c r="FE19" s="53">
        <f t="shared" si="554"/>
        <v>0</v>
      </c>
      <c r="FF19" s="53">
        <f t="shared" si="554"/>
        <v>0</v>
      </c>
      <c r="FG19" s="53">
        <f t="shared" si="554"/>
        <v>0</v>
      </c>
      <c r="FH19" s="53">
        <f t="shared" si="554"/>
        <v>0</v>
      </c>
      <c r="FI19" s="53">
        <f t="shared" si="554"/>
        <v>0</v>
      </c>
      <c r="FJ19" s="53">
        <f t="shared" si="554"/>
        <v>0</v>
      </c>
      <c r="FK19" s="53">
        <f t="shared" si="554"/>
        <v>0</v>
      </c>
      <c r="FL19" s="53">
        <f t="shared" si="554"/>
        <v>0</v>
      </c>
      <c r="FM19" s="53">
        <f t="shared" si="554"/>
        <v>0</v>
      </c>
      <c r="FN19" s="53">
        <f t="shared" ref="FN19:FN21" si="555">P19*$AC19</f>
        <v>0</v>
      </c>
      <c r="FO19" s="53">
        <f t="shared" ref="FO19:FO21" si="556">Q19*$AC19</f>
        <v>0</v>
      </c>
      <c r="FP19" s="53">
        <f t="shared" ref="FP19:FP21" si="557">R19*$AC19</f>
        <v>0</v>
      </c>
      <c r="FQ19" s="53">
        <f t="shared" ref="FQ19:FQ21" si="558">S19*$AC19</f>
        <v>0</v>
      </c>
      <c r="FT19" s="148" t="s">
        <v>376</v>
      </c>
      <c r="FU19" s="49">
        <f t="shared" ref="FU19:GF21" si="559">D19*$AD19</f>
        <v>0</v>
      </c>
      <c r="FV19" s="49">
        <f t="shared" si="559"/>
        <v>0</v>
      </c>
      <c r="FW19" s="49">
        <f t="shared" si="559"/>
        <v>0</v>
      </c>
      <c r="FX19" s="49">
        <f t="shared" si="559"/>
        <v>0</v>
      </c>
      <c r="FY19" s="49">
        <f t="shared" si="559"/>
        <v>0</v>
      </c>
      <c r="FZ19" s="49">
        <f t="shared" si="559"/>
        <v>0</v>
      </c>
      <c r="GA19" s="49">
        <f t="shared" si="559"/>
        <v>0</v>
      </c>
      <c r="GB19" s="49">
        <f t="shared" si="559"/>
        <v>0</v>
      </c>
      <c r="GC19" s="49">
        <f t="shared" si="559"/>
        <v>0</v>
      </c>
      <c r="GD19" s="49">
        <f t="shared" si="559"/>
        <v>0</v>
      </c>
      <c r="GE19" s="49">
        <f t="shared" si="559"/>
        <v>0</v>
      </c>
      <c r="GF19" s="49">
        <f t="shared" si="559"/>
        <v>0</v>
      </c>
      <c r="GG19" s="49">
        <f t="shared" ref="GG19:GG21" si="560">P19*$AD19</f>
        <v>0</v>
      </c>
      <c r="GH19" s="49">
        <f t="shared" ref="GH19:GH21" si="561">Q19*$AD19</f>
        <v>0</v>
      </c>
      <c r="GI19" s="49">
        <f t="shared" ref="GI19:GI21" si="562">R19*$AD19</f>
        <v>0</v>
      </c>
      <c r="GJ19" s="49">
        <f t="shared" ref="GJ19:GJ21" si="563">S19*$AD19</f>
        <v>0</v>
      </c>
      <c r="GM19" s="148" t="s">
        <v>376</v>
      </c>
      <c r="GN19" s="49">
        <f t="shared" ref="GN19:GY21" si="564">D19*$AE19</f>
        <v>0</v>
      </c>
      <c r="GO19" s="49">
        <f t="shared" si="564"/>
        <v>0</v>
      </c>
      <c r="GP19" s="49">
        <f t="shared" si="564"/>
        <v>0</v>
      </c>
      <c r="GQ19" s="49">
        <f t="shared" si="564"/>
        <v>0</v>
      </c>
      <c r="GR19" s="49">
        <f t="shared" si="564"/>
        <v>0</v>
      </c>
      <c r="GS19" s="49">
        <f t="shared" si="564"/>
        <v>0</v>
      </c>
      <c r="GT19" s="49">
        <f t="shared" si="564"/>
        <v>0</v>
      </c>
      <c r="GU19" s="49">
        <f t="shared" si="564"/>
        <v>0</v>
      </c>
      <c r="GV19" s="49">
        <f t="shared" si="564"/>
        <v>0</v>
      </c>
      <c r="GW19" s="49">
        <f t="shared" si="564"/>
        <v>0</v>
      </c>
      <c r="GX19" s="49">
        <f t="shared" si="564"/>
        <v>0</v>
      </c>
      <c r="GY19" s="49">
        <f t="shared" si="564"/>
        <v>0</v>
      </c>
      <c r="GZ19" s="49">
        <f t="shared" ref="GZ19:GZ21" si="565">P19*$AE19</f>
        <v>0</v>
      </c>
      <c r="HA19" s="49">
        <f t="shared" ref="HA19:HA21" si="566">Q19*$AE19</f>
        <v>0</v>
      </c>
      <c r="HB19" s="49">
        <f t="shared" ref="HB19:HB21" si="567">R19*$AE19</f>
        <v>0</v>
      </c>
      <c r="HC19" s="49">
        <f t="shared" ref="HC19:HC21" si="568">S19*$AE19</f>
        <v>0</v>
      </c>
      <c r="HF19" s="148" t="s">
        <v>376</v>
      </c>
      <c r="HG19" s="49">
        <f t="shared" ref="HG19:HR21" si="569">D19*$AF19</f>
        <v>0</v>
      </c>
      <c r="HH19" s="49">
        <f t="shared" si="569"/>
        <v>0</v>
      </c>
      <c r="HI19" s="49">
        <f t="shared" si="569"/>
        <v>0</v>
      </c>
      <c r="HJ19" s="49">
        <f t="shared" si="569"/>
        <v>0</v>
      </c>
      <c r="HK19" s="49">
        <f t="shared" si="569"/>
        <v>0</v>
      </c>
      <c r="HL19" s="49">
        <f t="shared" si="569"/>
        <v>0</v>
      </c>
      <c r="HM19" s="49">
        <f t="shared" si="569"/>
        <v>0</v>
      </c>
      <c r="HN19" s="49">
        <f t="shared" si="569"/>
        <v>0</v>
      </c>
      <c r="HO19" s="49">
        <f t="shared" si="569"/>
        <v>0</v>
      </c>
      <c r="HP19" s="49">
        <f t="shared" si="569"/>
        <v>0</v>
      </c>
      <c r="HQ19" s="49">
        <f t="shared" si="569"/>
        <v>0</v>
      </c>
      <c r="HR19" s="49">
        <f t="shared" si="569"/>
        <v>0</v>
      </c>
      <c r="HS19" s="49">
        <f t="shared" ref="HS19:HS21" si="570">P19*$AF19</f>
        <v>0</v>
      </c>
      <c r="HT19" s="49">
        <f t="shared" ref="HT19:HT21" si="571">Q19*$AF19</f>
        <v>0</v>
      </c>
      <c r="HU19" s="49">
        <f t="shared" ref="HU19:HU21" si="572">R19*$AF19</f>
        <v>0</v>
      </c>
      <c r="HV19" s="49">
        <f t="shared" ref="HV19:HV21" si="573">S19*$AF19</f>
        <v>0</v>
      </c>
      <c r="HY19" s="341" t="s">
        <v>536</v>
      </c>
      <c r="HZ19" s="338">
        <f t="shared" ref="HZ19:HZ27" si="574">D19*$AG19</f>
        <v>0</v>
      </c>
      <c r="IA19" s="338">
        <f t="shared" ref="IA19:IA27" si="575">E19*$AG19</f>
        <v>0</v>
      </c>
      <c r="IB19" s="338">
        <f t="shared" ref="IB19:IB27" si="576">F19*$AG19</f>
        <v>0</v>
      </c>
      <c r="IC19" s="338">
        <f t="shared" ref="IC19:IC27" si="577">G19*$AG19</f>
        <v>0</v>
      </c>
      <c r="ID19" s="338">
        <f t="shared" ref="ID19:ID27" si="578">H19*$AG19</f>
        <v>0</v>
      </c>
      <c r="IE19" s="338">
        <f t="shared" ref="IE19:IE27" si="579">I19*$AG19</f>
        <v>0</v>
      </c>
      <c r="IF19" s="338">
        <f t="shared" ref="IF19:IF27" si="580">J19*$AG19</f>
        <v>0</v>
      </c>
      <c r="IG19" s="338">
        <f t="shared" ref="IG19:IG27" si="581">K19*$AG19</f>
        <v>0</v>
      </c>
      <c r="IH19" s="338">
        <f t="shared" ref="IH19:IH27" si="582">L19*$AG19</f>
        <v>0</v>
      </c>
      <c r="II19" s="338">
        <f t="shared" ref="II19:II27" si="583">M19*$AG19</f>
        <v>0</v>
      </c>
      <c r="IJ19" s="338">
        <f t="shared" ref="IJ19:IJ27" si="584">N19*$AG19</f>
        <v>0</v>
      </c>
      <c r="IK19" s="338">
        <f t="shared" ref="IK19:IK27" si="585">O19*$AG19</f>
        <v>0</v>
      </c>
      <c r="IL19" s="338">
        <f t="shared" ref="IL19:IL27" si="586">P19*$AG19</f>
        <v>0</v>
      </c>
      <c r="IM19" s="338">
        <f t="shared" ref="IM19:IM27" si="587">Q19*$AG19</f>
        <v>0</v>
      </c>
      <c r="IN19" s="338">
        <f t="shared" ref="IN19:IN27" si="588">R19*$AG19</f>
        <v>0</v>
      </c>
      <c r="IO19" s="338">
        <f t="shared" ref="IO19:IO27" si="589">S19*$AG19</f>
        <v>0</v>
      </c>
      <c r="IR19" s="341" t="s">
        <v>536</v>
      </c>
      <c r="IS19" s="338">
        <f t="shared" ref="IS19:IS27" si="590">D19*$AH19</f>
        <v>0</v>
      </c>
      <c r="IT19" s="338">
        <f t="shared" ref="IT19:IT27" si="591">E19*$AH19</f>
        <v>0</v>
      </c>
      <c r="IU19" s="338">
        <f t="shared" ref="IU19:IU27" si="592">F19*$AH19</f>
        <v>0</v>
      </c>
      <c r="IV19" s="338">
        <f t="shared" ref="IV19:IV27" si="593">G19*$AH19</f>
        <v>0</v>
      </c>
      <c r="IW19" s="338">
        <f t="shared" ref="IW19:IW27" si="594">H19*$AH19</f>
        <v>0</v>
      </c>
      <c r="IX19" s="338">
        <f t="shared" ref="IX19:IX27" si="595">I19*$AH19</f>
        <v>0</v>
      </c>
      <c r="IY19" s="338">
        <f t="shared" ref="IY19:IY27" si="596">J19*$AH19</f>
        <v>0</v>
      </c>
      <c r="IZ19" s="338">
        <f t="shared" ref="IZ19:IZ27" si="597">K19*$AH19</f>
        <v>0</v>
      </c>
      <c r="JA19" s="338">
        <f t="shared" ref="JA19:JA27" si="598">L19*$AH19</f>
        <v>0</v>
      </c>
      <c r="JB19" s="338">
        <f t="shared" ref="JB19:JB27" si="599">M19*$AH19</f>
        <v>0</v>
      </c>
      <c r="JC19" s="338">
        <f t="shared" ref="JC19:JC27" si="600">N19*$AH19</f>
        <v>0</v>
      </c>
      <c r="JD19" s="338">
        <f t="shared" ref="JD19:JD27" si="601">O19*$AH19</f>
        <v>0</v>
      </c>
      <c r="JE19" s="338">
        <f t="shared" ref="JE19:JE27" si="602">P19*$AH19</f>
        <v>0</v>
      </c>
      <c r="JF19" s="338">
        <f t="shared" ref="JF19:JF27" si="603">Q19*$AH19</f>
        <v>0</v>
      </c>
      <c r="JG19" s="338">
        <f t="shared" ref="JG19:JG27" si="604">R19*$AH19</f>
        <v>0</v>
      </c>
      <c r="JH19" s="338">
        <f t="shared" ref="JH19:JH27" si="605">S19*$AH19</f>
        <v>0</v>
      </c>
      <c r="JK19" s="341" t="s">
        <v>536</v>
      </c>
      <c r="JL19" s="338">
        <f t="shared" ref="JL19:JL27" si="606">D19*$AI19</f>
        <v>0</v>
      </c>
      <c r="JM19" s="338">
        <f t="shared" ref="JM19:JM27" si="607">E19*$AI19</f>
        <v>0</v>
      </c>
      <c r="JN19" s="338">
        <f t="shared" ref="JN19:JN27" si="608">F19*$AI19</f>
        <v>0</v>
      </c>
      <c r="JO19" s="338">
        <f t="shared" ref="JO19:JO27" si="609">G19*$AI19</f>
        <v>0</v>
      </c>
      <c r="JP19" s="338">
        <f t="shared" ref="JP19:JP27" si="610">H19*$AI19</f>
        <v>0</v>
      </c>
      <c r="JQ19" s="338">
        <f t="shared" ref="JQ19:JQ27" si="611">I19*$AI19</f>
        <v>0</v>
      </c>
      <c r="JR19" s="338">
        <f t="shared" ref="JR19:JR27" si="612">J19*$AI19</f>
        <v>0</v>
      </c>
      <c r="JS19" s="338">
        <f t="shared" ref="JS19:JS27" si="613">K19*$AI19</f>
        <v>0</v>
      </c>
      <c r="JT19" s="338">
        <f t="shared" ref="JT19:JT27" si="614">L19*$AI19</f>
        <v>0</v>
      </c>
      <c r="JU19" s="338">
        <f t="shared" ref="JU19:JU27" si="615">M19*$AI19</f>
        <v>0</v>
      </c>
      <c r="JV19" s="338">
        <f t="shared" ref="JV19:JV27" si="616">N19*$AI19</f>
        <v>0</v>
      </c>
      <c r="JW19" s="338">
        <f t="shared" ref="JW19:JW27" si="617">O19*$AI19</f>
        <v>0</v>
      </c>
      <c r="JX19" s="338">
        <f t="shared" ref="JX19:JX27" si="618">P19*$AI19</f>
        <v>0</v>
      </c>
      <c r="JY19" s="338">
        <f t="shared" ref="JY19:JY27" si="619">Q19*$AI19</f>
        <v>0</v>
      </c>
      <c r="JZ19" s="338">
        <f t="shared" ref="JZ19:JZ27" si="620">R19*$AI19</f>
        <v>0</v>
      </c>
      <c r="KA19" s="338">
        <f t="shared" ref="KA19:KA27" si="621">S19*$AI19</f>
        <v>0</v>
      </c>
      <c r="KD19" s="341" t="s">
        <v>536</v>
      </c>
      <c r="KE19" s="338">
        <f t="shared" ref="KE19:KE27" si="622">D19*$AJ19</f>
        <v>0</v>
      </c>
      <c r="KF19" s="338">
        <f t="shared" ref="KF19:KF27" si="623">E19*$AJ19</f>
        <v>0</v>
      </c>
      <c r="KG19" s="338">
        <f t="shared" ref="KG19:KG27" si="624">F19*$AJ19</f>
        <v>0</v>
      </c>
      <c r="KH19" s="338">
        <f t="shared" ref="KH19:KH27" si="625">G19*$AJ19</f>
        <v>0</v>
      </c>
      <c r="KI19" s="338">
        <f t="shared" ref="KI19:KI27" si="626">H19*$AJ19</f>
        <v>0</v>
      </c>
      <c r="KJ19" s="338">
        <f t="shared" ref="KJ19:KJ27" si="627">I19*$AJ19</f>
        <v>0</v>
      </c>
      <c r="KK19" s="338">
        <f t="shared" ref="KK19:KK27" si="628">J19*$AJ19</f>
        <v>0</v>
      </c>
      <c r="KL19" s="338">
        <f t="shared" ref="KL19:KL27" si="629">K19*$AJ19</f>
        <v>0</v>
      </c>
      <c r="KM19" s="338">
        <f t="shared" ref="KM19:KM27" si="630">L19*$AJ19</f>
        <v>0</v>
      </c>
      <c r="KN19" s="338">
        <f t="shared" ref="KN19:KN27" si="631">M19*$AJ19</f>
        <v>0</v>
      </c>
      <c r="KO19" s="338">
        <f t="shared" ref="KO19:KO27" si="632">N19*$AJ19</f>
        <v>0</v>
      </c>
      <c r="KP19" s="338">
        <f t="shared" ref="KP19:KP27" si="633">O19*$AJ19</f>
        <v>0</v>
      </c>
      <c r="KQ19" s="338">
        <f t="shared" ref="KQ19:KQ27" si="634">P19*$AJ19</f>
        <v>0</v>
      </c>
      <c r="KR19" s="338">
        <f t="shared" ref="KR19:KR27" si="635">Q19*$AJ19</f>
        <v>0</v>
      </c>
      <c r="KS19" s="338">
        <f t="shared" ref="KS19:KS27" si="636">R19*$AJ19</f>
        <v>0</v>
      </c>
      <c r="KT19" s="338">
        <f t="shared" ref="KT19:KT27" si="637">S19*$AJ19</f>
        <v>0</v>
      </c>
      <c r="KW19" s="341" t="s">
        <v>536</v>
      </c>
      <c r="KX19" s="338">
        <f t="shared" ref="KX19:KX27" si="638">D19*$AK19</f>
        <v>0</v>
      </c>
      <c r="KY19" s="338">
        <f t="shared" ref="KY19:KY27" si="639">E19*$AK19</f>
        <v>0</v>
      </c>
      <c r="KZ19" s="338">
        <f t="shared" ref="KZ19:KZ27" si="640">F19*$AK19</f>
        <v>0</v>
      </c>
      <c r="LA19" s="338">
        <f t="shared" ref="LA19:LA27" si="641">G19*$AK19</f>
        <v>0</v>
      </c>
      <c r="LB19" s="338">
        <f t="shared" ref="LB19:LB27" si="642">H19*$AK19</f>
        <v>0</v>
      </c>
      <c r="LC19" s="338">
        <f t="shared" ref="LC19:LC27" si="643">I19*$AK19</f>
        <v>0</v>
      </c>
      <c r="LD19" s="338">
        <f t="shared" ref="LD19:LD27" si="644">J19*$AK19</f>
        <v>0</v>
      </c>
      <c r="LE19" s="338">
        <f t="shared" ref="LE19:LE27" si="645">K19*$AK19</f>
        <v>0</v>
      </c>
      <c r="LF19" s="338">
        <f t="shared" ref="LF19:LF27" si="646">L19*$AK19</f>
        <v>0</v>
      </c>
      <c r="LG19" s="338">
        <f t="shared" ref="LG19:LG27" si="647">M19*$AK19</f>
        <v>0</v>
      </c>
      <c r="LH19" s="338">
        <f t="shared" ref="LH19:LH27" si="648">N19*$AK19</f>
        <v>0</v>
      </c>
      <c r="LI19" s="338">
        <f t="shared" ref="LI19:LI27" si="649">O19*$AK19</f>
        <v>0</v>
      </c>
      <c r="LJ19" s="338">
        <f t="shared" ref="LJ19:LJ27" si="650">P19*$AK19</f>
        <v>0</v>
      </c>
      <c r="LK19" s="338">
        <f t="shared" ref="LK19:LK27" si="651">Q19*$AK19</f>
        <v>0</v>
      </c>
      <c r="LL19" s="338">
        <f t="shared" ref="LL19:LL27" si="652">R19*$AK19</f>
        <v>0</v>
      </c>
      <c r="LM19" s="338">
        <f t="shared" ref="LM19:LM27" si="653">S19*$AK19</f>
        <v>0</v>
      </c>
      <c r="LP19" s="341" t="s">
        <v>536</v>
      </c>
      <c r="LQ19" s="338">
        <f t="shared" ref="LQ19:LQ27" si="654">D19*$AL19</f>
        <v>0</v>
      </c>
      <c r="LR19" s="338">
        <f t="shared" ref="LR19:LR27" si="655">E19*$AL19</f>
        <v>0</v>
      </c>
      <c r="LS19" s="338">
        <f t="shared" ref="LS19:LS27" si="656">F19*$AL19</f>
        <v>0</v>
      </c>
      <c r="LT19" s="338">
        <f t="shared" ref="LT19:LT27" si="657">G19*$AL19</f>
        <v>0</v>
      </c>
      <c r="LU19" s="338">
        <f t="shared" ref="LU19:LU27" si="658">H19*$AL19</f>
        <v>0</v>
      </c>
      <c r="LV19" s="338">
        <f t="shared" ref="LV19:LV27" si="659">I19*$AL19</f>
        <v>0</v>
      </c>
      <c r="LW19" s="338">
        <f t="shared" ref="LW19:LW27" si="660">J19*$AL19</f>
        <v>0</v>
      </c>
      <c r="LX19" s="338">
        <f t="shared" ref="LX19:LX27" si="661">K19*$AL19</f>
        <v>0</v>
      </c>
      <c r="LY19" s="338">
        <f t="shared" ref="LY19:LY27" si="662">L19*$AL19</f>
        <v>0</v>
      </c>
      <c r="LZ19" s="338">
        <f t="shared" ref="LZ19:LZ27" si="663">M19*$AL19</f>
        <v>0</v>
      </c>
      <c r="MA19" s="338">
        <f t="shared" ref="MA19:MA27" si="664">N19*$AL19</f>
        <v>0</v>
      </c>
      <c r="MB19" s="338">
        <f t="shared" ref="MB19:MB27" si="665">O19*$AL19</f>
        <v>0</v>
      </c>
      <c r="MC19" s="338">
        <f t="shared" ref="MC19:MC27" si="666">P19*$AL19</f>
        <v>0</v>
      </c>
      <c r="MD19" s="338">
        <f t="shared" ref="MD19:MD27" si="667">Q19*$AL19</f>
        <v>0</v>
      </c>
      <c r="ME19" s="338">
        <f t="shared" ref="ME19:ME27" si="668">R19*$AL19</f>
        <v>0</v>
      </c>
      <c r="MF19" s="338">
        <f t="shared" ref="MF19:MF27" si="669">S19*$AL19</f>
        <v>0</v>
      </c>
      <c r="MI19" s="341" t="s">
        <v>536</v>
      </c>
      <c r="MJ19" s="338">
        <f t="shared" ref="MJ19:MJ27" si="670">D19*$AM19</f>
        <v>0</v>
      </c>
      <c r="MK19" s="338">
        <f t="shared" ref="MK19:MK27" si="671">E19*$AM19</f>
        <v>0</v>
      </c>
      <c r="ML19" s="338">
        <f t="shared" ref="ML19:ML27" si="672">F19*$AM19</f>
        <v>0</v>
      </c>
      <c r="MM19" s="338">
        <f t="shared" ref="MM19:MM27" si="673">G19*$AM19</f>
        <v>0</v>
      </c>
      <c r="MN19" s="338">
        <f t="shared" ref="MN19:MN27" si="674">H19*$AM19</f>
        <v>0</v>
      </c>
      <c r="MO19" s="338">
        <f t="shared" ref="MO19:MO27" si="675">I19*$AM19</f>
        <v>0</v>
      </c>
      <c r="MP19" s="338">
        <f t="shared" ref="MP19:MP27" si="676">J19*$AM19</f>
        <v>0</v>
      </c>
      <c r="MQ19" s="338">
        <f t="shared" ref="MQ19:MQ27" si="677">K19*$AM19</f>
        <v>0</v>
      </c>
      <c r="MR19" s="338">
        <f t="shared" ref="MR19:MR27" si="678">L19*$AM19</f>
        <v>0</v>
      </c>
      <c r="MS19" s="338">
        <f t="shared" ref="MS19:MS27" si="679">M19*$AM19</f>
        <v>0</v>
      </c>
      <c r="MT19" s="338">
        <f t="shared" ref="MT19:MT27" si="680">N19*$AM19</f>
        <v>0</v>
      </c>
      <c r="MU19" s="338">
        <f t="shared" ref="MU19:MU27" si="681">O19*$AM19</f>
        <v>0</v>
      </c>
      <c r="MV19" s="338">
        <f t="shared" ref="MV19:MV27" si="682">P19*$AM19</f>
        <v>0</v>
      </c>
      <c r="MW19" s="338">
        <f t="shared" ref="MW19:MW27" si="683">Q19*$AM19</f>
        <v>0</v>
      </c>
      <c r="MX19" s="338">
        <f t="shared" ref="MX19:MX27" si="684">R19*$AM19</f>
        <v>0</v>
      </c>
      <c r="MY19" s="338">
        <f t="shared" ref="MY19:MY27" si="685">S19*$AM19</f>
        <v>0</v>
      </c>
      <c r="NB19" s="341" t="s">
        <v>536</v>
      </c>
      <c r="NC19" s="338">
        <f t="shared" ref="NC19:NC27" si="686">D19*$AN19</f>
        <v>0</v>
      </c>
      <c r="ND19" s="338">
        <f t="shared" ref="ND19:ND27" si="687">E19*$AN19</f>
        <v>0</v>
      </c>
      <c r="NE19" s="338">
        <f t="shared" ref="NE19:NE27" si="688">F19*$AN19</f>
        <v>0</v>
      </c>
      <c r="NF19" s="338">
        <f t="shared" ref="NF19:NF27" si="689">G19*$AN19</f>
        <v>0</v>
      </c>
      <c r="NG19" s="338">
        <f t="shared" ref="NG19:NG27" si="690">H19*$AN19</f>
        <v>0</v>
      </c>
      <c r="NH19" s="338">
        <f t="shared" ref="NH19:NH27" si="691">I19*$AN19</f>
        <v>0</v>
      </c>
      <c r="NI19" s="338">
        <f t="shared" ref="NI19:NI27" si="692">J19*$AN19</f>
        <v>0</v>
      </c>
      <c r="NJ19" s="338">
        <f t="shared" ref="NJ19:NJ27" si="693">K19*$AN19</f>
        <v>0</v>
      </c>
      <c r="NK19" s="338">
        <f t="shared" ref="NK19:NK27" si="694">L19*$AN19</f>
        <v>0</v>
      </c>
      <c r="NL19" s="338">
        <f t="shared" ref="NL19:NL27" si="695">M19*$AN19</f>
        <v>0</v>
      </c>
      <c r="NM19" s="338">
        <f t="shared" ref="NM19:NM27" si="696">N19*$AN19</f>
        <v>0</v>
      </c>
      <c r="NN19" s="338">
        <f t="shared" ref="NN19:NN27" si="697">O19*$AN19</f>
        <v>0</v>
      </c>
      <c r="NO19" s="338">
        <f t="shared" ref="NO19:NO27" si="698">P19*$AN19</f>
        <v>0</v>
      </c>
      <c r="NP19" s="338">
        <f t="shared" ref="NP19:NP27" si="699">Q19*$AN19</f>
        <v>0</v>
      </c>
      <c r="NQ19" s="338">
        <f t="shared" ref="NQ19:NQ27" si="700">R19*$AN19</f>
        <v>0</v>
      </c>
      <c r="NR19" s="338">
        <f t="shared" ref="NR19:NR27" si="701">S19*$AN19</f>
        <v>0</v>
      </c>
    </row>
    <row r="20" spans="2:382" ht="12.75" customHeight="1" x14ac:dyDescent="0.2">
      <c r="B20" s="734"/>
      <c r="C20" s="148" t="s">
        <v>333</v>
      </c>
      <c r="D20" s="143">
        <f>GREET!D24</f>
        <v>9.7868191053802605</v>
      </c>
      <c r="E20" s="127">
        <f>GREET!D24</f>
        <v>9.7868191053802605</v>
      </c>
      <c r="F20" s="143">
        <f>GREET!G24</f>
        <v>11.455357299603177</v>
      </c>
      <c r="G20" s="127">
        <f>GREET!G24</f>
        <v>11.455357299603177</v>
      </c>
      <c r="H20" s="143">
        <f>GREET!H24</f>
        <v>11.165348254043602</v>
      </c>
      <c r="I20" s="127">
        <f>GREET!H24</f>
        <v>11.165348254043602</v>
      </c>
      <c r="J20" s="143">
        <f>GREET!I24</f>
        <v>10.610972293201757</v>
      </c>
      <c r="K20" s="127">
        <f>GREET!I24</f>
        <v>10.610972293201757</v>
      </c>
      <c r="L20" s="143">
        <f>GREET!K24</f>
        <v>9.600403503373018</v>
      </c>
      <c r="M20" s="127">
        <f>GREET!K24</f>
        <v>9.600403503373018</v>
      </c>
      <c r="N20" s="143"/>
      <c r="O20" s="127"/>
      <c r="P20" s="143">
        <f>GREET!M24</f>
        <v>17.920753206296297</v>
      </c>
      <c r="Q20" s="143">
        <f>GREET!M24</f>
        <v>17.920753206296297</v>
      </c>
      <c r="R20" s="143">
        <f>GREET!K24</f>
        <v>9.600403503373018</v>
      </c>
      <c r="S20" s="127">
        <f>GREET!K24</f>
        <v>9.600403503373018</v>
      </c>
      <c r="T20" s="318"/>
      <c r="U20" s="119"/>
      <c r="V20" s="148" t="s">
        <v>333</v>
      </c>
      <c r="W20" s="96">
        <f>'Ecoinvent 3.10'!M34</f>
        <v>2.6855664780405388</v>
      </c>
      <c r="X20" s="96">
        <f>'Ecoinvent 3.10'!N34</f>
        <v>0.32044</v>
      </c>
      <c r="Y20" s="96">
        <f>'Ecoinvent 3.10'!O34</f>
        <v>1.4854000000000001</v>
      </c>
      <c r="Z20" s="96">
        <f>'Ecoinvent 3.10'!P34</f>
        <v>1.0951999999999999E-3</v>
      </c>
      <c r="AA20" s="96">
        <f>'Ecoinvent 3.10'!Q34</f>
        <v>1.9797999999999999E-3</v>
      </c>
      <c r="AB20" s="96">
        <f>'Ecoinvent 3.10'!R34</f>
        <v>4.7102999999999997E-3</v>
      </c>
      <c r="AC20" s="96">
        <f>'Ecoinvent 3.10'!S34</f>
        <v>2.8058E-4</v>
      </c>
      <c r="AD20" s="96">
        <f>'Ecoinvent 3.10'!T34</f>
        <v>1.0652E-2</v>
      </c>
      <c r="AE20" s="96">
        <f>'Ecoinvent 3.10'!U34</f>
        <v>4.0864999999999999E-2</v>
      </c>
      <c r="AF20" s="96">
        <f>'Ecoinvent 3.10'!V34</f>
        <v>0.37636999999999998</v>
      </c>
      <c r="AG20" s="327">
        <f>'Ecoinvent 3.10'!W34</f>
        <v>4.5020999999999999E-4</v>
      </c>
      <c r="AH20" s="327">
        <f>'Ecoinvent 3.10'!X34</f>
        <v>8.8775000000000007E-2</v>
      </c>
      <c r="AI20" s="327">
        <f>'Ecoinvent 3.10'!Y34</f>
        <v>0.19803999999999999</v>
      </c>
      <c r="AJ20" s="327">
        <f>'Ecoinvent 3.10'!Z34</f>
        <v>1.1283E-2</v>
      </c>
      <c r="AK20" s="327">
        <f>'Ecoinvent 3.10'!AA34</f>
        <v>1.5778E-2</v>
      </c>
      <c r="AL20" s="327">
        <f>'Ecoinvent 3.10'!AB34</f>
        <v>2.2657999999999999E-5</v>
      </c>
      <c r="AM20" s="327">
        <f>'Ecoinvent 3.10'!AC34</f>
        <v>5.8116999999999999E-4</v>
      </c>
      <c r="AN20" s="327">
        <f>'Ecoinvent 3.10'!AD34</f>
        <v>5.6205000000000003E-4</v>
      </c>
      <c r="AO20" s="119"/>
      <c r="AP20" s="8"/>
      <c r="AQ20" s="148" t="s">
        <v>333</v>
      </c>
      <c r="AR20" s="49">
        <f t="shared" ref="AR20:BC20" si="702">D20*$W20</f>
        <v>26.283153316055923</v>
      </c>
      <c r="AS20" s="50">
        <f t="shared" si="702"/>
        <v>26.283153316055923</v>
      </c>
      <c r="AT20" s="49">
        <f t="shared" si="702"/>
        <v>30.764123557791283</v>
      </c>
      <c r="AU20" s="50">
        <f t="shared" si="702"/>
        <v>30.764123557791283</v>
      </c>
      <c r="AV20" s="49">
        <f t="shared" si="702"/>
        <v>29.985284986707956</v>
      </c>
      <c r="AW20" s="50">
        <f t="shared" si="702"/>
        <v>29.985284986707956</v>
      </c>
      <c r="AX20" s="49">
        <f t="shared" si="702"/>
        <v>28.496471490039582</v>
      </c>
      <c r="AY20" s="50">
        <f t="shared" si="702"/>
        <v>28.496471490039582</v>
      </c>
      <c r="AZ20" s="49">
        <f>L20*$W20</f>
        <v>25.782521824321528</v>
      </c>
      <c r="BA20" s="50">
        <f>M20*$W20</f>
        <v>25.782521824321528</v>
      </c>
      <c r="BB20" s="49">
        <f>N20*$W20</f>
        <v>0</v>
      </c>
      <c r="BC20" s="50">
        <f t="shared" si="702"/>
        <v>0</v>
      </c>
      <c r="BD20" s="49">
        <f t="shared" ref="BD20" si="703">P20*$W20</f>
        <v>48.127374072066843</v>
      </c>
      <c r="BE20" s="50">
        <f t="shared" ref="BE20" si="704">Q20*$W20</f>
        <v>48.127374072066843</v>
      </c>
      <c r="BF20" s="49">
        <f t="shared" ref="BF20" si="705">R20*$W20</f>
        <v>25.782521824321528</v>
      </c>
      <c r="BG20" s="50">
        <f t="shared" ref="BG20" si="706">S20*$W20</f>
        <v>25.782521824321528</v>
      </c>
      <c r="BI20" s="156"/>
      <c r="BJ20" s="148" t="s">
        <v>333</v>
      </c>
      <c r="BK20" s="49">
        <f t="shared" si="256"/>
        <v>3.1360883141280507</v>
      </c>
      <c r="BL20" s="49">
        <f t="shared" si="256"/>
        <v>3.1360883141280507</v>
      </c>
      <c r="BM20" s="49">
        <f t="shared" si="256"/>
        <v>3.670754693084842</v>
      </c>
      <c r="BN20" s="49">
        <f t="shared" si="256"/>
        <v>3.670754693084842</v>
      </c>
      <c r="BO20" s="49">
        <f t="shared" si="256"/>
        <v>3.5778241945257316</v>
      </c>
      <c r="BP20" s="49">
        <f t="shared" si="256"/>
        <v>3.5778241945257316</v>
      </c>
      <c r="BQ20" s="49">
        <f t="shared" si="256"/>
        <v>3.4001799616335711</v>
      </c>
      <c r="BR20" s="49">
        <f t="shared" si="256"/>
        <v>3.4001799616335711</v>
      </c>
      <c r="BS20" s="49">
        <f t="shared" si="256"/>
        <v>3.0763532986208499</v>
      </c>
      <c r="BT20" s="49">
        <f t="shared" si="256"/>
        <v>3.0763532986208499</v>
      </c>
      <c r="BU20" s="49">
        <f t="shared" si="256"/>
        <v>0</v>
      </c>
      <c r="BV20" s="49">
        <f t="shared" si="256"/>
        <v>0</v>
      </c>
      <c r="BW20" s="49">
        <f t="shared" si="256"/>
        <v>5.7425261574255853</v>
      </c>
      <c r="BX20" s="49">
        <f t="shared" si="256"/>
        <v>5.7425261574255853</v>
      </c>
      <c r="BY20" s="49">
        <f t="shared" si="256"/>
        <v>3.0763532986208499</v>
      </c>
      <c r="BZ20" s="49">
        <f t="shared" si="256"/>
        <v>3.0763532986208499</v>
      </c>
      <c r="CA20" s="156"/>
      <c r="CB20" s="156"/>
      <c r="CC20" s="148" t="s">
        <v>333</v>
      </c>
      <c r="CD20" s="49">
        <f t="shared" si="257"/>
        <v>14.53734109913184</v>
      </c>
      <c r="CE20" s="49">
        <f t="shared" si="257"/>
        <v>14.53734109913184</v>
      </c>
      <c r="CF20" s="49">
        <f t="shared" si="257"/>
        <v>17.01578773283056</v>
      </c>
      <c r="CG20" s="49">
        <f t="shared" si="257"/>
        <v>17.01578773283056</v>
      </c>
      <c r="CH20" s="49">
        <f t="shared" si="257"/>
        <v>16.585008296556367</v>
      </c>
      <c r="CI20" s="49">
        <f t="shared" si="257"/>
        <v>16.585008296556367</v>
      </c>
      <c r="CJ20" s="49">
        <f t="shared" si="257"/>
        <v>15.761538244321891</v>
      </c>
      <c r="CK20" s="49">
        <f t="shared" si="257"/>
        <v>15.761538244321891</v>
      </c>
      <c r="CL20" s="49">
        <f t="shared" si="257"/>
        <v>14.260439363910281</v>
      </c>
      <c r="CM20" s="49">
        <f t="shared" si="257"/>
        <v>14.260439363910281</v>
      </c>
      <c r="CN20" s="49">
        <f t="shared" si="257"/>
        <v>0</v>
      </c>
      <c r="CO20" s="220">
        <f t="shared" si="257"/>
        <v>0</v>
      </c>
      <c r="CP20" s="49">
        <f t="shared" si="257"/>
        <v>26.61948681263252</v>
      </c>
      <c r="CQ20" s="49">
        <f t="shared" si="257"/>
        <v>26.61948681263252</v>
      </c>
      <c r="CR20" s="49">
        <f t="shared" si="257"/>
        <v>14.260439363910281</v>
      </c>
      <c r="CS20" s="220">
        <f t="shared" si="257"/>
        <v>14.260439363910281</v>
      </c>
      <c r="CV20" s="148" t="s">
        <v>333</v>
      </c>
      <c r="CW20" s="49">
        <f t="shared" si="258"/>
        <v>1.0718524284212461E-2</v>
      </c>
      <c r="CX20" s="49">
        <f t="shared" si="258"/>
        <v>1.0718524284212461E-2</v>
      </c>
      <c r="CY20" s="49">
        <f t="shared" si="258"/>
        <v>1.2545907314525399E-2</v>
      </c>
      <c r="CZ20" s="49">
        <f t="shared" si="258"/>
        <v>1.2545907314525399E-2</v>
      </c>
      <c r="DA20" s="49">
        <f t="shared" si="258"/>
        <v>1.2228289407828552E-2</v>
      </c>
      <c r="DB20" s="49">
        <f t="shared" si="258"/>
        <v>1.2228289407828552E-2</v>
      </c>
      <c r="DC20" s="49">
        <f t="shared" si="258"/>
        <v>1.1621136855514563E-2</v>
      </c>
      <c r="DD20" s="49">
        <f t="shared" si="258"/>
        <v>1.1621136855514563E-2</v>
      </c>
      <c r="DE20" s="49">
        <f t="shared" si="258"/>
        <v>1.0514361916894128E-2</v>
      </c>
      <c r="DF20" s="49">
        <f t="shared" si="258"/>
        <v>1.0514361916894128E-2</v>
      </c>
      <c r="DG20" s="49">
        <f t="shared" si="258"/>
        <v>0</v>
      </c>
      <c r="DH20" s="49">
        <f t="shared" si="258"/>
        <v>0</v>
      </c>
      <c r="DI20" s="49">
        <f t="shared" si="258"/>
        <v>1.9626808911535704E-2</v>
      </c>
      <c r="DJ20" s="49">
        <f t="shared" si="258"/>
        <v>1.9626808911535704E-2</v>
      </c>
      <c r="DK20" s="49">
        <f t="shared" si="258"/>
        <v>1.0514361916894128E-2</v>
      </c>
      <c r="DL20" s="49">
        <f t="shared" si="258"/>
        <v>1.0514361916894128E-2</v>
      </c>
      <c r="DO20" s="148" t="s">
        <v>333</v>
      </c>
      <c r="DP20" s="49">
        <f t="shared" si="259"/>
        <v>1.9375944464831839E-2</v>
      </c>
      <c r="DQ20" s="49">
        <f t="shared" si="259"/>
        <v>1.9375944464831839E-2</v>
      </c>
      <c r="DR20" s="49">
        <f t="shared" si="259"/>
        <v>2.2679316381754369E-2</v>
      </c>
      <c r="DS20" s="49">
        <f t="shared" si="259"/>
        <v>2.2679316381754369E-2</v>
      </c>
      <c r="DT20" s="49">
        <f t="shared" si="259"/>
        <v>2.2105156473355522E-2</v>
      </c>
      <c r="DU20" s="49">
        <f t="shared" si="259"/>
        <v>2.2105156473355522E-2</v>
      </c>
      <c r="DV20" s="49">
        <f t="shared" si="259"/>
        <v>2.1007602946080835E-2</v>
      </c>
      <c r="DW20" s="49">
        <f t="shared" si="259"/>
        <v>2.1007602946080835E-2</v>
      </c>
      <c r="DX20" s="49">
        <f t="shared" si="259"/>
        <v>1.9006878855977901E-2</v>
      </c>
      <c r="DY20" s="49">
        <f t="shared" si="259"/>
        <v>1.9006878855977901E-2</v>
      </c>
      <c r="DZ20" s="49">
        <f t="shared" si="259"/>
        <v>0</v>
      </c>
      <c r="EA20" s="49">
        <f t="shared" si="259"/>
        <v>0</v>
      </c>
      <c r="EB20" s="49">
        <f t="shared" si="259"/>
        <v>3.5479507197825409E-2</v>
      </c>
      <c r="EC20" s="49">
        <f t="shared" si="259"/>
        <v>3.5479507197825409E-2</v>
      </c>
      <c r="ED20" s="49">
        <f t="shared" si="259"/>
        <v>1.9006878855977901E-2</v>
      </c>
      <c r="EE20" s="49">
        <f t="shared" si="259"/>
        <v>1.9006878855977901E-2</v>
      </c>
      <c r="EH20" s="148" t="s">
        <v>333</v>
      </c>
      <c r="EI20" s="49">
        <f t="shared" si="549"/>
        <v>4.6098854032072638E-2</v>
      </c>
      <c r="EJ20" s="49">
        <f t="shared" si="549"/>
        <v>4.6098854032072638E-2</v>
      </c>
      <c r="EK20" s="49">
        <f t="shared" si="549"/>
        <v>5.3958169488320842E-2</v>
      </c>
      <c r="EL20" s="49">
        <f t="shared" si="549"/>
        <v>5.3958169488320842E-2</v>
      </c>
      <c r="EM20" s="49">
        <f t="shared" si="549"/>
        <v>5.2592139881021578E-2</v>
      </c>
      <c r="EN20" s="49">
        <f t="shared" si="549"/>
        <v>5.2592139881021578E-2</v>
      </c>
      <c r="EO20" s="49">
        <f t="shared" si="549"/>
        <v>4.9980862792668231E-2</v>
      </c>
      <c r="EP20" s="49">
        <f t="shared" si="549"/>
        <v>4.9980862792668231E-2</v>
      </c>
      <c r="EQ20" s="49">
        <f t="shared" si="549"/>
        <v>4.5220780621937927E-2</v>
      </c>
      <c r="ER20" s="49">
        <f t="shared" si="549"/>
        <v>4.5220780621937927E-2</v>
      </c>
      <c r="ES20" s="49">
        <f t="shared" si="549"/>
        <v>0</v>
      </c>
      <c r="ET20" s="49">
        <f t="shared" si="549"/>
        <v>0</v>
      </c>
      <c r="EU20" s="49">
        <f t="shared" si="550"/>
        <v>8.4412123827617438E-2</v>
      </c>
      <c r="EV20" s="49">
        <f t="shared" si="551"/>
        <v>8.4412123827617438E-2</v>
      </c>
      <c r="EW20" s="49">
        <f t="shared" si="552"/>
        <v>4.5220780621937927E-2</v>
      </c>
      <c r="EX20" s="49">
        <f t="shared" si="553"/>
        <v>4.5220780621937927E-2</v>
      </c>
      <c r="FA20" s="148" t="s">
        <v>333</v>
      </c>
      <c r="FB20" s="53">
        <f t="shared" si="554"/>
        <v>2.7459857045875934E-3</v>
      </c>
      <c r="FC20" s="53">
        <f t="shared" si="554"/>
        <v>2.7459857045875934E-3</v>
      </c>
      <c r="FD20" s="53">
        <f t="shared" si="554"/>
        <v>3.2141441511226595E-3</v>
      </c>
      <c r="FE20" s="53">
        <f t="shared" si="554"/>
        <v>3.2141441511226595E-3</v>
      </c>
      <c r="FF20" s="53">
        <f t="shared" si="554"/>
        <v>3.1327734131195539E-3</v>
      </c>
      <c r="FG20" s="53">
        <f t="shared" si="554"/>
        <v>3.1327734131195539E-3</v>
      </c>
      <c r="FH20" s="53">
        <f t="shared" si="554"/>
        <v>2.9772266060265487E-3</v>
      </c>
      <c r="FI20" s="53">
        <f t="shared" si="554"/>
        <v>2.9772266060265487E-3</v>
      </c>
      <c r="FJ20" s="53">
        <f t="shared" si="554"/>
        <v>2.6936812149764016E-3</v>
      </c>
      <c r="FK20" s="53">
        <f t="shared" si="554"/>
        <v>2.6936812149764016E-3</v>
      </c>
      <c r="FL20" s="53">
        <f t="shared" si="554"/>
        <v>0</v>
      </c>
      <c r="FM20" s="53">
        <f t="shared" si="554"/>
        <v>0</v>
      </c>
      <c r="FN20" s="53">
        <f t="shared" si="555"/>
        <v>5.0282049346226151E-3</v>
      </c>
      <c r="FO20" s="53">
        <f t="shared" si="556"/>
        <v>5.0282049346226151E-3</v>
      </c>
      <c r="FP20" s="53">
        <f t="shared" si="557"/>
        <v>2.6936812149764016E-3</v>
      </c>
      <c r="FQ20" s="53">
        <f t="shared" si="558"/>
        <v>2.6936812149764016E-3</v>
      </c>
      <c r="FT20" s="148" t="s">
        <v>333</v>
      </c>
      <c r="FU20" s="49">
        <f t="shared" si="559"/>
        <v>0.10424919711051053</v>
      </c>
      <c r="FV20" s="49">
        <f t="shared" si="559"/>
        <v>0.10424919711051053</v>
      </c>
      <c r="FW20" s="49">
        <f t="shared" si="559"/>
        <v>0.12202246595537304</v>
      </c>
      <c r="FX20" s="49">
        <f t="shared" si="559"/>
        <v>0.12202246595537304</v>
      </c>
      <c r="FY20" s="49">
        <f t="shared" si="559"/>
        <v>0.11893328960207245</v>
      </c>
      <c r="FZ20" s="49">
        <f t="shared" si="559"/>
        <v>0.11893328960207245</v>
      </c>
      <c r="GA20" s="49">
        <f t="shared" si="559"/>
        <v>0.11302807686718511</v>
      </c>
      <c r="GB20" s="49">
        <f t="shared" si="559"/>
        <v>0.11302807686718511</v>
      </c>
      <c r="GC20" s="49">
        <f t="shared" si="559"/>
        <v>0.10226349811792938</v>
      </c>
      <c r="GD20" s="49">
        <f t="shared" si="559"/>
        <v>0.10226349811792938</v>
      </c>
      <c r="GE20" s="49">
        <f t="shared" si="559"/>
        <v>0</v>
      </c>
      <c r="GF20" s="49">
        <f t="shared" si="559"/>
        <v>0</v>
      </c>
      <c r="GG20" s="49">
        <f t="shared" si="560"/>
        <v>0.19089186315346815</v>
      </c>
      <c r="GH20" s="49">
        <f t="shared" si="561"/>
        <v>0.19089186315346815</v>
      </c>
      <c r="GI20" s="49">
        <f t="shared" si="562"/>
        <v>0.10226349811792938</v>
      </c>
      <c r="GJ20" s="49">
        <f t="shared" si="563"/>
        <v>0.10226349811792938</v>
      </c>
      <c r="GM20" s="148" t="s">
        <v>333</v>
      </c>
      <c r="GN20" s="49">
        <f t="shared" si="564"/>
        <v>0.39993836274136435</v>
      </c>
      <c r="GO20" s="49">
        <f t="shared" si="564"/>
        <v>0.39993836274136435</v>
      </c>
      <c r="GP20" s="49">
        <f t="shared" si="564"/>
        <v>0.4681231760482838</v>
      </c>
      <c r="GQ20" s="49">
        <f t="shared" si="564"/>
        <v>0.4681231760482838</v>
      </c>
      <c r="GR20" s="49">
        <f t="shared" si="564"/>
        <v>0.45627195640149176</v>
      </c>
      <c r="GS20" s="49">
        <f t="shared" si="564"/>
        <v>0.45627195640149176</v>
      </c>
      <c r="GT20" s="49">
        <f t="shared" si="564"/>
        <v>0.43361738276168976</v>
      </c>
      <c r="GU20" s="49">
        <f t="shared" si="564"/>
        <v>0.43361738276168976</v>
      </c>
      <c r="GV20" s="49">
        <f t="shared" si="564"/>
        <v>0.39232048916533835</v>
      </c>
      <c r="GW20" s="49">
        <f t="shared" si="564"/>
        <v>0.39232048916533835</v>
      </c>
      <c r="GX20" s="49">
        <f t="shared" si="564"/>
        <v>0</v>
      </c>
      <c r="GY20" s="49">
        <f t="shared" si="564"/>
        <v>0</v>
      </c>
      <c r="GZ20" s="49">
        <f t="shared" si="565"/>
        <v>0.73233157977529817</v>
      </c>
      <c r="HA20" s="49">
        <f t="shared" si="566"/>
        <v>0.73233157977529817</v>
      </c>
      <c r="HB20" s="49">
        <f t="shared" si="567"/>
        <v>0.39232048916533835</v>
      </c>
      <c r="HC20" s="49">
        <f t="shared" si="568"/>
        <v>0.39232048916533835</v>
      </c>
      <c r="HF20" s="148" t="s">
        <v>333</v>
      </c>
      <c r="HG20" s="49">
        <f t="shared" si="569"/>
        <v>3.6834651066919686</v>
      </c>
      <c r="HH20" s="49">
        <f t="shared" si="569"/>
        <v>3.6834651066919686</v>
      </c>
      <c r="HI20" s="49">
        <f t="shared" si="569"/>
        <v>4.3114528268516477</v>
      </c>
      <c r="HJ20" s="49">
        <f t="shared" si="569"/>
        <v>4.3114528268516477</v>
      </c>
      <c r="HK20" s="49">
        <f t="shared" si="569"/>
        <v>4.2023021223743902</v>
      </c>
      <c r="HL20" s="49">
        <f t="shared" si="569"/>
        <v>4.2023021223743902</v>
      </c>
      <c r="HM20" s="49">
        <f t="shared" si="569"/>
        <v>3.9936516419923449</v>
      </c>
      <c r="HN20" s="49">
        <f t="shared" si="569"/>
        <v>3.9936516419923449</v>
      </c>
      <c r="HO20" s="49">
        <f t="shared" si="569"/>
        <v>3.6133038665645025</v>
      </c>
      <c r="HP20" s="49">
        <f t="shared" si="569"/>
        <v>3.6133038665645025</v>
      </c>
      <c r="HQ20" s="49">
        <f t="shared" si="569"/>
        <v>0</v>
      </c>
      <c r="HR20" s="49">
        <f t="shared" si="569"/>
        <v>0</v>
      </c>
      <c r="HS20" s="49">
        <f t="shared" si="570"/>
        <v>6.7448338842537368</v>
      </c>
      <c r="HT20" s="49">
        <f t="shared" si="571"/>
        <v>6.7448338842537368</v>
      </c>
      <c r="HU20" s="49">
        <f t="shared" si="572"/>
        <v>3.6133038665645025</v>
      </c>
      <c r="HV20" s="49">
        <f t="shared" si="573"/>
        <v>3.6133038665645025</v>
      </c>
      <c r="HY20" s="341" t="s">
        <v>333</v>
      </c>
      <c r="HZ20" s="338">
        <f t="shared" si="574"/>
        <v>4.4061238294332465E-3</v>
      </c>
      <c r="IA20" s="338">
        <f t="shared" si="575"/>
        <v>4.4061238294332465E-3</v>
      </c>
      <c r="IB20" s="338">
        <f t="shared" si="576"/>
        <v>5.1573164098543461E-3</v>
      </c>
      <c r="IC20" s="338">
        <f t="shared" si="577"/>
        <v>5.1573164098543461E-3</v>
      </c>
      <c r="ID20" s="338">
        <f t="shared" si="578"/>
        <v>5.02675143745297E-3</v>
      </c>
      <c r="IE20" s="338">
        <f t="shared" si="579"/>
        <v>5.02675143745297E-3</v>
      </c>
      <c r="IF20" s="338">
        <f t="shared" si="580"/>
        <v>4.7771658361223631E-3</v>
      </c>
      <c r="IG20" s="338">
        <f t="shared" si="581"/>
        <v>4.7771658361223631E-3</v>
      </c>
      <c r="IH20" s="338">
        <f t="shared" si="582"/>
        <v>4.3221976612535665E-3</v>
      </c>
      <c r="II20" s="338">
        <f t="shared" si="583"/>
        <v>4.3221976612535665E-3</v>
      </c>
      <c r="IJ20" s="338">
        <f t="shared" si="584"/>
        <v>0</v>
      </c>
      <c r="IK20" s="338">
        <f t="shared" si="585"/>
        <v>0</v>
      </c>
      <c r="IL20" s="338">
        <f t="shared" si="586"/>
        <v>8.068102301006656E-3</v>
      </c>
      <c r="IM20" s="338">
        <f t="shared" si="587"/>
        <v>8.068102301006656E-3</v>
      </c>
      <c r="IN20" s="338">
        <f t="shared" si="588"/>
        <v>4.3221976612535665E-3</v>
      </c>
      <c r="IO20" s="338">
        <f t="shared" si="589"/>
        <v>4.3221976612535665E-3</v>
      </c>
      <c r="IR20" s="341" t="s">
        <v>333</v>
      </c>
      <c r="IS20" s="338">
        <f t="shared" si="590"/>
        <v>0.86882486608013265</v>
      </c>
      <c r="IT20" s="338">
        <f t="shared" si="591"/>
        <v>0.86882486608013265</v>
      </c>
      <c r="IU20" s="338">
        <f t="shared" si="592"/>
        <v>1.0169493442722721</v>
      </c>
      <c r="IV20" s="338">
        <f t="shared" si="593"/>
        <v>1.0169493442722721</v>
      </c>
      <c r="IW20" s="338">
        <f t="shared" si="594"/>
        <v>0.99120379125272084</v>
      </c>
      <c r="IX20" s="338">
        <f t="shared" si="595"/>
        <v>0.99120379125272084</v>
      </c>
      <c r="IY20" s="338">
        <f t="shared" si="596"/>
        <v>0.94198906532898596</v>
      </c>
      <c r="IZ20" s="338">
        <f t="shared" si="597"/>
        <v>0.94198906532898596</v>
      </c>
      <c r="JA20" s="338">
        <f t="shared" si="598"/>
        <v>0.85227582101193977</v>
      </c>
      <c r="JB20" s="338">
        <f t="shared" si="599"/>
        <v>0.85227582101193977</v>
      </c>
      <c r="JC20" s="338">
        <f t="shared" si="600"/>
        <v>0</v>
      </c>
      <c r="JD20" s="338">
        <f t="shared" si="601"/>
        <v>0</v>
      </c>
      <c r="JE20" s="338">
        <f t="shared" si="602"/>
        <v>1.5909148658889538</v>
      </c>
      <c r="JF20" s="338">
        <f t="shared" si="603"/>
        <v>1.5909148658889538</v>
      </c>
      <c r="JG20" s="338">
        <f t="shared" si="604"/>
        <v>0.85227582101193977</v>
      </c>
      <c r="JH20" s="338">
        <f t="shared" si="605"/>
        <v>0.85227582101193977</v>
      </c>
      <c r="JK20" s="341" t="s">
        <v>333</v>
      </c>
      <c r="JL20" s="338">
        <f t="shared" si="606"/>
        <v>1.9381816556295066</v>
      </c>
      <c r="JM20" s="338">
        <f t="shared" si="607"/>
        <v>1.9381816556295066</v>
      </c>
      <c r="JN20" s="338">
        <f t="shared" si="608"/>
        <v>2.2686189596134132</v>
      </c>
      <c r="JO20" s="338">
        <f t="shared" si="609"/>
        <v>2.2686189596134132</v>
      </c>
      <c r="JP20" s="338">
        <f t="shared" si="610"/>
        <v>2.2111855682307948</v>
      </c>
      <c r="JQ20" s="338">
        <f t="shared" si="611"/>
        <v>2.2111855682307948</v>
      </c>
      <c r="JR20" s="338">
        <f t="shared" si="612"/>
        <v>2.101396952945676</v>
      </c>
      <c r="JS20" s="338">
        <f t="shared" si="613"/>
        <v>2.101396952945676</v>
      </c>
      <c r="JT20" s="338">
        <f t="shared" si="614"/>
        <v>1.9012639098079924</v>
      </c>
      <c r="JU20" s="338">
        <f t="shared" si="615"/>
        <v>1.9012639098079924</v>
      </c>
      <c r="JV20" s="338">
        <f t="shared" si="616"/>
        <v>0</v>
      </c>
      <c r="JW20" s="338">
        <f t="shared" si="617"/>
        <v>0</v>
      </c>
      <c r="JX20" s="338">
        <f t="shared" si="618"/>
        <v>3.5490259649749185</v>
      </c>
      <c r="JY20" s="338">
        <f t="shared" si="619"/>
        <v>3.5490259649749185</v>
      </c>
      <c r="JZ20" s="338">
        <f t="shared" si="620"/>
        <v>1.9012639098079924</v>
      </c>
      <c r="KA20" s="338">
        <f t="shared" si="621"/>
        <v>1.9012639098079924</v>
      </c>
      <c r="KD20" s="341" t="s">
        <v>333</v>
      </c>
      <c r="KE20" s="338">
        <f t="shared" si="622"/>
        <v>0.11042467996600548</v>
      </c>
      <c r="KF20" s="338">
        <f t="shared" si="623"/>
        <v>0.11042467996600548</v>
      </c>
      <c r="KG20" s="338">
        <f t="shared" si="624"/>
        <v>0.12925079641142265</v>
      </c>
      <c r="KH20" s="338">
        <f t="shared" si="625"/>
        <v>0.12925079641142265</v>
      </c>
      <c r="KI20" s="338">
        <f t="shared" si="626"/>
        <v>0.12597862435037396</v>
      </c>
      <c r="KJ20" s="338">
        <f t="shared" si="627"/>
        <v>0.12597862435037396</v>
      </c>
      <c r="KK20" s="338">
        <f t="shared" si="628"/>
        <v>0.11972360038419541</v>
      </c>
      <c r="KL20" s="338">
        <f t="shared" si="629"/>
        <v>0.11972360038419541</v>
      </c>
      <c r="KM20" s="338">
        <f t="shared" si="630"/>
        <v>0.10832135272855775</v>
      </c>
      <c r="KN20" s="338">
        <f t="shared" si="631"/>
        <v>0.10832135272855775</v>
      </c>
      <c r="KO20" s="338">
        <f t="shared" si="632"/>
        <v>0</v>
      </c>
      <c r="KP20" s="338">
        <f t="shared" si="633"/>
        <v>0</v>
      </c>
      <c r="KQ20" s="338">
        <f t="shared" si="634"/>
        <v>0.20219985842664112</v>
      </c>
      <c r="KR20" s="338">
        <f t="shared" si="635"/>
        <v>0.20219985842664112</v>
      </c>
      <c r="KS20" s="338">
        <f t="shared" si="636"/>
        <v>0.10832135272855775</v>
      </c>
      <c r="KT20" s="338">
        <f t="shared" si="637"/>
        <v>0.10832135272855775</v>
      </c>
      <c r="KW20" s="341" t="s">
        <v>333</v>
      </c>
      <c r="KX20" s="338">
        <f t="shared" si="638"/>
        <v>0.15441643184468976</v>
      </c>
      <c r="KY20" s="338">
        <f t="shared" si="639"/>
        <v>0.15441643184468976</v>
      </c>
      <c r="KZ20" s="338">
        <f t="shared" si="640"/>
        <v>0.18074262747313893</v>
      </c>
      <c r="LA20" s="338">
        <f t="shared" si="641"/>
        <v>0.18074262747313893</v>
      </c>
      <c r="LB20" s="338">
        <f t="shared" si="642"/>
        <v>0.17616686475229995</v>
      </c>
      <c r="LC20" s="338">
        <f t="shared" si="643"/>
        <v>0.17616686475229995</v>
      </c>
      <c r="LD20" s="338">
        <f t="shared" si="644"/>
        <v>0.1674199208421373</v>
      </c>
      <c r="LE20" s="338">
        <f t="shared" si="645"/>
        <v>0.1674199208421373</v>
      </c>
      <c r="LF20" s="338">
        <f t="shared" si="646"/>
        <v>0.15147516647621947</v>
      </c>
      <c r="LG20" s="338">
        <f t="shared" si="647"/>
        <v>0.15147516647621947</v>
      </c>
      <c r="LH20" s="338">
        <f t="shared" si="648"/>
        <v>0</v>
      </c>
      <c r="LI20" s="338">
        <f t="shared" si="649"/>
        <v>0</v>
      </c>
      <c r="LJ20" s="338">
        <f t="shared" si="650"/>
        <v>0.28275364408894299</v>
      </c>
      <c r="LK20" s="338">
        <f t="shared" si="651"/>
        <v>0.28275364408894299</v>
      </c>
      <c r="LL20" s="338">
        <f t="shared" si="652"/>
        <v>0.15147516647621947</v>
      </c>
      <c r="LM20" s="338">
        <f t="shared" si="653"/>
        <v>0.15147516647621947</v>
      </c>
      <c r="LP20" s="341" t="s">
        <v>333</v>
      </c>
      <c r="LQ20" s="338">
        <f t="shared" si="654"/>
        <v>2.2174974728970593E-4</v>
      </c>
      <c r="LR20" s="338">
        <f t="shared" si="655"/>
        <v>2.2174974728970593E-4</v>
      </c>
      <c r="LS20" s="338">
        <f t="shared" si="656"/>
        <v>2.5955548569440875E-4</v>
      </c>
      <c r="LT20" s="338">
        <f t="shared" si="657"/>
        <v>2.5955548569440875E-4</v>
      </c>
      <c r="LU20" s="338">
        <f t="shared" si="658"/>
        <v>2.5298446074011993E-4</v>
      </c>
      <c r="LV20" s="338">
        <f t="shared" si="659"/>
        <v>2.5298446074011993E-4</v>
      </c>
      <c r="LW20" s="338">
        <f t="shared" si="660"/>
        <v>2.4042341021936539E-4</v>
      </c>
      <c r="LX20" s="338">
        <f t="shared" si="661"/>
        <v>2.4042341021936539E-4</v>
      </c>
      <c r="LY20" s="338">
        <f t="shared" si="662"/>
        <v>2.1752594257942582E-4</v>
      </c>
      <c r="LZ20" s="338">
        <f t="shared" si="663"/>
        <v>2.1752594257942582E-4</v>
      </c>
      <c r="MA20" s="338">
        <f t="shared" si="664"/>
        <v>0</v>
      </c>
      <c r="MB20" s="338">
        <f t="shared" si="665"/>
        <v>0</v>
      </c>
      <c r="MC20" s="338">
        <f t="shared" si="666"/>
        <v>4.0604842614826148E-4</v>
      </c>
      <c r="MD20" s="338">
        <f t="shared" si="667"/>
        <v>4.0604842614826148E-4</v>
      </c>
      <c r="ME20" s="338">
        <f t="shared" si="668"/>
        <v>2.1752594257942582E-4</v>
      </c>
      <c r="MF20" s="338">
        <f t="shared" si="669"/>
        <v>2.1752594257942582E-4</v>
      </c>
      <c r="MI20" s="341" t="s">
        <v>333</v>
      </c>
      <c r="MJ20" s="338">
        <f t="shared" si="670"/>
        <v>5.687805659473846E-3</v>
      </c>
      <c r="MK20" s="338">
        <f t="shared" si="671"/>
        <v>5.687805659473846E-3</v>
      </c>
      <c r="ML20" s="338">
        <f t="shared" si="672"/>
        <v>6.6575100018103784E-3</v>
      </c>
      <c r="MM20" s="338">
        <f t="shared" si="673"/>
        <v>6.6575100018103784E-3</v>
      </c>
      <c r="MN20" s="338">
        <f t="shared" si="674"/>
        <v>6.4889654448025205E-3</v>
      </c>
      <c r="MO20" s="338">
        <f t="shared" si="675"/>
        <v>6.4889654448025205E-3</v>
      </c>
      <c r="MP20" s="338">
        <f t="shared" si="676"/>
        <v>6.1667787676400647E-3</v>
      </c>
      <c r="MQ20" s="338">
        <f t="shared" si="677"/>
        <v>6.1667787676400647E-3</v>
      </c>
      <c r="MR20" s="338">
        <f t="shared" si="678"/>
        <v>5.5794665040552966E-3</v>
      </c>
      <c r="MS20" s="338">
        <f t="shared" si="679"/>
        <v>5.5794665040552966E-3</v>
      </c>
      <c r="MT20" s="338">
        <f t="shared" si="680"/>
        <v>0</v>
      </c>
      <c r="MU20" s="338">
        <f t="shared" si="681"/>
        <v>0</v>
      </c>
      <c r="MV20" s="338">
        <f t="shared" si="682"/>
        <v>1.0415004140903218E-2</v>
      </c>
      <c r="MW20" s="338">
        <f t="shared" si="683"/>
        <v>1.0415004140903218E-2</v>
      </c>
      <c r="MX20" s="338">
        <f t="shared" si="684"/>
        <v>5.5794665040552966E-3</v>
      </c>
      <c r="MY20" s="338">
        <f t="shared" si="685"/>
        <v>5.5794665040552966E-3</v>
      </c>
      <c r="NB20" s="341" t="s">
        <v>333</v>
      </c>
      <c r="NC20" s="338">
        <f t="shared" si="686"/>
        <v>5.500681678178976E-3</v>
      </c>
      <c r="ND20" s="338">
        <f t="shared" si="687"/>
        <v>5.500681678178976E-3</v>
      </c>
      <c r="NE20" s="338">
        <f t="shared" si="688"/>
        <v>6.4384835702419657E-3</v>
      </c>
      <c r="NF20" s="338">
        <f t="shared" si="689"/>
        <v>6.4384835702419657E-3</v>
      </c>
      <c r="NG20" s="338">
        <f t="shared" si="690"/>
        <v>6.2754839861852065E-3</v>
      </c>
      <c r="NH20" s="338">
        <f t="shared" si="691"/>
        <v>6.2754839861852065E-3</v>
      </c>
      <c r="NI20" s="338">
        <f t="shared" si="692"/>
        <v>5.9638969773940474E-3</v>
      </c>
      <c r="NJ20" s="338">
        <f t="shared" si="693"/>
        <v>5.9638969773940474E-3</v>
      </c>
      <c r="NK20" s="338">
        <f t="shared" si="694"/>
        <v>5.395906789070805E-3</v>
      </c>
      <c r="NL20" s="338">
        <f t="shared" si="695"/>
        <v>5.395906789070805E-3</v>
      </c>
      <c r="NM20" s="338">
        <f t="shared" si="696"/>
        <v>0</v>
      </c>
      <c r="NN20" s="338">
        <f t="shared" si="697"/>
        <v>0</v>
      </c>
      <c r="NO20" s="338">
        <f t="shared" si="698"/>
        <v>1.0072359339598835E-2</v>
      </c>
      <c r="NP20" s="338">
        <f t="shared" si="699"/>
        <v>1.0072359339598835E-2</v>
      </c>
      <c r="NQ20" s="338">
        <f t="shared" si="700"/>
        <v>5.395906789070805E-3</v>
      </c>
      <c r="NR20" s="338">
        <f t="shared" si="701"/>
        <v>5.395906789070805E-3</v>
      </c>
    </row>
    <row r="21" spans="2:382" ht="14.25" customHeight="1" x14ac:dyDescent="0.25">
      <c r="B21" s="734"/>
      <c r="C21" s="148" t="s">
        <v>374</v>
      </c>
      <c r="D21" s="193"/>
      <c r="E21" s="194"/>
      <c r="F21" s="143">
        <f>'CAM Characteristics'!D102/1000</f>
        <v>0.41107742520875834</v>
      </c>
      <c r="G21" s="127">
        <f>'CAM Characteristics'!D102/1000</f>
        <v>0.41107742520875834</v>
      </c>
      <c r="H21" s="143">
        <f>'CAM Characteristics'!E102/1000</f>
        <v>0.39911805784323517</v>
      </c>
      <c r="I21" s="127">
        <f>'CAM Characteristics'!E102/1000</f>
        <v>0.39911805784323517</v>
      </c>
      <c r="J21" s="193"/>
      <c r="K21" s="194"/>
      <c r="L21" s="193"/>
      <c r="M21" s="194"/>
      <c r="N21" s="143"/>
      <c r="O21" s="127"/>
      <c r="P21" s="143">
        <f>'CAM Characteristics'!I102/1000</f>
        <v>0.4860159693492983</v>
      </c>
      <c r="Q21" s="143">
        <f>'CAM Characteristics'!I102/1000</f>
        <v>0.4860159693492983</v>
      </c>
      <c r="R21" s="193"/>
      <c r="S21" s="194"/>
      <c r="T21" s="318"/>
      <c r="U21" s="119"/>
      <c r="V21" s="148" t="s">
        <v>374</v>
      </c>
      <c r="W21" s="96"/>
      <c r="X21" s="96">
        <v>1</v>
      </c>
      <c r="Y21" s="96"/>
      <c r="Z21" s="96"/>
      <c r="AA21" s="96"/>
      <c r="AB21" s="96"/>
      <c r="AC21" s="96"/>
      <c r="AD21" s="96"/>
      <c r="AE21" s="96"/>
      <c r="AF21" s="96"/>
      <c r="AG21" s="327"/>
      <c r="AH21" s="327"/>
      <c r="AI21" s="327"/>
      <c r="AJ21" s="327"/>
      <c r="AK21" s="327"/>
      <c r="AL21" s="327"/>
      <c r="AM21" s="327"/>
      <c r="AN21" s="327"/>
      <c r="AO21" s="119"/>
      <c r="AP21" s="8"/>
      <c r="AQ21" s="148" t="s">
        <v>374</v>
      </c>
      <c r="AR21" s="49"/>
      <c r="AS21" s="50"/>
      <c r="AT21" s="49"/>
      <c r="AU21" s="50"/>
      <c r="AV21" s="49"/>
      <c r="AW21" s="50"/>
      <c r="AX21" s="49"/>
      <c r="AY21" s="50"/>
      <c r="AZ21" s="49"/>
      <c r="BA21" s="50"/>
      <c r="BB21" s="49"/>
      <c r="BC21" s="50"/>
      <c r="BD21" s="49"/>
      <c r="BE21" s="50"/>
      <c r="BF21" s="49"/>
      <c r="BG21" s="50"/>
      <c r="BI21" s="156"/>
      <c r="BJ21" s="148" t="s">
        <v>374</v>
      </c>
      <c r="BK21" s="49">
        <f t="shared" si="256"/>
        <v>0</v>
      </c>
      <c r="BL21" s="49">
        <f t="shared" si="256"/>
        <v>0</v>
      </c>
      <c r="BM21" s="49">
        <f t="shared" si="256"/>
        <v>0.41107742520875834</v>
      </c>
      <c r="BN21" s="49">
        <f t="shared" si="256"/>
        <v>0.41107742520875834</v>
      </c>
      <c r="BO21" s="49">
        <f t="shared" si="256"/>
        <v>0.39911805784323517</v>
      </c>
      <c r="BP21" s="49">
        <f t="shared" si="256"/>
        <v>0.39911805784323517</v>
      </c>
      <c r="BQ21" s="49">
        <f t="shared" si="256"/>
        <v>0</v>
      </c>
      <c r="BR21" s="49">
        <f t="shared" si="256"/>
        <v>0</v>
      </c>
      <c r="BS21" s="49">
        <f t="shared" si="256"/>
        <v>0</v>
      </c>
      <c r="BT21" s="49">
        <f t="shared" si="256"/>
        <v>0</v>
      </c>
      <c r="BU21" s="49">
        <f t="shared" si="256"/>
        <v>0</v>
      </c>
      <c r="BV21" s="49">
        <f t="shared" si="256"/>
        <v>0</v>
      </c>
      <c r="BW21" s="49">
        <f t="shared" si="256"/>
        <v>0.4860159693492983</v>
      </c>
      <c r="BX21" s="49">
        <f t="shared" si="256"/>
        <v>0.4860159693492983</v>
      </c>
      <c r="BY21" s="49">
        <f t="shared" si="256"/>
        <v>0</v>
      </c>
      <c r="BZ21" s="49">
        <f t="shared" si="256"/>
        <v>0</v>
      </c>
      <c r="CA21" s="156"/>
      <c r="CB21" s="156"/>
      <c r="CC21" s="148" t="s">
        <v>374</v>
      </c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220"/>
      <c r="CP21" s="49"/>
      <c r="CQ21" s="49"/>
      <c r="CR21" s="49"/>
      <c r="CS21" s="220"/>
      <c r="CV21" s="148" t="s">
        <v>374</v>
      </c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O21" s="148" t="s">
        <v>374</v>
      </c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H21" s="148" t="s">
        <v>374</v>
      </c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FA21" s="148" t="s">
        <v>374</v>
      </c>
      <c r="FB21" s="53">
        <f t="shared" si="554"/>
        <v>0</v>
      </c>
      <c r="FC21" s="53">
        <f t="shared" si="554"/>
        <v>0</v>
      </c>
      <c r="FD21" s="53">
        <f t="shared" si="554"/>
        <v>0</v>
      </c>
      <c r="FE21" s="53">
        <f t="shared" si="554"/>
        <v>0</v>
      </c>
      <c r="FF21" s="53">
        <f t="shared" si="554"/>
        <v>0</v>
      </c>
      <c r="FG21" s="53">
        <f t="shared" si="554"/>
        <v>0</v>
      </c>
      <c r="FH21" s="53">
        <f t="shared" si="554"/>
        <v>0</v>
      </c>
      <c r="FI21" s="53">
        <f t="shared" si="554"/>
        <v>0</v>
      </c>
      <c r="FJ21" s="53">
        <f t="shared" si="554"/>
        <v>0</v>
      </c>
      <c r="FK21" s="53">
        <f t="shared" si="554"/>
        <v>0</v>
      </c>
      <c r="FL21" s="53">
        <f t="shared" si="554"/>
        <v>0</v>
      </c>
      <c r="FM21" s="53">
        <f t="shared" si="554"/>
        <v>0</v>
      </c>
      <c r="FN21" s="53">
        <f t="shared" si="555"/>
        <v>0</v>
      </c>
      <c r="FO21" s="53">
        <f t="shared" si="556"/>
        <v>0</v>
      </c>
      <c r="FP21" s="53">
        <f t="shared" si="557"/>
        <v>0</v>
      </c>
      <c r="FQ21" s="53">
        <f t="shared" si="558"/>
        <v>0</v>
      </c>
      <c r="FT21" s="148" t="s">
        <v>374</v>
      </c>
      <c r="FU21" s="49">
        <f t="shared" si="559"/>
        <v>0</v>
      </c>
      <c r="FV21" s="49">
        <f t="shared" si="559"/>
        <v>0</v>
      </c>
      <c r="FW21" s="49">
        <f t="shared" si="559"/>
        <v>0</v>
      </c>
      <c r="FX21" s="49">
        <f t="shared" si="559"/>
        <v>0</v>
      </c>
      <c r="FY21" s="49">
        <f t="shared" si="559"/>
        <v>0</v>
      </c>
      <c r="FZ21" s="49">
        <f t="shared" si="559"/>
        <v>0</v>
      </c>
      <c r="GA21" s="49">
        <f t="shared" si="559"/>
        <v>0</v>
      </c>
      <c r="GB21" s="49">
        <f t="shared" si="559"/>
        <v>0</v>
      </c>
      <c r="GC21" s="49">
        <f t="shared" si="559"/>
        <v>0</v>
      </c>
      <c r="GD21" s="49">
        <f t="shared" si="559"/>
        <v>0</v>
      </c>
      <c r="GE21" s="49">
        <f t="shared" si="559"/>
        <v>0</v>
      </c>
      <c r="GF21" s="49">
        <f t="shared" si="559"/>
        <v>0</v>
      </c>
      <c r="GG21" s="49">
        <f t="shared" si="560"/>
        <v>0</v>
      </c>
      <c r="GH21" s="49">
        <f t="shared" si="561"/>
        <v>0</v>
      </c>
      <c r="GI21" s="49">
        <f t="shared" si="562"/>
        <v>0</v>
      </c>
      <c r="GJ21" s="49">
        <f t="shared" si="563"/>
        <v>0</v>
      </c>
      <c r="GM21" s="148" t="s">
        <v>374</v>
      </c>
      <c r="GN21" s="49">
        <f t="shared" si="564"/>
        <v>0</v>
      </c>
      <c r="GO21" s="49">
        <f t="shared" si="564"/>
        <v>0</v>
      </c>
      <c r="GP21" s="49">
        <f t="shared" si="564"/>
        <v>0</v>
      </c>
      <c r="GQ21" s="49">
        <f t="shared" si="564"/>
        <v>0</v>
      </c>
      <c r="GR21" s="49">
        <f t="shared" si="564"/>
        <v>0</v>
      </c>
      <c r="GS21" s="49">
        <f t="shared" si="564"/>
        <v>0</v>
      </c>
      <c r="GT21" s="49">
        <f t="shared" si="564"/>
        <v>0</v>
      </c>
      <c r="GU21" s="49">
        <f t="shared" si="564"/>
        <v>0</v>
      </c>
      <c r="GV21" s="49">
        <f t="shared" si="564"/>
        <v>0</v>
      </c>
      <c r="GW21" s="49">
        <f t="shared" si="564"/>
        <v>0</v>
      </c>
      <c r="GX21" s="49">
        <f t="shared" si="564"/>
        <v>0</v>
      </c>
      <c r="GY21" s="49">
        <f t="shared" si="564"/>
        <v>0</v>
      </c>
      <c r="GZ21" s="49">
        <f t="shared" si="565"/>
        <v>0</v>
      </c>
      <c r="HA21" s="49">
        <f t="shared" si="566"/>
        <v>0</v>
      </c>
      <c r="HB21" s="49">
        <f t="shared" si="567"/>
        <v>0</v>
      </c>
      <c r="HC21" s="49">
        <f t="shared" si="568"/>
        <v>0</v>
      </c>
      <c r="HF21" s="148" t="s">
        <v>374</v>
      </c>
      <c r="HG21" s="49">
        <f t="shared" si="569"/>
        <v>0</v>
      </c>
      <c r="HH21" s="49">
        <f t="shared" si="569"/>
        <v>0</v>
      </c>
      <c r="HI21" s="49">
        <f t="shared" si="569"/>
        <v>0</v>
      </c>
      <c r="HJ21" s="49">
        <f t="shared" si="569"/>
        <v>0</v>
      </c>
      <c r="HK21" s="49">
        <f t="shared" si="569"/>
        <v>0</v>
      </c>
      <c r="HL21" s="49">
        <f t="shared" si="569"/>
        <v>0</v>
      </c>
      <c r="HM21" s="49">
        <f t="shared" si="569"/>
        <v>0</v>
      </c>
      <c r="HN21" s="49">
        <f t="shared" si="569"/>
        <v>0</v>
      </c>
      <c r="HO21" s="49">
        <f t="shared" si="569"/>
        <v>0</v>
      </c>
      <c r="HP21" s="49">
        <f t="shared" si="569"/>
        <v>0</v>
      </c>
      <c r="HQ21" s="49">
        <f t="shared" si="569"/>
        <v>0</v>
      </c>
      <c r="HR21" s="49">
        <f t="shared" si="569"/>
        <v>0</v>
      </c>
      <c r="HS21" s="49">
        <f t="shared" si="570"/>
        <v>0</v>
      </c>
      <c r="HT21" s="49">
        <f t="shared" si="571"/>
        <v>0</v>
      </c>
      <c r="HU21" s="49">
        <f t="shared" si="572"/>
        <v>0</v>
      </c>
      <c r="HV21" s="49">
        <f t="shared" si="573"/>
        <v>0</v>
      </c>
      <c r="HY21" s="341" t="s">
        <v>537</v>
      </c>
      <c r="HZ21" s="338">
        <f t="shared" si="574"/>
        <v>0</v>
      </c>
      <c r="IA21" s="338">
        <f t="shared" si="575"/>
        <v>0</v>
      </c>
      <c r="IB21" s="338">
        <f t="shared" si="576"/>
        <v>0</v>
      </c>
      <c r="IC21" s="338">
        <f t="shared" si="577"/>
        <v>0</v>
      </c>
      <c r="ID21" s="338">
        <f t="shared" si="578"/>
        <v>0</v>
      </c>
      <c r="IE21" s="338">
        <f t="shared" si="579"/>
        <v>0</v>
      </c>
      <c r="IF21" s="338">
        <f t="shared" si="580"/>
        <v>0</v>
      </c>
      <c r="IG21" s="338">
        <f t="shared" si="581"/>
        <v>0</v>
      </c>
      <c r="IH21" s="338">
        <f t="shared" si="582"/>
        <v>0</v>
      </c>
      <c r="II21" s="338">
        <f t="shared" si="583"/>
        <v>0</v>
      </c>
      <c r="IJ21" s="338">
        <f t="shared" si="584"/>
        <v>0</v>
      </c>
      <c r="IK21" s="338">
        <f t="shared" si="585"/>
        <v>0</v>
      </c>
      <c r="IL21" s="338">
        <f t="shared" si="586"/>
        <v>0</v>
      </c>
      <c r="IM21" s="338">
        <f t="shared" si="587"/>
        <v>0</v>
      </c>
      <c r="IN21" s="338">
        <f t="shared" si="588"/>
        <v>0</v>
      </c>
      <c r="IO21" s="338">
        <f t="shared" si="589"/>
        <v>0</v>
      </c>
      <c r="IR21" s="341" t="s">
        <v>537</v>
      </c>
      <c r="IS21" s="338">
        <f t="shared" si="590"/>
        <v>0</v>
      </c>
      <c r="IT21" s="338">
        <f t="shared" si="591"/>
        <v>0</v>
      </c>
      <c r="IU21" s="338">
        <f t="shared" si="592"/>
        <v>0</v>
      </c>
      <c r="IV21" s="338">
        <f t="shared" si="593"/>
        <v>0</v>
      </c>
      <c r="IW21" s="338">
        <f t="shared" si="594"/>
        <v>0</v>
      </c>
      <c r="IX21" s="338">
        <f t="shared" si="595"/>
        <v>0</v>
      </c>
      <c r="IY21" s="338">
        <f t="shared" si="596"/>
        <v>0</v>
      </c>
      <c r="IZ21" s="338">
        <f t="shared" si="597"/>
        <v>0</v>
      </c>
      <c r="JA21" s="338">
        <f t="shared" si="598"/>
        <v>0</v>
      </c>
      <c r="JB21" s="338">
        <f t="shared" si="599"/>
        <v>0</v>
      </c>
      <c r="JC21" s="338">
        <f t="shared" si="600"/>
        <v>0</v>
      </c>
      <c r="JD21" s="338">
        <f t="shared" si="601"/>
        <v>0</v>
      </c>
      <c r="JE21" s="338">
        <f t="shared" si="602"/>
        <v>0</v>
      </c>
      <c r="JF21" s="338">
        <f t="shared" si="603"/>
        <v>0</v>
      </c>
      <c r="JG21" s="338">
        <f t="shared" si="604"/>
        <v>0</v>
      </c>
      <c r="JH21" s="338">
        <f t="shared" si="605"/>
        <v>0</v>
      </c>
      <c r="JK21" s="341" t="s">
        <v>537</v>
      </c>
      <c r="JL21" s="338">
        <f t="shared" si="606"/>
        <v>0</v>
      </c>
      <c r="JM21" s="338">
        <f t="shared" si="607"/>
        <v>0</v>
      </c>
      <c r="JN21" s="338">
        <f t="shared" si="608"/>
        <v>0</v>
      </c>
      <c r="JO21" s="338">
        <f t="shared" si="609"/>
        <v>0</v>
      </c>
      <c r="JP21" s="338">
        <f t="shared" si="610"/>
        <v>0</v>
      </c>
      <c r="JQ21" s="338">
        <f t="shared" si="611"/>
        <v>0</v>
      </c>
      <c r="JR21" s="338">
        <f t="shared" si="612"/>
        <v>0</v>
      </c>
      <c r="JS21" s="338">
        <f t="shared" si="613"/>
        <v>0</v>
      </c>
      <c r="JT21" s="338">
        <f t="shared" si="614"/>
        <v>0</v>
      </c>
      <c r="JU21" s="338">
        <f t="shared" si="615"/>
        <v>0</v>
      </c>
      <c r="JV21" s="338">
        <f t="shared" si="616"/>
        <v>0</v>
      </c>
      <c r="JW21" s="338">
        <f t="shared" si="617"/>
        <v>0</v>
      </c>
      <c r="JX21" s="338">
        <f t="shared" si="618"/>
        <v>0</v>
      </c>
      <c r="JY21" s="338">
        <f t="shared" si="619"/>
        <v>0</v>
      </c>
      <c r="JZ21" s="338">
        <f t="shared" si="620"/>
        <v>0</v>
      </c>
      <c r="KA21" s="338">
        <f t="shared" si="621"/>
        <v>0</v>
      </c>
      <c r="KD21" s="341" t="s">
        <v>537</v>
      </c>
      <c r="KE21" s="338">
        <f t="shared" si="622"/>
        <v>0</v>
      </c>
      <c r="KF21" s="338">
        <f t="shared" si="623"/>
        <v>0</v>
      </c>
      <c r="KG21" s="338">
        <f t="shared" si="624"/>
        <v>0</v>
      </c>
      <c r="KH21" s="338">
        <f t="shared" si="625"/>
        <v>0</v>
      </c>
      <c r="KI21" s="338">
        <f t="shared" si="626"/>
        <v>0</v>
      </c>
      <c r="KJ21" s="338">
        <f t="shared" si="627"/>
        <v>0</v>
      </c>
      <c r="KK21" s="338">
        <f t="shared" si="628"/>
        <v>0</v>
      </c>
      <c r="KL21" s="338">
        <f t="shared" si="629"/>
        <v>0</v>
      </c>
      <c r="KM21" s="338">
        <f t="shared" si="630"/>
        <v>0</v>
      </c>
      <c r="KN21" s="338">
        <f t="shared" si="631"/>
        <v>0</v>
      </c>
      <c r="KO21" s="338">
        <f t="shared" si="632"/>
        <v>0</v>
      </c>
      <c r="KP21" s="338">
        <f t="shared" si="633"/>
        <v>0</v>
      </c>
      <c r="KQ21" s="338">
        <f t="shared" si="634"/>
        <v>0</v>
      </c>
      <c r="KR21" s="338">
        <f t="shared" si="635"/>
        <v>0</v>
      </c>
      <c r="KS21" s="338">
        <f t="shared" si="636"/>
        <v>0</v>
      </c>
      <c r="KT21" s="338">
        <f t="shared" si="637"/>
        <v>0</v>
      </c>
      <c r="KW21" s="341" t="s">
        <v>537</v>
      </c>
      <c r="KX21" s="338">
        <f t="shared" si="638"/>
        <v>0</v>
      </c>
      <c r="KY21" s="338">
        <f t="shared" si="639"/>
        <v>0</v>
      </c>
      <c r="KZ21" s="338">
        <f t="shared" si="640"/>
        <v>0</v>
      </c>
      <c r="LA21" s="338">
        <f t="shared" si="641"/>
        <v>0</v>
      </c>
      <c r="LB21" s="338">
        <f t="shared" si="642"/>
        <v>0</v>
      </c>
      <c r="LC21" s="338">
        <f t="shared" si="643"/>
        <v>0</v>
      </c>
      <c r="LD21" s="338">
        <f t="shared" si="644"/>
        <v>0</v>
      </c>
      <c r="LE21" s="338">
        <f t="shared" si="645"/>
        <v>0</v>
      </c>
      <c r="LF21" s="338">
        <f t="shared" si="646"/>
        <v>0</v>
      </c>
      <c r="LG21" s="338">
        <f t="shared" si="647"/>
        <v>0</v>
      </c>
      <c r="LH21" s="338">
        <f t="shared" si="648"/>
        <v>0</v>
      </c>
      <c r="LI21" s="338">
        <f t="shared" si="649"/>
        <v>0</v>
      </c>
      <c r="LJ21" s="338">
        <f t="shared" si="650"/>
        <v>0</v>
      </c>
      <c r="LK21" s="338">
        <f t="shared" si="651"/>
        <v>0</v>
      </c>
      <c r="LL21" s="338">
        <f t="shared" si="652"/>
        <v>0</v>
      </c>
      <c r="LM21" s="338">
        <f t="shared" si="653"/>
        <v>0</v>
      </c>
      <c r="LP21" s="341" t="s">
        <v>537</v>
      </c>
      <c r="LQ21" s="338">
        <f t="shared" si="654"/>
        <v>0</v>
      </c>
      <c r="LR21" s="338">
        <f t="shared" si="655"/>
        <v>0</v>
      </c>
      <c r="LS21" s="338">
        <f t="shared" si="656"/>
        <v>0</v>
      </c>
      <c r="LT21" s="338">
        <f t="shared" si="657"/>
        <v>0</v>
      </c>
      <c r="LU21" s="338">
        <f t="shared" si="658"/>
        <v>0</v>
      </c>
      <c r="LV21" s="338">
        <f t="shared" si="659"/>
        <v>0</v>
      </c>
      <c r="LW21" s="338">
        <f t="shared" si="660"/>
        <v>0</v>
      </c>
      <c r="LX21" s="338">
        <f t="shared" si="661"/>
        <v>0</v>
      </c>
      <c r="LY21" s="338">
        <f t="shared" si="662"/>
        <v>0</v>
      </c>
      <c r="LZ21" s="338">
        <f t="shared" si="663"/>
        <v>0</v>
      </c>
      <c r="MA21" s="338">
        <f t="shared" si="664"/>
        <v>0</v>
      </c>
      <c r="MB21" s="338">
        <f t="shared" si="665"/>
        <v>0</v>
      </c>
      <c r="MC21" s="338">
        <f t="shared" si="666"/>
        <v>0</v>
      </c>
      <c r="MD21" s="338">
        <f t="shared" si="667"/>
        <v>0</v>
      </c>
      <c r="ME21" s="338">
        <f t="shared" si="668"/>
        <v>0</v>
      </c>
      <c r="MF21" s="338">
        <f t="shared" si="669"/>
        <v>0</v>
      </c>
      <c r="MI21" s="341" t="s">
        <v>537</v>
      </c>
      <c r="MJ21" s="338">
        <f t="shared" si="670"/>
        <v>0</v>
      </c>
      <c r="MK21" s="338">
        <f t="shared" si="671"/>
        <v>0</v>
      </c>
      <c r="ML21" s="338">
        <f t="shared" si="672"/>
        <v>0</v>
      </c>
      <c r="MM21" s="338">
        <f t="shared" si="673"/>
        <v>0</v>
      </c>
      <c r="MN21" s="338">
        <f t="shared" si="674"/>
        <v>0</v>
      </c>
      <c r="MO21" s="338">
        <f t="shared" si="675"/>
        <v>0</v>
      </c>
      <c r="MP21" s="338">
        <f t="shared" si="676"/>
        <v>0</v>
      </c>
      <c r="MQ21" s="338">
        <f t="shared" si="677"/>
        <v>0</v>
      </c>
      <c r="MR21" s="338">
        <f t="shared" si="678"/>
        <v>0</v>
      </c>
      <c r="MS21" s="338">
        <f t="shared" si="679"/>
        <v>0</v>
      </c>
      <c r="MT21" s="338">
        <f t="shared" si="680"/>
        <v>0</v>
      </c>
      <c r="MU21" s="338">
        <f t="shared" si="681"/>
        <v>0</v>
      </c>
      <c r="MV21" s="338">
        <f t="shared" si="682"/>
        <v>0</v>
      </c>
      <c r="MW21" s="338">
        <f t="shared" si="683"/>
        <v>0</v>
      </c>
      <c r="MX21" s="338">
        <f t="shared" si="684"/>
        <v>0</v>
      </c>
      <c r="MY21" s="338">
        <f t="shared" si="685"/>
        <v>0</v>
      </c>
      <c r="NB21" s="341" t="s">
        <v>537</v>
      </c>
      <c r="NC21" s="338">
        <f t="shared" si="686"/>
        <v>0</v>
      </c>
      <c r="ND21" s="338">
        <f t="shared" si="687"/>
        <v>0</v>
      </c>
      <c r="NE21" s="338">
        <f t="shared" si="688"/>
        <v>0</v>
      </c>
      <c r="NF21" s="338">
        <f t="shared" si="689"/>
        <v>0</v>
      </c>
      <c r="NG21" s="338">
        <f t="shared" si="690"/>
        <v>0</v>
      </c>
      <c r="NH21" s="338">
        <f t="shared" si="691"/>
        <v>0</v>
      </c>
      <c r="NI21" s="338">
        <f t="shared" si="692"/>
        <v>0</v>
      </c>
      <c r="NJ21" s="338">
        <f t="shared" si="693"/>
        <v>0</v>
      </c>
      <c r="NK21" s="338">
        <f t="shared" si="694"/>
        <v>0</v>
      </c>
      <c r="NL21" s="338">
        <f t="shared" si="695"/>
        <v>0</v>
      </c>
      <c r="NM21" s="338">
        <f t="shared" si="696"/>
        <v>0</v>
      </c>
      <c r="NN21" s="338">
        <f t="shared" si="697"/>
        <v>0</v>
      </c>
      <c r="NO21" s="338">
        <f t="shared" si="698"/>
        <v>0</v>
      </c>
      <c r="NP21" s="338">
        <f t="shared" si="699"/>
        <v>0</v>
      </c>
      <c r="NQ21" s="338">
        <f t="shared" si="700"/>
        <v>0</v>
      </c>
      <c r="NR21" s="338">
        <f t="shared" si="701"/>
        <v>0</v>
      </c>
    </row>
    <row r="22" spans="2:382" ht="14.25" customHeight="1" x14ac:dyDescent="0.25">
      <c r="B22" s="734"/>
      <c r="C22" s="148" t="s">
        <v>375</v>
      </c>
      <c r="D22" s="143">
        <f>'CAM Characteristics'!C95/1000</f>
        <v>0.38059663347885936</v>
      </c>
      <c r="E22" s="127">
        <f>'CAM Characteristics'!C95/1000</f>
        <v>0.38059663347885936</v>
      </c>
      <c r="F22" s="143">
        <f>'CAM Characteristics'!D105/1000</f>
        <v>0.33654751596881466</v>
      </c>
      <c r="G22" s="127">
        <f>'CAM Characteristics'!D105/1000</f>
        <v>0.33654751596881466</v>
      </c>
      <c r="H22" s="143">
        <f>'CAM Characteristics'!E105/1000</f>
        <v>0.32675642764188606</v>
      </c>
      <c r="I22" s="127">
        <f>'CAM Characteristics'!E105/1000</f>
        <v>0.32675642764188606</v>
      </c>
      <c r="J22" s="143">
        <f>'CAM Characteristics'!F95/1000</f>
        <v>0.40611268937892436</v>
      </c>
      <c r="K22" s="127">
        <f>'CAM Characteristics'!F95/1000</f>
        <v>0.40611268937892436</v>
      </c>
      <c r="L22" s="143">
        <f>'CAM Characteristics'!G95/1000</f>
        <v>0.36677255699074507</v>
      </c>
      <c r="M22" s="127">
        <f>'CAM Characteristics'!G95/1000</f>
        <v>0.36677255699074507</v>
      </c>
      <c r="N22" s="143"/>
      <c r="O22" s="127"/>
      <c r="P22" s="143">
        <f>'CAM Characteristics'!I105/1000</f>
        <v>0.39789941547536228</v>
      </c>
      <c r="Q22" s="143">
        <f>'CAM Characteristics'!I105/1000</f>
        <v>0.39789941547536228</v>
      </c>
      <c r="R22" s="143">
        <f>'CAM Characteristics'!J95/1000</f>
        <v>0.36677255699074507</v>
      </c>
      <c r="S22" s="127">
        <f>'CAM Characteristics'!J95/1000</f>
        <v>0.36677255699074507</v>
      </c>
      <c r="T22" s="318"/>
      <c r="U22" s="119"/>
      <c r="V22" s="148" t="s">
        <v>375</v>
      </c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327"/>
      <c r="AH22" s="327"/>
      <c r="AI22" s="327"/>
      <c r="AJ22" s="327"/>
      <c r="AK22" s="327"/>
      <c r="AL22" s="327"/>
      <c r="AM22" s="327"/>
      <c r="AN22" s="327"/>
      <c r="AO22" s="119"/>
      <c r="AP22" s="8"/>
      <c r="AQ22" s="148" t="s">
        <v>375</v>
      </c>
      <c r="AR22" s="49"/>
      <c r="AS22" s="50"/>
      <c r="AT22" s="49"/>
      <c r="AU22" s="50"/>
      <c r="AV22" s="49"/>
      <c r="AW22" s="50"/>
      <c r="AX22" s="49"/>
      <c r="AY22" s="50"/>
      <c r="AZ22" s="49"/>
      <c r="BA22" s="50"/>
      <c r="BB22" s="49"/>
      <c r="BC22" s="50"/>
      <c r="BD22" s="49"/>
      <c r="BE22" s="50"/>
      <c r="BF22" s="49"/>
      <c r="BG22" s="50"/>
      <c r="BI22" s="156"/>
      <c r="BJ22" s="148" t="s">
        <v>375</v>
      </c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56"/>
      <c r="CB22" s="156"/>
      <c r="CC22" s="148" t="s">
        <v>375</v>
      </c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220"/>
      <c r="CP22" s="49"/>
      <c r="CQ22" s="49"/>
      <c r="CR22" s="49"/>
      <c r="CS22" s="220"/>
      <c r="CV22" s="148" t="s">
        <v>375</v>
      </c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O22" s="148" t="s">
        <v>375</v>
      </c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H22" s="148" t="s">
        <v>375</v>
      </c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FA22" s="148" t="s">
        <v>375</v>
      </c>
      <c r="FB22" s="53">
        <f t="shared" ref="FB22" si="707">D22*$AC22</f>
        <v>0</v>
      </c>
      <c r="FC22" s="53">
        <f t="shared" ref="FC22" si="708">E22*$AC22</f>
        <v>0</v>
      </c>
      <c r="FD22" s="53">
        <f t="shared" ref="FD22" si="709">F22*$AC22</f>
        <v>0</v>
      </c>
      <c r="FE22" s="53">
        <f t="shared" ref="FE22" si="710">G22*$AC22</f>
        <v>0</v>
      </c>
      <c r="FF22" s="53">
        <f t="shared" ref="FF22" si="711">H22*$AC22</f>
        <v>0</v>
      </c>
      <c r="FG22" s="53">
        <f t="shared" ref="FG22" si="712">I22*$AC22</f>
        <v>0</v>
      </c>
      <c r="FH22" s="53">
        <f t="shared" ref="FH22" si="713">J22*$AC22</f>
        <v>0</v>
      </c>
      <c r="FI22" s="53">
        <f t="shared" ref="FI22" si="714">K22*$AC22</f>
        <v>0</v>
      </c>
      <c r="FJ22" s="53">
        <f t="shared" ref="FJ22" si="715">L22*$AC22</f>
        <v>0</v>
      </c>
      <c r="FK22" s="53">
        <f t="shared" ref="FK22" si="716">M22*$AC22</f>
        <v>0</v>
      </c>
      <c r="FL22" s="53">
        <f t="shared" ref="FL22" si="717">N22*$AC22</f>
        <v>0</v>
      </c>
      <c r="FM22" s="53">
        <f t="shared" ref="FM22" si="718">O22*$AC22</f>
        <v>0</v>
      </c>
      <c r="FN22" s="53">
        <f t="shared" ref="FN22" si="719">P22*$AC22</f>
        <v>0</v>
      </c>
      <c r="FO22" s="53">
        <f t="shared" ref="FO22" si="720">Q22*$AC22</f>
        <v>0</v>
      </c>
      <c r="FP22" s="53">
        <f t="shared" ref="FP22" si="721">R22*$AC22</f>
        <v>0</v>
      </c>
      <c r="FQ22" s="53">
        <f t="shared" ref="FQ22" si="722">S22*$AC22</f>
        <v>0</v>
      </c>
      <c r="FT22" s="148" t="s">
        <v>375</v>
      </c>
      <c r="FU22" s="49">
        <f t="shared" ref="FU22" si="723">D22*$AD22</f>
        <v>0</v>
      </c>
      <c r="FV22" s="49">
        <f t="shared" ref="FV22" si="724">E22*$AD22</f>
        <v>0</v>
      </c>
      <c r="FW22" s="49">
        <f t="shared" ref="FW22" si="725">F22*$AD22</f>
        <v>0</v>
      </c>
      <c r="FX22" s="49">
        <f t="shared" ref="FX22" si="726">G22*$AD22</f>
        <v>0</v>
      </c>
      <c r="FY22" s="49">
        <f t="shared" ref="FY22" si="727">H22*$AD22</f>
        <v>0</v>
      </c>
      <c r="FZ22" s="49">
        <f t="shared" ref="FZ22" si="728">I22*$AD22</f>
        <v>0</v>
      </c>
      <c r="GA22" s="49">
        <f t="shared" ref="GA22" si="729">J22*$AD22</f>
        <v>0</v>
      </c>
      <c r="GB22" s="49">
        <f t="shared" ref="GB22" si="730">K22*$AD22</f>
        <v>0</v>
      </c>
      <c r="GC22" s="49">
        <f t="shared" ref="GC22" si="731">L22*$AD22</f>
        <v>0</v>
      </c>
      <c r="GD22" s="49">
        <f t="shared" ref="GD22" si="732">M22*$AD22</f>
        <v>0</v>
      </c>
      <c r="GE22" s="49">
        <f t="shared" ref="GE22" si="733">N22*$AD22</f>
        <v>0</v>
      </c>
      <c r="GF22" s="49">
        <f t="shared" ref="GF22" si="734">O22*$AD22</f>
        <v>0</v>
      </c>
      <c r="GG22" s="49">
        <f t="shared" ref="GG22" si="735">P22*$AD22</f>
        <v>0</v>
      </c>
      <c r="GH22" s="49">
        <f t="shared" ref="GH22" si="736">Q22*$AD22</f>
        <v>0</v>
      </c>
      <c r="GI22" s="49">
        <f t="shared" ref="GI22" si="737">R22*$AD22</f>
        <v>0</v>
      </c>
      <c r="GJ22" s="49">
        <f t="shared" ref="GJ22" si="738">S22*$AD22</f>
        <v>0</v>
      </c>
      <c r="GM22" s="148" t="s">
        <v>375</v>
      </c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F22" s="148" t="s">
        <v>375</v>
      </c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Y22" s="341" t="s">
        <v>538</v>
      </c>
      <c r="HZ22" s="338">
        <f t="shared" si="574"/>
        <v>0</v>
      </c>
      <c r="IA22" s="338">
        <f t="shared" si="575"/>
        <v>0</v>
      </c>
      <c r="IB22" s="338">
        <f t="shared" si="576"/>
        <v>0</v>
      </c>
      <c r="IC22" s="338">
        <f t="shared" si="577"/>
        <v>0</v>
      </c>
      <c r="ID22" s="338">
        <f t="shared" si="578"/>
        <v>0</v>
      </c>
      <c r="IE22" s="338">
        <f t="shared" si="579"/>
        <v>0</v>
      </c>
      <c r="IF22" s="338">
        <f t="shared" si="580"/>
        <v>0</v>
      </c>
      <c r="IG22" s="338">
        <f t="shared" si="581"/>
        <v>0</v>
      </c>
      <c r="IH22" s="338">
        <f t="shared" si="582"/>
        <v>0</v>
      </c>
      <c r="II22" s="338">
        <f t="shared" si="583"/>
        <v>0</v>
      </c>
      <c r="IJ22" s="338">
        <f t="shared" si="584"/>
        <v>0</v>
      </c>
      <c r="IK22" s="338">
        <f t="shared" si="585"/>
        <v>0</v>
      </c>
      <c r="IL22" s="338">
        <f t="shared" si="586"/>
        <v>0</v>
      </c>
      <c r="IM22" s="338">
        <f t="shared" si="587"/>
        <v>0</v>
      </c>
      <c r="IN22" s="338">
        <f t="shared" si="588"/>
        <v>0</v>
      </c>
      <c r="IO22" s="338">
        <f t="shared" si="589"/>
        <v>0</v>
      </c>
      <c r="IR22" s="341" t="s">
        <v>538</v>
      </c>
      <c r="IS22" s="338">
        <f t="shared" si="590"/>
        <v>0</v>
      </c>
      <c r="IT22" s="338">
        <f t="shared" si="591"/>
        <v>0</v>
      </c>
      <c r="IU22" s="338">
        <f t="shared" si="592"/>
        <v>0</v>
      </c>
      <c r="IV22" s="338">
        <f t="shared" si="593"/>
        <v>0</v>
      </c>
      <c r="IW22" s="338">
        <f t="shared" si="594"/>
        <v>0</v>
      </c>
      <c r="IX22" s="338">
        <f t="shared" si="595"/>
        <v>0</v>
      </c>
      <c r="IY22" s="338">
        <f t="shared" si="596"/>
        <v>0</v>
      </c>
      <c r="IZ22" s="338">
        <f t="shared" si="597"/>
        <v>0</v>
      </c>
      <c r="JA22" s="338">
        <f t="shared" si="598"/>
        <v>0</v>
      </c>
      <c r="JB22" s="338">
        <f t="shared" si="599"/>
        <v>0</v>
      </c>
      <c r="JC22" s="338">
        <f t="shared" si="600"/>
        <v>0</v>
      </c>
      <c r="JD22" s="338">
        <f t="shared" si="601"/>
        <v>0</v>
      </c>
      <c r="JE22" s="338">
        <f t="shared" si="602"/>
        <v>0</v>
      </c>
      <c r="JF22" s="338">
        <f t="shared" si="603"/>
        <v>0</v>
      </c>
      <c r="JG22" s="338">
        <f t="shared" si="604"/>
        <v>0</v>
      </c>
      <c r="JH22" s="338">
        <f t="shared" si="605"/>
        <v>0</v>
      </c>
      <c r="JK22" s="341" t="s">
        <v>538</v>
      </c>
      <c r="JL22" s="338">
        <f t="shared" si="606"/>
        <v>0</v>
      </c>
      <c r="JM22" s="338">
        <f t="shared" si="607"/>
        <v>0</v>
      </c>
      <c r="JN22" s="338">
        <f t="shared" si="608"/>
        <v>0</v>
      </c>
      <c r="JO22" s="338">
        <f t="shared" si="609"/>
        <v>0</v>
      </c>
      <c r="JP22" s="338">
        <f t="shared" si="610"/>
        <v>0</v>
      </c>
      <c r="JQ22" s="338">
        <f t="shared" si="611"/>
        <v>0</v>
      </c>
      <c r="JR22" s="338">
        <f t="shared" si="612"/>
        <v>0</v>
      </c>
      <c r="JS22" s="338">
        <f t="shared" si="613"/>
        <v>0</v>
      </c>
      <c r="JT22" s="338">
        <f t="shared" si="614"/>
        <v>0</v>
      </c>
      <c r="JU22" s="338">
        <f t="shared" si="615"/>
        <v>0</v>
      </c>
      <c r="JV22" s="338">
        <f t="shared" si="616"/>
        <v>0</v>
      </c>
      <c r="JW22" s="338">
        <f t="shared" si="617"/>
        <v>0</v>
      </c>
      <c r="JX22" s="338">
        <f t="shared" si="618"/>
        <v>0</v>
      </c>
      <c r="JY22" s="338">
        <f t="shared" si="619"/>
        <v>0</v>
      </c>
      <c r="JZ22" s="338">
        <f t="shared" si="620"/>
        <v>0</v>
      </c>
      <c r="KA22" s="338">
        <f t="shared" si="621"/>
        <v>0</v>
      </c>
      <c r="KD22" s="341" t="s">
        <v>538</v>
      </c>
      <c r="KE22" s="338">
        <f t="shared" si="622"/>
        <v>0</v>
      </c>
      <c r="KF22" s="338">
        <f t="shared" si="623"/>
        <v>0</v>
      </c>
      <c r="KG22" s="338">
        <f t="shared" si="624"/>
        <v>0</v>
      </c>
      <c r="KH22" s="338">
        <f t="shared" si="625"/>
        <v>0</v>
      </c>
      <c r="KI22" s="338">
        <f t="shared" si="626"/>
        <v>0</v>
      </c>
      <c r="KJ22" s="338">
        <f t="shared" si="627"/>
        <v>0</v>
      </c>
      <c r="KK22" s="338">
        <f t="shared" si="628"/>
        <v>0</v>
      </c>
      <c r="KL22" s="338">
        <f t="shared" si="629"/>
        <v>0</v>
      </c>
      <c r="KM22" s="338">
        <f t="shared" si="630"/>
        <v>0</v>
      </c>
      <c r="KN22" s="338">
        <f t="shared" si="631"/>
        <v>0</v>
      </c>
      <c r="KO22" s="338">
        <f t="shared" si="632"/>
        <v>0</v>
      </c>
      <c r="KP22" s="338">
        <f t="shared" si="633"/>
        <v>0</v>
      </c>
      <c r="KQ22" s="338">
        <f t="shared" si="634"/>
        <v>0</v>
      </c>
      <c r="KR22" s="338">
        <f t="shared" si="635"/>
        <v>0</v>
      </c>
      <c r="KS22" s="338">
        <f t="shared" si="636"/>
        <v>0</v>
      </c>
      <c r="KT22" s="338">
        <f t="shared" si="637"/>
        <v>0</v>
      </c>
      <c r="KW22" s="341" t="s">
        <v>538</v>
      </c>
      <c r="KX22" s="338">
        <f t="shared" si="638"/>
        <v>0</v>
      </c>
      <c r="KY22" s="338">
        <f t="shared" si="639"/>
        <v>0</v>
      </c>
      <c r="KZ22" s="338">
        <f t="shared" si="640"/>
        <v>0</v>
      </c>
      <c r="LA22" s="338">
        <f t="shared" si="641"/>
        <v>0</v>
      </c>
      <c r="LB22" s="338">
        <f t="shared" si="642"/>
        <v>0</v>
      </c>
      <c r="LC22" s="338">
        <f t="shared" si="643"/>
        <v>0</v>
      </c>
      <c r="LD22" s="338">
        <f t="shared" si="644"/>
        <v>0</v>
      </c>
      <c r="LE22" s="338">
        <f t="shared" si="645"/>
        <v>0</v>
      </c>
      <c r="LF22" s="338">
        <f t="shared" si="646"/>
        <v>0</v>
      </c>
      <c r="LG22" s="338">
        <f t="shared" si="647"/>
        <v>0</v>
      </c>
      <c r="LH22" s="338">
        <f t="shared" si="648"/>
        <v>0</v>
      </c>
      <c r="LI22" s="338">
        <f t="shared" si="649"/>
        <v>0</v>
      </c>
      <c r="LJ22" s="338">
        <f t="shared" si="650"/>
        <v>0</v>
      </c>
      <c r="LK22" s="338">
        <f t="shared" si="651"/>
        <v>0</v>
      </c>
      <c r="LL22" s="338">
        <f t="shared" si="652"/>
        <v>0</v>
      </c>
      <c r="LM22" s="338">
        <f t="shared" si="653"/>
        <v>0</v>
      </c>
      <c r="LP22" s="341" t="s">
        <v>538</v>
      </c>
      <c r="LQ22" s="338">
        <f t="shared" si="654"/>
        <v>0</v>
      </c>
      <c r="LR22" s="338">
        <f t="shared" si="655"/>
        <v>0</v>
      </c>
      <c r="LS22" s="338">
        <f t="shared" si="656"/>
        <v>0</v>
      </c>
      <c r="LT22" s="338">
        <f t="shared" si="657"/>
        <v>0</v>
      </c>
      <c r="LU22" s="338">
        <f t="shared" si="658"/>
        <v>0</v>
      </c>
      <c r="LV22" s="338">
        <f t="shared" si="659"/>
        <v>0</v>
      </c>
      <c r="LW22" s="338">
        <f t="shared" si="660"/>
        <v>0</v>
      </c>
      <c r="LX22" s="338">
        <f t="shared" si="661"/>
        <v>0</v>
      </c>
      <c r="LY22" s="338">
        <f t="shared" si="662"/>
        <v>0</v>
      </c>
      <c r="LZ22" s="338">
        <f t="shared" si="663"/>
        <v>0</v>
      </c>
      <c r="MA22" s="338">
        <f t="shared" si="664"/>
        <v>0</v>
      </c>
      <c r="MB22" s="338">
        <f t="shared" si="665"/>
        <v>0</v>
      </c>
      <c r="MC22" s="338">
        <f t="shared" si="666"/>
        <v>0</v>
      </c>
      <c r="MD22" s="338">
        <f t="shared" si="667"/>
        <v>0</v>
      </c>
      <c r="ME22" s="338">
        <f t="shared" si="668"/>
        <v>0</v>
      </c>
      <c r="MF22" s="338">
        <f t="shared" si="669"/>
        <v>0</v>
      </c>
      <c r="MI22" s="341" t="s">
        <v>538</v>
      </c>
      <c r="MJ22" s="338">
        <f t="shared" si="670"/>
        <v>0</v>
      </c>
      <c r="MK22" s="338">
        <f t="shared" si="671"/>
        <v>0</v>
      </c>
      <c r="ML22" s="338">
        <f t="shared" si="672"/>
        <v>0</v>
      </c>
      <c r="MM22" s="338">
        <f t="shared" si="673"/>
        <v>0</v>
      </c>
      <c r="MN22" s="338">
        <f t="shared" si="674"/>
        <v>0</v>
      </c>
      <c r="MO22" s="338">
        <f t="shared" si="675"/>
        <v>0</v>
      </c>
      <c r="MP22" s="338">
        <f t="shared" si="676"/>
        <v>0</v>
      </c>
      <c r="MQ22" s="338">
        <f t="shared" si="677"/>
        <v>0</v>
      </c>
      <c r="MR22" s="338">
        <f t="shared" si="678"/>
        <v>0</v>
      </c>
      <c r="MS22" s="338">
        <f t="shared" si="679"/>
        <v>0</v>
      </c>
      <c r="MT22" s="338">
        <f t="shared" si="680"/>
        <v>0</v>
      </c>
      <c r="MU22" s="338">
        <f t="shared" si="681"/>
        <v>0</v>
      </c>
      <c r="MV22" s="338">
        <f t="shared" si="682"/>
        <v>0</v>
      </c>
      <c r="MW22" s="338">
        <f t="shared" si="683"/>
        <v>0</v>
      </c>
      <c r="MX22" s="338">
        <f t="shared" si="684"/>
        <v>0</v>
      </c>
      <c r="MY22" s="338">
        <f t="shared" si="685"/>
        <v>0</v>
      </c>
      <c r="NB22" s="341" t="s">
        <v>538</v>
      </c>
      <c r="NC22" s="338">
        <f t="shared" si="686"/>
        <v>0</v>
      </c>
      <c r="ND22" s="338">
        <f t="shared" si="687"/>
        <v>0</v>
      </c>
      <c r="NE22" s="338">
        <f t="shared" si="688"/>
        <v>0</v>
      </c>
      <c r="NF22" s="338">
        <f t="shared" si="689"/>
        <v>0</v>
      </c>
      <c r="NG22" s="338">
        <f t="shared" si="690"/>
        <v>0</v>
      </c>
      <c r="NH22" s="338">
        <f t="shared" si="691"/>
        <v>0</v>
      </c>
      <c r="NI22" s="338">
        <f t="shared" si="692"/>
        <v>0</v>
      </c>
      <c r="NJ22" s="338">
        <f t="shared" si="693"/>
        <v>0</v>
      </c>
      <c r="NK22" s="338">
        <f t="shared" si="694"/>
        <v>0</v>
      </c>
      <c r="NL22" s="338">
        <f t="shared" si="695"/>
        <v>0</v>
      </c>
      <c r="NM22" s="338">
        <f t="shared" si="696"/>
        <v>0</v>
      </c>
      <c r="NN22" s="338">
        <f t="shared" si="697"/>
        <v>0</v>
      </c>
      <c r="NO22" s="338">
        <f t="shared" si="698"/>
        <v>0</v>
      </c>
      <c r="NP22" s="338">
        <f t="shared" si="699"/>
        <v>0</v>
      </c>
      <c r="NQ22" s="338">
        <f t="shared" si="700"/>
        <v>0</v>
      </c>
      <c r="NR22" s="338">
        <f t="shared" si="701"/>
        <v>0</v>
      </c>
    </row>
    <row r="23" spans="2:382" ht="14.25" customHeight="1" x14ac:dyDescent="0.25">
      <c r="B23" s="734"/>
      <c r="C23" s="148" t="s">
        <v>625</v>
      </c>
      <c r="D23" s="143">
        <f>'CAM Characteristics'!C70/1000</f>
        <v>1.2797707096241862</v>
      </c>
      <c r="E23" s="127">
        <f>'CAM Characteristics'!C70/1000</f>
        <v>1.2797707096241862</v>
      </c>
      <c r="F23" s="143">
        <f>'CAM Characteristics'!D69/1000</f>
        <v>1.7117640175386233</v>
      </c>
      <c r="G23" s="127">
        <f>'CAM Characteristics'!D69/1000</f>
        <v>1.7117640175386233</v>
      </c>
      <c r="H23" s="143">
        <f>'CAM Characteristics'!E69/1000</f>
        <v>1.6687755913717119</v>
      </c>
      <c r="I23" s="127">
        <f>'CAM Characteristics'!E69/1000</f>
        <v>1.6687755913717119</v>
      </c>
      <c r="J23" s="143">
        <f>'CAM Characteristics'!F69/1000</f>
        <v>1.3879870502309777</v>
      </c>
      <c r="K23" s="127">
        <f>'CAM Characteristics'!F69/1000</f>
        <v>1.3879870502309777</v>
      </c>
      <c r="L23" s="143">
        <f>'CAM Characteristics'!G69/1000</f>
        <v>1.2559185696521489</v>
      </c>
      <c r="M23" s="127">
        <f>'CAM Characteristics'!G69/1000</f>
        <v>1.2559185696521489</v>
      </c>
      <c r="N23" s="143"/>
      <c r="O23" s="127"/>
      <c r="P23" s="143">
        <f>'CAM Characteristics'!I71/1000</f>
        <v>2.005885024767379</v>
      </c>
      <c r="Q23" s="143">
        <f>'CAM Characteristics'!I71/1000</f>
        <v>2.005885024767379</v>
      </c>
      <c r="R23" s="143">
        <f>'CAM Characteristics'!J69/1000</f>
        <v>1.2559185696521489</v>
      </c>
      <c r="S23" s="127">
        <f>'CAM Characteristics'!J69/1000</f>
        <v>1.2559185696521489</v>
      </c>
      <c r="T23" s="318"/>
      <c r="U23" s="119"/>
      <c r="V23" s="148" t="s">
        <v>625</v>
      </c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327"/>
      <c r="AH23" s="327"/>
      <c r="AI23" s="327"/>
      <c r="AJ23" s="327"/>
      <c r="AK23" s="327"/>
      <c r="AL23" s="327"/>
      <c r="AM23" s="327"/>
      <c r="AN23" s="327"/>
      <c r="AO23" s="119"/>
      <c r="AP23" s="8"/>
      <c r="AQ23" s="148" t="s">
        <v>625</v>
      </c>
      <c r="AR23" s="49">
        <f>D23*$W23</f>
        <v>0</v>
      </c>
      <c r="AS23" s="50">
        <f t="shared" ref="AR23:BC27" si="739">E23*$W23</f>
        <v>0</v>
      </c>
      <c r="AT23" s="49">
        <f t="shared" si="739"/>
        <v>0</v>
      </c>
      <c r="AU23" s="50">
        <f t="shared" si="739"/>
        <v>0</v>
      </c>
      <c r="AV23" s="49">
        <f t="shared" si="739"/>
        <v>0</v>
      </c>
      <c r="AW23" s="50">
        <f t="shared" si="739"/>
        <v>0</v>
      </c>
      <c r="AX23" s="49">
        <f t="shared" si="739"/>
        <v>0</v>
      </c>
      <c r="AY23" s="50">
        <f t="shared" si="739"/>
        <v>0</v>
      </c>
      <c r="AZ23" s="49">
        <f t="shared" si="739"/>
        <v>0</v>
      </c>
      <c r="BA23" s="50">
        <f t="shared" si="739"/>
        <v>0</v>
      </c>
      <c r="BB23" s="49">
        <f t="shared" si="739"/>
        <v>0</v>
      </c>
      <c r="BC23" s="50">
        <f t="shared" si="739"/>
        <v>0</v>
      </c>
      <c r="BD23" s="49">
        <f t="shared" ref="BD23:BD27" si="740">P23*$W23</f>
        <v>0</v>
      </c>
      <c r="BE23" s="50">
        <f t="shared" ref="BE23:BE27" si="741">Q23*$W23</f>
        <v>0</v>
      </c>
      <c r="BF23" s="49">
        <f t="shared" ref="BF23:BF27" si="742">R23*$W23</f>
        <v>0</v>
      </c>
      <c r="BG23" s="50">
        <f t="shared" ref="BG23:BG27" si="743">S23*$W23</f>
        <v>0</v>
      </c>
      <c r="BI23" s="156"/>
      <c r="BJ23" s="148" t="s">
        <v>625</v>
      </c>
      <c r="BK23" s="49">
        <f t="shared" ref="BK23:BK32" si="744">D23*$X23</f>
        <v>0</v>
      </c>
      <c r="BL23" s="49">
        <f t="shared" ref="BL23:BL32" si="745">E23*$X23</f>
        <v>0</v>
      </c>
      <c r="BM23" s="49">
        <f t="shared" ref="BM23:BM32" si="746">F23*$X23</f>
        <v>0</v>
      </c>
      <c r="BN23" s="49">
        <f t="shared" ref="BN23:BN32" si="747">G23*$X23</f>
        <v>0</v>
      </c>
      <c r="BO23" s="49">
        <f t="shared" ref="BO23:BO32" si="748">H23*$X23</f>
        <v>0</v>
      </c>
      <c r="BP23" s="49">
        <f t="shared" ref="BP23:BP32" si="749">I23*$X23</f>
        <v>0</v>
      </c>
      <c r="BQ23" s="49">
        <f t="shared" ref="BQ23:BQ32" si="750">J23*$X23</f>
        <v>0</v>
      </c>
      <c r="BR23" s="49">
        <f t="shared" ref="BR23:BR32" si="751">K23*$X23</f>
        <v>0</v>
      </c>
      <c r="BS23" s="49">
        <f t="shared" ref="BS23:BS32" si="752">L23*$X23</f>
        <v>0</v>
      </c>
      <c r="BT23" s="49">
        <f t="shared" ref="BT23:BT32" si="753">M23*$X23</f>
        <v>0</v>
      </c>
      <c r="BU23" s="49">
        <f t="shared" ref="BU23:BU32" si="754">N23*$X23</f>
        <v>0</v>
      </c>
      <c r="BV23" s="49">
        <f t="shared" ref="BV23:BV32" si="755">O23*$X23</f>
        <v>0</v>
      </c>
      <c r="BW23" s="49">
        <f t="shared" ref="BW23:BW32" si="756">P23*$X23</f>
        <v>0</v>
      </c>
      <c r="BX23" s="49">
        <f t="shared" ref="BX23:BX32" si="757">Q23*$X23</f>
        <v>0</v>
      </c>
      <c r="BY23" s="49">
        <f t="shared" ref="BY23:BY32" si="758">R23*$X23</f>
        <v>0</v>
      </c>
      <c r="BZ23" s="49">
        <f t="shared" ref="BZ23:BZ32" si="759">S23*$X23</f>
        <v>0</v>
      </c>
      <c r="CA23" s="156"/>
      <c r="CB23" s="156"/>
      <c r="CC23" s="148" t="s">
        <v>625</v>
      </c>
      <c r="CD23" s="49">
        <f t="shared" ref="CD23:CD32" si="760">D23*$Y23</f>
        <v>0</v>
      </c>
      <c r="CE23" s="49">
        <f t="shared" ref="CE23:CE32" si="761">E23*$Y23</f>
        <v>0</v>
      </c>
      <c r="CF23" s="49">
        <f t="shared" ref="CF23:CF32" si="762">F23*$Y23</f>
        <v>0</v>
      </c>
      <c r="CG23" s="49">
        <f t="shared" ref="CG23:CG32" si="763">G23*$Y23</f>
        <v>0</v>
      </c>
      <c r="CH23" s="49">
        <f t="shared" ref="CH23:CH32" si="764">H23*$Y23</f>
        <v>0</v>
      </c>
      <c r="CI23" s="49">
        <f t="shared" ref="CI23:CI32" si="765">I23*$Y23</f>
        <v>0</v>
      </c>
      <c r="CJ23" s="49">
        <f t="shared" ref="CJ23:CJ32" si="766">J23*$Y23</f>
        <v>0</v>
      </c>
      <c r="CK23" s="49">
        <f t="shared" ref="CK23:CK32" si="767">K23*$Y23</f>
        <v>0</v>
      </c>
      <c r="CL23" s="49">
        <f t="shared" ref="CL23:CL32" si="768">L23*$Y23</f>
        <v>0</v>
      </c>
      <c r="CM23" s="49">
        <f t="shared" ref="CM23:CM32" si="769">M23*$Y23</f>
        <v>0</v>
      </c>
      <c r="CN23" s="49">
        <f t="shared" ref="CN23:CN32" si="770">N23*$Y23</f>
        <v>0</v>
      </c>
      <c r="CO23" s="220">
        <f t="shared" ref="CO23:CO32" si="771">O23*$Y23</f>
        <v>0</v>
      </c>
      <c r="CP23" s="49">
        <f t="shared" ref="CP23:CP32" si="772">P23*$Y23</f>
        <v>0</v>
      </c>
      <c r="CQ23" s="49">
        <f t="shared" ref="CQ23:CQ32" si="773">Q23*$Y23</f>
        <v>0</v>
      </c>
      <c r="CR23" s="49">
        <f t="shared" ref="CR23:CR32" si="774">R23*$Y23</f>
        <v>0</v>
      </c>
      <c r="CS23" s="220">
        <f t="shared" ref="CS23:CS32" si="775">S23*$Y23</f>
        <v>0</v>
      </c>
      <c r="CV23" s="148" t="s">
        <v>625</v>
      </c>
      <c r="CW23" s="49">
        <f t="shared" ref="CW23:CW32" si="776">D23*$Z23</f>
        <v>0</v>
      </c>
      <c r="CX23" s="49">
        <f t="shared" ref="CX23:CX32" si="777">E23*$Z23</f>
        <v>0</v>
      </c>
      <c r="CY23" s="49">
        <f t="shared" ref="CY23:CY32" si="778">F23*$Z23</f>
        <v>0</v>
      </c>
      <c r="CZ23" s="49">
        <f t="shared" ref="CZ23:CZ32" si="779">G23*$Z23</f>
        <v>0</v>
      </c>
      <c r="DA23" s="49">
        <f t="shared" ref="DA23:DA32" si="780">H23*$Z23</f>
        <v>0</v>
      </c>
      <c r="DB23" s="49">
        <f t="shared" ref="DB23:DB32" si="781">I23*$Z23</f>
        <v>0</v>
      </c>
      <c r="DC23" s="49">
        <f t="shared" ref="DC23:DC32" si="782">J23*$Z23</f>
        <v>0</v>
      </c>
      <c r="DD23" s="49">
        <f t="shared" ref="DD23:DD32" si="783">K23*$Z23</f>
        <v>0</v>
      </c>
      <c r="DE23" s="49">
        <f t="shared" ref="DE23:DE32" si="784">L23*$Z23</f>
        <v>0</v>
      </c>
      <c r="DF23" s="49">
        <f t="shared" ref="DF23:DF32" si="785">M23*$Z23</f>
        <v>0</v>
      </c>
      <c r="DG23" s="49">
        <f t="shared" ref="DG23:DG32" si="786">N23*$Z23</f>
        <v>0</v>
      </c>
      <c r="DH23" s="49">
        <f t="shared" ref="DH23:DH32" si="787">O23*$Z23</f>
        <v>0</v>
      </c>
      <c r="DI23" s="49">
        <f t="shared" ref="DI23:DI32" si="788">P23*$Z23</f>
        <v>0</v>
      </c>
      <c r="DJ23" s="49">
        <f t="shared" ref="DJ23:DJ32" si="789">Q23*$Z23</f>
        <v>0</v>
      </c>
      <c r="DK23" s="49">
        <f t="shared" ref="DK23:DK32" si="790">R23*$Z23</f>
        <v>0</v>
      </c>
      <c r="DL23" s="49">
        <f t="shared" ref="DL23:DL32" si="791">S23*$Z23</f>
        <v>0</v>
      </c>
      <c r="DO23" s="148" t="s">
        <v>625</v>
      </c>
      <c r="DP23" s="49">
        <f t="shared" ref="DP23:DP32" si="792">D23*$AA23</f>
        <v>0</v>
      </c>
      <c r="DQ23" s="49">
        <f t="shared" ref="DQ23:DQ32" si="793">E23*$AA23</f>
        <v>0</v>
      </c>
      <c r="DR23" s="49">
        <f t="shared" ref="DR23:DR32" si="794">F23*$AA23</f>
        <v>0</v>
      </c>
      <c r="DS23" s="49">
        <f t="shared" ref="DS23:DS32" si="795">G23*$AA23</f>
        <v>0</v>
      </c>
      <c r="DT23" s="49">
        <f t="shared" ref="DT23:DT32" si="796">H23*$AA23</f>
        <v>0</v>
      </c>
      <c r="DU23" s="49">
        <f t="shared" ref="DU23:DU32" si="797">I23*$AA23</f>
        <v>0</v>
      </c>
      <c r="DV23" s="49">
        <f t="shared" ref="DV23:DV32" si="798">J23*$AA23</f>
        <v>0</v>
      </c>
      <c r="DW23" s="49">
        <f t="shared" ref="DW23:DW32" si="799">K23*$AA23</f>
        <v>0</v>
      </c>
      <c r="DX23" s="49">
        <f t="shared" ref="DX23:DX32" si="800">L23*$AA23</f>
        <v>0</v>
      </c>
      <c r="DY23" s="49">
        <f t="shared" ref="DY23:DY32" si="801">M23*$AA23</f>
        <v>0</v>
      </c>
      <c r="DZ23" s="49">
        <f t="shared" ref="DZ23:DZ32" si="802">N23*$AA23</f>
        <v>0</v>
      </c>
      <c r="EA23" s="49">
        <f t="shared" ref="EA23:EA32" si="803">O23*$AA23</f>
        <v>0</v>
      </c>
      <c r="EB23" s="49">
        <f t="shared" ref="EB23:EB32" si="804">P23*$AA23</f>
        <v>0</v>
      </c>
      <c r="EC23" s="49">
        <f t="shared" ref="EC23:EC32" si="805">Q23*$AA23</f>
        <v>0</v>
      </c>
      <c r="ED23" s="49">
        <f t="shared" ref="ED23:ED32" si="806">R23*$AA23</f>
        <v>0</v>
      </c>
      <c r="EE23" s="49">
        <f t="shared" ref="EE23:EE32" si="807">S23*$AA23</f>
        <v>0</v>
      </c>
      <c r="EH23" s="148" t="s">
        <v>625</v>
      </c>
      <c r="EI23" s="49">
        <f t="shared" ref="EI23:ET27" si="808">D23*$AB23</f>
        <v>0</v>
      </c>
      <c r="EJ23" s="49">
        <f t="shared" si="808"/>
        <v>0</v>
      </c>
      <c r="EK23" s="49">
        <f t="shared" si="808"/>
        <v>0</v>
      </c>
      <c r="EL23" s="49">
        <f t="shared" si="808"/>
        <v>0</v>
      </c>
      <c r="EM23" s="49">
        <f t="shared" si="808"/>
        <v>0</v>
      </c>
      <c r="EN23" s="49">
        <f t="shared" si="808"/>
        <v>0</v>
      </c>
      <c r="EO23" s="49">
        <f t="shared" si="808"/>
        <v>0</v>
      </c>
      <c r="EP23" s="49">
        <f t="shared" si="808"/>
        <v>0</v>
      </c>
      <c r="EQ23" s="49">
        <f t="shared" si="808"/>
        <v>0</v>
      </c>
      <c r="ER23" s="49">
        <f t="shared" si="808"/>
        <v>0</v>
      </c>
      <c r="ES23" s="49">
        <f t="shared" si="808"/>
        <v>0</v>
      </c>
      <c r="ET23" s="49">
        <f t="shared" si="808"/>
        <v>0</v>
      </c>
      <c r="EU23" s="49">
        <f t="shared" ref="EU23:EU27" si="809">P23*$AB23</f>
        <v>0</v>
      </c>
      <c r="EV23" s="49">
        <f t="shared" ref="EV23:EV27" si="810">Q23*$AB23</f>
        <v>0</v>
      </c>
      <c r="EW23" s="49">
        <f t="shared" ref="EW23:EW27" si="811">R23*$AB23</f>
        <v>0</v>
      </c>
      <c r="EX23" s="49">
        <f t="shared" ref="EX23:EX27" si="812">S23*$AB23</f>
        <v>0</v>
      </c>
      <c r="FA23" s="148" t="s">
        <v>625</v>
      </c>
      <c r="FB23" s="53">
        <f t="shared" ref="FB23:FM27" si="813">D23*$AC23</f>
        <v>0</v>
      </c>
      <c r="FC23" s="53">
        <f t="shared" si="813"/>
        <v>0</v>
      </c>
      <c r="FD23" s="53">
        <f t="shared" si="813"/>
        <v>0</v>
      </c>
      <c r="FE23" s="53">
        <f t="shared" si="813"/>
        <v>0</v>
      </c>
      <c r="FF23" s="53">
        <f t="shared" si="813"/>
        <v>0</v>
      </c>
      <c r="FG23" s="53">
        <f t="shared" si="813"/>
        <v>0</v>
      </c>
      <c r="FH23" s="53">
        <f t="shared" si="813"/>
        <v>0</v>
      </c>
      <c r="FI23" s="53">
        <f t="shared" si="813"/>
        <v>0</v>
      </c>
      <c r="FJ23" s="53">
        <f t="shared" si="813"/>
        <v>0</v>
      </c>
      <c r="FK23" s="53">
        <f t="shared" si="813"/>
        <v>0</v>
      </c>
      <c r="FL23" s="53">
        <f t="shared" si="813"/>
        <v>0</v>
      </c>
      <c r="FM23" s="53">
        <f t="shared" si="813"/>
        <v>0</v>
      </c>
      <c r="FN23" s="53">
        <f t="shared" ref="FN23:FN27" si="814">P23*$AC23</f>
        <v>0</v>
      </c>
      <c r="FO23" s="53">
        <f t="shared" ref="FO23:FO27" si="815">Q23*$AC23</f>
        <v>0</v>
      </c>
      <c r="FP23" s="53">
        <f t="shared" ref="FP23:FP27" si="816">R23*$AC23</f>
        <v>0</v>
      </c>
      <c r="FQ23" s="53">
        <f t="shared" ref="FQ23:FQ27" si="817">S23*$AC23</f>
        <v>0</v>
      </c>
      <c r="FT23" s="148" t="s">
        <v>625</v>
      </c>
      <c r="FU23" s="49">
        <f t="shared" ref="FU23:GF27" si="818">D23*$AD23</f>
        <v>0</v>
      </c>
      <c r="FV23" s="49">
        <f t="shared" si="818"/>
        <v>0</v>
      </c>
      <c r="FW23" s="49">
        <f t="shared" si="818"/>
        <v>0</v>
      </c>
      <c r="FX23" s="49">
        <f t="shared" si="818"/>
        <v>0</v>
      </c>
      <c r="FY23" s="49">
        <f t="shared" si="818"/>
        <v>0</v>
      </c>
      <c r="FZ23" s="49">
        <f t="shared" si="818"/>
        <v>0</v>
      </c>
      <c r="GA23" s="49">
        <f t="shared" si="818"/>
        <v>0</v>
      </c>
      <c r="GB23" s="49">
        <f t="shared" si="818"/>
        <v>0</v>
      </c>
      <c r="GC23" s="49">
        <f t="shared" si="818"/>
        <v>0</v>
      </c>
      <c r="GD23" s="49">
        <f t="shared" si="818"/>
        <v>0</v>
      </c>
      <c r="GE23" s="49">
        <f t="shared" si="818"/>
        <v>0</v>
      </c>
      <c r="GF23" s="49">
        <f t="shared" si="818"/>
        <v>0</v>
      </c>
      <c r="GG23" s="49">
        <f t="shared" ref="GG23:GG27" si="819">P23*$AD23</f>
        <v>0</v>
      </c>
      <c r="GH23" s="49">
        <f t="shared" ref="GH23:GH27" si="820">Q23*$AD23</f>
        <v>0</v>
      </c>
      <c r="GI23" s="49">
        <f t="shared" ref="GI23:GI27" si="821">R23*$AD23</f>
        <v>0</v>
      </c>
      <c r="GJ23" s="49">
        <f t="shared" ref="GJ23:GJ27" si="822">S23*$AD23</f>
        <v>0</v>
      </c>
      <c r="GM23" s="148" t="s">
        <v>625</v>
      </c>
      <c r="GN23" s="49">
        <f t="shared" ref="GN23:GY27" si="823">D23*$AE23</f>
        <v>0</v>
      </c>
      <c r="GO23" s="49">
        <f t="shared" si="823"/>
        <v>0</v>
      </c>
      <c r="GP23" s="49">
        <f t="shared" si="823"/>
        <v>0</v>
      </c>
      <c r="GQ23" s="49">
        <f t="shared" si="823"/>
        <v>0</v>
      </c>
      <c r="GR23" s="49">
        <f t="shared" si="823"/>
        <v>0</v>
      </c>
      <c r="GS23" s="49">
        <f t="shared" si="823"/>
        <v>0</v>
      </c>
      <c r="GT23" s="49">
        <f t="shared" si="823"/>
        <v>0</v>
      </c>
      <c r="GU23" s="49">
        <f t="shared" si="823"/>
        <v>0</v>
      </c>
      <c r="GV23" s="49">
        <f t="shared" si="823"/>
        <v>0</v>
      </c>
      <c r="GW23" s="49">
        <f t="shared" si="823"/>
        <v>0</v>
      </c>
      <c r="GX23" s="49">
        <f t="shared" si="823"/>
        <v>0</v>
      </c>
      <c r="GY23" s="49">
        <f t="shared" si="823"/>
        <v>0</v>
      </c>
      <c r="GZ23" s="49">
        <f t="shared" ref="GZ23:GZ27" si="824">P23*$AE23</f>
        <v>0</v>
      </c>
      <c r="HA23" s="49">
        <f t="shared" ref="HA23:HA27" si="825">Q23*$AE23</f>
        <v>0</v>
      </c>
      <c r="HB23" s="49">
        <f t="shared" ref="HB23:HB27" si="826">R23*$AE23</f>
        <v>0</v>
      </c>
      <c r="HC23" s="49">
        <f t="shared" ref="HC23:HC27" si="827">S23*$AE23</f>
        <v>0</v>
      </c>
      <c r="HF23" s="148" t="s">
        <v>625</v>
      </c>
      <c r="HG23" s="49">
        <f t="shared" ref="HG23:HR27" si="828">D23*$AF23</f>
        <v>0</v>
      </c>
      <c r="HH23" s="49">
        <f t="shared" si="828"/>
        <v>0</v>
      </c>
      <c r="HI23" s="49">
        <f t="shared" si="828"/>
        <v>0</v>
      </c>
      <c r="HJ23" s="49">
        <f t="shared" si="828"/>
        <v>0</v>
      </c>
      <c r="HK23" s="49">
        <f t="shared" si="828"/>
        <v>0</v>
      </c>
      <c r="HL23" s="49">
        <f t="shared" si="828"/>
        <v>0</v>
      </c>
      <c r="HM23" s="49">
        <f t="shared" si="828"/>
        <v>0</v>
      </c>
      <c r="HN23" s="49">
        <f t="shared" si="828"/>
        <v>0</v>
      </c>
      <c r="HO23" s="49">
        <f t="shared" si="828"/>
        <v>0</v>
      </c>
      <c r="HP23" s="49">
        <f t="shared" si="828"/>
        <v>0</v>
      </c>
      <c r="HQ23" s="49">
        <f t="shared" si="828"/>
        <v>0</v>
      </c>
      <c r="HR23" s="49">
        <f t="shared" si="828"/>
        <v>0</v>
      </c>
      <c r="HS23" s="49">
        <f t="shared" ref="HS23:HS27" si="829">P23*$AF23</f>
        <v>0</v>
      </c>
      <c r="HT23" s="49">
        <f t="shared" ref="HT23:HT27" si="830">Q23*$AF23</f>
        <v>0</v>
      </c>
      <c r="HU23" s="49">
        <f t="shared" ref="HU23:HU27" si="831">R23*$AF23</f>
        <v>0</v>
      </c>
      <c r="HV23" s="49">
        <f t="shared" ref="HV23:HV27" si="832">S23*$AF23</f>
        <v>0</v>
      </c>
      <c r="HY23" s="341" t="s">
        <v>713</v>
      </c>
      <c r="HZ23" s="338">
        <f t="shared" si="574"/>
        <v>0</v>
      </c>
      <c r="IA23" s="338">
        <f t="shared" si="575"/>
        <v>0</v>
      </c>
      <c r="IB23" s="338">
        <f t="shared" si="576"/>
        <v>0</v>
      </c>
      <c r="IC23" s="338">
        <f t="shared" si="577"/>
        <v>0</v>
      </c>
      <c r="ID23" s="338">
        <f t="shared" si="578"/>
        <v>0</v>
      </c>
      <c r="IE23" s="338">
        <f t="shared" si="579"/>
        <v>0</v>
      </c>
      <c r="IF23" s="338">
        <f t="shared" si="580"/>
        <v>0</v>
      </c>
      <c r="IG23" s="338">
        <f t="shared" si="581"/>
        <v>0</v>
      </c>
      <c r="IH23" s="338">
        <f t="shared" si="582"/>
        <v>0</v>
      </c>
      <c r="II23" s="338">
        <f t="shared" si="583"/>
        <v>0</v>
      </c>
      <c r="IJ23" s="338">
        <f t="shared" si="584"/>
        <v>0</v>
      </c>
      <c r="IK23" s="338">
        <f t="shared" si="585"/>
        <v>0</v>
      </c>
      <c r="IL23" s="338">
        <f t="shared" si="586"/>
        <v>0</v>
      </c>
      <c r="IM23" s="338">
        <f t="shared" si="587"/>
        <v>0</v>
      </c>
      <c r="IN23" s="338">
        <f t="shared" si="588"/>
        <v>0</v>
      </c>
      <c r="IO23" s="338">
        <f t="shared" si="589"/>
        <v>0</v>
      </c>
      <c r="IR23" s="341" t="s">
        <v>713</v>
      </c>
      <c r="IS23" s="338">
        <f t="shared" si="590"/>
        <v>0</v>
      </c>
      <c r="IT23" s="338">
        <f t="shared" si="591"/>
        <v>0</v>
      </c>
      <c r="IU23" s="338">
        <f t="shared" si="592"/>
        <v>0</v>
      </c>
      <c r="IV23" s="338">
        <f t="shared" si="593"/>
        <v>0</v>
      </c>
      <c r="IW23" s="338">
        <f t="shared" si="594"/>
        <v>0</v>
      </c>
      <c r="IX23" s="338">
        <f t="shared" si="595"/>
        <v>0</v>
      </c>
      <c r="IY23" s="338">
        <f t="shared" si="596"/>
        <v>0</v>
      </c>
      <c r="IZ23" s="338">
        <f t="shared" si="597"/>
        <v>0</v>
      </c>
      <c r="JA23" s="338">
        <f t="shared" si="598"/>
        <v>0</v>
      </c>
      <c r="JB23" s="338">
        <f t="shared" si="599"/>
        <v>0</v>
      </c>
      <c r="JC23" s="338">
        <f t="shared" si="600"/>
        <v>0</v>
      </c>
      <c r="JD23" s="338">
        <f t="shared" si="601"/>
        <v>0</v>
      </c>
      <c r="JE23" s="338">
        <f t="shared" si="602"/>
        <v>0</v>
      </c>
      <c r="JF23" s="338">
        <f t="shared" si="603"/>
        <v>0</v>
      </c>
      <c r="JG23" s="338">
        <f t="shared" si="604"/>
        <v>0</v>
      </c>
      <c r="JH23" s="338">
        <f t="shared" si="605"/>
        <v>0</v>
      </c>
      <c r="JK23" s="341" t="s">
        <v>713</v>
      </c>
      <c r="JL23" s="338">
        <f t="shared" si="606"/>
        <v>0</v>
      </c>
      <c r="JM23" s="338">
        <f t="shared" si="607"/>
        <v>0</v>
      </c>
      <c r="JN23" s="338">
        <f t="shared" si="608"/>
        <v>0</v>
      </c>
      <c r="JO23" s="338">
        <f t="shared" si="609"/>
        <v>0</v>
      </c>
      <c r="JP23" s="338">
        <f t="shared" si="610"/>
        <v>0</v>
      </c>
      <c r="JQ23" s="338">
        <f t="shared" si="611"/>
        <v>0</v>
      </c>
      <c r="JR23" s="338">
        <f t="shared" si="612"/>
        <v>0</v>
      </c>
      <c r="JS23" s="338">
        <f t="shared" si="613"/>
        <v>0</v>
      </c>
      <c r="JT23" s="338">
        <f t="shared" si="614"/>
        <v>0</v>
      </c>
      <c r="JU23" s="338">
        <f t="shared" si="615"/>
        <v>0</v>
      </c>
      <c r="JV23" s="338">
        <f t="shared" si="616"/>
        <v>0</v>
      </c>
      <c r="JW23" s="338">
        <f t="shared" si="617"/>
        <v>0</v>
      </c>
      <c r="JX23" s="338">
        <f t="shared" si="618"/>
        <v>0</v>
      </c>
      <c r="JY23" s="338">
        <f t="shared" si="619"/>
        <v>0</v>
      </c>
      <c r="JZ23" s="338">
        <f t="shared" si="620"/>
        <v>0</v>
      </c>
      <c r="KA23" s="338">
        <f t="shared" si="621"/>
        <v>0</v>
      </c>
      <c r="KD23" s="341" t="s">
        <v>713</v>
      </c>
      <c r="KE23" s="338">
        <f t="shared" si="622"/>
        <v>0</v>
      </c>
      <c r="KF23" s="338">
        <f t="shared" si="623"/>
        <v>0</v>
      </c>
      <c r="KG23" s="338">
        <f t="shared" si="624"/>
        <v>0</v>
      </c>
      <c r="KH23" s="338">
        <f t="shared" si="625"/>
        <v>0</v>
      </c>
      <c r="KI23" s="338">
        <f t="shared" si="626"/>
        <v>0</v>
      </c>
      <c r="KJ23" s="338">
        <f t="shared" si="627"/>
        <v>0</v>
      </c>
      <c r="KK23" s="338">
        <f t="shared" si="628"/>
        <v>0</v>
      </c>
      <c r="KL23" s="338">
        <f t="shared" si="629"/>
        <v>0</v>
      </c>
      <c r="KM23" s="338">
        <f t="shared" si="630"/>
        <v>0</v>
      </c>
      <c r="KN23" s="338">
        <f t="shared" si="631"/>
        <v>0</v>
      </c>
      <c r="KO23" s="338">
        <f t="shared" si="632"/>
        <v>0</v>
      </c>
      <c r="KP23" s="338">
        <f t="shared" si="633"/>
        <v>0</v>
      </c>
      <c r="KQ23" s="338">
        <f t="shared" si="634"/>
        <v>0</v>
      </c>
      <c r="KR23" s="338">
        <f t="shared" si="635"/>
        <v>0</v>
      </c>
      <c r="KS23" s="338">
        <f t="shared" si="636"/>
        <v>0</v>
      </c>
      <c r="KT23" s="338">
        <f t="shared" si="637"/>
        <v>0</v>
      </c>
      <c r="KW23" s="341" t="s">
        <v>713</v>
      </c>
      <c r="KX23" s="338">
        <f t="shared" si="638"/>
        <v>0</v>
      </c>
      <c r="KY23" s="338">
        <f t="shared" si="639"/>
        <v>0</v>
      </c>
      <c r="KZ23" s="338">
        <f t="shared" si="640"/>
        <v>0</v>
      </c>
      <c r="LA23" s="338">
        <f t="shared" si="641"/>
        <v>0</v>
      </c>
      <c r="LB23" s="338">
        <f t="shared" si="642"/>
        <v>0</v>
      </c>
      <c r="LC23" s="338">
        <f t="shared" si="643"/>
        <v>0</v>
      </c>
      <c r="LD23" s="338">
        <f t="shared" si="644"/>
        <v>0</v>
      </c>
      <c r="LE23" s="338">
        <f t="shared" si="645"/>
        <v>0</v>
      </c>
      <c r="LF23" s="338">
        <f t="shared" si="646"/>
        <v>0</v>
      </c>
      <c r="LG23" s="338">
        <f t="shared" si="647"/>
        <v>0</v>
      </c>
      <c r="LH23" s="338">
        <f t="shared" si="648"/>
        <v>0</v>
      </c>
      <c r="LI23" s="338">
        <f t="shared" si="649"/>
        <v>0</v>
      </c>
      <c r="LJ23" s="338">
        <f t="shared" si="650"/>
        <v>0</v>
      </c>
      <c r="LK23" s="338">
        <f t="shared" si="651"/>
        <v>0</v>
      </c>
      <c r="LL23" s="338">
        <f t="shared" si="652"/>
        <v>0</v>
      </c>
      <c r="LM23" s="338">
        <f t="shared" si="653"/>
        <v>0</v>
      </c>
      <c r="LP23" s="341" t="s">
        <v>713</v>
      </c>
      <c r="LQ23" s="338">
        <f t="shared" si="654"/>
        <v>0</v>
      </c>
      <c r="LR23" s="338">
        <f t="shared" si="655"/>
        <v>0</v>
      </c>
      <c r="LS23" s="338">
        <f t="shared" si="656"/>
        <v>0</v>
      </c>
      <c r="LT23" s="338">
        <f t="shared" si="657"/>
        <v>0</v>
      </c>
      <c r="LU23" s="338">
        <f t="shared" si="658"/>
        <v>0</v>
      </c>
      <c r="LV23" s="338">
        <f t="shared" si="659"/>
        <v>0</v>
      </c>
      <c r="LW23" s="338">
        <f t="shared" si="660"/>
        <v>0</v>
      </c>
      <c r="LX23" s="338">
        <f t="shared" si="661"/>
        <v>0</v>
      </c>
      <c r="LY23" s="338">
        <f t="shared" si="662"/>
        <v>0</v>
      </c>
      <c r="LZ23" s="338">
        <f t="shared" si="663"/>
        <v>0</v>
      </c>
      <c r="MA23" s="338">
        <f t="shared" si="664"/>
        <v>0</v>
      </c>
      <c r="MB23" s="338">
        <f t="shared" si="665"/>
        <v>0</v>
      </c>
      <c r="MC23" s="338">
        <f t="shared" si="666"/>
        <v>0</v>
      </c>
      <c r="MD23" s="338">
        <f t="shared" si="667"/>
        <v>0</v>
      </c>
      <c r="ME23" s="338">
        <f t="shared" si="668"/>
        <v>0</v>
      </c>
      <c r="MF23" s="338">
        <f t="shared" si="669"/>
        <v>0</v>
      </c>
      <c r="MI23" s="341" t="s">
        <v>713</v>
      </c>
      <c r="MJ23" s="338">
        <f t="shared" si="670"/>
        <v>0</v>
      </c>
      <c r="MK23" s="338">
        <f t="shared" si="671"/>
        <v>0</v>
      </c>
      <c r="ML23" s="338">
        <f t="shared" si="672"/>
        <v>0</v>
      </c>
      <c r="MM23" s="338">
        <f t="shared" si="673"/>
        <v>0</v>
      </c>
      <c r="MN23" s="338">
        <f t="shared" si="674"/>
        <v>0</v>
      </c>
      <c r="MO23" s="338">
        <f t="shared" si="675"/>
        <v>0</v>
      </c>
      <c r="MP23" s="338">
        <f t="shared" si="676"/>
        <v>0</v>
      </c>
      <c r="MQ23" s="338">
        <f t="shared" si="677"/>
        <v>0</v>
      </c>
      <c r="MR23" s="338">
        <f t="shared" si="678"/>
        <v>0</v>
      </c>
      <c r="MS23" s="338">
        <f t="shared" si="679"/>
        <v>0</v>
      </c>
      <c r="MT23" s="338">
        <f t="shared" si="680"/>
        <v>0</v>
      </c>
      <c r="MU23" s="338">
        <f t="shared" si="681"/>
        <v>0</v>
      </c>
      <c r="MV23" s="338">
        <f t="shared" si="682"/>
        <v>0</v>
      </c>
      <c r="MW23" s="338">
        <f t="shared" si="683"/>
        <v>0</v>
      </c>
      <c r="MX23" s="338">
        <f t="shared" si="684"/>
        <v>0</v>
      </c>
      <c r="MY23" s="338">
        <f t="shared" si="685"/>
        <v>0</v>
      </c>
      <c r="NB23" s="341" t="s">
        <v>713</v>
      </c>
      <c r="NC23" s="338">
        <f t="shared" si="686"/>
        <v>0</v>
      </c>
      <c r="ND23" s="338">
        <f t="shared" si="687"/>
        <v>0</v>
      </c>
      <c r="NE23" s="338">
        <f t="shared" si="688"/>
        <v>0</v>
      </c>
      <c r="NF23" s="338">
        <f t="shared" si="689"/>
        <v>0</v>
      </c>
      <c r="NG23" s="338">
        <f t="shared" si="690"/>
        <v>0</v>
      </c>
      <c r="NH23" s="338">
        <f t="shared" si="691"/>
        <v>0</v>
      </c>
      <c r="NI23" s="338">
        <f t="shared" si="692"/>
        <v>0</v>
      </c>
      <c r="NJ23" s="338">
        <f t="shared" si="693"/>
        <v>0</v>
      </c>
      <c r="NK23" s="338">
        <f t="shared" si="694"/>
        <v>0</v>
      </c>
      <c r="NL23" s="338">
        <f t="shared" si="695"/>
        <v>0</v>
      </c>
      <c r="NM23" s="338">
        <f t="shared" si="696"/>
        <v>0</v>
      </c>
      <c r="NN23" s="338">
        <f t="shared" si="697"/>
        <v>0</v>
      </c>
      <c r="NO23" s="338">
        <f t="shared" si="698"/>
        <v>0</v>
      </c>
      <c r="NP23" s="338">
        <f t="shared" si="699"/>
        <v>0</v>
      </c>
      <c r="NQ23" s="338">
        <f t="shared" si="700"/>
        <v>0</v>
      </c>
      <c r="NR23" s="338">
        <f t="shared" si="701"/>
        <v>0</v>
      </c>
    </row>
    <row r="24" spans="2:382" ht="14.25" customHeight="1" x14ac:dyDescent="0.25">
      <c r="B24" s="734"/>
      <c r="C24" s="149" t="s">
        <v>209</v>
      </c>
      <c r="D24" s="143">
        <f>'CAM Characteristics'!C59/1000</f>
        <v>1.9421802185595636</v>
      </c>
      <c r="E24" s="127">
        <f>'CAM Characteristics'!C59/1000</f>
        <v>1.9421802185595636</v>
      </c>
      <c r="F24" s="143">
        <f>'CAM Characteristics'!D59/1000</f>
        <v>1.4454767185030386</v>
      </c>
      <c r="G24" s="127">
        <f>'CAM Characteristics'!D59/1000</f>
        <v>1.4454767185030386</v>
      </c>
      <c r="H24" s="143">
        <f>'CAM Characteristics'!E59/1000</f>
        <v>1.6841086136128323</v>
      </c>
      <c r="I24" s="127">
        <f>'CAM Characteristics'!E59/1000</f>
        <v>1.6841086136128323</v>
      </c>
      <c r="J24" s="143">
        <f>'CAM Characteristics'!F59/1000</f>
        <v>1.8605442135635095</v>
      </c>
      <c r="K24" s="127">
        <f>'CAM Characteristics'!F59/1000</f>
        <v>1.8605442135635095</v>
      </c>
      <c r="L24" s="143">
        <f>'CAM Characteristics'!G59/1000</f>
        <v>1.8903524772950406</v>
      </c>
      <c r="M24" s="127">
        <f>'CAM Characteristics'!G59/1000</f>
        <v>1.8903524772950406</v>
      </c>
      <c r="N24" s="143"/>
      <c r="O24" s="127"/>
      <c r="P24" s="143">
        <f>'CAM Characteristics'!I59/1000</f>
        <v>1.3671872507391178</v>
      </c>
      <c r="Q24" s="143">
        <f>'CAM Characteristics'!I59/1000</f>
        <v>1.3671872507391178</v>
      </c>
      <c r="R24" s="143">
        <f>'CAM Characteristics'!J59/1000</f>
        <v>1.8903524772950406</v>
      </c>
      <c r="S24" s="127">
        <f>'CAM Characteristics'!J59/1000</f>
        <v>1.8903524772950406</v>
      </c>
      <c r="T24" s="318"/>
      <c r="U24" s="119"/>
      <c r="V24" s="149" t="s">
        <v>209</v>
      </c>
      <c r="W24" s="96">
        <f>'Ecoinvent 3.10'!M12</f>
        <v>72.84756356198028</v>
      </c>
      <c r="X24" s="96">
        <f>'Ecoinvent 3.10'!N12</f>
        <v>5.4512</v>
      </c>
      <c r="Y24" s="96">
        <f>'Ecoinvent 3.10'!O12</f>
        <v>357.78</v>
      </c>
      <c r="Z24" s="96">
        <f>'Ecoinvent 3.10'!P12</f>
        <v>8.6679000000000006E-2</v>
      </c>
      <c r="AA24" s="96">
        <f>'Ecoinvent 3.10'!Q12</f>
        <v>2.1206</v>
      </c>
      <c r="AB24" s="96">
        <f>'Ecoinvent 3.10'!R12</f>
        <v>1.2017</v>
      </c>
      <c r="AC24" s="96">
        <f>'Ecoinvent 3.10'!S12</f>
        <v>2.5753999999999998E-3</v>
      </c>
      <c r="AD24" s="96">
        <f>'Ecoinvent 3.10'!T12</f>
        <v>1.3548</v>
      </c>
      <c r="AE24" s="96">
        <f>'Ecoinvent 3.10'!U12</f>
        <v>1.4785999999999999</v>
      </c>
      <c r="AF24" s="96">
        <f>'Ecoinvent 3.10'!V12</f>
        <v>33.988</v>
      </c>
      <c r="AG24" s="327">
        <f>'Ecoinvent 3.10'!W12</f>
        <v>2.7871E-2</v>
      </c>
      <c r="AH24" s="327">
        <f>'Ecoinvent 3.10'!X12</f>
        <v>1.7931999999999999</v>
      </c>
      <c r="AI24" s="327">
        <f>'Ecoinvent 3.10'!Y12</f>
        <v>1.6019000000000001</v>
      </c>
      <c r="AJ24" s="327">
        <f>'Ecoinvent 3.10'!Z12</f>
        <v>0.18276999999999999</v>
      </c>
      <c r="AK24" s="327">
        <f>'Ecoinvent 3.10'!AA12</f>
        <v>1.8935</v>
      </c>
      <c r="AL24" s="327">
        <f>'Ecoinvent 3.10'!AB12</f>
        <v>1.4379E-3</v>
      </c>
      <c r="AM24" s="327">
        <f>'Ecoinvent 3.10'!AC12</f>
        <v>1.5921000000000001E-2</v>
      </c>
      <c r="AN24" s="327">
        <f>'Ecoinvent 3.10'!AD12</f>
        <v>1.5069000000000001E-2</v>
      </c>
      <c r="AO24" s="119"/>
      <c r="AP24" s="8"/>
      <c r="AQ24" s="149" t="s">
        <v>209</v>
      </c>
      <c r="AR24" s="49">
        <f t="shared" si="739"/>
        <v>141.48309692033857</v>
      </c>
      <c r="AS24" s="50">
        <f t="shared" si="739"/>
        <v>141.48309692033857</v>
      </c>
      <c r="AT24" s="49">
        <f t="shared" si="739"/>
        <v>105.29945712851278</v>
      </c>
      <c r="AU24" s="50">
        <f t="shared" si="739"/>
        <v>105.29945712851278</v>
      </c>
      <c r="AV24" s="49">
        <f t="shared" si="739"/>
        <v>122.68320927543928</v>
      </c>
      <c r="AW24" s="50">
        <f t="shared" si="739"/>
        <v>122.68320927543928</v>
      </c>
      <c r="AX24" s="49">
        <f t="shared" si="739"/>
        <v>135.53611285744236</v>
      </c>
      <c r="AY24" s="50">
        <f t="shared" si="739"/>
        <v>135.53611285744236</v>
      </c>
      <c r="AZ24" s="49">
        <f t="shared" si="739"/>
        <v>137.70757224429735</v>
      </c>
      <c r="BA24" s="50">
        <f t="shared" si="739"/>
        <v>137.70757224429735</v>
      </c>
      <c r="BB24" s="49">
        <f t="shared" si="739"/>
        <v>0</v>
      </c>
      <c r="BC24" s="50">
        <f t="shared" si="739"/>
        <v>0</v>
      </c>
      <c r="BD24" s="49">
        <f t="shared" si="740"/>
        <v>99.596260149346961</v>
      </c>
      <c r="BE24" s="50">
        <f t="shared" si="741"/>
        <v>99.596260149346961</v>
      </c>
      <c r="BF24" s="49">
        <f t="shared" si="742"/>
        <v>137.70757224429735</v>
      </c>
      <c r="BG24" s="50">
        <f t="shared" si="743"/>
        <v>137.70757224429735</v>
      </c>
      <c r="BI24" s="156"/>
      <c r="BJ24" s="149" t="s">
        <v>209</v>
      </c>
      <c r="BK24" s="49">
        <f t="shared" si="744"/>
        <v>10.587212807411893</v>
      </c>
      <c r="BL24" s="49">
        <f t="shared" si="745"/>
        <v>10.587212807411893</v>
      </c>
      <c r="BM24" s="49">
        <f t="shared" si="746"/>
        <v>7.8795826879037643</v>
      </c>
      <c r="BN24" s="49">
        <f t="shared" si="747"/>
        <v>7.8795826879037643</v>
      </c>
      <c r="BO24" s="49">
        <f t="shared" si="748"/>
        <v>9.1804128745262705</v>
      </c>
      <c r="BP24" s="49">
        <f t="shared" si="749"/>
        <v>9.1804128745262705</v>
      </c>
      <c r="BQ24" s="49">
        <f t="shared" si="750"/>
        <v>10.142198616977403</v>
      </c>
      <c r="BR24" s="49">
        <f t="shared" si="751"/>
        <v>10.142198616977403</v>
      </c>
      <c r="BS24" s="49">
        <f t="shared" si="752"/>
        <v>10.304689424230725</v>
      </c>
      <c r="BT24" s="49">
        <f t="shared" si="753"/>
        <v>10.304689424230725</v>
      </c>
      <c r="BU24" s="49">
        <f t="shared" si="754"/>
        <v>0</v>
      </c>
      <c r="BV24" s="49">
        <f t="shared" si="755"/>
        <v>0</v>
      </c>
      <c r="BW24" s="49">
        <f t="shared" si="756"/>
        <v>7.4528111412290796</v>
      </c>
      <c r="BX24" s="49">
        <f t="shared" si="757"/>
        <v>7.4528111412290796</v>
      </c>
      <c r="BY24" s="49">
        <f t="shared" si="758"/>
        <v>10.304689424230725</v>
      </c>
      <c r="BZ24" s="49">
        <f t="shared" si="759"/>
        <v>10.304689424230725</v>
      </c>
      <c r="CA24" s="156"/>
      <c r="CB24" s="156"/>
      <c r="CC24" s="149" t="s">
        <v>209</v>
      </c>
      <c r="CD24" s="49">
        <f t="shared" si="760"/>
        <v>694.87323859624064</v>
      </c>
      <c r="CE24" s="49">
        <f t="shared" si="761"/>
        <v>694.87323859624064</v>
      </c>
      <c r="CF24" s="49">
        <f t="shared" si="762"/>
        <v>517.16266034601711</v>
      </c>
      <c r="CG24" s="49">
        <f t="shared" si="763"/>
        <v>517.16266034601711</v>
      </c>
      <c r="CH24" s="49">
        <f t="shared" si="764"/>
        <v>602.54037977839903</v>
      </c>
      <c r="CI24" s="49">
        <f t="shared" si="765"/>
        <v>602.54037977839903</v>
      </c>
      <c r="CJ24" s="49">
        <f t="shared" si="766"/>
        <v>665.66550872875234</v>
      </c>
      <c r="CK24" s="49">
        <f t="shared" si="767"/>
        <v>665.66550872875234</v>
      </c>
      <c r="CL24" s="49">
        <f t="shared" si="768"/>
        <v>676.33030932661961</v>
      </c>
      <c r="CM24" s="49">
        <f t="shared" si="769"/>
        <v>676.33030932661961</v>
      </c>
      <c r="CN24" s="49">
        <f t="shared" si="770"/>
        <v>0</v>
      </c>
      <c r="CO24" s="220">
        <f t="shared" si="771"/>
        <v>0</v>
      </c>
      <c r="CP24" s="49">
        <f t="shared" si="772"/>
        <v>489.15225456944154</v>
      </c>
      <c r="CQ24" s="49">
        <f t="shared" si="773"/>
        <v>489.15225456944154</v>
      </c>
      <c r="CR24" s="49">
        <f t="shared" si="774"/>
        <v>676.33030932661961</v>
      </c>
      <c r="CS24" s="220">
        <f t="shared" si="775"/>
        <v>676.33030932661961</v>
      </c>
      <c r="CV24" s="149" t="s">
        <v>209</v>
      </c>
      <c r="CW24" s="49">
        <f t="shared" si="776"/>
        <v>0.16834623916452443</v>
      </c>
      <c r="CX24" s="49">
        <f t="shared" si="777"/>
        <v>0.16834623916452443</v>
      </c>
      <c r="CY24" s="49">
        <f t="shared" si="778"/>
        <v>0.12529247648312489</v>
      </c>
      <c r="CZ24" s="49">
        <f t="shared" si="779"/>
        <v>0.12529247648312489</v>
      </c>
      <c r="DA24" s="49">
        <f t="shared" si="780"/>
        <v>0.1459768505193467</v>
      </c>
      <c r="DB24" s="49">
        <f t="shared" si="781"/>
        <v>0.1459768505193467</v>
      </c>
      <c r="DC24" s="49">
        <f t="shared" si="782"/>
        <v>0.16127011188747145</v>
      </c>
      <c r="DD24" s="49">
        <f t="shared" si="783"/>
        <v>0.16127011188747145</v>
      </c>
      <c r="DE24" s="49">
        <f t="shared" si="784"/>
        <v>0.16385386237945684</v>
      </c>
      <c r="DF24" s="49">
        <f t="shared" si="785"/>
        <v>0.16385386237945684</v>
      </c>
      <c r="DG24" s="49">
        <f t="shared" si="786"/>
        <v>0</v>
      </c>
      <c r="DH24" s="49">
        <f t="shared" si="787"/>
        <v>0</v>
      </c>
      <c r="DI24" s="49">
        <f t="shared" si="788"/>
        <v>0.11850642370681601</v>
      </c>
      <c r="DJ24" s="49">
        <f t="shared" si="789"/>
        <v>0.11850642370681601</v>
      </c>
      <c r="DK24" s="49">
        <f t="shared" si="790"/>
        <v>0.16385386237945684</v>
      </c>
      <c r="DL24" s="49">
        <f t="shared" si="791"/>
        <v>0.16385386237945684</v>
      </c>
      <c r="DO24" s="149" t="s">
        <v>209</v>
      </c>
      <c r="DP24" s="49">
        <f t="shared" si="792"/>
        <v>4.1185873714774104</v>
      </c>
      <c r="DQ24" s="49">
        <f t="shared" si="793"/>
        <v>4.1185873714774104</v>
      </c>
      <c r="DR24" s="49">
        <f t="shared" si="794"/>
        <v>3.0652779292575438</v>
      </c>
      <c r="DS24" s="49">
        <f t="shared" si="795"/>
        <v>3.0652779292575438</v>
      </c>
      <c r="DT24" s="49">
        <f t="shared" si="796"/>
        <v>3.5713207260273721</v>
      </c>
      <c r="DU24" s="49">
        <f t="shared" si="797"/>
        <v>3.5713207260273721</v>
      </c>
      <c r="DV24" s="49">
        <f t="shared" si="798"/>
        <v>3.9454700592827785</v>
      </c>
      <c r="DW24" s="49">
        <f t="shared" si="799"/>
        <v>3.9454700592827785</v>
      </c>
      <c r="DX24" s="49">
        <f t="shared" si="800"/>
        <v>4.0086814633518628</v>
      </c>
      <c r="DY24" s="49">
        <f t="shared" si="801"/>
        <v>4.0086814633518628</v>
      </c>
      <c r="DZ24" s="49">
        <f t="shared" si="802"/>
        <v>0</v>
      </c>
      <c r="EA24" s="49">
        <f t="shared" si="803"/>
        <v>0</v>
      </c>
      <c r="EB24" s="49">
        <f t="shared" si="804"/>
        <v>2.8992572839173731</v>
      </c>
      <c r="EC24" s="49">
        <f t="shared" si="805"/>
        <v>2.8992572839173731</v>
      </c>
      <c r="ED24" s="49">
        <f t="shared" si="806"/>
        <v>4.0086814633518628</v>
      </c>
      <c r="EE24" s="49">
        <f t="shared" si="807"/>
        <v>4.0086814633518628</v>
      </c>
      <c r="EH24" s="149" t="s">
        <v>209</v>
      </c>
      <c r="EI24" s="49">
        <f t="shared" si="808"/>
        <v>2.3339179686430276</v>
      </c>
      <c r="EJ24" s="49">
        <f t="shared" si="808"/>
        <v>2.3339179686430276</v>
      </c>
      <c r="EK24" s="49">
        <f t="shared" si="808"/>
        <v>1.7370293726251014</v>
      </c>
      <c r="EL24" s="49">
        <f t="shared" si="808"/>
        <v>1.7370293726251014</v>
      </c>
      <c r="EM24" s="49">
        <f t="shared" si="808"/>
        <v>2.0237933209785406</v>
      </c>
      <c r="EN24" s="49">
        <f t="shared" si="808"/>
        <v>2.0237933209785406</v>
      </c>
      <c r="EO24" s="49">
        <f t="shared" si="808"/>
        <v>2.2358159814392695</v>
      </c>
      <c r="EP24" s="49">
        <f t="shared" si="808"/>
        <v>2.2358159814392695</v>
      </c>
      <c r="EQ24" s="49">
        <f t="shared" si="808"/>
        <v>2.2716365719654501</v>
      </c>
      <c r="ER24" s="49">
        <f t="shared" si="808"/>
        <v>2.2716365719654501</v>
      </c>
      <c r="ES24" s="49">
        <f t="shared" si="808"/>
        <v>0</v>
      </c>
      <c r="ET24" s="49">
        <f t="shared" si="808"/>
        <v>0</v>
      </c>
      <c r="EU24" s="49">
        <f t="shared" si="809"/>
        <v>1.6429489192131979</v>
      </c>
      <c r="EV24" s="49">
        <f t="shared" si="810"/>
        <v>1.6429489192131979</v>
      </c>
      <c r="EW24" s="49">
        <f t="shared" si="811"/>
        <v>2.2716365719654501</v>
      </c>
      <c r="EX24" s="49">
        <f t="shared" si="812"/>
        <v>2.2716365719654501</v>
      </c>
      <c r="FA24" s="149" t="s">
        <v>209</v>
      </c>
      <c r="FB24" s="53">
        <f t="shared" si="813"/>
        <v>5.0018909348782999E-3</v>
      </c>
      <c r="FC24" s="53">
        <f t="shared" si="813"/>
        <v>5.0018909348782999E-3</v>
      </c>
      <c r="FD24" s="53">
        <f t="shared" si="813"/>
        <v>3.7226807408327254E-3</v>
      </c>
      <c r="FE24" s="53">
        <f t="shared" si="813"/>
        <v>3.7226807408327254E-3</v>
      </c>
      <c r="FF24" s="53">
        <f t="shared" si="813"/>
        <v>4.3372533234984877E-3</v>
      </c>
      <c r="FG24" s="53">
        <f t="shared" si="813"/>
        <v>4.3372533234984877E-3</v>
      </c>
      <c r="FH24" s="53">
        <f t="shared" si="813"/>
        <v>4.7916455676114619E-3</v>
      </c>
      <c r="FI24" s="53">
        <f t="shared" si="813"/>
        <v>4.7916455676114619E-3</v>
      </c>
      <c r="FJ24" s="53">
        <f t="shared" si="813"/>
        <v>4.8684137700256477E-3</v>
      </c>
      <c r="FK24" s="53">
        <f t="shared" si="813"/>
        <v>4.8684137700256477E-3</v>
      </c>
      <c r="FL24" s="53">
        <f t="shared" si="813"/>
        <v>0</v>
      </c>
      <c r="FM24" s="53">
        <f t="shared" si="813"/>
        <v>0</v>
      </c>
      <c r="FN24" s="53">
        <f t="shared" si="814"/>
        <v>3.5210540455535237E-3</v>
      </c>
      <c r="FO24" s="53">
        <f t="shared" si="815"/>
        <v>3.5210540455535237E-3</v>
      </c>
      <c r="FP24" s="53">
        <f t="shared" si="816"/>
        <v>4.8684137700256477E-3</v>
      </c>
      <c r="FQ24" s="53">
        <f t="shared" si="817"/>
        <v>4.8684137700256477E-3</v>
      </c>
      <c r="FT24" s="149" t="s">
        <v>209</v>
      </c>
      <c r="FU24" s="49">
        <f t="shared" si="818"/>
        <v>2.6312657601044966</v>
      </c>
      <c r="FV24" s="49">
        <f t="shared" si="818"/>
        <v>2.6312657601044966</v>
      </c>
      <c r="FW24" s="49">
        <f t="shared" si="818"/>
        <v>1.9583318582279168</v>
      </c>
      <c r="FX24" s="49">
        <f t="shared" si="818"/>
        <v>1.9583318582279168</v>
      </c>
      <c r="FY24" s="49">
        <f t="shared" si="818"/>
        <v>2.2816303497226653</v>
      </c>
      <c r="FZ24" s="49">
        <f t="shared" si="818"/>
        <v>2.2816303497226653</v>
      </c>
      <c r="GA24" s="49">
        <f t="shared" si="818"/>
        <v>2.5206653005358426</v>
      </c>
      <c r="GB24" s="49">
        <f t="shared" si="818"/>
        <v>2.5206653005358426</v>
      </c>
      <c r="GC24" s="49">
        <f t="shared" si="818"/>
        <v>2.5610495362393211</v>
      </c>
      <c r="GD24" s="49">
        <f t="shared" si="818"/>
        <v>2.5610495362393211</v>
      </c>
      <c r="GE24" s="49">
        <f t="shared" si="818"/>
        <v>0</v>
      </c>
      <c r="GF24" s="49">
        <f t="shared" si="818"/>
        <v>0</v>
      </c>
      <c r="GG24" s="49">
        <f t="shared" si="819"/>
        <v>1.8522652873013568</v>
      </c>
      <c r="GH24" s="49">
        <f t="shared" si="820"/>
        <v>1.8522652873013568</v>
      </c>
      <c r="GI24" s="49">
        <f t="shared" si="821"/>
        <v>2.5610495362393211</v>
      </c>
      <c r="GJ24" s="49">
        <f t="shared" si="822"/>
        <v>2.5610495362393211</v>
      </c>
      <c r="GM24" s="149" t="s">
        <v>209</v>
      </c>
      <c r="GN24" s="49">
        <f t="shared" si="823"/>
        <v>2.8717076711621705</v>
      </c>
      <c r="GO24" s="49">
        <f t="shared" si="823"/>
        <v>2.8717076711621705</v>
      </c>
      <c r="GP24" s="49">
        <f t="shared" si="823"/>
        <v>2.1372818759785925</v>
      </c>
      <c r="GQ24" s="49">
        <f t="shared" si="823"/>
        <v>2.1372818759785925</v>
      </c>
      <c r="GR24" s="49">
        <f t="shared" si="823"/>
        <v>2.4901229960879334</v>
      </c>
      <c r="GS24" s="49">
        <f t="shared" si="823"/>
        <v>2.4901229960879334</v>
      </c>
      <c r="GT24" s="49">
        <f t="shared" si="823"/>
        <v>2.751000674175005</v>
      </c>
      <c r="GU24" s="49">
        <f t="shared" si="823"/>
        <v>2.751000674175005</v>
      </c>
      <c r="GV24" s="49">
        <f t="shared" si="823"/>
        <v>2.7950751729284469</v>
      </c>
      <c r="GW24" s="49">
        <f t="shared" si="823"/>
        <v>2.7950751729284469</v>
      </c>
      <c r="GX24" s="49">
        <f t="shared" si="823"/>
        <v>0</v>
      </c>
      <c r="GY24" s="49">
        <f t="shared" si="823"/>
        <v>0</v>
      </c>
      <c r="GZ24" s="49">
        <f t="shared" si="824"/>
        <v>2.0215230689428596</v>
      </c>
      <c r="HA24" s="49">
        <f t="shared" si="825"/>
        <v>2.0215230689428596</v>
      </c>
      <c r="HB24" s="49">
        <f t="shared" si="826"/>
        <v>2.7950751729284469</v>
      </c>
      <c r="HC24" s="49">
        <f t="shared" si="827"/>
        <v>2.7950751729284469</v>
      </c>
      <c r="HF24" s="149" t="s">
        <v>209</v>
      </c>
      <c r="HG24" s="49">
        <f t="shared" si="828"/>
        <v>66.010821268402452</v>
      </c>
      <c r="HH24" s="49">
        <f t="shared" si="828"/>
        <v>66.010821268402452</v>
      </c>
      <c r="HI24" s="49">
        <f t="shared" si="828"/>
        <v>49.128862708481279</v>
      </c>
      <c r="HJ24" s="49">
        <f t="shared" si="828"/>
        <v>49.128862708481279</v>
      </c>
      <c r="HK24" s="49">
        <f t="shared" si="828"/>
        <v>57.239483559472944</v>
      </c>
      <c r="HL24" s="49">
        <f t="shared" si="828"/>
        <v>57.239483559472944</v>
      </c>
      <c r="HM24" s="49">
        <f t="shared" si="828"/>
        <v>63.236176730596561</v>
      </c>
      <c r="HN24" s="49">
        <f t="shared" si="828"/>
        <v>63.236176730596561</v>
      </c>
      <c r="HO24" s="49">
        <f t="shared" si="828"/>
        <v>64.24929999830384</v>
      </c>
      <c r="HP24" s="49">
        <f t="shared" si="828"/>
        <v>64.24929999830384</v>
      </c>
      <c r="HQ24" s="49">
        <f t="shared" si="828"/>
        <v>0</v>
      </c>
      <c r="HR24" s="49">
        <f t="shared" si="828"/>
        <v>0</v>
      </c>
      <c r="HS24" s="49">
        <f t="shared" si="829"/>
        <v>46.46796027812114</v>
      </c>
      <c r="HT24" s="49">
        <f t="shared" si="830"/>
        <v>46.46796027812114</v>
      </c>
      <c r="HU24" s="49">
        <f t="shared" si="831"/>
        <v>64.24929999830384</v>
      </c>
      <c r="HV24" s="49">
        <f t="shared" si="832"/>
        <v>64.24929999830384</v>
      </c>
      <c r="HY24" s="342" t="s">
        <v>539</v>
      </c>
      <c r="HZ24" s="338">
        <f t="shared" si="574"/>
        <v>5.4130504871473598E-2</v>
      </c>
      <c r="IA24" s="338">
        <f t="shared" si="575"/>
        <v>5.4130504871473598E-2</v>
      </c>
      <c r="IB24" s="338">
        <f t="shared" si="576"/>
        <v>4.0286881621398186E-2</v>
      </c>
      <c r="IC24" s="338">
        <f t="shared" si="577"/>
        <v>4.0286881621398186E-2</v>
      </c>
      <c r="ID24" s="338">
        <f t="shared" si="578"/>
        <v>4.6937791170003247E-2</v>
      </c>
      <c r="IE24" s="338">
        <f t="shared" si="579"/>
        <v>4.6937791170003247E-2</v>
      </c>
      <c r="IF24" s="338">
        <f t="shared" si="580"/>
        <v>5.1855227776228571E-2</v>
      </c>
      <c r="IG24" s="338">
        <f t="shared" si="581"/>
        <v>5.1855227776228571E-2</v>
      </c>
      <c r="IH24" s="338">
        <f t="shared" si="582"/>
        <v>5.2686013894690076E-2</v>
      </c>
      <c r="II24" s="338">
        <f t="shared" si="583"/>
        <v>5.2686013894690076E-2</v>
      </c>
      <c r="IJ24" s="338">
        <f t="shared" si="584"/>
        <v>0</v>
      </c>
      <c r="IK24" s="338">
        <f t="shared" si="585"/>
        <v>0</v>
      </c>
      <c r="IL24" s="338">
        <f t="shared" si="586"/>
        <v>3.8104875865349955E-2</v>
      </c>
      <c r="IM24" s="338">
        <f t="shared" si="587"/>
        <v>3.8104875865349955E-2</v>
      </c>
      <c r="IN24" s="338">
        <f t="shared" si="588"/>
        <v>5.2686013894690076E-2</v>
      </c>
      <c r="IO24" s="338">
        <f t="shared" si="589"/>
        <v>5.2686013894690076E-2</v>
      </c>
      <c r="IR24" s="342" t="s">
        <v>539</v>
      </c>
      <c r="IS24" s="338">
        <f t="shared" si="590"/>
        <v>3.4827175679210094</v>
      </c>
      <c r="IT24" s="338">
        <f t="shared" si="591"/>
        <v>3.4827175679210094</v>
      </c>
      <c r="IU24" s="338">
        <f t="shared" si="592"/>
        <v>2.5920288516196486</v>
      </c>
      <c r="IV24" s="338">
        <f t="shared" si="593"/>
        <v>2.5920288516196486</v>
      </c>
      <c r="IW24" s="338">
        <f t="shared" si="594"/>
        <v>3.0199435659305305</v>
      </c>
      <c r="IX24" s="338">
        <f t="shared" si="595"/>
        <v>3.0199435659305305</v>
      </c>
      <c r="IY24" s="338">
        <f t="shared" si="596"/>
        <v>3.3363278837620851</v>
      </c>
      <c r="IZ24" s="338">
        <f t="shared" si="597"/>
        <v>3.3363278837620851</v>
      </c>
      <c r="JA24" s="338">
        <f t="shared" si="598"/>
        <v>3.3897800622854666</v>
      </c>
      <c r="JB24" s="338">
        <f t="shared" si="599"/>
        <v>3.3897800622854666</v>
      </c>
      <c r="JC24" s="338">
        <f t="shared" si="600"/>
        <v>0</v>
      </c>
      <c r="JD24" s="338">
        <f t="shared" si="601"/>
        <v>0</v>
      </c>
      <c r="JE24" s="338">
        <f t="shared" si="602"/>
        <v>2.4516401780253858</v>
      </c>
      <c r="JF24" s="338">
        <f t="shared" si="603"/>
        <v>2.4516401780253858</v>
      </c>
      <c r="JG24" s="338">
        <f t="shared" si="604"/>
        <v>3.3897800622854666</v>
      </c>
      <c r="JH24" s="338">
        <f t="shared" si="605"/>
        <v>3.3897800622854666</v>
      </c>
      <c r="JK24" s="342" t="s">
        <v>539</v>
      </c>
      <c r="JL24" s="338">
        <f t="shared" si="606"/>
        <v>3.111178492110565</v>
      </c>
      <c r="JM24" s="338">
        <f t="shared" si="607"/>
        <v>3.111178492110565</v>
      </c>
      <c r="JN24" s="338">
        <f t="shared" si="608"/>
        <v>2.3155091553700178</v>
      </c>
      <c r="JO24" s="338">
        <f t="shared" si="609"/>
        <v>2.3155091553700178</v>
      </c>
      <c r="JP24" s="338">
        <f t="shared" si="610"/>
        <v>2.6977735881463962</v>
      </c>
      <c r="JQ24" s="338">
        <f t="shared" si="611"/>
        <v>2.6977735881463962</v>
      </c>
      <c r="JR24" s="338">
        <f t="shared" si="612"/>
        <v>2.9804057757073861</v>
      </c>
      <c r="JS24" s="338">
        <f t="shared" si="613"/>
        <v>2.9804057757073861</v>
      </c>
      <c r="JT24" s="338">
        <f t="shared" si="614"/>
        <v>3.0281556333789257</v>
      </c>
      <c r="JU24" s="338">
        <f t="shared" si="615"/>
        <v>3.0281556333789257</v>
      </c>
      <c r="JV24" s="338">
        <f t="shared" si="616"/>
        <v>0</v>
      </c>
      <c r="JW24" s="338">
        <f t="shared" si="617"/>
        <v>0</v>
      </c>
      <c r="JX24" s="338">
        <f t="shared" si="618"/>
        <v>2.1900972569589929</v>
      </c>
      <c r="JY24" s="338">
        <f t="shared" si="619"/>
        <v>2.1900972569589929</v>
      </c>
      <c r="JZ24" s="338">
        <f t="shared" si="620"/>
        <v>3.0281556333789257</v>
      </c>
      <c r="KA24" s="338">
        <f t="shared" si="621"/>
        <v>3.0281556333789257</v>
      </c>
      <c r="KD24" s="342" t="s">
        <v>539</v>
      </c>
      <c r="KE24" s="338">
        <f t="shared" si="622"/>
        <v>0.35497227854613139</v>
      </c>
      <c r="KF24" s="338">
        <f t="shared" si="623"/>
        <v>0.35497227854613139</v>
      </c>
      <c r="KG24" s="338">
        <f t="shared" si="624"/>
        <v>0.26418977984080033</v>
      </c>
      <c r="KH24" s="338">
        <f t="shared" si="625"/>
        <v>0.26418977984080033</v>
      </c>
      <c r="KI24" s="338">
        <f t="shared" si="626"/>
        <v>0.30780453131001734</v>
      </c>
      <c r="KJ24" s="338">
        <f t="shared" si="627"/>
        <v>0.30780453131001734</v>
      </c>
      <c r="KK24" s="338">
        <f t="shared" si="628"/>
        <v>0.34005166591300262</v>
      </c>
      <c r="KL24" s="338">
        <f t="shared" si="629"/>
        <v>0.34005166591300262</v>
      </c>
      <c r="KM24" s="338">
        <f t="shared" si="630"/>
        <v>0.34549972227521453</v>
      </c>
      <c r="KN24" s="338">
        <f t="shared" si="631"/>
        <v>0.34549972227521453</v>
      </c>
      <c r="KO24" s="338">
        <f t="shared" si="632"/>
        <v>0</v>
      </c>
      <c r="KP24" s="338">
        <f t="shared" si="633"/>
        <v>0</v>
      </c>
      <c r="KQ24" s="338">
        <f t="shared" si="634"/>
        <v>0.24988081381758856</v>
      </c>
      <c r="KR24" s="338">
        <f t="shared" si="635"/>
        <v>0.24988081381758856</v>
      </c>
      <c r="KS24" s="338">
        <f t="shared" si="636"/>
        <v>0.34549972227521453</v>
      </c>
      <c r="KT24" s="338">
        <f t="shared" si="637"/>
        <v>0.34549972227521453</v>
      </c>
      <c r="KW24" s="342" t="s">
        <v>539</v>
      </c>
      <c r="KX24" s="338">
        <f t="shared" si="638"/>
        <v>3.6775182438425333</v>
      </c>
      <c r="KY24" s="338">
        <f t="shared" si="639"/>
        <v>3.6775182438425333</v>
      </c>
      <c r="KZ24" s="338">
        <f t="shared" si="640"/>
        <v>2.7370101664855033</v>
      </c>
      <c r="LA24" s="338">
        <f t="shared" si="641"/>
        <v>2.7370101664855033</v>
      </c>
      <c r="LB24" s="338">
        <f t="shared" si="642"/>
        <v>3.1888596598758978</v>
      </c>
      <c r="LC24" s="338">
        <f t="shared" si="643"/>
        <v>3.1888596598758978</v>
      </c>
      <c r="LD24" s="338">
        <f t="shared" si="644"/>
        <v>3.5229404683825054</v>
      </c>
      <c r="LE24" s="338">
        <f t="shared" si="645"/>
        <v>3.5229404683825054</v>
      </c>
      <c r="LF24" s="338">
        <f t="shared" si="646"/>
        <v>3.5793824157581593</v>
      </c>
      <c r="LG24" s="338">
        <f t="shared" si="647"/>
        <v>3.5793824157581593</v>
      </c>
      <c r="LH24" s="338">
        <f t="shared" si="648"/>
        <v>0</v>
      </c>
      <c r="LI24" s="338">
        <f t="shared" si="649"/>
        <v>0</v>
      </c>
      <c r="LJ24" s="338">
        <f t="shared" si="650"/>
        <v>2.5887690592745196</v>
      </c>
      <c r="LK24" s="338">
        <f t="shared" si="651"/>
        <v>2.5887690592745196</v>
      </c>
      <c r="LL24" s="338">
        <f t="shared" si="652"/>
        <v>3.5793824157581593</v>
      </c>
      <c r="LM24" s="338">
        <f t="shared" si="653"/>
        <v>3.5793824157581593</v>
      </c>
      <c r="LP24" s="342" t="s">
        <v>539</v>
      </c>
      <c r="LQ24" s="338">
        <f t="shared" si="654"/>
        <v>2.7926609362667965E-3</v>
      </c>
      <c r="LR24" s="338">
        <f t="shared" si="655"/>
        <v>2.7926609362667965E-3</v>
      </c>
      <c r="LS24" s="338">
        <f t="shared" si="656"/>
        <v>2.078450973535519E-3</v>
      </c>
      <c r="LT24" s="338">
        <f t="shared" si="657"/>
        <v>2.078450973535519E-3</v>
      </c>
      <c r="LU24" s="338">
        <f t="shared" si="658"/>
        <v>2.4215797755138915E-3</v>
      </c>
      <c r="LV24" s="338">
        <f t="shared" si="659"/>
        <v>2.4215797755138915E-3</v>
      </c>
      <c r="LW24" s="338">
        <f t="shared" si="660"/>
        <v>2.6752765246829701E-3</v>
      </c>
      <c r="LX24" s="338">
        <f t="shared" si="661"/>
        <v>2.6752765246829701E-3</v>
      </c>
      <c r="LY24" s="338">
        <f t="shared" si="662"/>
        <v>2.718137827102539E-3</v>
      </c>
      <c r="LZ24" s="338">
        <f t="shared" si="663"/>
        <v>2.718137827102539E-3</v>
      </c>
      <c r="MA24" s="338">
        <f t="shared" si="664"/>
        <v>0</v>
      </c>
      <c r="MB24" s="338">
        <f t="shared" si="665"/>
        <v>0</v>
      </c>
      <c r="MC24" s="338">
        <f t="shared" si="666"/>
        <v>1.9658785478377776E-3</v>
      </c>
      <c r="MD24" s="338">
        <f t="shared" si="667"/>
        <v>1.9658785478377776E-3</v>
      </c>
      <c r="ME24" s="338">
        <f t="shared" si="668"/>
        <v>2.718137827102539E-3</v>
      </c>
      <c r="MF24" s="338">
        <f t="shared" si="669"/>
        <v>2.718137827102539E-3</v>
      </c>
      <c r="MI24" s="342" t="s">
        <v>539</v>
      </c>
      <c r="MJ24" s="338">
        <f t="shared" si="670"/>
        <v>3.0921451259686813E-2</v>
      </c>
      <c r="MK24" s="338">
        <f t="shared" si="671"/>
        <v>3.0921451259686813E-2</v>
      </c>
      <c r="ML24" s="338">
        <f t="shared" si="672"/>
        <v>2.3013434835286881E-2</v>
      </c>
      <c r="MM24" s="338">
        <f t="shared" si="673"/>
        <v>2.3013434835286881E-2</v>
      </c>
      <c r="MN24" s="338">
        <f t="shared" si="674"/>
        <v>2.6812693237329904E-2</v>
      </c>
      <c r="MO24" s="338">
        <f t="shared" si="675"/>
        <v>2.6812693237329904E-2</v>
      </c>
      <c r="MP24" s="338">
        <f t="shared" si="676"/>
        <v>2.9621724424144638E-2</v>
      </c>
      <c r="MQ24" s="338">
        <f t="shared" si="677"/>
        <v>2.9621724424144638E-2</v>
      </c>
      <c r="MR24" s="338">
        <f t="shared" si="678"/>
        <v>3.0096301791014343E-2</v>
      </c>
      <c r="MS24" s="338">
        <f t="shared" si="679"/>
        <v>3.0096301791014343E-2</v>
      </c>
      <c r="MT24" s="338">
        <f t="shared" si="680"/>
        <v>0</v>
      </c>
      <c r="MU24" s="338">
        <f t="shared" si="681"/>
        <v>0</v>
      </c>
      <c r="MV24" s="338">
        <f t="shared" si="682"/>
        <v>2.1766988219017496E-2</v>
      </c>
      <c r="MW24" s="338">
        <f t="shared" si="683"/>
        <v>2.1766988219017496E-2</v>
      </c>
      <c r="MX24" s="338">
        <f t="shared" si="684"/>
        <v>3.0096301791014343E-2</v>
      </c>
      <c r="MY24" s="338">
        <f t="shared" si="685"/>
        <v>3.0096301791014343E-2</v>
      </c>
      <c r="NB24" s="342" t="s">
        <v>539</v>
      </c>
      <c r="NC24" s="338">
        <f t="shared" si="686"/>
        <v>2.9266713713474064E-2</v>
      </c>
      <c r="ND24" s="338">
        <f t="shared" si="687"/>
        <v>2.9266713713474064E-2</v>
      </c>
      <c r="NE24" s="338">
        <f t="shared" si="688"/>
        <v>2.1781888671122289E-2</v>
      </c>
      <c r="NF24" s="338">
        <f t="shared" si="689"/>
        <v>2.1781888671122289E-2</v>
      </c>
      <c r="NG24" s="338">
        <f t="shared" si="690"/>
        <v>2.537783269853177E-2</v>
      </c>
      <c r="NH24" s="338">
        <f t="shared" si="691"/>
        <v>2.537783269853177E-2</v>
      </c>
      <c r="NI24" s="338">
        <f t="shared" si="692"/>
        <v>2.8036540754188526E-2</v>
      </c>
      <c r="NJ24" s="338">
        <f t="shared" si="693"/>
        <v>2.8036540754188526E-2</v>
      </c>
      <c r="NK24" s="338">
        <f t="shared" si="694"/>
        <v>2.848572148035897E-2</v>
      </c>
      <c r="NL24" s="338">
        <f t="shared" si="695"/>
        <v>2.848572148035897E-2</v>
      </c>
      <c r="NM24" s="338">
        <f t="shared" si="696"/>
        <v>0</v>
      </c>
      <c r="NN24" s="338">
        <f t="shared" si="697"/>
        <v>0</v>
      </c>
      <c r="NO24" s="338">
        <f t="shared" si="698"/>
        <v>2.0602144681387768E-2</v>
      </c>
      <c r="NP24" s="338">
        <f t="shared" si="699"/>
        <v>2.0602144681387768E-2</v>
      </c>
      <c r="NQ24" s="338">
        <f t="shared" si="700"/>
        <v>2.848572148035897E-2</v>
      </c>
      <c r="NR24" s="338">
        <f t="shared" si="701"/>
        <v>2.848572148035897E-2</v>
      </c>
    </row>
    <row r="25" spans="2:382" ht="14.25" customHeight="1" x14ac:dyDescent="0.25">
      <c r="B25" s="734"/>
      <c r="C25" s="149" t="s">
        <v>210</v>
      </c>
      <c r="D25" s="193"/>
      <c r="E25" s="194"/>
      <c r="F25" s="143">
        <f>'CAM Characteristics'!D60/1000</f>
        <v>0.84623930221046417</v>
      </c>
      <c r="G25" s="127">
        <f>'CAM Characteristics'!D60/1000</f>
        <v>0.84623930221046417</v>
      </c>
      <c r="H25" s="143">
        <f>'CAM Characteristics'!E60/1000</f>
        <v>0.54774658990713665</v>
      </c>
      <c r="I25" s="127">
        <f>'CAM Characteristics'!E60/1000</f>
        <v>0.54774658990713665</v>
      </c>
      <c r="J25" s="143">
        <f>'CAM Characteristics'!F60/1000</f>
        <v>0.22692421827339052</v>
      </c>
      <c r="K25" s="127">
        <f>'CAM Characteristics'!F60/1000</f>
        <v>0.22692421827339052</v>
      </c>
      <c r="L25" s="143">
        <f>'CAM Characteristics'!G60/1000</f>
        <v>0.1024710356952179</v>
      </c>
      <c r="M25" s="127">
        <f>'CAM Characteristics'!G60/1000</f>
        <v>0.1024710356952179</v>
      </c>
      <c r="N25" s="143"/>
      <c r="O25" s="127"/>
      <c r="P25" s="143">
        <f>'CAM Characteristics'!I60/1000</f>
        <v>0.66700462336898936</v>
      </c>
      <c r="Q25" s="143">
        <f>'CAM Characteristics'!I60/1000</f>
        <v>0.66700462336898936</v>
      </c>
      <c r="R25" s="143">
        <f>'CAM Characteristics'!J60/1000</f>
        <v>0.1024710356952179</v>
      </c>
      <c r="S25" s="127">
        <f>'CAM Characteristics'!J60/1000</f>
        <v>0.1024710356952179</v>
      </c>
      <c r="T25" s="318"/>
      <c r="U25" s="119"/>
      <c r="V25" s="149" t="s">
        <v>210</v>
      </c>
      <c r="W25" s="100">
        <f>'Ecoinvent 3.10'!M13</f>
        <v>3.7112092540486947</v>
      </c>
      <c r="X25" s="100">
        <f>'Ecoinvent 3.10'!N13</f>
        <v>0.90739000000000003</v>
      </c>
      <c r="Y25" s="100">
        <f>'Ecoinvent 3.10'!O13</f>
        <v>14.454000000000001</v>
      </c>
      <c r="Z25" s="100">
        <f>'Ecoinvent 3.10'!P13</f>
        <v>2.3278E-2</v>
      </c>
      <c r="AA25" s="100">
        <f>'Ecoinvent 3.10'!Q13</f>
        <v>5.9894999999999997E-2</v>
      </c>
      <c r="AB25" s="100">
        <f>'Ecoinvent 3.10'!R13</f>
        <v>8.5038000000000006E-3</v>
      </c>
      <c r="AC25" s="100">
        <f>'Ecoinvent 3.10'!S13</f>
        <v>3.3126E-4</v>
      </c>
      <c r="AD25" s="100">
        <f>'Ecoinvent 3.10'!T13</f>
        <v>8.5722000000000007E-2</v>
      </c>
      <c r="AE25" s="100">
        <f>'Ecoinvent 3.10'!U13</f>
        <v>0.24201</v>
      </c>
      <c r="AF25" s="100">
        <f>'Ecoinvent 3.10'!V13</f>
        <v>1.9912000000000001</v>
      </c>
      <c r="AG25" s="328">
        <f>'Ecoinvent 3.10'!W13</f>
        <v>7.3965000000000003E-3</v>
      </c>
      <c r="AH25" s="328">
        <f>'Ecoinvent 3.10'!X13</f>
        <v>0.23435</v>
      </c>
      <c r="AI25" s="328">
        <f>'Ecoinvent 3.10'!Y13</f>
        <v>7.3612999999999998E-2</v>
      </c>
      <c r="AJ25" s="328">
        <f>'Ecoinvent 3.10'!Z13</f>
        <v>3.8766000000000002E-2</v>
      </c>
      <c r="AK25" s="328">
        <f>'Ecoinvent 3.10'!AA13</f>
        <v>0.12525</v>
      </c>
      <c r="AL25" s="328">
        <f>'Ecoinvent 3.10'!AB13</f>
        <v>2.4732E-5</v>
      </c>
      <c r="AM25" s="328">
        <f>'Ecoinvent 3.10'!AC13</f>
        <v>3.0370000000000002E-3</v>
      </c>
      <c r="AN25" s="328">
        <f>'Ecoinvent 3.10'!AD13</f>
        <v>2.9518000000000001E-3</v>
      </c>
      <c r="AO25" s="119"/>
      <c r="AP25" s="8"/>
      <c r="AQ25" s="149" t="s">
        <v>210</v>
      </c>
      <c r="AR25" s="49">
        <f t="shared" si="739"/>
        <v>0</v>
      </c>
      <c r="AS25" s="50">
        <f t="shared" si="739"/>
        <v>0</v>
      </c>
      <c r="AT25" s="49">
        <f t="shared" si="739"/>
        <v>3.1405711295031846</v>
      </c>
      <c r="AU25" s="50">
        <f t="shared" si="739"/>
        <v>3.1405711295031846</v>
      </c>
      <c r="AV25" s="49">
        <f t="shared" si="739"/>
        <v>2.0328022133369807</v>
      </c>
      <c r="AW25" s="50">
        <f t="shared" si="739"/>
        <v>2.0328022133369807</v>
      </c>
      <c r="AX25" s="49">
        <f t="shared" si="739"/>
        <v>0.8421632588239728</v>
      </c>
      <c r="AY25" s="50">
        <f t="shared" si="739"/>
        <v>0.8421632588239728</v>
      </c>
      <c r="AZ25" s="49">
        <f t="shared" si="739"/>
        <v>0.38029145594404679</v>
      </c>
      <c r="BA25" s="50">
        <f t="shared" si="739"/>
        <v>0.38029145594404679</v>
      </c>
      <c r="BB25" s="49">
        <f t="shared" si="739"/>
        <v>0</v>
      </c>
      <c r="BC25" s="50">
        <f t="shared" si="739"/>
        <v>0</v>
      </c>
      <c r="BD25" s="49">
        <f t="shared" si="740"/>
        <v>2.4753937307402576</v>
      </c>
      <c r="BE25" s="50">
        <f t="shared" si="741"/>
        <v>2.4753937307402576</v>
      </c>
      <c r="BF25" s="49">
        <f t="shared" si="742"/>
        <v>0.38029145594404679</v>
      </c>
      <c r="BG25" s="50">
        <f t="shared" si="743"/>
        <v>0.38029145594404679</v>
      </c>
      <c r="BI25" s="156"/>
      <c r="BJ25" s="149" t="s">
        <v>210</v>
      </c>
      <c r="BK25" s="49">
        <f t="shared" si="744"/>
        <v>0</v>
      </c>
      <c r="BL25" s="49">
        <f t="shared" si="745"/>
        <v>0</v>
      </c>
      <c r="BM25" s="49">
        <f t="shared" si="746"/>
        <v>0.76786908043275315</v>
      </c>
      <c r="BN25" s="49">
        <f t="shared" si="747"/>
        <v>0.76786908043275315</v>
      </c>
      <c r="BO25" s="49">
        <f t="shared" si="748"/>
        <v>0.49701977821583676</v>
      </c>
      <c r="BP25" s="49">
        <f t="shared" si="749"/>
        <v>0.49701977821583676</v>
      </c>
      <c r="BQ25" s="49">
        <f t="shared" si="750"/>
        <v>0.20590876641909184</v>
      </c>
      <c r="BR25" s="49">
        <f t="shared" si="751"/>
        <v>0.20590876641909184</v>
      </c>
      <c r="BS25" s="49">
        <f t="shared" si="752"/>
        <v>9.298119307948377E-2</v>
      </c>
      <c r="BT25" s="49">
        <f t="shared" si="753"/>
        <v>9.298119307948377E-2</v>
      </c>
      <c r="BU25" s="49">
        <f t="shared" si="754"/>
        <v>0</v>
      </c>
      <c r="BV25" s="49">
        <f t="shared" si="755"/>
        <v>0</v>
      </c>
      <c r="BW25" s="49">
        <f t="shared" si="756"/>
        <v>0.60523332519878725</v>
      </c>
      <c r="BX25" s="49">
        <f t="shared" si="757"/>
        <v>0.60523332519878725</v>
      </c>
      <c r="BY25" s="49">
        <f t="shared" si="758"/>
        <v>9.298119307948377E-2</v>
      </c>
      <c r="BZ25" s="49">
        <f t="shared" si="759"/>
        <v>9.298119307948377E-2</v>
      </c>
      <c r="CA25" s="156"/>
      <c r="CB25" s="156"/>
      <c r="CC25" s="149" t="s">
        <v>210</v>
      </c>
      <c r="CD25" s="49">
        <f t="shared" si="760"/>
        <v>0</v>
      </c>
      <c r="CE25" s="49">
        <f t="shared" si="761"/>
        <v>0</v>
      </c>
      <c r="CF25" s="49">
        <f t="shared" si="762"/>
        <v>12.231542874150049</v>
      </c>
      <c r="CG25" s="49">
        <f t="shared" si="763"/>
        <v>12.231542874150049</v>
      </c>
      <c r="CH25" s="49">
        <f t="shared" si="764"/>
        <v>7.9171292105177535</v>
      </c>
      <c r="CI25" s="49">
        <f t="shared" si="765"/>
        <v>7.9171292105177535</v>
      </c>
      <c r="CJ25" s="49">
        <f t="shared" si="766"/>
        <v>3.2799626509235869</v>
      </c>
      <c r="CK25" s="49">
        <f t="shared" si="767"/>
        <v>3.2799626509235869</v>
      </c>
      <c r="CL25" s="49">
        <f t="shared" si="768"/>
        <v>1.4811163499386797</v>
      </c>
      <c r="CM25" s="49">
        <f t="shared" si="769"/>
        <v>1.4811163499386797</v>
      </c>
      <c r="CN25" s="49">
        <f t="shared" si="770"/>
        <v>0</v>
      </c>
      <c r="CO25" s="220">
        <f t="shared" si="771"/>
        <v>0</v>
      </c>
      <c r="CP25" s="49">
        <f t="shared" si="772"/>
        <v>9.6408848261753732</v>
      </c>
      <c r="CQ25" s="49">
        <f t="shared" si="773"/>
        <v>9.6408848261753732</v>
      </c>
      <c r="CR25" s="49">
        <f t="shared" si="774"/>
        <v>1.4811163499386797</v>
      </c>
      <c r="CS25" s="220">
        <f t="shared" si="775"/>
        <v>1.4811163499386797</v>
      </c>
      <c r="CV25" s="149" t="s">
        <v>210</v>
      </c>
      <c r="CW25" s="49">
        <f t="shared" si="776"/>
        <v>0</v>
      </c>
      <c r="CX25" s="49">
        <f t="shared" si="777"/>
        <v>0</v>
      </c>
      <c r="CY25" s="49">
        <f t="shared" si="778"/>
        <v>1.9698758476855184E-2</v>
      </c>
      <c r="CZ25" s="49">
        <f t="shared" si="779"/>
        <v>1.9698758476855184E-2</v>
      </c>
      <c r="DA25" s="49">
        <f t="shared" si="780"/>
        <v>1.2750445119858327E-2</v>
      </c>
      <c r="DB25" s="49">
        <f t="shared" si="781"/>
        <v>1.2750445119858327E-2</v>
      </c>
      <c r="DC25" s="49">
        <f t="shared" si="782"/>
        <v>5.2823419529679843E-3</v>
      </c>
      <c r="DD25" s="49">
        <f t="shared" si="783"/>
        <v>5.2823419529679843E-3</v>
      </c>
      <c r="DE25" s="49">
        <f t="shared" si="784"/>
        <v>2.3853207689132822E-3</v>
      </c>
      <c r="DF25" s="49">
        <f t="shared" si="785"/>
        <v>2.3853207689132822E-3</v>
      </c>
      <c r="DG25" s="49">
        <f t="shared" si="786"/>
        <v>0</v>
      </c>
      <c r="DH25" s="49">
        <f t="shared" si="787"/>
        <v>0</v>
      </c>
      <c r="DI25" s="49">
        <f t="shared" si="788"/>
        <v>1.5526533622783334E-2</v>
      </c>
      <c r="DJ25" s="49">
        <f t="shared" si="789"/>
        <v>1.5526533622783334E-2</v>
      </c>
      <c r="DK25" s="49">
        <f t="shared" si="790"/>
        <v>2.3853207689132822E-3</v>
      </c>
      <c r="DL25" s="49">
        <f t="shared" si="791"/>
        <v>2.3853207689132822E-3</v>
      </c>
      <c r="DO25" s="149" t="s">
        <v>210</v>
      </c>
      <c r="DP25" s="49">
        <f t="shared" si="792"/>
        <v>0</v>
      </c>
      <c r="DQ25" s="49">
        <f t="shared" si="793"/>
        <v>0</v>
      </c>
      <c r="DR25" s="49">
        <f t="shared" si="794"/>
        <v>5.0685503005895749E-2</v>
      </c>
      <c r="DS25" s="49">
        <f t="shared" si="795"/>
        <v>5.0685503005895749E-2</v>
      </c>
      <c r="DT25" s="49">
        <f t="shared" si="796"/>
        <v>3.2807282002487947E-2</v>
      </c>
      <c r="DU25" s="49">
        <f t="shared" si="797"/>
        <v>3.2807282002487947E-2</v>
      </c>
      <c r="DV25" s="49">
        <f t="shared" si="798"/>
        <v>1.3591626053484724E-2</v>
      </c>
      <c r="DW25" s="49">
        <f t="shared" si="799"/>
        <v>1.3591626053484724E-2</v>
      </c>
      <c r="DX25" s="49">
        <f t="shared" si="800"/>
        <v>6.1375026829650755E-3</v>
      </c>
      <c r="DY25" s="49">
        <f t="shared" si="801"/>
        <v>6.1375026829650755E-3</v>
      </c>
      <c r="DZ25" s="49">
        <f t="shared" si="802"/>
        <v>0</v>
      </c>
      <c r="EA25" s="49">
        <f t="shared" si="803"/>
        <v>0</v>
      </c>
      <c r="EB25" s="49">
        <f t="shared" si="804"/>
        <v>3.9950241916685614E-2</v>
      </c>
      <c r="EC25" s="49">
        <f t="shared" si="805"/>
        <v>3.9950241916685614E-2</v>
      </c>
      <c r="ED25" s="49">
        <f t="shared" si="806"/>
        <v>6.1375026829650755E-3</v>
      </c>
      <c r="EE25" s="49">
        <f t="shared" si="807"/>
        <v>6.1375026829650755E-3</v>
      </c>
      <c r="EH25" s="149" t="s">
        <v>210</v>
      </c>
      <c r="EI25" s="49">
        <f t="shared" si="808"/>
        <v>0</v>
      </c>
      <c r="EJ25" s="49">
        <f t="shared" si="808"/>
        <v>0</v>
      </c>
      <c r="EK25" s="49">
        <f t="shared" si="808"/>
        <v>7.1962497781373454E-3</v>
      </c>
      <c r="EL25" s="49">
        <f t="shared" si="808"/>
        <v>7.1962497781373454E-3</v>
      </c>
      <c r="EM25" s="49">
        <f t="shared" si="808"/>
        <v>4.657927451252309E-3</v>
      </c>
      <c r="EN25" s="49">
        <f t="shared" si="808"/>
        <v>4.657927451252309E-3</v>
      </c>
      <c r="EO25" s="49">
        <f t="shared" si="808"/>
        <v>1.9297181673532584E-3</v>
      </c>
      <c r="EP25" s="49">
        <f t="shared" si="808"/>
        <v>1.9297181673532584E-3</v>
      </c>
      <c r="EQ25" s="49">
        <f t="shared" si="808"/>
        <v>8.7139319334499402E-4</v>
      </c>
      <c r="ER25" s="49">
        <f t="shared" si="808"/>
        <v>8.7139319334499402E-4</v>
      </c>
      <c r="ES25" s="49">
        <f t="shared" si="808"/>
        <v>0</v>
      </c>
      <c r="ET25" s="49">
        <f t="shared" si="808"/>
        <v>0</v>
      </c>
      <c r="EU25" s="49">
        <f t="shared" si="809"/>
        <v>5.6720739162052121E-3</v>
      </c>
      <c r="EV25" s="49">
        <f t="shared" si="810"/>
        <v>5.6720739162052121E-3</v>
      </c>
      <c r="EW25" s="49">
        <f t="shared" si="811"/>
        <v>8.7139319334499402E-4</v>
      </c>
      <c r="EX25" s="49">
        <f t="shared" si="812"/>
        <v>8.7139319334499402E-4</v>
      </c>
      <c r="FA25" s="149" t="s">
        <v>210</v>
      </c>
      <c r="FB25" s="53">
        <f t="shared" si="813"/>
        <v>0</v>
      </c>
      <c r="FC25" s="53">
        <f t="shared" si="813"/>
        <v>0</v>
      </c>
      <c r="FD25" s="53">
        <f t="shared" si="813"/>
        <v>2.8032523125023836E-4</v>
      </c>
      <c r="FE25" s="53">
        <f t="shared" si="813"/>
        <v>2.8032523125023836E-4</v>
      </c>
      <c r="FF25" s="53">
        <f t="shared" si="813"/>
        <v>1.8144653537263808E-4</v>
      </c>
      <c r="FG25" s="53">
        <f t="shared" si="813"/>
        <v>1.8144653537263808E-4</v>
      </c>
      <c r="FH25" s="53">
        <f t="shared" si="813"/>
        <v>7.5170916545243347E-5</v>
      </c>
      <c r="FI25" s="53">
        <f t="shared" si="813"/>
        <v>7.5170916545243347E-5</v>
      </c>
      <c r="FJ25" s="53">
        <f t="shared" si="813"/>
        <v>3.3944555284397882E-5</v>
      </c>
      <c r="FK25" s="53">
        <f t="shared" si="813"/>
        <v>3.3944555284397882E-5</v>
      </c>
      <c r="FL25" s="53">
        <f t="shared" si="813"/>
        <v>0</v>
      </c>
      <c r="FM25" s="53">
        <f t="shared" si="813"/>
        <v>0</v>
      </c>
      <c r="FN25" s="53">
        <f t="shared" si="814"/>
        <v>2.209519515372114E-4</v>
      </c>
      <c r="FO25" s="53">
        <f t="shared" si="815"/>
        <v>2.209519515372114E-4</v>
      </c>
      <c r="FP25" s="53">
        <f t="shared" si="816"/>
        <v>3.3944555284397882E-5</v>
      </c>
      <c r="FQ25" s="53">
        <f t="shared" si="817"/>
        <v>3.3944555284397882E-5</v>
      </c>
      <c r="FT25" s="149" t="s">
        <v>210</v>
      </c>
      <c r="FU25" s="49">
        <f t="shared" si="818"/>
        <v>0</v>
      </c>
      <c r="FV25" s="49">
        <f t="shared" si="818"/>
        <v>0</v>
      </c>
      <c r="FW25" s="49">
        <f t="shared" si="818"/>
        <v>7.2541325464085413E-2</v>
      </c>
      <c r="FX25" s="49">
        <f t="shared" si="818"/>
        <v>7.2541325464085413E-2</v>
      </c>
      <c r="FY25" s="49">
        <f t="shared" si="818"/>
        <v>4.6953933180019572E-2</v>
      </c>
      <c r="FZ25" s="49">
        <f t="shared" si="818"/>
        <v>4.6953933180019572E-2</v>
      </c>
      <c r="GA25" s="49">
        <f t="shared" si="818"/>
        <v>1.9452397838831584E-2</v>
      </c>
      <c r="GB25" s="49">
        <f t="shared" si="818"/>
        <v>1.9452397838831584E-2</v>
      </c>
      <c r="GC25" s="49">
        <f t="shared" si="818"/>
        <v>8.7840221218654698E-3</v>
      </c>
      <c r="GD25" s="49">
        <f t="shared" si="818"/>
        <v>8.7840221218654698E-3</v>
      </c>
      <c r="GE25" s="49">
        <f t="shared" si="818"/>
        <v>0</v>
      </c>
      <c r="GF25" s="49">
        <f t="shared" si="818"/>
        <v>0</v>
      </c>
      <c r="GG25" s="49">
        <f t="shared" si="819"/>
        <v>5.7176970324436513E-2</v>
      </c>
      <c r="GH25" s="49">
        <f t="shared" si="820"/>
        <v>5.7176970324436513E-2</v>
      </c>
      <c r="GI25" s="49">
        <f t="shared" si="821"/>
        <v>8.7840221218654698E-3</v>
      </c>
      <c r="GJ25" s="49">
        <f t="shared" si="822"/>
        <v>8.7840221218654698E-3</v>
      </c>
      <c r="GM25" s="149" t="s">
        <v>210</v>
      </c>
      <c r="GN25" s="49">
        <f t="shared" si="823"/>
        <v>0</v>
      </c>
      <c r="GO25" s="49">
        <f t="shared" si="823"/>
        <v>0</v>
      </c>
      <c r="GP25" s="49">
        <f t="shared" si="823"/>
        <v>0.20479837352795444</v>
      </c>
      <c r="GQ25" s="49">
        <f t="shared" si="823"/>
        <v>0.20479837352795444</v>
      </c>
      <c r="GR25" s="49">
        <f t="shared" si="823"/>
        <v>0.13256015222342615</v>
      </c>
      <c r="GS25" s="49">
        <f t="shared" si="823"/>
        <v>0.13256015222342615</v>
      </c>
      <c r="GT25" s="49">
        <f t="shared" si="823"/>
        <v>5.4917930064343243E-2</v>
      </c>
      <c r="GU25" s="49">
        <f t="shared" si="823"/>
        <v>5.4917930064343243E-2</v>
      </c>
      <c r="GV25" s="49">
        <f t="shared" si="823"/>
        <v>2.4799015348599684E-2</v>
      </c>
      <c r="GW25" s="49">
        <f t="shared" si="823"/>
        <v>2.4799015348599684E-2</v>
      </c>
      <c r="GX25" s="49">
        <f t="shared" si="823"/>
        <v>0</v>
      </c>
      <c r="GY25" s="49">
        <f t="shared" si="823"/>
        <v>0</v>
      </c>
      <c r="GZ25" s="49">
        <f t="shared" si="824"/>
        <v>0.16142178890152911</v>
      </c>
      <c r="HA25" s="49">
        <f t="shared" si="825"/>
        <v>0.16142178890152911</v>
      </c>
      <c r="HB25" s="49">
        <f t="shared" si="826"/>
        <v>2.4799015348599684E-2</v>
      </c>
      <c r="HC25" s="49">
        <f t="shared" si="827"/>
        <v>2.4799015348599684E-2</v>
      </c>
      <c r="HF25" s="149" t="s">
        <v>210</v>
      </c>
      <c r="HG25" s="49">
        <f t="shared" si="828"/>
        <v>0</v>
      </c>
      <c r="HH25" s="49">
        <f t="shared" si="828"/>
        <v>0</v>
      </c>
      <c r="HI25" s="49">
        <f t="shared" si="828"/>
        <v>1.6850316985614764</v>
      </c>
      <c r="HJ25" s="49">
        <f t="shared" si="828"/>
        <v>1.6850316985614764</v>
      </c>
      <c r="HK25" s="49">
        <f t="shared" si="828"/>
        <v>1.0906730098230906</v>
      </c>
      <c r="HL25" s="49">
        <f t="shared" si="828"/>
        <v>1.0906730098230906</v>
      </c>
      <c r="HM25" s="49">
        <f t="shared" si="828"/>
        <v>0.45185150342597519</v>
      </c>
      <c r="HN25" s="49">
        <f t="shared" si="828"/>
        <v>0.45185150342597519</v>
      </c>
      <c r="HO25" s="49">
        <f t="shared" si="828"/>
        <v>0.20404032627631788</v>
      </c>
      <c r="HP25" s="49">
        <f t="shared" si="828"/>
        <v>0.20404032627631788</v>
      </c>
      <c r="HQ25" s="49">
        <f t="shared" si="828"/>
        <v>0</v>
      </c>
      <c r="HR25" s="49">
        <f t="shared" si="828"/>
        <v>0</v>
      </c>
      <c r="HS25" s="49">
        <f t="shared" si="829"/>
        <v>1.3281396060523316</v>
      </c>
      <c r="HT25" s="49">
        <f t="shared" si="830"/>
        <v>1.3281396060523316</v>
      </c>
      <c r="HU25" s="49">
        <f t="shared" si="831"/>
        <v>0.20404032627631788</v>
      </c>
      <c r="HV25" s="49">
        <f t="shared" si="832"/>
        <v>0.20404032627631788</v>
      </c>
      <c r="HY25" s="342" t="s">
        <v>540</v>
      </c>
      <c r="HZ25" s="338">
        <f t="shared" si="574"/>
        <v>0</v>
      </c>
      <c r="IA25" s="338">
        <f t="shared" si="575"/>
        <v>0</v>
      </c>
      <c r="IB25" s="338">
        <f t="shared" si="576"/>
        <v>6.2592089987996988E-3</v>
      </c>
      <c r="IC25" s="338">
        <f t="shared" si="577"/>
        <v>6.2592089987996988E-3</v>
      </c>
      <c r="ID25" s="338">
        <f t="shared" si="578"/>
        <v>4.0514076522481365E-3</v>
      </c>
      <c r="IE25" s="338">
        <f t="shared" si="579"/>
        <v>4.0514076522481365E-3</v>
      </c>
      <c r="IF25" s="338">
        <f t="shared" si="580"/>
        <v>1.678444980459133E-3</v>
      </c>
      <c r="IG25" s="338">
        <f t="shared" si="581"/>
        <v>1.678444980459133E-3</v>
      </c>
      <c r="IH25" s="338">
        <f t="shared" si="582"/>
        <v>7.5792701551967922E-4</v>
      </c>
      <c r="II25" s="338">
        <f t="shared" si="583"/>
        <v>7.5792701551967922E-4</v>
      </c>
      <c r="IJ25" s="338">
        <f t="shared" si="584"/>
        <v>0</v>
      </c>
      <c r="IK25" s="338">
        <f t="shared" si="585"/>
        <v>0</v>
      </c>
      <c r="IL25" s="338">
        <f t="shared" si="586"/>
        <v>4.9334996967487299E-3</v>
      </c>
      <c r="IM25" s="338">
        <f t="shared" si="587"/>
        <v>4.9334996967487299E-3</v>
      </c>
      <c r="IN25" s="338">
        <f t="shared" si="588"/>
        <v>7.5792701551967922E-4</v>
      </c>
      <c r="IO25" s="338">
        <f t="shared" si="589"/>
        <v>7.5792701551967922E-4</v>
      </c>
      <c r="IR25" s="342" t="s">
        <v>540</v>
      </c>
      <c r="IS25" s="338">
        <f t="shared" si="590"/>
        <v>0</v>
      </c>
      <c r="IT25" s="338">
        <f t="shared" si="591"/>
        <v>0</v>
      </c>
      <c r="IU25" s="338">
        <f t="shared" si="592"/>
        <v>0.19831618047302227</v>
      </c>
      <c r="IV25" s="338">
        <f t="shared" si="593"/>
        <v>0.19831618047302227</v>
      </c>
      <c r="IW25" s="338">
        <f t="shared" si="594"/>
        <v>0.12836441334473747</v>
      </c>
      <c r="IX25" s="338">
        <f t="shared" si="595"/>
        <v>0.12836441334473747</v>
      </c>
      <c r="IY25" s="338">
        <f t="shared" si="596"/>
        <v>5.3179690552369069E-2</v>
      </c>
      <c r="IZ25" s="338">
        <f t="shared" si="597"/>
        <v>5.3179690552369069E-2</v>
      </c>
      <c r="JA25" s="338">
        <f t="shared" si="598"/>
        <v>2.4014087215174316E-2</v>
      </c>
      <c r="JB25" s="338">
        <f t="shared" si="599"/>
        <v>2.4014087215174316E-2</v>
      </c>
      <c r="JC25" s="338">
        <f t="shared" si="600"/>
        <v>0</v>
      </c>
      <c r="JD25" s="338">
        <f t="shared" si="601"/>
        <v>0</v>
      </c>
      <c r="JE25" s="338">
        <f t="shared" si="602"/>
        <v>0.15631253348652266</v>
      </c>
      <c r="JF25" s="338">
        <f t="shared" si="603"/>
        <v>0.15631253348652266</v>
      </c>
      <c r="JG25" s="338">
        <f t="shared" si="604"/>
        <v>2.4014087215174316E-2</v>
      </c>
      <c r="JH25" s="338">
        <f t="shared" si="605"/>
        <v>2.4014087215174316E-2</v>
      </c>
      <c r="JK25" s="342" t="s">
        <v>540</v>
      </c>
      <c r="JL25" s="338">
        <f t="shared" si="606"/>
        <v>0</v>
      </c>
      <c r="JM25" s="338">
        <f t="shared" si="607"/>
        <v>0</v>
      </c>
      <c r="JN25" s="338">
        <f t="shared" si="608"/>
        <v>6.2294213753618898E-2</v>
      </c>
      <c r="JO25" s="338">
        <f t="shared" si="609"/>
        <v>6.2294213753618898E-2</v>
      </c>
      <c r="JP25" s="338">
        <f t="shared" si="610"/>
        <v>4.0321269722834049E-2</v>
      </c>
      <c r="JQ25" s="338">
        <f t="shared" si="611"/>
        <v>4.0321269722834049E-2</v>
      </c>
      <c r="JR25" s="338">
        <f t="shared" si="612"/>
        <v>1.6704572479759094E-2</v>
      </c>
      <c r="JS25" s="338">
        <f t="shared" si="613"/>
        <v>1.6704572479759094E-2</v>
      </c>
      <c r="JT25" s="338">
        <f t="shared" si="614"/>
        <v>7.5432003506320754E-3</v>
      </c>
      <c r="JU25" s="338">
        <f t="shared" si="615"/>
        <v>7.5432003506320754E-3</v>
      </c>
      <c r="JV25" s="338">
        <f t="shared" si="616"/>
        <v>0</v>
      </c>
      <c r="JW25" s="338">
        <f t="shared" si="617"/>
        <v>0</v>
      </c>
      <c r="JX25" s="338">
        <f t="shared" si="618"/>
        <v>4.9100211340061414E-2</v>
      </c>
      <c r="JY25" s="338">
        <f t="shared" si="619"/>
        <v>4.9100211340061414E-2</v>
      </c>
      <c r="JZ25" s="338">
        <f t="shared" si="620"/>
        <v>7.5432003506320754E-3</v>
      </c>
      <c r="KA25" s="338">
        <f t="shared" si="621"/>
        <v>7.5432003506320754E-3</v>
      </c>
      <c r="KD25" s="342" t="s">
        <v>540</v>
      </c>
      <c r="KE25" s="338">
        <f t="shared" si="622"/>
        <v>0</v>
      </c>
      <c r="KF25" s="338">
        <f t="shared" si="623"/>
        <v>0</v>
      </c>
      <c r="KG25" s="338">
        <f t="shared" si="624"/>
        <v>3.2805312789490858E-2</v>
      </c>
      <c r="KH25" s="338">
        <f t="shared" si="625"/>
        <v>3.2805312789490858E-2</v>
      </c>
      <c r="KI25" s="338">
        <f t="shared" si="626"/>
        <v>2.1233944304340061E-2</v>
      </c>
      <c r="KJ25" s="338">
        <f t="shared" si="627"/>
        <v>2.1233944304340061E-2</v>
      </c>
      <c r="KK25" s="338">
        <f t="shared" si="628"/>
        <v>8.7969442455862572E-3</v>
      </c>
      <c r="KL25" s="338">
        <f t="shared" si="629"/>
        <v>8.7969442455862572E-3</v>
      </c>
      <c r="KM25" s="338">
        <f t="shared" si="630"/>
        <v>3.9723921697608173E-3</v>
      </c>
      <c r="KN25" s="338">
        <f t="shared" si="631"/>
        <v>3.9723921697608173E-3</v>
      </c>
      <c r="KO25" s="338">
        <f t="shared" si="632"/>
        <v>0</v>
      </c>
      <c r="KP25" s="338">
        <f t="shared" si="633"/>
        <v>0</v>
      </c>
      <c r="KQ25" s="338">
        <f t="shared" si="634"/>
        <v>2.5857101229522242E-2</v>
      </c>
      <c r="KR25" s="338">
        <f t="shared" si="635"/>
        <v>2.5857101229522242E-2</v>
      </c>
      <c r="KS25" s="338">
        <f t="shared" si="636"/>
        <v>3.9723921697608173E-3</v>
      </c>
      <c r="KT25" s="338">
        <f t="shared" si="637"/>
        <v>3.9723921697608173E-3</v>
      </c>
      <c r="KW25" s="342" t="s">
        <v>540</v>
      </c>
      <c r="KX25" s="338">
        <f t="shared" si="638"/>
        <v>0</v>
      </c>
      <c r="KY25" s="338">
        <f t="shared" si="639"/>
        <v>0</v>
      </c>
      <c r="KZ25" s="338">
        <f t="shared" si="640"/>
        <v>0.10599147260186063</v>
      </c>
      <c r="LA25" s="338">
        <f t="shared" si="641"/>
        <v>0.10599147260186063</v>
      </c>
      <c r="LB25" s="338">
        <f t="shared" si="642"/>
        <v>6.8605260385868866E-2</v>
      </c>
      <c r="LC25" s="338">
        <f t="shared" si="643"/>
        <v>6.8605260385868866E-2</v>
      </c>
      <c r="LD25" s="338">
        <f t="shared" si="644"/>
        <v>2.8422258338742162E-2</v>
      </c>
      <c r="LE25" s="338">
        <f t="shared" si="645"/>
        <v>2.8422258338742162E-2</v>
      </c>
      <c r="LF25" s="338">
        <f t="shared" si="646"/>
        <v>1.2834497220826042E-2</v>
      </c>
      <c r="LG25" s="338">
        <f t="shared" si="647"/>
        <v>1.2834497220826042E-2</v>
      </c>
      <c r="LH25" s="338">
        <f t="shared" si="648"/>
        <v>0</v>
      </c>
      <c r="LI25" s="338">
        <f t="shared" si="649"/>
        <v>0</v>
      </c>
      <c r="LJ25" s="338">
        <f t="shared" si="650"/>
        <v>8.3542329076965918E-2</v>
      </c>
      <c r="LK25" s="338">
        <f t="shared" si="651"/>
        <v>8.3542329076965918E-2</v>
      </c>
      <c r="LL25" s="338">
        <f t="shared" si="652"/>
        <v>1.2834497220826042E-2</v>
      </c>
      <c r="LM25" s="338">
        <f t="shared" si="653"/>
        <v>1.2834497220826042E-2</v>
      </c>
      <c r="LP25" s="342" t="s">
        <v>540</v>
      </c>
      <c r="LQ25" s="338">
        <f t="shared" si="654"/>
        <v>0</v>
      </c>
      <c r="LR25" s="338">
        <f t="shared" si="655"/>
        <v>0</v>
      </c>
      <c r="LS25" s="338">
        <f t="shared" si="656"/>
        <v>2.0929190422269199E-5</v>
      </c>
      <c r="LT25" s="338">
        <f t="shared" si="657"/>
        <v>2.0929190422269199E-5</v>
      </c>
      <c r="LU25" s="338">
        <f t="shared" si="658"/>
        <v>1.3546868661583303E-5</v>
      </c>
      <c r="LV25" s="338">
        <f t="shared" si="659"/>
        <v>1.3546868661583303E-5</v>
      </c>
      <c r="LW25" s="338">
        <f t="shared" si="660"/>
        <v>5.6122897663374943E-6</v>
      </c>
      <c r="LX25" s="338">
        <f t="shared" si="661"/>
        <v>5.6122897663374943E-6</v>
      </c>
      <c r="LY25" s="338">
        <f t="shared" si="662"/>
        <v>2.5343136548141289E-6</v>
      </c>
      <c r="LZ25" s="338">
        <f t="shared" si="663"/>
        <v>2.5343136548141289E-6</v>
      </c>
      <c r="MA25" s="338">
        <f t="shared" si="664"/>
        <v>0</v>
      </c>
      <c r="MB25" s="338">
        <f t="shared" si="665"/>
        <v>0</v>
      </c>
      <c r="MC25" s="338">
        <f t="shared" si="666"/>
        <v>1.6496358345161845E-5</v>
      </c>
      <c r="MD25" s="338">
        <f t="shared" si="667"/>
        <v>1.6496358345161845E-5</v>
      </c>
      <c r="ME25" s="338">
        <f t="shared" si="668"/>
        <v>2.5343136548141289E-6</v>
      </c>
      <c r="MF25" s="338">
        <f t="shared" si="669"/>
        <v>2.5343136548141289E-6</v>
      </c>
      <c r="MI25" s="342" t="s">
        <v>540</v>
      </c>
      <c r="MJ25" s="338">
        <f t="shared" si="670"/>
        <v>0</v>
      </c>
      <c r="MK25" s="338">
        <f t="shared" si="671"/>
        <v>0</v>
      </c>
      <c r="ML25" s="338">
        <f t="shared" si="672"/>
        <v>2.5700287608131801E-3</v>
      </c>
      <c r="MM25" s="338">
        <f t="shared" si="673"/>
        <v>2.5700287608131801E-3</v>
      </c>
      <c r="MN25" s="338">
        <f t="shared" si="674"/>
        <v>1.6635063935479741E-3</v>
      </c>
      <c r="MO25" s="338">
        <f t="shared" si="675"/>
        <v>1.6635063935479741E-3</v>
      </c>
      <c r="MP25" s="338">
        <f t="shared" si="676"/>
        <v>6.8916885089628701E-4</v>
      </c>
      <c r="MQ25" s="338">
        <f t="shared" si="677"/>
        <v>6.8916885089628701E-4</v>
      </c>
      <c r="MR25" s="338">
        <f t="shared" si="678"/>
        <v>3.1120453540637677E-4</v>
      </c>
      <c r="MS25" s="338">
        <f t="shared" si="679"/>
        <v>3.1120453540637677E-4</v>
      </c>
      <c r="MT25" s="338">
        <f t="shared" si="680"/>
        <v>0</v>
      </c>
      <c r="MU25" s="338">
        <f t="shared" si="681"/>
        <v>0</v>
      </c>
      <c r="MV25" s="338">
        <f t="shared" si="682"/>
        <v>2.0256930411716207E-3</v>
      </c>
      <c r="MW25" s="338">
        <f t="shared" si="683"/>
        <v>2.0256930411716207E-3</v>
      </c>
      <c r="MX25" s="338">
        <f t="shared" si="684"/>
        <v>3.1120453540637677E-4</v>
      </c>
      <c r="MY25" s="338">
        <f t="shared" si="685"/>
        <v>3.1120453540637677E-4</v>
      </c>
      <c r="NB25" s="342" t="s">
        <v>540</v>
      </c>
      <c r="NC25" s="338">
        <f t="shared" si="686"/>
        <v>0</v>
      </c>
      <c r="ND25" s="338">
        <f t="shared" si="687"/>
        <v>0</v>
      </c>
      <c r="NE25" s="338">
        <f t="shared" si="688"/>
        <v>2.4979291722648481E-3</v>
      </c>
      <c r="NF25" s="338">
        <f t="shared" si="689"/>
        <v>2.4979291722648481E-3</v>
      </c>
      <c r="NG25" s="338">
        <f t="shared" si="690"/>
        <v>1.6168383840878861E-3</v>
      </c>
      <c r="NH25" s="338">
        <f t="shared" si="691"/>
        <v>1.6168383840878861E-3</v>
      </c>
      <c r="NI25" s="338">
        <f t="shared" si="692"/>
        <v>6.6983490749939411E-4</v>
      </c>
      <c r="NJ25" s="338">
        <f t="shared" si="693"/>
        <v>6.6983490749939411E-4</v>
      </c>
      <c r="NK25" s="338">
        <f t="shared" si="694"/>
        <v>3.024740031651442E-4</v>
      </c>
      <c r="NL25" s="338">
        <f t="shared" si="695"/>
        <v>3.024740031651442E-4</v>
      </c>
      <c r="NM25" s="338">
        <f t="shared" si="696"/>
        <v>0</v>
      </c>
      <c r="NN25" s="338">
        <f t="shared" si="697"/>
        <v>0</v>
      </c>
      <c r="NO25" s="338">
        <f t="shared" si="698"/>
        <v>1.968864247260583E-3</v>
      </c>
      <c r="NP25" s="338">
        <f t="shared" si="699"/>
        <v>1.968864247260583E-3</v>
      </c>
      <c r="NQ25" s="338">
        <f t="shared" si="700"/>
        <v>3.024740031651442E-4</v>
      </c>
      <c r="NR25" s="338">
        <f t="shared" si="701"/>
        <v>3.024740031651442E-4</v>
      </c>
    </row>
    <row r="26" spans="2:382" ht="14.25" customHeight="1" x14ac:dyDescent="0.25">
      <c r="B26" s="734"/>
      <c r="C26" s="149" t="s">
        <v>424</v>
      </c>
      <c r="D26" s="143">
        <f>'CAM Characteristics'!C61/1000</f>
        <v>0.15129253610037577</v>
      </c>
      <c r="E26" s="127">
        <f>'CAM Characteristics'!C61/1000</f>
        <v>0.15129253610037577</v>
      </c>
      <c r="F26" s="143">
        <f>'CAM Characteristics'!D61/1000</f>
        <v>0.57908663050467624</v>
      </c>
      <c r="G26" s="127">
        <f>'CAM Characteristics'!D61/1000</f>
        <v>0.57908663050467624</v>
      </c>
      <c r="H26" s="143">
        <f>'CAM Characteristics'!E61/1000</f>
        <v>0.56223941553744372</v>
      </c>
      <c r="I26" s="127">
        <f>'CAM Characteristics'!E61/1000</f>
        <v>0.56223941553744372</v>
      </c>
      <c r="J26" s="143">
        <f>'CAM Characteristics'!F61/1000</f>
        <v>0.23292840558797984</v>
      </c>
      <c r="K26" s="127">
        <f>'CAM Characteristics'!F61/1000</f>
        <v>0.23292840558797984</v>
      </c>
      <c r="L26" s="143">
        <f>'CAM Characteristics'!G61/1000</f>
        <v>0.10518231656825726</v>
      </c>
      <c r="M26" s="127">
        <f>'CAM Characteristics'!G61/1000</f>
        <v>0.10518231656825726</v>
      </c>
      <c r="N26" s="143"/>
      <c r="O26" s="127"/>
      <c r="P26" s="193"/>
      <c r="Q26" s="194"/>
      <c r="R26" s="143">
        <f>'CAM Characteristics'!J61/1000</f>
        <v>0.10518231656825726</v>
      </c>
      <c r="S26" s="127">
        <f>'CAM Characteristics'!J61/1000</f>
        <v>0.10518231656825726</v>
      </c>
      <c r="T26" s="318"/>
      <c r="U26" s="119"/>
      <c r="V26" s="149" t="s">
        <v>424</v>
      </c>
      <c r="W26" s="100">
        <f>'Ecoinvent 3.10'!M14</f>
        <v>326.95651832676111</v>
      </c>
      <c r="X26" s="100">
        <f>'Ecoinvent 3.10'!N14</f>
        <v>31.433</v>
      </c>
      <c r="Y26" s="100">
        <f>'Ecoinvent 3.10'!O14</f>
        <v>1242.0999999999999</v>
      </c>
      <c r="Z26" s="100">
        <f>'Ecoinvent 3.10'!P14</f>
        <v>0.19073000000000001</v>
      </c>
      <c r="AA26" s="100">
        <f>'Ecoinvent 3.10'!Q14</f>
        <v>8.9141999999999992</v>
      </c>
      <c r="AB26" s="100">
        <f>'Ecoinvent 3.10'!R14</f>
        <v>5.1307</v>
      </c>
      <c r="AC26" s="100">
        <f>'Ecoinvent 3.10'!S14</f>
        <v>1.2161999999999999E-2</v>
      </c>
      <c r="AD26" s="100">
        <f>'Ecoinvent 3.10'!T14</f>
        <v>5.0152000000000001</v>
      </c>
      <c r="AE26" s="100">
        <f>'Ecoinvent 3.10'!U14</f>
        <v>7.6147</v>
      </c>
      <c r="AF26" s="100">
        <f>'Ecoinvent 3.10'!V14</f>
        <v>137.16</v>
      </c>
      <c r="AG26" s="328">
        <f>'Ecoinvent 3.10'!W14</f>
        <v>6.9818000000000005E-2</v>
      </c>
      <c r="AH26" s="328">
        <f>'Ecoinvent 3.10'!X14</f>
        <v>8.8649000000000004</v>
      </c>
      <c r="AI26" s="328">
        <f>'Ecoinvent 3.10'!Y14</f>
        <v>7.0021000000000004</v>
      </c>
      <c r="AJ26" s="328">
        <f>'Ecoinvent 3.10'!Z14</f>
        <v>0.81730000000000003</v>
      </c>
      <c r="AK26" s="328">
        <f>'Ecoinvent 3.10'!AA14</f>
        <v>7.0277000000000003</v>
      </c>
      <c r="AL26" s="328">
        <f>'Ecoinvent 3.10'!AB14</f>
        <v>6.8431000000000004E-3</v>
      </c>
      <c r="AM26" s="328">
        <f>'Ecoinvent 3.10'!AC14</f>
        <v>7.3179999999999995E-2</v>
      </c>
      <c r="AN26" s="328">
        <f>'Ecoinvent 3.10'!AD14</f>
        <v>6.9267999999999996E-2</v>
      </c>
      <c r="AO26" s="119"/>
      <c r="AP26" s="8"/>
      <c r="AQ26" s="149" t="s">
        <v>424</v>
      </c>
      <c r="AR26" s="49">
        <f t="shared" si="739"/>
        <v>49.466080852204676</v>
      </c>
      <c r="AS26" s="50">
        <f t="shared" si="739"/>
        <v>49.466080852204676</v>
      </c>
      <c r="AT26" s="49">
        <f t="shared" si="739"/>
        <v>189.33614851938452</v>
      </c>
      <c r="AU26" s="50">
        <f t="shared" si="739"/>
        <v>189.33614851938452</v>
      </c>
      <c r="AV26" s="49">
        <f t="shared" si="739"/>
        <v>183.82784177019568</v>
      </c>
      <c r="AW26" s="50">
        <f t="shared" si="739"/>
        <v>183.82784177019568</v>
      </c>
      <c r="AX26" s="49">
        <f t="shared" si="739"/>
        <v>76.157460510449582</v>
      </c>
      <c r="AY26" s="50">
        <f t="shared" si="739"/>
        <v>76.157460510449582</v>
      </c>
      <c r="AZ26" s="49">
        <f t="shared" si="739"/>
        <v>34.390044014700592</v>
      </c>
      <c r="BA26" s="50">
        <f t="shared" si="739"/>
        <v>34.390044014700592</v>
      </c>
      <c r="BB26" s="49">
        <f t="shared" si="739"/>
        <v>0</v>
      </c>
      <c r="BC26" s="50">
        <f t="shared" si="739"/>
        <v>0</v>
      </c>
      <c r="BD26" s="49">
        <f t="shared" si="740"/>
        <v>0</v>
      </c>
      <c r="BE26" s="50">
        <f t="shared" si="741"/>
        <v>0</v>
      </c>
      <c r="BF26" s="49">
        <f t="shared" si="742"/>
        <v>34.390044014700592</v>
      </c>
      <c r="BG26" s="50">
        <f t="shared" si="743"/>
        <v>34.390044014700592</v>
      </c>
      <c r="BI26" s="156"/>
      <c r="BJ26" s="149" t="s">
        <v>424</v>
      </c>
      <c r="BK26" s="49">
        <f t="shared" si="744"/>
        <v>4.7555782872431118</v>
      </c>
      <c r="BL26" s="49">
        <f t="shared" si="745"/>
        <v>4.7555782872431118</v>
      </c>
      <c r="BM26" s="49">
        <f t="shared" si="746"/>
        <v>18.202430056653487</v>
      </c>
      <c r="BN26" s="49">
        <f t="shared" si="747"/>
        <v>18.202430056653487</v>
      </c>
      <c r="BO26" s="49">
        <f t="shared" si="748"/>
        <v>17.672871548588468</v>
      </c>
      <c r="BP26" s="49">
        <f t="shared" si="749"/>
        <v>17.672871548588468</v>
      </c>
      <c r="BQ26" s="49">
        <f t="shared" si="750"/>
        <v>7.32163857284697</v>
      </c>
      <c r="BR26" s="49">
        <f t="shared" si="751"/>
        <v>7.32163857284697</v>
      </c>
      <c r="BS26" s="49">
        <f t="shared" si="752"/>
        <v>3.3061957566900304</v>
      </c>
      <c r="BT26" s="49">
        <f t="shared" si="753"/>
        <v>3.3061957566900304</v>
      </c>
      <c r="BU26" s="49">
        <f t="shared" si="754"/>
        <v>0</v>
      </c>
      <c r="BV26" s="49">
        <f t="shared" si="755"/>
        <v>0</v>
      </c>
      <c r="BW26" s="49">
        <f t="shared" si="756"/>
        <v>0</v>
      </c>
      <c r="BX26" s="49">
        <f t="shared" si="757"/>
        <v>0</v>
      </c>
      <c r="BY26" s="49">
        <f t="shared" si="758"/>
        <v>3.3061957566900304</v>
      </c>
      <c r="BZ26" s="49">
        <f t="shared" si="759"/>
        <v>3.3061957566900304</v>
      </c>
      <c r="CA26" s="156"/>
      <c r="CB26" s="156"/>
      <c r="CC26" s="149" t="s">
        <v>424</v>
      </c>
      <c r="CD26" s="49">
        <f t="shared" si="760"/>
        <v>187.92045909027672</v>
      </c>
      <c r="CE26" s="49">
        <f t="shared" si="761"/>
        <v>187.92045909027672</v>
      </c>
      <c r="CF26" s="49">
        <f t="shared" si="762"/>
        <v>719.28350374985826</v>
      </c>
      <c r="CG26" s="49">
        <f t="shared" si="763"/>
        <v>719.28350374985826</v>
      </c>
      <c r="CH26" s="49">
        <f t="shared" si="764"/>
        <v>698.35757803905881</v>
      </c>
      <c r="CI26" s="49">
        <f t="shared" si="765"/>
        <v>698.35757803905881</v>
      </c>
      <c r="CJ26" s="49">
        <f t="shared" si="766"/>
        <v>289.32037258082971</v>
      </c>
      <c r="CK26" s="49">
        <f t="shared" si="767"/>
        <v>289.32037258082971</v>
      </c>
      <c r="CL26" s="49">
        <f t="shared" si="768"/>
        <v>130.64695540943234</v>
      </c>
      <c r="CM26" s="49">
        <f t="shared" si="769"/>
        <v>130.64695540943234</v>
      </c>
      <c r="CN26" s="49">
        <f t="shared" si="770"/>
        <v>0</v>
      </c>
      <c r="CO26" s="220">
        <f t="shared" si="771"/>
        <v>0</v>
      </c>
      <c r="CP26" s="49">
        <f t="shared" si="772"/>
        <v>0</v>
      </c>
      <c r="CQ26" s="49">
        <f t="shared" si="773"/>
        <v>0</v>
      </c>
      <c r="CR26" s="49">
        <f t="shared" si="774"/>
        <v>130.64695540943234</v>
      </c>
      <c r="CS26" s="220">
        <f t="shared" si="775"/>
        <v>130.64695540943234</v>
      </c>
      <c r="CV26" s="149" t="s">
        <v>424</v>
      </c>
      <c r="CW26" s="49">
        <f t="shared" si="776"/>
        <v>2.885602541042467E-2</v>
      </c>
      <c r="CX26" s="49">
        <f t="shared" si="777"/>
        <v>2.885602541042467E-2</v>
      </c>
      <c r="CY26" s="49">
        <f t="shared" si="778"/>
        <v>0.1104491930361569</v>
      </c>
      <c r="CZ26" s="49">
        <f t="shared" si="779"/>
        <v>0.1104491930361569</v>
      </c>
      <c r="DA26" s="49">
        <f t="shared" si="780"/>
        <v>0.10723592372545665</v>
      </c>
      <c r="DB26" s="49">
        <f t="shared" si="781"/>
        <v>0.10723592372545665</v>
      </c>
      <c r="DC26" s="49">
        <f t="shared" si="782"/>
        <v>4.44264347977954E-2</v>
      </c>
      <c r="DD26" s="49">
        <f t="shared" si="783"/>
        <v>4.44264347977954E-2</v>
      </c>
      <c r="DE26" s="49">
        <f t="shared" si="784"/>
        <v>2.0061423239063708E-2</v>
      </c>
      <c r="DF26" s="49">
        <f t="shared" si="785"/>
        <v>2.0061423239063708E-2</v>
      </c>
      <c r="DG26" s="49">
        <f t="shared" si="786"/>
        <v>0</v>
      </c>
      <c r="DH26" s="49">
        <f t="shared" si="787"/>
        <v>0</v>
      </c>
      <c r="DI26" s="49">
        <f t="shared" si="788"/>
        <v>0</v>
      </c>
      <c r="DJ26" s="49">
        <f t="shared" si="789"/>
        <v>0</v>
      </c>
      <c r="DK26" s="49">
        <f t="shared" si="790"/>
        <v>2.0061423239063708E-2</v>
      </c>
      <c r="DL26" s="49">
        <f t="shared" si="791"/>
        <v>2.0061423239063708E-2</v>
      </c>
      <c r="DO26" s="149" t="s">
        <v>424</v>
      </c>
      <c r="DP26" s="49">
        <f t="shared" si="792"/>
        <v>1.3486519253059697</v>
      </c>
      <c r="DQ26" s="49">
        <f t="shared" si="793"/>
        <v>1.3486519253059697</v>
      </c>
      <c r="DR26" s="49">
        <f t="shared" si="794"/>
        <v>5.1620940416447842</v>
      </c>
      <c r="DS26" s="49">
        <f t="shared" si="795"/>
        <v>5.1620940416447842</v>
      </c>
      <c r="DT26" s="49">
        <f t="shared" si="796"/>
        <v>5.0119145979838802</v>
      </c>
      <c r="DU26" s="49">
        <f t="shared" si="797"/>
        <v>5.0119145979838802</v>
      </c>
      <c r="DV26" s="49">
        <f t="shared" si="798"/>
        <v>2.0763703930923696</v>
      </c>
      <c r="DW26" s="49">
        <f t="shared" si="799"/>
        <v>2.0763703930923696</v>
      </c>
      <c r="DX26" s="49">
        <f t="shared" si="800"/>
        <v>0.93761620635275877</v>
      </c>
      <c r="DY26" s="49">
        <f t="shared" si="801"/>
        <v>0.93761620635275877</v>
      </c>
      <c r="DZ26" s="49">
        <f t="shared" si="802"/>
        <v>0</v>
      </c>
      <c r="EA26" s="49">
        <f t="shared" si="803"/>
        <v>0</v>
      </c>
      <c r="EB26" s="49">
        <f t="shared" si="804"/>
        <v>0</v>
      </c>
      <c r="EC26" s="49">
        <f t="shared" si="805"/>
        <v>0</v>
      </c>
      <c r="ED26" s="49">
        <f t="shared" si="806"/>
        <v>0.93761620635275877</v>
      </c>
      <c r="EE26" s="49">
        <f t="shared" si="807"/>
        <v>0.93761620635275877</v>
      </c>
      <c r="EH26" s="149" t="s">
        <v>424</v>
      </c>
      <c r="EI26" s="49">
        <f t="shared" si="808"/>
        <v>0.77623661497019791</v>
      </c>
      <c r="EJ26" s="49">
        <f t="shared" si="808"/>
        <v>0.77623661497019791</v>
      </c>
      <c r="EK26" s="49">
        <f t="shared" si="808"/>
        <v>2.9711197751303424</v>
      </c>
      <c r="EL26" s="49">
        <f t="shared" si="808"/>
        <v>2.9711197751303424</v>
      </c>
      <c r="EM26" s="49">
        <f t="shared" si="808"/>
        <v>2.8846817692979627</v>
      </c>
      <c r="EN26" s="49">
        <f t="shared" si="808"/>
        <v>2.8846817692979627</v>
      </c>
      <c r="EO26" s="49">
        <f t="shared" si="808"/>
        <v>1.1950857705502482</v>
      </c>
      <c r="EP26" s="49">
        <f t="shared" si="808"/>
        <v>1.1950857705502482</v>
      </c>
      <c r="EQ26" s="49">
        <f t="shared" si="808"/>
        <v>0.5396589116167575</v>
      </c>
      <c r="ER26" s="49">
        <f t="shared" si="808"/>
        <v>0.5396589116167575</v>
      </c>
      <c r="ES26" s="49">
        <f t="shared" si="808"/>
        <v>0</v>
      </c>
      <c r="ET26" s="49">
        <f t="shared" si="808"/>
        <v>0</v>
      </c>
      <c r="EU26" s="49">
        <f t="shared" si="809"/>
        <v>0</v>
      </c>
      <c r="EV26" s="49">
        <f t="shared" si="810"/>
        <v>0</v>
      </c>
      <c r="EW26" s="49">
        <f t="shared" si="811"/>
        <v>0.5396589116167575</v>
      </c>
      <c r="EX26" s="49">
        <f t="shared" si="812"/>
        <v>0.5396589116167575</v>
      </c>
      <c r="FA26" s="149" t="s">
        <v>424</v>
      </c>
      <c r="FB26" s="53">
        <f t="shared" si="813"/>
        <v>1.8400198240527701E-3</v>
      </c>
      <c r="FC26" s="53">
        <f t="shared" si="813"/>
        <v>1.8400198240527701E-3</v>
      </c>
      <c r="FD26" s="53">
        <f t="shared" si="813"/>
        <v>7.0428516001978716E-3</v>
      </c>
      <c r="FE26" s="53">
        <f t="shared" si="813"/>
        <v>7.0428516001978716E-3</v>
      </c>
      <c r="FF26" s="53">
        <f t="shared" si="813"/>
        <v>6.8379557717663901E-3</v>
      </c>
      <c r="FG26" s="53">
        <f t="shared" si="813"/>
        <v>6.8379557717663901E-3</v>
      </c>
      <c r="FH26" s="53">
        <f t="shared" si="813"/>
        <v>2.8328752687610107E-3</v>
      </c>
      <c r="FI26" s="53">
        <f t="shared" si="813"/>
        <v>2.8328752687610107E-3</v>
      </c>
      <c r="FJ26" s="53">
        <f t="shared" si="813"/>
        <v>1.2792273341031446E-3</v>
      </c>
      <c r="FK26" s="53">
        <f t="shared" si="813"/>
        <v>1.2792273341031446E-3</v>
      </c>
      <c r="FL26" s="53">
        <f t="shared" si="813"/>
        <v>0</v>
      </c>
      <c r="FM26" s="53">
        <f t="shared" si="813"/>
        <v>0</v>
      </c>
      <c r="FN26" s="53">
        <f t="shared" si="814"/>
        <v>0</v>
      </c>
      <c r="FO26" s="53">
        <f t="shared" si="815"/>
        <v>0</v>
      </c>
      <c r="FP26" s="53">
        <f t="shared" si="816"/>
        <v>1.2792273341031446E-3</v>
      </c>
      <c r="FQ26" s="53">
        <f t="shared" si="817"/>
        <v>1.2792273341031446E-3</v>
      </c>
      <c r="FT26" s="149" t="s">
        <v>424</v>
      </c>
      <c r="FU26" s="49">
        <f t="shared" si="818"/>
        <v>0.75876232705060453</v>
      </c>
      <c r="FV26" s="49">
        <f t="shared" si="818"/>
        <v>0.75876232705060453</v>
      </c>
      <c r="FW26" s="49">
        <f t="shared" si="818"/>
        <v>2.9042352693070521</v>
      </c>
      <c r="FX26" s="49">
        <f t="shared" si="818"/>
        <v>2.9042352693070521</v>
      </c>
      <c r="FY26" s="49">
        <f t="shared" si="818"/>
        <v>2.8197431168033877</v>
      </c>
      <c r="FZ26" s="49">
        <f t="shared" si="818"/>
        <v>2.8197431168033877</v>
      </c>
      <c r="GA26" s="49">
        <f t="shared" si="818"/>
        <v>1.1681825397048364</v>
      </c>
      <c r="GB26" s="49">
        <f t="shared" si="818"/>
        <v>1.1681825397048364</v>
      </c>
      <c r="GC26" s="49">
        <f t="shared" si="818"/>
        <v>0.52751035405312385</v>
      </c>
      <c r="GD26" s="49">
        <f t="shared" si="818"/>
        <v>0.52751035405312385</v>
      </c>
      <c r="GE26" s="49">
        <f t="shared" si="818"/>
        <v>0</v>
      </c>
      <c r="GF26" s="49">
        <f t="shared" si="818"/>
        <v>0</v>
      </c>
      <c r="GG26" s="49">
        <f t="shared" si="819"/>
        <v>0</v>
      </c>
      <c r="GH26" s="49">
        <f t="shared" si="820"/>
        <v>0</v>
      </c>
      <c r="GI26" s="49">
        <f t="shared" si="821"/>
        <v>0.52751035405312385</v>
      </c>
      <c r="GJ26" s="49">
        <f t="shared" si="822"/>
        <v>0.52751035405312385</v>
      </c>
      <c r="GM26" s="149" t="s">
        <v>424</v>
      </c>
      <c r="GN26" s="49">
        <f t="shared" si="823"/>
        <v>1.1520472746435313</v>
      </c>
      <c r="GO26" s="49">
        <f t="shared" si="823"/>
        <v>1.1520472746435313</v>
      </c>
      <c r="GP26" s="49">
        <f t="shared" si="823"/>
        <v>4.4095709653039581</v>
      </c>
      <c r="GQ26" s="49">
        <f t="shared" si="823"/>
        <v>4.4095709653039581</v>
      </c>
      <c r="GR26" s="49">
        <f t="shared" si="823"/>
        <v>4.2812844774929726</v>
      </c>
      <c r="GS26" s="49">
        <f t="shared" si="823"/>
        <v>4.2812844774929726</v>
      </c>
      <c r="GT26" s="49">
        <f t="shared" si="823"/>
        <v>1.7736799300307902</v>
      </c>
      <c r="GU26" s="49">
        <f t="shared" si="823"/>
        <v>1.7736799300307902</v>
      </c>
      <c r="GV26" s="49">
        <f t="shared" si="823"/>
        <v>0.80093178597230852</v>
      </c>
      <c r="GW26" s="49">
        <f t="shared" si="823"/>
        <v>0.80093178597230852</v>
      </c>
      <c r="GX26" s="49">
        <f t="shared" si="823"/>
        <v>0</v>
      </c>
      <c r="GY26" s="49">
        <f t="shared" si="823"/>
        <v>0</v>
      </c>
      <c r="GZ26" s="49">
        <f t="shared" si="824"/>
        <v>0</v>
      </c>
      <c r="HA26" s="49">
        <f t="shared" si="825"/>
        <v>0</v>
      </c>
      <c r="HB26" s="49">
        <f t="shared" si="826"/>
        <v>0.80093178597230852</v>
      </c>
      <c r="HC26" s="49">
        <f t="shared" si="827"/>
        <v>0.80093178597230852</v>
      </c>
      <c r="HF26" s="149" t="s">
        <v>424</v>
      </c>
      <c r="HG26" s="49">
        <f t="shared" si="828"/>
        <v>20.75128425152754</v>
      </c>
      <c r="HH26" s="49">
        <f t="shared" si="828"/>
        <v>20.75128425152754</v>
      </c>
      <c r="HI26" s="49">
        <f t="shared" si="828"/>
        <v>79.427522240021389</v>
      </c>
      <c r="HJ26" s="49">
        <f t="shared" si="828"/>
        <v>79.427522240021389</v>
      </c>
      <c r="HK26" s="49">
        <f t="shared" si="828"/>
        <v>77.116758235115782</v>
      </c>
      <c r="HL26" s="49">
        <f t="shared" si="828"/>
        <v>77.116758235115782</v>
      </c>
      <c r="HM26" s="49">
        <f t="shared" si="828"/>
        <v>31.948460110447314</v>
      </c>
      <c r="HN26" s="49">
        <f t="shared" si="828"/>
        <v>31.948460110447314</v>
      </c>
      <c r="HO26" s="49">
        <f t="shared" si="828"/>
        <v>14.426806540502165</v>
      </c>
      <c r="HP26" s="49">
        <f t="shared" si="828"/>
        <v>14.426806540502165</v>
      </c>
      <c r="HQ26" s="49">
        <f t="shared" si="828"/>
        <v>0</v>
      </c>
      <c r="HR26" s="49">
        <f t="shared" si="828"/>
        <v>0</v>
      </c>
      <c r="HS26" s="49">
        <f t="shared" si="829"/>
        <v>0</v>
      </c>
      <c r="HT26" s="49">
        <f t="shared" si="830"/>
        <v>0</v>
      </c>
      <c r="HU26" s="49">
        <f t="shared" si="831"/>
        <v>14.426806540502165</v>
      </c>
      <c r="HV26" s="49">
        <f t="shared" si="832"/>
        <v>14.426806540502165</v>
      </c>
      <c r="HY26" s="342" t="s">
        <v>541</v>
      </c>
      <c r="HZ26" s="338">
        <f t="shared" si="574"/>
        <v>1.0562942285456036E-2</v>
      </c>
      <c r="IA26" s="338">
        <f t="shared" si="575"/>
        <v>1.0562942285456036E-2</v>
      </c>
      <c r="IB26" s="338">
        <f t="shared" si="576"/>
        <v>4.0430670368575491E-2</v>
      </c>
      <c r="IC26" s="338">
        <f t="shared" si="577"/>
        <v>4.0430670368575491E-2</v>
      </c>
      <c r="ID26" s="338">
        <f t="shared" si="578"/>
        <v>3.925443151399325E-2</v>
      </c>
      <c r="IE26" s="338">
        <f t="shared" si="579"/>
        <v>3.925443151399325E-2</v>
      </c>
      <c r="IF26" s="338">
        <f t="shared" si="580"/>
        <v>1.6262595421341577E-2</v>
      </c>
      <c r="IG26" s="338">
        <f t="shared" si="581"/>
        <v>1.6262595421341577E-2</v>
      </c>
      <c r="IH26" s="338">
        <f t="shared" si="582"/>
        <v>7.3436189781625862E-3</v>
      </c>
      <c r="II26" s="338">
        <f t="shared" si="583"/>
        <v>7.3436189781625862E-3</v>
      </c>
      <c r="IJ26" s="338">
        <f t="shared" si="584"/>
        <v>0</v>
      </c>
      <c r="IK26" s="338">
        <f t="shared" si="585"/>
        <v>0</v>
      </c>
      <c r="IL26" s="338">
        <f t="shared" si="586"/>
        <v>0</v>
      </c>
      <c r="IM26" s="338">
        <f t="shared" si="587"/>
        <v>0</v>
      </c>
      <c r="IN26" s="338">
        <f t="shared" si="588"/>
        <v>7.3436189781625862E-3</v>
      </c>
      <c r="IO26" s="338">
        <f t="shared" si="589"/>
        <v>7.3436189781625862E-3</v>
      </c>
      <c r="IR26" s="342" t="s">
        <v>541</v>
      </c>
      <c r="IS26" s="338">
        <f t="shared" si="590"/>
        <v>1.3411932032762213</v>
      </c>
      <c r="IT26" s="338">
        <f t="shared" si="591"/>
        <v>1.3411932032762213</v>
      </c>
      <c r="IU26" s="338">
        <f t="shared" si="592"/>
        <v>5.1335450707609045</v>
      </c>
      <c r="IV26" s="338">
        <f t="shared" si="593"/>
        <v>5.1335450707609045</v>
      </c>
      <c r="IW26" s="338">
        <f t="shared" si="594"/>
        <v>4.9841961947978852</v>
      </c>
      <c r="IX26" s="338">
        <f t="shared" si="595"/>
        <v>4.9841961947978852</v>
      </c>
      <c r="IY26" s="338">
        <f t="shared" si="596"/>
        <v>2.0648870226968827</v>
      </c>
      <c r="IZ26" s="338">
        <f t="shared" si="597"/>
        <v>2.0648870226968827</v>
      </c>
      <c r="JA26" s="338">
        <f t="shared" si="598"/>
        <v>0.9324307181459438</v>
      </c>
      <c r="JB26" s="338">
        <f t="shared" si="599"/>
        <v>0.9324307181459438</v>
      </c>
      <c r="JC26" s="338">
        <f t="shared" si="600"/>
        <v>0</v>
      </c>
      <c r="JD26" s="338">
        <f t="shared" si="601"/>
        <v>0</v>
      </c>
      <c r="JE26" s="338">
        <f t="shared" si="602"/>
        <v>0</v>
      </c>
      <c r="JF26" s="338">
        <f t="shared" si="603"/>
        <v>0</v>
      </c>
      <c r="JG26" s="338">
        <f t="shared" si="604"/>
        <v>0.9324307181459438</v>
      </c>
      <c r="JH26" s="338">
        <f t="shared" si="605"/>
        <v>0.9324307181459438</v>
      </c>
      <c r="JK26" s="342" t="s">
        <v>541</v>
      </c>
      <c r="JL26" s="338">
        <f t="shared" si="606"/>
        <v>1.0593654670284411</v>
      </c>
      <c r="JM26" s="338">
        <f t="shared" si="607"/>
        <v>1.0593654670284411</v>
      </c>
      <c r="JN26" s="338">
        <f t="shared" si="608"/>
        <v>4.0548224954567935</v>
      </c>
      <c r="JO26" s="338">
        <f t="shared" si="609"/>
        <v>4.0548224954567935</v>
      </c>
      <c r="JP26" s="338">
        <f t="shared" si="610"/>
        <v>3.936856611534735</v>
      </c>
      <c r="JQ26" s="338">
        <f t="shared" si="611"/>
        <v>3.936856611534735</v>
      </c>
      <c r="JR26" s="338">
        <f t="shared" si="612"/>
        <v>1.6309879887675938</v>
      </c>
      <c r="JS26" s="338">
        <f t="shared" si="613"/>
        <v>1.6309879887675938</v>
      </c>
      <c r="JT26" s="338">
        <f t="shared" si="614"/>
        <v>0.73649709884259418</v>
      </c>
      <c r="JU26" s="338">
        <f t="shared" si="615"/>
        <v>0.73649709884259418</v>
      </c>
      <c r="JV26" s="338">
        <f t="shared" si="616"/>
        <v>0</v>
      </c>
      <c r="JW26" s="338">
        <f t="shared" si="617"/>
        <v>0</v>
      </c>
      <c r="JX26" s="338">
        <f t="shared" si="618"/>
        <v>0</v>
      </c>
      <c r="JY26" s="338">
        <f t="shared" si="619"/>
        <v>0</v>
      </c>
      <c r="JZ26" s="338">
        <f t="shared" si="620"/>
        <v>0.73649709884259418</v>
      </c>
      <c r="KA26" s="338">
        <f t="shared" si="621"/>
        <v>0.73649709884259418</v>
      </c>
      <c r="KD26" s="342" t="s">
        <v>541</v>
      </c>
      <c r="KE26" s="338">
        <f t="shared" si="622"/>
        <v>0.12365138975483712</v>
      </c>
      <c r="KF26" s="338">
        <f t="shared" si="623"/>
        <v>0.12365138975483712</v>
      </c>
      <c r="KG26" s="338">
        <f t="shared" si="624"/>
        <v>0.47328750311147189</v>
      </c>
      <c r="KH26" s="338">
        <f t="shared" si="625"/>
        <v>0.47328750311147189</v>
      </c>
      <c r="KI26" s="338">
        <f t="shared" si="626"/>
        <v>0.45951827431875275</v>
      </c>
      <c r="KJ26" s="338">
        <f t="shared" si="627"/>
        <v>0.45951827431875275</v>
      </c>
      <c r="KK26" s="338">
        <f t="shared" si="628"/>
        <v>0.19037238588705593</v>
      </c>
      <c r="KL26" s="338">
        <f t="shared" si="629"/>
        <v>0.19037238588705593</v>
      </c>
      <c r="KM26" s="338">
        <f t="shared" si="630"/>
        <v>8.596550733123666E-2</v>
      </c>
      <c r="KN26" s="338">
        <f t="shared" si="631"/>
        <v>8.596550733123666E-2</v>
      </c>
      <c r="KO26" s="338">
        <f t="shared" si="632"/>
        <v>0</v>
      </c>
      <c r="KP26" s="338">
        <f t="shared" si="633"/>
        <v>0</v>
      </c>
      <c r="KQ26" s="338">
        <f t="shared" si="634"/>
        <v>0</v>
      </c>
      <c r="KR26" s="338">
        <f t="shared" si="635"/>
        <v>0</v>
      </c>
      <c r="KS26" s="338">
        <f t="shared" si="636"/>
        <v>8.596550733123666E-2</v>
      </c>
      <c r="KT26" s="338">
        <f t="shared" si="637"/>
        <v>8.596550733123666E-2</v>
      </c>
      <c r="KW26" s="342" t="s">
        <v>541</v>
      </c>
      <c r="KX26" s="338">
        <f t="shared" si="638"/>
        <v>1.0632385559526107</v>
      </c>
      <c r="KY26" s="338">
        <f t="shared" si="639"/>
        <v>1.0632385559526107</v>
      </c>
      <c r="KZ26" s="338">
        <f t="shared" si="640"/>
        <v>4.0696471131977132</v>
      </c>
      <c r="LA26" s="338">
        <f t="shared" si="641"/>
        <v>4.0696471131977132</v>
      </c>
      <c r="LB26" s="338">
        <f t="shared" si="642"/>
        <v>3.9512499405724935</v>
      </c>
      <c r="LC26" s="338">
        <f t="shared" si="643"/>
        <v>3.9512499405724935</v>
      </c>
      <c r="LD26" s="338">
        <f t="shared" si="644"/>
        <v>1.6369509559506459</v>
      </c>
      <c r="LE26" s="338">
        <f t="shared" si="645"/>
        <v>1.6369509559506459</v>
      </c>
      <c r="LF26" s="338">
        <f t="shared" si="646"/>
        <v>0.73918976614674159</v>
      </c>
      <c r="LG26" s="338">
        <f t="shared" si="647"/>
        <v>0.73918976614674159</v>
      </c>
      <c r="LH26" s="338">
        <f t="shared" si="648"/>
        <v>0</v>
      </c>
      <c r="LI26" s="338">
        <f t="shared" si="649"/>
        <v>0</v>
      </c>
      <c r="LJ26" s="338">
        <f t="shared" si="650"/>
        <v>0</v>
      </c>
      <c r="LK26" s="338">
        <f t="shared" si="651"/>
        <v>0</v>
      </c>
      <c r="LL26" s="338">
        <f t="shared" si="652"/>
        <v>0.73918976614674159</v>
      </c>
      <c r="LM26" s="338">
        <f t="shared" si="653"/>
        <v>0.73918976614674159</v>
      </c>
      <c r="LP26" s="342" t="s">
        <v>541</v>
      </c>
      <c r="LQ26" s="338">
        <f t="shared" si="654"/>
        <v>1.0353099537884815E-3</v>
      </c>
      <c r="LR26" s="338">
        <f t="shared" si="655"/>
        <v>1.0353099537884815E-3</v>
      </c>
      <c r="LS26" s="338">
        <f t="shared" si="656"/>
        <v>3.9627477212065502E-3</v>
      </c>
      <c r="LT26" s="338">
        <f t="shared" si="657"/>
        <v>3.9627477212065502E-3</v>
      </c>
      <c r="LU26" s="338">
        <f t="shared" si="658"/>
        <v>3.8474605444642814E-3</v>
      </c>
      <c r="LV26" s="338">
        <f t="shared" si="659"/>
        <v>3.8474605444642814E-3</v>
      </c>
      <c r="LW26" s="338">
        <f t="shared" si="660"/>
        <v>1.5939523722791049E-3</v>
      </c>
      <c r="LX26" s="338">
        <f t="shared" si="661"/>
        <v>1.5939523722791049E-3</v>
      </c>
      <c r="LY26" s="338">
        <f t="shared" si="662"/>
        <v>7.1977311050824128E-4</v>
      </c>
      <c r="LZ26" s="338">
        <f t="shared" si="663"/>
        <v>7.1977311050824128E-4</v>
      </c>
      <c r="MA26" s="338">
        <f t="shared" si="664"/>
        <v>0</v>
      </c>
      <c r="MB26" s="338">
        <f t="shared" si="665"/>
        <v>0</v>
      </c>
      <c r="MC26" s="338">
        <f t="shared" si="666"/>
        <v>0</v>
      </c>
      <c r="MD26" s="338">
        <f t="shared" si="667"/>
        <v>0</v>
      </c>
      <c r="ME26" s="338">
        <f t="shared" si="668"/>
        <v>7.1977311050824128E-4</v>
      </c>
      <c r="MF26" s="338">
        <f t="shared" si="669"/>
        <v>7.1977311050824128E-4</v>
      </c>
      <c r="MI26" s="342" t="s">
        <v>541</v>
      </c>
      <c r="MJ26" s="338">
        <f t="shared" si="670"/>
        <v>1.1071587791825498E-2</v>
      </c>
      <c r="MK26" s="338">
        <f t="shared" si="671"/>
        <v>1.1071587791825498E-2</v>
      </c>
      <c r="ML26" s="338">
        <f t="shared" si="672"/>
        <v>4.2377559620332204E-2</v>
      </c>
      <c r="MM26" s="338">
        <f t="shared" si="673"/>
        <v>4.2377559620332204E-2</v>
      </c>
      <c r="MN26" s="338">
        <f t="shared" si="674"/>
        <v>4.1144680429030127E-2</v>
      </c>
      <c r="MO26" s="338">
        <f t="shared" si="675"/>
        <v>4.1144680429030127E-2</v>
      </c>
      <c r="MP26" s="338">
        <f t="shared" si="676"/>
        <v>1.7045700720928363E-2</v>
      </c>
      <c r="MQ26" s="338">
        <f t="shared" si="677"/>
        <v>1.7045700720928363E-2</v>
      </c>
      <c r="MR26" s="338">
        <f t="shared" si="678"/>
        <v>7.6972419264650658E-3</v>
      </c>
      <c r="MS26" s="338">
        <f t="shared" si="679"/>
        <v>7.6972419264650658E-3</v>
      </c>
      <c r="MT26" s="338">
        <f t="shared" si="680"/>
        <v>0</v>
      </c>
      <c r="MU26" s="338">
        <f t="shared" si="681"/>
        <v>0</v>
      </c>
      <c r="MV26" s="338">
        <f t="shared" si="682"/>
        <v>0</v>
      </c>
      <c r="MW26" s="338">
        <f t="shared" si="683"/>
        <v>0</v>
      </c>
      <c r="MX26" s="338">
        <f t="shared" si="684"/>
        <v>7.6972419264650658E-3</v>
      </c>
      <c r="MY26" s="338">
        <f t="shared" si="685"/>
        <v>7.6972419264650658E-3</v>
      </c>
      <c r="NB26" s="342" t="s">
        <v>541</v>
      </c>
      <c r="NC26" s="338">
        <f t="shared" si="686"/>
        <v>1.0479731390600829E-2</v>
      </c>
      <c r="ND26" s="338">
        <f t="shared" si="687"/>
        <v>1.0479731390600829E-2</v>
      </c>
      <c r="NE26" s="338">
        <f t="shared" si="688"/>
        <v>4.0112172721797915E-2</v>
      </c>
      <c r="NF26" s="338">
        <f t="shared" si="689"/>
        <v>4.0112172721797915E-2</v>
      </c>
      <c r="NG26" s="338">
        <f t="shared" si="690"/>
        <v>3.8945199835447648E-2</v>
      </c>
      <c r="NH26" s="338">
        <f t="shared" si="691"/>
        <v>3.8945199835447648E-2</v>
      </c>
      <c r="NI26" s="338">
        <f t="shared" si="692"/>
        <v>1.6134484798268185E-2</v>
      </c>
      <c r="NJ26" s="338">
        <f t="shared" si="693"/>
        <v>1.6134484798268185E-2</v>
      </c>
      <c r="NK26" s="338">
        <f t="shared" si="694"/>
        <v>7.2857687040500437E-3</v>
      </c>
      <c r="NL26" s="338">
        <f t="shared" si="695"/>
        <v>7.2857687040500437E-3</v>
      </c>
      <c r="NM26" s="338">
        <f t="shared" si="696"/>
        <v>0</v>
      </c>
      <c r="NN26" s="338">
        <f t="shared" si="697"/>
        <v>0</v>
      </c>
      <c r="NO26" s="338">
        <f t="shared" si="698"/>
        <v>0</v>
      </c>
      <c r="NP26" s="338">
        <f t="shared" si="699"/>
        <v>0</v>
      </c>
      <c r="NQ26" s="338">
        <f t="shared" si="700"/>
        <v>7.2857687040500437E-3</v>
      </c>
      <c r="NR26" s="338">
        <f t="shared" si="701"/>
        <v>7.2857687040500437E-3</v>
      </c>
    </row>
    <row r="27" spans="2:382" ht="14.25" customHeight="1" x14ac:dyDescent="0.25">
      <c r="B27" s="734"/>
      <c r="C27" s="149" t="s">
        <v>563</v>
      </c>
      <c r="D27" s="143">
        <f>'CAM Characteristics'!C62/1000</f>
        <v>0.14313037929181907</v>
      </c>
      <c r="E27" s="127">
        <f>'CAM Characteristics'!C62/1000</f>
        <v>0.14313037929181907</v>
      </c>
      <c r="F27" s="193"/>
      <c r="G27" s="194"/>
      <c r="H27" s="193"/>
      <c r="I27" s="194"/>
      <c r="J27" s="193"/>
      <c r="K27" s="194"/>
      <c r="L27" s="193"/>
      <c r="M27" s="194"/>
      <c r="N27" s="143"/>
      <c r="O27" s="127"/>
      <c r="P27" s="193"/>
      <c r="Q27" s="194"/>
      <c r="R27" s="193"/>
      <c r="S27" s="194"/>
      <c r="T27" s="318"/>
      <c r="U27" s="119"/>
      <c r="V27" s="181" t="s">
        <v>563</v>
      </c>
      <c r="W27" s="100">
        <f>'Ecoinvent 3.10'!M15</f>
        <v>2.8004564975565001</v>
      </c>
      <c r="X27" s="100">
        <f>'Ecoinvent 3.10'!N15</f>
        <v>0.57650000000000001</v>
      </c>
      <c r="Y27" s="100">
        <f>'Ecoinvent 3.10'!O15</f>
        <v>10.927</v>
      </c>
      <c r="Z27" s="100">
        <f>'Ecoinvent 3.10'!P15</f>
        <v>7.7117000000000002E-3</v>
      </c>
      <c r="AA27" s="100">
        <f>'Ecoinvent 3.10'!Q15</f>
        <v>3.0505999999999998E-2</v>
      </c>
      <c r="AB27" s="100">
        <f>'Ecoinvent 3.10'!R15</f>
        <v>1.3871E-2</v>
      </c>
      <c r="AC27" s="100">
        <f>'Ecoinvent 3.10'!S15</f>
        <v>3.3121000000000002E-4</v>
      </c>
      <c r="AD27" s="100">
        <f>'Ecoinvent 3.10'!T15</f>
        <v>8.5516999999999996E-2</v>
      </c>
      <c r="AE27" s="100">
        <f>'Ecoinvent 3.10'!U15</f>
        <v>1.0862000000000001</v>
      </c>
      <c r="AF27" s="100">
        <f>'Ecoinvent 3.10'!V15</f>
        <v>1.7333000000000001</v>
      </c>
      <c r="AG27" s="328">
        <f>'Ecoinvent 3.10'!W15</f>
        <v>2.5175000000000002E-3</v>
      </c>
      <c r="AH27" s="328">
        <f>'Ecoinvent 3.10'!X15</f>
        <v>0.14196</v>
      </c>
      <c r="AI27" s="328">
        <f>'Ecoinvent 3.10'!Y15</f>
        <v>0.11928</v>
      </c>
      <c r="AJ27" s="328">
        <f>'Ecoinvent 3.10'!Z15</f>
        <v>1.9495999999999999E-2</v>
      </c>
      <c r="AK27" s="328">
        <f>'Ecoinvent 3.10'!AA15</f>
        <v>0.12489</v>
      </c>
      <c r="AL27" s="328">
        <f>'Ecoinvent 3.10'!AB15</f>
        <v>2.1937999999999999E-5</v>
      </c>
      <c r="AM27" s="328">
        <f>'Ecoinvent 3.10'!AC15</f>
        <v>1.7401000000000001E-3</v>
      </c>
      <c r="AN27" s="328">
        <f>'Ecoinvent 3.10'!AD15</f>
        <v>1.6930999999999999E-3</v>
      </c>
      <c r="AO27" s="119"/>
      <c r="AP27" s="8"/>
      <c r="AQ27" s="181" t="s">
        <v>563</v>
      </c>
      <c r="AR27" s="49">
        <f t="shared" si="739"/>
        <v>0.40083040068550102</v>
      </c>
      <c r="AS27" s="50">
        <f t="shared" si="739"/>
        <v>0.40083040068550102</v>
      </c>
      <c r="AT27" s="49">
        <f t="shared" si="739"/>
        <v>0</v>
      </c>
      <c r="AU27" s="50">
        <f t="shared" si="739"/>
        <v>0</v>
      </c>
      <c r="AV27" s="49">
        <f t="shared" si="739"/>
        <v>0</v>
      </c>
      <c r="AW27" s="50">
        <f t="shared" si="739"/>
        <v>0</v>
      </c>
      <c r="AX27" s="49">
        <f t="shared" si="739"/>
        <v>0</v>
      </c>
      <c r="AY27" s="50">
        <f t="shared" si="739"/>
        <v>0</v>
      </c>
      <c r="AZ27" s="49">
        <f t="shared" si="739"/>
        <v>0</v>
      </c>
      <c r="BA27" s="50">
        <f t="shared" si="739"/>
        <v>0</v>
      </c>
      <c r="BB27" s="49">
        <f t="shared" si="739"/>
        <v>0</v>
      </c>
      <c r="BC27" s="50">
        <f t="shared" si="739"/>
        <v>0</v>
      </c>
      <c r="BD27" s="49">
        <f t="shared" si="740"/>
        <v>0</v>
      </c>
      <c r="BE27" s="50">
        <f t="shared" si="741"/>
        <v>0</v>
      </c>
      <c r="BF27" s="49">
        <f t="shared" si="742"/>
        <v>0</v>
      </c>
      <c r="BG27" s="50">
        <f t="shared" si="743"/>
        <v>0</v>
      </c>
      <c r="BI27" s="156"/>
      <c r="BJ27" s="181" t="s">
        <v>563</v>
      </c>
      <c r="BK27" s="49">
        <f t="shared" si="744"/>
        <v>8.2514663661733698E-2</v>
      </c>
      <c r="BL27" s="49">
        <f t="shared" si="745"/>
        <v>8.2514663661733698E-2</v>
      </c>
      <c r="BM27" s="49">
        <f t="shared" si="746"/>
        <v>0</v>
      </c>
      <c r="BN27" s="49">
        <f t="shared" si="747"/>
        <v>0</v>
      </c>
      <c r="BO27" s="49">
        <f t="shared" si="748"/>
        <v>0</v>
      </c>
      <c r="BP27" s="49">
        <f t="shared" si="749"/>
        <v>0</v>
      </c>
      <c r="BQ27" s="49">
        <f t="shared" si="750"/>
        <v>0</v>
      </c>
      <c r="BR27" s="49">
        <f t="shared" si="751"/>
        <v>0</v>
      </c>
      <c r="BS27" s="49">
        <f t="shared" si="752"/>
        <v>0</v>
      </c>
      <c r="BT27" s="49">
        <f t="shared" si="753"/>
        <v>0</v>
      </c>
      <c r="BU27" s="49">
        <f t="shared" si="754"/>
        <v>0</v>
      </c>
      <c r="BV27" s="49">
        <f t="shared" si="755"/>
        <v>0</v>
      </c>
      <c r="BW27" s="49">
        <f t="shared" si="756"/>
        <v>0</v>
      </c>
      <c r="BX27" s="49">
        <f t="shared" si="757"/>
        <v>0</v>
      </c>
      <c r="BY27" s="49">
        <f t="shared" si="758"/>
        <v>0</v>
      </c>
      <c r="BZ27" s="49">
        <f t="shared" si="759"/>
        <v>0</v>
      </c>
      <c r="CA27" s="156"/>
      <c r="CB27" s="156"/>
      <c r="CC27" s="181" t="s">
        <v>563</v>
      </c>
      <c r="CD27" s="49">
        <f t="shared" si="760"/>
        <v>1.563985654521707</v>
      </c>
      <c r="CE27" s="49">
        <f t="shared" si="761"/>
        <v>1.563985654521707</v>
      </c>
      <c r="CF27" s="49">
        <f t="shared" si="762"/>
        <v>0</v>
      </c>
      <c r="CG27" s="49">
        <f t="shared" si="763"/>
        <v>0</v>
      </c>
      <c r="CH27" s="49">
        <f t="shared" si="764"/>
        <v>0</v>
      </c>
      <c r="CI27" s="49">
        <f t="shared" si="765"/>
        <v>0</v>
      </c>
      <c r="CJ27" s="49">
        <f t="shared" si="766"/>
        <v>0</v>
      </c>
      <c r="CK27" s="49">
        <f t="shared" si="767"/>
        <v>0</v>
      </c>
      <c r="CL27" s="49">
        <f t="shared" si="768"/>
        <v>0</v>
      </c>
      <c r="CM27" s="49">
        <f t="shared" si="769"/>
        <v>0</v>
      </c>
      <c r="CN27" s="49">
        <f t="shared" si="770"/>
        <v>0</v>
      </c>
      <c r="CO27" s="49">
        <f t="shared" si="771"/>
        <v>0</v>
      </c>
      <c r="CP27" s="49">
        <f t="shared" si="772"/>
        <v>0</v>
      </c>
      <c r="CQ27" s="49">
        <f t="shared" si="773"/>
        <v>0</v>
      </c>
      <c r="CR27" s="49">
        <f t="shared" si="774"/>
        <v>0</v>
      </c>
      <c r="CS27" s="49">
        <f t="shared" si="775"/>
        <v>0</v>
      </c>
      <c r="CV27" s="181" t="s">
        <v>563</v>
      </c>
      <c r="CW27" s="49">
        <f t="shared" si="776"/>
        <v>1.1037785459847211E-3</v>
      </c>
      <c r="CX27" s="49">
        <f t="shared" si="777"/>
        <v>1.1037785459847211E-3</v>
      </c>
      <c r="CY27" s="49">
        <f t="shared" si="778"/>
        <v>0</v>
      </c>
      <c r="CZ27" s="49">
        <f t="shared" si="779"/>
        <v>0</v>
      </c>
      <c r="DA27" s="49">
        <f t="shared" si="780"/>
        <v>0</v>
      </c>
      <c r="DB27" s="49">
        <f t="shared" si="781"/>
        <v>0</v>
      </c>
      <c r="DC27" s="49">
        <f t="shared" si="782"/>
        <v>0</v>
      </c>
      <c r="DD27" s="49">
        <f t="shared" si="783"/>
        <v>0</v>
      </c>
      <c r="DE27" s="49">
        <f t="shared" si="784"/>
        <v>0</v>
      </c>
      <c r="DF27" s="49">
        <f t="shared" si="785"/>
        <v>0</v>
      </c>
      <c r="DG27" s="49">
        <f t="shared" si="786"/>
        <v>0</v>
      </c>
      <c r="DH27" s="49">
        <f t="shared" si="787"/>
        <v>0</v>
      </c>
      <c r="DI27" s="49">
        <f t="shared" si="788"/>
        <v>0</v>
      </c>
      <c r="DJ27" s="49">
        <f t="shared" si="789"/>
        <v>0</v>
      </c>
      <c r="DK27" s="49">
        <f t="shared" si="790"/>
        <v>0</v>
      </c>
      <c r="DL27" s="49">
        <f t="shared" si="791"/>
        <v>0</v>
      </c>
      <c r="DO27" s="181" t="s">
        <v>563</v>
      </c>
      <c r="DP27" s="49">
        <f t="shared" si="792"/>
        <v>4.3663353506762327E-3</v>
      </c>
      <c r="DQ27" s="49">
        <f t="shared" si="793"/>
        <v>4.3663353506762327E-3</v>
      </c>
      <c r="DR27" s="49">
        <f t="shared" si="794"/>
        <v>0</v>
      </c>
      <c r="DS27" s="49">
        <f t="shared" si="795"/>
        <v>0</v>
      </c>
      <c r="DT27" s="49">
        <f t="shared" si="796"/>
        <v>0</v>
      </c>
      <c r="DU27" s="49">
        <f t="shared" si="797"/>
        <v>0</v>
      </c>
      <c r="DV27" s="49">
        <f t="shared" si="798"/>
        <v>0</v>
      </c>
      <c r="DW27" s="49">
        <f t="shared" si="799"/>
        <v>0</v>
      </c>
      <c r="DX27" s="49">
        <f t="shared" si="800"/>
        <v>0</v>
      </c>
      <c r="DY27" s="49">
        <f t="shared" si="801"/>
        <v>0</v>
      </c>
      <c r="DZ27" s="49">
        <f t="shared" si="802"/>
        <v>0</v>
      </c>
      <c r="EA27" s="49">
        <f t="shared" si="803"/>
        <v>0</v>
      </c>
      <c r="EB27" s="49">
        <f t="shared" si="804"/>
        <v>0</v>
      </c>
      <c r="EC27" s="49">
        <f t="shared" si="805"/>
        <v>0</v>
      </c>
      <c r="ED27" s="49">
        <f t="shared" si="806"/>
        <v>0</v>
      </c>
      <c r="EE27" s="49">
        <f t="shared" si="807"/>
        <v>0</v>
      </c>
      <c r="EH27" s="181" t="s">
        <v>563</v>
      </c>
      <c r="EI27" s="49">
        <f t="shared" si="808"/>
        <v>1.9853614911568224E-3</v>
      </c>
      <c r="EJ27" s="49">
        <f t="shared" si="808"/>
        <v>1.9853614911568224E-3</v>
      </c>
      <c r="EK27" s="49">
        <f t="shared" si="808"/>
        <v>0</v>
      </c>
      <c r="EL27" s="49">
        <f t="shared" si="808"/>
        <v>0</v>
      </c>
      <c r="EM27" s="49">
        <f t="shared" si="808"/>
        <v>0</v>
      </c>
      <c r="EN27" s="49">
        <f t="shared" si="808"/>
        <v>0</v>
      </c>
      <c r="EO27" s="49">
        <f t="shared" si="808"/>
        <v>0</v>
      </c>
      <c r="EP27" s="49">
        <f t="shared" si="808"/>
        <v>0</v>
      </c>
      <c r="EQ27" s="49">
        <f t="shared" si="808"/>
        <v>0</v>
      </c>
      <c r="ER27" s="49">
        <f t="shared" si="808"/>
        <v>0</v>
      </c>
      <c r="ES27" s="49">
        <f t="shared" si="808"/>
        <v>0</v>
      </c>
      <c r="ET27" s="49">
        <f t="shared" si="808"/>
        <v>0</v>
      </c>
      <c r="EU27" s="49">
        <f t="shared" si="809"/>
        <v>0</v>
      </c>
      <c r="EV27" s="49">
        <f t="shared" si="810"/>
        <v>0</v>
      </c>
      <c r="EW27" s="49">
        <f t="shared" si="811"/>
        <v>0</v>
      </c>
      <c r="EX27" s="49">
        <f t="shared" si="812"/>
        <v>0</v>
      </c>
      <c r="FA27" s="181" t="s">
        <v>563</v>
      </c>
      <c r="FB27" s="53">
        <f t="shared" si="813"/>
        <v>4.7406212925243395E-5</v>
      </c>
      <c r="FC27" s="53">
        <f t="shared" si="813"/>
        <v>4.7406212925243395E-5</v>
      </c>
      <c r="FD27" s="53">
        <f t="shared" si="813"/>
        <v>0</v>
      </c>
      <c r="FE27" s="53">
        <f t="shared" si="813"/>
        <v>0</v>
      </c>
      <c r="FF27" s="53">
        <f t="shared" si="813"/>
        <v>0</v>
      </c>
      <c r="FG27" s="53">
        <f t="shared" si="813"/>
        <v>0</v>
      </c>
      <c r="FH27" s="53">
        <f t="shared" si="813"/>
        <v>0</v>
      </c>
      <c r="FI27" s="53">
        <f t="shared" si="813"/>
        <v>0</v>
      </c>
      <c r="FJ27" s="53">
        <f t="shared" si="813"/>
        <v>0</v>
      </c>
      <c r="FK27" s="53">
        <f t="shared" si="813"/>
        <v>0</v>
      </c>
      <c r="FL27" s="53">
        <f t="shared" si="813"/>
        <v>0</v>
      </c>
      <c r="FM27" s="53">
        <f t="shared" si="813"/>
        <v>0</v>
      </c>
      <c r="FN27" s="53">
        <f t="shared" si="814"/>
        <v>0</v>
      </c>
      <c r="FO27" s="53">
        <f t="shared" si="815"/>
        <v>0</v>
      </c>
      <c r="FP27" s="53">
        <f t="shared" si="816"/>
        <v>0</v>
      </c>
      <c r="FQ27" s="53">
        <f t="shared" si="817"/>
        <v>0</v>
      </c>
      <c r="FT27" s="181" t="s">
        <v>563</v>
      </c>
      <c r="FU27" s="49">
        <f t="shared" si="818"/>
        <v>1.2240080645898491E-2</v>
      </c>
      <c r="FV27" s="49">
        <f t="shared" si="818"/>
        <v>1.2240080645898491E-2</v>
      </c>
      <c r="FW27" s="49">
        <f t="shared" si="818"/>
        <v>0</v>
      </c>
      <c r="FX27" s="49">
        <f t="shared" si="818"/>
        <v>0</v>
      </c>
      <c r="FY27" s="49">
        <f t="shared" si="818"/>
        <v>0</v>
      </c>
      <c r="FZ27" s="49">
        <f t="shared" si="818"/>
        <v>0</v>
      </c>
      <c r="GA27" s="49">
        <f t="shared" si="818"/>
        <v>0</v>
      </c>
      <c r="GB27" s="49">
        <f t="shared" si="818"/>
        <v>0</v>
      </c>
      <c r="GC27" s="49">
        <f t="shared" si="818"/>
        <v>0</v>
      </c>
      <c r="GD27" s="49">
        <f t="shared" si="818"/>
        <v>0</v>
      </c>
      <c r="GE27" s="49">
        <f t="shared" si="818"/>
        <v>0</v>
      </c>
      <c r="GF27" s="49">
        <f t="shared" si="818"/>
        <v>0</v>
      </c>
      <c r="GG27" s="49">
        <f t="shared" si="819"/>
        <v>0</v>
      </c>
      <c r="GH27" s="49">
        <f t="shared" si="820"/>
        <v>0</v>
      </c>
      <c r="GI27" s="49">
        <f t="shared" si="821"/>
        <v>0</v>
      </c>
      <c r="GJ27" s="49">
        <f t="shared" si="822"/>
        <v>0</v>
      </c>
      <c r="GM27" s="181" t="s">
        <v>563</v>
      </c>
      <c r="GN27" s="49">
        <f t="shared" si="823"/>
        <v>0.15546821798677388</v>
      </c>
      <c r="GO27" s="49">
        <f t="shared" si="823"/>
        <v>0.15546821798677388</v>
      </c>
      <c r="GP27" s="49">
        <f t="shared" si="823"/>
        <v>0</v>
      </c>
      <c r="GQ27" s="49">
        <f t="shared" si="823"/>
        <v>0</v>
      </c>
      <c r="GR27" s="49">
        <f t="shared" si="823"/>
        <v>0</v>
      </c>
      <c r="GS27" s="49">
        <f t="shared" si="823"/>
        <v>0</v>
      </c>
      <c r="GT27" s="49">
        <f t="shared" si="823"/>
        <v>0</v>
      </c>
      <c r="GU27" s="49">
        <f t="shared" si="823"/>
        <v>0</v>
      </c>
      <c r="GV27" s="49">
        <f t="shared" si="823"/>
        <v>0</v>
      </c>
      <c r="GW27" s="49">
        <f t="shared" si="823"/>
        <v>0</v>
      </c>
      <c r="GX27" s="49">
        <f t="shared" si="823"/>
        <v>0</v>
      </c>
      <c r="GY27" s="49">
        <f t="shared" si="823"/>
        <v>0</v>
      </c>
      <c r="GZ27" s="49">
        <f t="shared" si="824"/>
        <v>0</v>
      </c>
      <c r="HA27" s="49">
        <f t="shared" si="825"/>
        <v>0</v>
      </c>
      <c r="HB27" s="49">
        <f t="shared" si="826"/>
        <v>0</v>
      </c>
      <c r="HC27" s="49">
        <f t="shared" si="827"/>
        <v>0</v>
      </c>
      <c r="HF27" s="181" t="s">
        <v>563</v>
      </c>
      <c r="HG27" s="49">
        <f t="shared" si="828"/>
        <v>0.24808788642651</v>
      </c>
      <c r="HH27" s="49">
        <f t="shared" si="828"/>
        <v>0.24808788642651</v>
      </c>
      <c r="HI27" s="49">
        <f t="shared" si="828"/>
        <v>0</v>
      </c>
      <c r="HJ27" s="49">
        <f t="shared" si="828"/>
        <v>0</v>
      </c>
      <c r="HK27" s="49">
        <f t="shared" si="828"/>
        <v>0</v>
      </c>
      <c r="HL27" s="49">
        <f t="shared" si="828"/>
        <v>0</v>
      </c>
      <c r="HM27" s="49">
        <f t="shared" si="828"/>
        <v>0</v>
      </c>
      <c r="HN27" s="49">
        <f t="shared" si="828"/>
        <v>0</v>
      </c>
      <c r="HO27" s="49">
        <f t="shared" si="828"/>
        <v>0</v>
      </c>
      <c r="HP27" s="49">
        <f t="shared" si="828"/>
        <v>0</v>
      </c>
      <c r="HQ27" s="49">
        <f t="shared" si="828"/>
        <v>0</v>
      </c>
      <c r="HR27" s="49">
        <f t="shared" si="828"/>
        <v>0</v>
      </c>
      <c r="HS27" s="49">
        <f t="shared" si="829"/>
        <v>0</v>
      </c>
      <c r="HT27" s="49">
        <f t="shared" si="830"/>
        <v>0</v>
      </c>
      <c r="HU27" s="49">
        <f t="shared" si="831"/>
        <v>0</v>
      </c>
      <c r="HV27" s="49">
        <f t="shared" si="832"/>
        <v>0</v>
      </c>
      <c r="HY27" s="491" t="s">
        <v>714</v>
      </c>
      <c r="HZ27" s="338">
        <f t="shared" si="574"/>
        <v>3.6033072986715452E-4</v>
      </c>
      <c r="IA27" s="338">
        <f t="shared" si="575"/>
        <v>3.6033072986715452E-4</v>
      </c>
      <c r="IB27" s="338">
        <f t="shared" si="576"/>
        <v>0</v>
      </c>
      <c r="IC27" s="338">
        <f t="shared" si="577"/>
        <v>0</v>
      </c>
      <c r="ID27" s="338">
        <f t="shared" si="578"/>
        <v>0</v>
      </c>
      <c r="IE27" s="338">
        <f t="shared" si="579"/>
        <v>0</v>
      </c>
      <c r="IF27" s="338">
        <f t="shared" si="580"/>
        <v>0</v>
      </c>
      <c r="IG27" s="338">
        <f t="shared" si="581"/>
        <v>0</v>
      </c>
      <c r="IH27" s="338">
        <f t="shared" si="582"/>
        <v>0</v>
      </c>
      <c r="II27" s="338">
        <f t="shared" si="583"/>
        <v>0</v>
      </c>
      <c r="IJ27" s="338">
        <f t="shared" si="584"/>
        <v>0</v>
      </c>
      <c r="IK27" s="338">
        <f t="shared" si="585"/>
        <v>0</v>
      </c>
      <c r="IL27" s="338">
        <f t="shared" si="586"/>
        <v>0</v>
      </c>
      <c r="IM27" s="338">
        <f t="shared" si="587"/>
        <v>0</v>
      </c>
      <c r="IN27" s="338">
        <f t="shared" si="588"/>
        <v>0</v>
      </c>
      <c r="IO27" s="338">
        <f t="shared" si="589"/>
        <v>0</v>
      </c>
      <c r="IR27" s="491" t="s">
        <v>714</v>
      </c>
      <c r="IS27" s="338">
        <f t="shared" si="590"/>
        <v>2.0318788644266637E-2</v>
      </c>
      <c r="IT27" s="338">
        <f t="shared" si="591"/>
        <v>2.0318788644266637E-2</v>
      </c>
      <c r="IU27" s="338">
        <f t="shared" si="592"/>
        <v>0</v>
      </c>
      <c r="IV27" s="338">
        <f t="shared" si="593"/>
        <v>0</v>
      </c>
      <c r="IW27" s="338">
        <f t="shared" si="594"/>
        <v>0</v>
      </c>
      <c r="IX27" s="338">
        <f t="shared" si="595"/>
        <v>0</v>
      </c>
      <c r="IY27" s="338">
        <f t="shared" si="596"/>
        <v>0</v>
      </c>
      <c r="IZ27" s="338">
        <f t="shared" si="597"/>
        <v>0</v>
      </c>
      <c r="JA27" s="338">
        <f t="shared" si="598"/>
        <v>0</v>
      </c>
      <c r="JB27" s="338">
        <f t="shared" si="599"/>
        <v>0</v>
      </c>
      <c r="JC27" s="338">
        <f t="shared" si="600"/>
        <v>0</v>
      </c>
      <c r="JD27" s="338">
        <f t="shared" si="601"/>
        <v>0</v>
      </c>
      <c r="JE27" s="338">
        <f t="shared" si="602"/>
        <v>0</v>
      </c>
      <c r="JF27" s="338">
        <f t="shared" si="603"/>
        <v>0</v>
      </c>
      <c r="JG27" s="338">
        <f t="shared" si="604"/>
        <v>0</v>
      </c>
      <c r="JH27" s="338">
        <f t="shared" si="605"/>
        <v>0</v>
      </c>
      <c r="JK27" s="491" t="s">
        <v>714</v>
      </c>
      <c r="JL27" s="338">
        <f t="shared" si="606"/>
        <v>1.7072591641928179E-2</v>
      </c>
      <c r="JM27" s="338">
        <f t="shared" si="607"/>
        <v>1.7072591641928179E-2</v>
      </c>
      <c r="JN27" s="338">
        <f t="shared" si="608"/>
        <v>0</v>
      </c>
      <c r="JO27" s="338">
        <f t="shared" si="609"/>
        <v>0</v>
      </c>
      <c r="JP27" s="338">
        <f t="shared" si="610"/>
        <v>0</v>
      </c>
      <c r="JQ27" s="338">
        <f t="shared" si="611"/>
        <v>0</v>
      </c>
      <c r="JR27" s="338">
        <f t="shared" si="612"/>
        <v>0</v>
      </c>
      <c r="JS27" s="338">
        <f t="shared" si="613"/>
        <v>0</v>
      </c>
      <c r="JT27" s="338">
        <f t="shared" si="614"/>
        <v>0</v>
      </c>
      <c r="JU27" s="338">
        <f t="shared" si="615"/>
        <v>0</v>
      </c>
      <c r="JV27" s="338">
        <f t="shared" si="616"/>
        <v>0</v>
      </c>
      <c r="JW27" s="338">
        <f t="shared" si="617"/>
        <v>0</v>
      </c>
      <c r="JX27" s="338">
        <f t="shared" si="618"/>
        <v>0</v>
      </c>
      <c r="JY27" s="338">
        <f t="shared" si="619"/>
        <v>0</v>
      </c>
      <c r="JZ27" s="338">
        <f t="shared" si="620"/>
        <v>0</v>
      </c>
      <c r="KA27" s="338">
        <f t="shared" si="621"/>
        <v>0</v>
      </c>
      <c r="KD27" s="491" t="s">
        <v>714</v>
      </c>
      <c r="KE27" s="338">
        <f t="shared" si="622"/>
        <v>2.7904698746733046E-3</v>
      </c>
      <c r="KF27" s="338">
        <f t="shared" si="623"/>
        <v>2.7904698746733046E-3</v>
      </c>
      <c r="KG27" s="338">
        <f t="shared" si="624"/>
        <v>0</v>
      </c>
      <c r="KH27" s="338">
        <f t="shared" si="625"/>
        <v>0</v>
      </c>
      <c r="KI27" s="338">
        <f t="shared" si="626"/>
        <v>0</v>
      </c>
      <c r="KJ27" s="338">
        <f t="shared" si="627"/>
        <v>0</v>
      </c>
      <c r="KK27" s="338">
        <f t="shared" si="628"/>
        <v>0</v>
      </c>
      <c r="KL27" s="338">
        <f t="shared" si="629"/>
        <v>0</v>
      </c>
      <c r="KM27" s="338">
        <f t="shared" si="630"/>
        <v>0</v>
      </c>
      <c r="KN27" s="338">
        <f t="shared" si="631"/>
        <v>0</v>
      </c>
      <c r="KO27" s="338">
        <f t="shared" si="632"/>
        <v>0</v>
      </c>
      <c r="KP27" s="338">
        <f t="shared" si="633"/>
        <v>0</v>
      </c>
      <c r="KQ27" s="338">
        <f t="shared" si="634"/>
        <v>0</v>
      </c>
      <c r="KR27" s="338">
        <f t="shared" si="635"/>
        <v>0</v>
      </c>
      <c r="KS27" s="338">
        <f t="shared" si="636"/>
        <v>0</v>
      </c>
      <c r="KT27" s="338">
        <f t="shared" si="637"/>
        <v>0</v>
      </c>
      <c r="KW27" s="491" t="s">
        <v>714</v>
      </c>
      <c r="KX27" s="338">
        <f t="shared" si="638"/>
        <v>1.7875553069755284E-2</v>
      </c>
      <c r="KY27" s="338">
        <f t="shared" si="639"/>
        <v>1.7875553069755284E-2</v>
      </c>
      <c r="KZ27" s="338">
        <f t="shared" si="640"/>
        <v>0</v>
      </c>
      <c r="LA27" s="338">
        <f t="shared" si="641"/>
        <v>0</v>
      </c>
      <c r="LB27" s="338">
        <f t="shared" si="642"/>
        <v>0</v>
      </c>
      <c r="LC27" s="338">
        <f t="shared" si="643"/>
        <v>0</v>
      </c>
      <c r="LD27" s="338">
        <f t="shared" si="644"/>
        <v>0</v>
      </c>
      <c r="LE27" s="338">
        <f t="shared" si="645"/>
        <v>0</v>
      </c>
      <c r="LF27" s="338">
        <f t="shared" si="646"/>
        <v>0</v>
      </c>
      <c r="LG27" s="338">
        <f t="shared" si="647"/>
        <v>0</v>
      </c>
      <c r="LH27" s="338">
        <f t="shared" si="648"/>
        <v>0</v>
      </c>
      <c r="LI27" s="338">
        <f t="shared" si="649"/>
        <v>0</v>
      </c>
      <c r="LJ27" s="338">
        <f t="shared" si="650"/>
        <v>0</v>
      </c>
      <c r="LK27" s="338">
        <f t="shared" si="651"/>
        <v>0</v>
      </c>
      <c r="LL27" s="338">
        <f t="shared" si="652"/>
        <v>0</v>
      </c>
      <c r="LM27" s="338">
        <f t="shared" si="653"/>
        <v>0</v>
      </c>
      <c r="LP27" s="491" t="s">
        <v>714</v>
      </c>
      <c r="LQ27" s="338">
        <f t="shared" si="654"/>
        <v>3.1399942609039268E-6</v>
      </c>
      <c r="LR27" s="338">
        <f t="shared" si="655"/>
        <v>3.1399942609039268E-6</v>
      </c>
      <c r="LS27" s="338">
        <f t="shared" si="656"/>
        <v>0</v>
      </c>
      <c r="LT27" s="338">
        <f t="shared" si="657"/>
        <v>0</v>
      </c>
      <c r="LU27" s="338">
        <f t="shared" si="658"/>
        <v>0</v>
      </c>
      <c r="LV27" s="338">
        <f t="shared" si="659"/>
        <v>0</v>
      </c>
      <c r="LW27" s="338">
        <f t="shared" si="660"/>
        <v>0</v>
      </c>
      <c r="LX27" s="338">
        <f t="shared" si="661"/>
        <v>0</v>
      </c>
      <c r="LY27" s="338">
        <f t="shared" si="662"/>
        <v>0</v>
      </c>
      <c r="LZ27" s="338">
        <f t="shared" si="663"/>
        <v>0</v>
      </c>
      <c r="MA27" s="338">
        <f t="shared" si="664"/>
        <v>0</v>
      </c>
      <c r="MB27" s="338">
        <f t="shared" si="665"/>
        <v>0</v>
      </c>
      <c r="MC27" s="338">
        <f t="shared" si="666"/>
        <v>0</v>
      </c>
      <c r="MD27" s="338">
        <f t="shared" si="667"/>
        <v>0</v>
      </c>
      <c r="ME27" s="338">
        <f t="shared" si="668"/>
        <v>0</v>
      </c>
      <c r="MF27" s="338">
        <f t="shared" si="669"/>
        <v>0</v>
      </c>
      <c r="MI27" s="491" t="s">
        <v>714</v>
      </c>
      <c r="MJ27" s="338">
        <f t="shared" si="670"/>
        <v>2.4906117300569437E-4</v>
      </c>
      <c r="MK27" s="338">
        <f t="shared" si="671"/>
        <v>2.4906117300569437E-4</v>
      </c>
      <c r="ML27" s="338">
        <f t="shared" si="672"/>
        <v>0</v>
      </c>
      <c r="MM27" s="338">
        <f t="shared" si="673"/>
        <v>0</v>
      </c>
      <c r="MN27" s="338">
        <f t="shared" si="674"/>
        <v>0</v>
      </c>
      <c r="MO27" s="338">
        <f t="shared" si="675"/>
        <v>0</v>
      </c>
      <c r="MP27" s="338">
        <f t="shared" si="676"/>
        <v>0</v>
      </c>
      <c r="MQ27" s="338">
        <f t="shared" si="677"/>
        <v>0</v>
      </c>
      <c r="MR27" s="338">
        <f t="shared" si="678"/>
        <v>0</v>
      </c>
      <c r="MS27" s="338">
        <f t="shared" si="679"/>
        <v>0</v>
      </c>
      <c r="MT27" s="338">
        <f t="shared" si="680"/>
        <v>0</v>
      </c>
      <c r="MU27" s="338">
        <f t="shared" si="681"/>
        <v>0</v>
      </c>
      <c r="MV27" s="338">
        <f t="shared" si="682"/>
        <v>0</v>
      </c>
      <c r="MW27" s="338">
        <f t="shared" si="683"/>
        <v>0</v>
      </c>
      <c r="MX27" s="338">
        <f t="shared" si="684"/>
        <v>0</v>
      </c>
      <c r="MY27" s="338">
        <f t="shared" si="685"/>
        <v>0</v>
      </c>
      <c r="NB27" s="491" t="s">
        <v>714</v>
      </c>
      <c r="NC27" s="338">
        <f t="shared" si="686"/>
        <v>2.4233404517897886E-4</v>
      </c>
      <c r="ND27" s="338">
        <f t="shared" si="687"/>
        <v>2.4233404517897886E-4</v>
      </c>
      <c r="NE27" s="338">
        <f t="shared" si="688"/>
        <v>0</v>
      </c>
      <c r="NF27" s="338">
        <f t="shared" si="689"/>
        <v>0</v>
      </c>
      <c r="NG27" s="338">
        <f t="shared" si="690"/>
        <v>0</v>
      </c>
      <c r="NH27" s="338">
        <f t="shared" si="691"/>
        <v>0</v>
      </c>
      <c r="NI27" s="338">
        <f t="shared" si="692"/>
        <v>0</v>
      </c>
      <c r="NJ27" s="338">
        <f t="shared" si="693"/>
        <v>0</v>
      </c>
      <c r="NK27" s="338">
        <f t="shared" si="694"/>
        <v>0</v>
      </c>
      <c r="NL27" s="338">
        <f t="shared" si="695"/>
        <v>0</v>
      </c>
      <c r="NM27" s="338">
        <f t="shared" si="696"/>
        <v>0</v>
      </c>
      <c r="NN27" s="338">
        <f t="shared" si="697"/>
        <v>0</v>
      </c>
      <c r="NO27" s="338">
        <f t="shared" si="698"/>
        <v>0</v>
      </c>
      <c r="NP27" s="338">
        <f t="shared" si="699"/>
        <v>0</v>
      </c>
      <c r="NQ27" s="338">
        <f t="shared" si="700"/>
        <v>0</v>
      </c>
      <c r="NR27" s="338">
        <f t="shared" si="701"/>
        <v>0</v>
      </c>
    </row>
    <row r="28" spans="2:382" ht="14.25" customHeight="1" x14ac:dyDescent="0.25">
      <c r="B28" s="734"/>
      <c r="C28" s="181" t="s">
        <v>620</v>
      </c>
      <c r="D28" s="193"/>
      <c r="E28" s="194"/>
      <c r="F28" s="193"/>
      <c r="G28" s="194"/>
      <c r="H28" s="193"/>
      <c r="I28" s="194"/>
      <c r="J28" s="193"/>
      <c r="K28" s="194"/>
      <c r="L28" s="193"/>
      <c r="M28" s="194"/>
      <c r="N28" s="143"/>
      <c r="O28" s="127"/>
      <c r="P28" s="143">
        <f>'CAM Characteristics'!I63/1000</f>
        <v>1.3420220729419483</v>
      </c>
      <c r="Q28" s="143">
        <f>'CAM Characteristics'!I63/1000</f>
        <v>1.3420220729419483</v>
      </c>
      <c r="R28" s="193"/>
      <c r="S28" s="194"/>
      <c r="T28" s="318"/>
      <c r="U28" s="119"/>
      <c r="V28" s="181" t="s">
        <v>620</v>
      </c>
      <c r="W28" s="100">
        <f>'Ecoinvent 3.10'!M16</f>
        <v>0.98863816838505825</v>
      </c>
      <c r="X28" s="100">
        <f>'Ecoinvent 3.10'!N16</f>
        <v>0.15923999999999999</v>
      </c>
      <c r="Y28" s="100">
        <f>'Ecoinvent 3.10'!O16</f>
        <v>4.0871000000000004</v>
      </c>
      <c r="Z28" s="100">
        <f>'Ecoinvent 3.10'!P16</f>
        <v>8.0539999999999995E-4</v>
      </c>
      <c r="AA28" s="100">
        <f>'Ecoinvent 3.10'!Q16</f>
        <v>5.9956999999999996E-3</v>
      </c>
      <c r="AB28" s="100">
        <f>'Ecoinvent 3.10'!R16</f>
        <v>1.6105E-3</v>
      </c>
      <c r="AC28" s="100">
        <f>'Ecoinvent 3.10'!S16</f>
        <v>1.2416E-4</v>
      </c>
      <c r="AD28" s="100">
        <f>'Ecoinvent 3.10'!T16</f>
        <v>3.7781000000000002E-2</v>
      </c>
      <c r="AE28" s="100">
        <f>'Ecoinvent 3.10'!U16</f>
        <v>0.10124</v>
      </c>
      <c r="AF28" s="100">
        <f>'Ecoinvent 3.10'!V16</f>
        <v>0.63566999999999996</v>
      </c>
      <c r="AG28" s="328">
        <f>'Ecoinvent 3.10'!W16</f>
        <v>3.2508999999999999E-4</v>
      </c>
      <c r="AH28" s="328">
        <f>'Ecoinvent 3.10'!X16</f>
        <v>4.2595000000000001E-2</v>
      </c>
      <c r="AI28" s="328">
        <f>'Ecoinvent 3.10'!Y16</f>
        <v>5.2911E-2</v>
      </c>
      <c r="AJ28" s="328">
        <f>'Ecoinvent 3.10'!Z16</f>
        <v>9.8299000000000008E-3</v>
      </c>
      <c r="AK28" s="328">
        <f>'Ecoinvent 3.10'!AA16</f>
        <v>5.1539000000000001E-2</v>
      </c>
      <c r="AL28" s="328">
        <f>'Ecoinvent 3.10'!AB16</f>
        <v>8.4717000000000006E-6</v>
      </c>
      <c r="AM28" s="328">
        <f>'Ecoinvent 3.10'!AC16</f>
        <v>4.7482999999999998E-4</v>
      </c>
      <c r="AN28" s="328">
        <f>'Ecoinvent 3.10'!AD16</f>
        <v>4.5795999999999999E-4</v>
      </c>
      <c r="AO28" s="119"/>
      <c r="AP28" s="8"/>
      <c r="AQ28" s="181" t="s">
        <v>620</v>
      </c>
      <c r="AR28" s="49">
        <f t="shared" ref="AR28" si="833">D28*$W28</f>
        <v>0</v>
      </c>
      <c r="AS28" s="50">
        <f t="shared" ref="AS28" si="834">E28*$W28</f>
        <v>0</v>
      </c>
      <c r="AT28" s="49">
        <f t="shared" ref="AT28" si="835">F28*$W28</f>
        <v>0</v>
      </c>
      <c r="AU28" s="50">
        <f t="shared" ref="AU28" si="836">G28*$W28</f>
        <v>0</v>
      </c>
      <c r="AV28" s="49">
        <f t="shared" ref="AV28" si="837">H28*$W28</f>
        <v>0</v>
      </c>
      <c r="AW28" s="50">
        <f t="shared" ref="AW28" si="838">I28*$W28</f>
        <v>0</v>
      </c>
      <c r="AX28" s="49">
        <f t="shared" ref="AX28" si="839">J28*$W28</f>
        <v>0</v>
      </c>
      <c r="AY28" s="50">
        <f t="shared" ref="AY28" si="840">K28*$W28</f>
        <v>0</v>
      </c>
      <c r="AZ28" s="49">
        <f t="shared" ref="AZ28" si="841">L28*$W28</f>
        <v>0</v>
      </c>
      <c r="BA28" s="50">
        <f t="shared" ref="BA28" si="842">M28*$W28</f>
        <v>0</v>
      </c>
      <c r="BB28" s="49">
        <f t="shared" ref="BB28" si="843">N28*$W28</f>
        <v>0</v>
      </c>
      <c r="BC28" s="50">
        <f t="shared" ref="BC28" si="844">O28*$W28</f>
        <v>0</v>
      </c>
      <c r="BD28" s="49">
        <f t="shared" ref="BD28" si="845">P28*$W28</f>
        <v>1.3267742441256467</v>
      </c>
      <c r="BE28" s="50">
        <f t="shared" ref="BE28" si="846">Q28*$W28</f>
        <v>1.3267742441256467</v>
      </c>
      <c r="BF28" s="49">
        <f t="shared" ref="BF28" si="847">R28*$W28</f>
        <v>0</v>
      </c>
      <c r="BG28" s="50">
        <f t="shared" ref="BG28" si="848">S28*$W28</f>
        <v>0</v>
      </c>
      <c r="BI28" s="156"/>
      <c r="BJ28" s="181" t="s">
        <v>620</v>
      </c>
      <c r="BK28" s="49">
        <f t="shared" si="744"/>
        <v>0</v>
      </c>
      <c r="BL28" s="49">
        <f t="shared" si="745"/>
        <v>0</v>
      </c>
      <c r="BM28" s="49">
        <f t="shared" si="746"/>
        <v>0</v>
      </c>
      <c r="BN28" s="49">
        <f t="shared" si="747"/>
        <v>0</v>
      </c>
      <c r="BO28" s="49">
        <f t="shared" si="748"/>
        <v>0</v>
      </c>
      <c r="BP28" s="49">
        <f t="shared" si="749"/>
        <v>0</v>
      </c>
      <c r="BQ28" s="49">
        <f t="shared" si="750"/>
        <v>0</v>
      </c>
      <c r="BR28" s="49">
        <f t="shared" si="751"/>
        <v>0</v>
      </c>
      <c r="BS28" s="49">
        <f t="shared" si="752"/>
        <v>0</v>
      </c>
      <c r="BT28" s="49">
        <f t="shared" si="753"/>
        <v>0</v>
      </c>
      <c r="BU28" s="49">
        <f t="shared" si="754"/>
        <v>0</v>
      </c>
      <c r="BV28" s="49">
        <f t="shared" si="755"/>
        <v>0</v>
      </c>
      <c r="BW28" s="49">
        <f t="shared" si="756"/>
        <v>0.21370359489527585</v>
      </c>
      <c r="BX28" s="49">
        <f t="shared" si="757"/>
        <v>0.21370359489527585</v>
      </c>
      <c r="BY28" s="49">
        <f t="shared" si="758"/>
        <v>0</v>
      </c>
      <c r="BZ28" s="49">
        <f t="shared" si="759"/>
        <v>0</v>
      </c>
      <c r="CA28" s="156"/>
      <c r="CB28" s="156"/>
      <c r="CC28" s="181" t="s">
        <v>620</v>
      </c>
      <c r="CD28" s="49">
        <f t="shared" si="760"/>
        <v>0</v>
      </c>
      <c r="CE28" s="49">
        <f t="shared" si="761"/>
        <v>0</v>
      </c>
      <c r="CF28" s="49">
        <f t="shared" si="762"/>
        <v>0</v>
      </c>
      <c r="CG28" s="49">
        <f t="shared" si="763"/>
        <v>0</v>
      </c>
      <c r="CH28" s="49">
        <f t="shared" si="764"/>
        <v>0</v>
      </c>
      <c r="CI28" s="49">
        <f t="shared" si="765"/>
        <v>0</v>
      </c>
      <c r="CJ28" s="49">
        <f t="shared" si="766"/>
        <v>0</v>
      </c>
      <c r="CK28" s="49">
        <f t="shared" si="767"/>
        <v>0</v>
      </c>
      <c r="CL28" s="49">
        <f t="shared" si="768"/>
        <v>0</v>
      </c>
      <c r="CM28" s="49">
        <f t="shared" si="769"/>
        <v>0</v>
      </c>
      <c r="CN28" s="49">
        <f t="shared" si="770"/>
        <v>0</v>
      </c>
      <c r="CO28" s="49">
        <f t="shared" si="771"/>
        <v>0</v>
      </c>
      <c r="CP28" s="49">
        <f t="shared" si="772"/>
        <v>5.4849784143210378</v>
      </c>
      <c r="CQ28" s="49">
        <f t="shared" si="773"/>
        <v>5.4849784143210378</v>
      </c>
      <c r="CR28" s="49">
        <f t="shared" si="774"/>
        <v>0</v>
      </c>
      <c r="CS28" s="49">
        <f t="shared" si="775"/>
        <v>0</v>
      </c>
      <c r="CV28" s="181" t="s">
        <v>620</v>
      </c>
      <c r="CW28" s="49">
        <f t="shared" si="776"/>
        <v>0</v>
      </c>
      <c r="CX28" s="49">
        <f t="shared" si="777"/>
        <v>0</v>
      </c>
      <c r="CY28" s="49">
        <f t="shared" si="778"/>
        <v>0</v>
      </c>
      <c r="CZ28" s="49">
        <f t="shared" si="779"/>
        <v>0</v>
      </c>
      <c r="DA28" s="49">
        <f t="shared" si="780"/>
        <v>0</v>
      </c>
      <c r="DB28" s="49">
        <f t="shared" si="781"/>
        <v>0</v>
      </c>
      <c r="DC28" s="49">
        <f t="shared" si="782"/>
        <v>0</v>
      </c>
      <c r="DD28" s="49">
        <f t="shared" si="783"/>
        <v>0</v>
      </c>
      <c r="DE28" s="49">
        <f t="shared" si="784"/>
        <v>0</v>
      </c>
      <c r="DF28" s="49">
        <f t="shared" si="785"/>
        <v>0</v>
      </c>
      <c r="DG28" s="49">
        <f t="shared" si="786"/>
        <v>0</v>
      </c>
      <c r="DH28" s="49">
        <f t="shared" si="787"/>
        <v>0</v>
      </c>
      <c r="DI28" s="49">
        <f t="shared" si="788"/>
        <v>1.0808645775474452E-3</v>
      </c>
      <c r="DJ28" s="49">
        <f t="shared" si="789"/>
        <v>1.0808645775474452E-3</v>
      </c>
      <c r="DK28" s="49">
        <f t="shared" si="790"/>
        <v>0</v>
      </c>
      <c r="DL28" s="49">
        <f t="shared" si="791"/>
        <v>0</v>
      </c>
      <c r="DO28" s="181" t="s">
        <v>620</v>
      </c>
      <c r="DP28" s="49">
        <f t="shared" si="792"/>
        <v>0</v>
      </c>
      <c r="DQ28" s="49">
        <f t="shared" si="793"/>
        <v>0</v>
      </c>
      <c r="DR28" s="49">
        <f t="shared" si="794"/>
        <v>0</v>
      </c>
      <c r="DS28" s="49">
        <f t="shared" si="795"/>
        <v>0</v>
      </c>
      <c r="DT28" s="49">
        <f t="shared" si="796"/>
        <v>0</v>
      </c>
      <c r="DU28" s="49">
        <f t="shared" si="797"/>
        <v>0</v>
      </c>
      <c r="DV28" s="49">
        <f t="shared" si="798"/>
        <v>0</v>
      </c>
      <c r="DW28" s="49">
        <f t="shared" si="799"/>
        <v>0</v>
      </c>
      <c r="DX28" s="49">
        <f t="shared" si="800"/>
        <v>0</v>
      </c>
      <c r="DY28" s="49">
        <f t="shared" si="801"/>
        <v>0</v>
      </c>
      <c r="DZ28" s="49">
        <f t="shared" si="802"/>
        <v>0</v>
      </c>
      <c r="EA28" s="49">
        <f t="shared" si="803"/>
        <v>0</v>
      </c>
      <c r="EB28" s="49">
        <f t="shared" si="804"/>
        <v>8.0463617427380396E-3</v>
      </c>
      <c r="EC28" s="49">
        <f t="shared" si="805"/>
        <v>8.0463617427380396E-3</v>
      </c>
      <c r="ED28" s="49">
        <f t="shared" si="806"/>
        <v>0</v>
      </c>
      <c r="EE28" s="49">
        <f t="shared" si="807"/>
        <v>0</v>
      </c>
      <c r="EH28" s="181" t="s">
        <v>620</v>
      </c>
      <c r="EI28" s="49">
        <f t="shared" ref="EI28" si="849">D28*$AB28</f>
        <v>0</v>
      </c>
      <c r="EJ28" s="49">
        <f t="shared" ref="EJ28" si="850">E28*$AB28</f>
        <v>0</v>
      </c>
      <c r="EK28" s="49">
        <f t="shared" ref="EK28" si="851">F28*$AB28</f>
        <v>0</v>
      </c>
      <c r="EL28" s="49">
        <f t="shared" ref="EL28" si="852">G28*$AB28</f>
        <v>0</v>
      </c>
      <c r="EM28" s="49">
        <f t="shared" ref="EM28" si="853">H28*$AB28</f>
        <v>0</v>
      </c>
      <c r="EN28" s="49">
        <f t="shared" ref="EN28" si="854">I28*$AB28</f>
        <v>0</v>
      </c>
      <c r="EO28" s="49">
        <f t="shared" ref="EO28" si="855">J28*$AB28</f>
        <v>0</v>
      </c>
      <c r="EP28" s="49">
        <f t="shared" ref="EP28" si="856">K28*$AB28</f>
        <v>0</v>
      </c>
      <c r="EQ28" s="49">
        <f t="shared" ref="EQ28" si="857">L28*$AB28</f>
        <v>0</v>
      </c>
      <c r="ER28" s="49">
        <f t="shared" ref="ER28" si="858">M28*$AB28</f>
        <v>0</v>
      </c>
      <c r="ES28" s="49">
        <f t="shared" ref="ES28" si="859">N28*$AB28</f>
        <v>0</v>
      </c>
      <c r="ET28" s="49">
        <f t="shared" ref="ET28" si="860">O28*$AB28</f>
        <v>0</v>
      </c>
      <c r="EU28" s="49">
        <f t="shared" ref="EU28" si="861">P28*$AB28</f>
        <v>2.1613265484730078E-3</v>
      </c>
      <c r="EV28" s="49">
        <f t="shared" ref="EV28" si="862">Q28*$AB28</f>
        <v>2.1613265484730078E-3</v>
      </c>
      <c r="EW28" s="49">
        <f t="shared" ref="EW28" si="863">R28*$AB28</f>
        <v>0</v>
      </c>
      <c r="EX28" s="49">
        <f t="shared" ref="EX28" si="864">S28*$AB28</f>
        <v>0</v>
      </c>
      <c r="FA28" s="181" t="s">
        <v>620</v>
      </c>
      <c r="FB28" s="53">
        <f t="shared" ref="FB28" si="865">D28*$AC28</f>
        <v>0</v>
      </c>
      <c r="FC28" s="53">
        <f t="shared" ref="FC28" si="866">E28*$AC28</f>
        <v>0</v>
      </c>
      <c r="FD28" s="53">
        <f t="shared" ref="FD28" si="867">F28*$AC28</f>
        <v>0</v>
      </c>
      <c r="FE28" s="53">
        <f t="shared" ref="FE28" si="868">G28*$AC28</f>
        <v>0</v>
      </c>
      <c r="FF28" s="53">
        <f t="shared" ref="FF28" si="869">H28*$AC28</f>
        <v>0</v>
      </c>
      <c r="FG28" s="53">
        <f t="shared" ref="FG28" si="870">I28*$AC28</f>
        <v>0</v>
      </c>
      <c r="FH28" s="53">
        <f t="shared" ref="FH28" si="871">J28*$AC28</f>
        <v>0</v>
      </c>
      <c r="FI28" s="53">
        <f t="shared" ref="FI28" si="872">K28*$AC28</f>
        <v>0</v>
      </c>
      <c r="FJ28" s="53">
        <f t="shared" ref="FJ28" si="873">L28*$AC28</f>
        <v>0</v>
      </c>
      <c r="FK28" s="53">
        <f t="shared" ref="FK28" si="874">M28*$AC28</f>
        <v>0</v>
      </c>
      <c r="FL28" s="53">
        <f t="shared" ref="FL28" si="875">N28*$AC28</f>
        <v>0</v>
      </c>
      <c r="FM28" s="53">
        <f t="shared" ref="FM28" si="876">O28*$AC28</f>
        <v>0</v>
      </c>
      <c r="FN28" s="53">
        <f t="shared" ref="FN28" si="877">P28*$AC28</f>
        <v>1.666254605764723E-4</v>
      </c>
      <c r="FO28" s="53">
        <f t="shared" ref="FO28" si="878">Q28*$AC28</f>
        <v>1.666254605764723E-4</v>
      </c>
      <c r="FP28" s="53">
        <f t="shared" ref="FP28" si="879">R28*$AC28</f>
        <v>0</v>
      </c>
      <c r="FQ28" s="53">
        <f t="shared" ref="FQ28" si="880">S28*$AC28</f>
        <v>0</v>
      </c>
      <c r="FT28" s="181" t="s">
        <v>620</v>
      </c>
      <c r="FU28" s="49">
        <f t="shared" ref="FU28" si="881">D28*$AD28</f>
        <v>0</v>
      </c>
      <c r="FV28" s="49">
        <f t="shared" ref="FV28" si="882">E28*$AD28</f>
        <v>0</v>
      </c>
      <c r="FW28" s="49">
        <f t="shared" ref="FW28" si="883">F28*$AD28</f>
        <v>0</v>
      </c>
      <c r="FX28" s="49">
        <f t="shared" ref="FX28" si="884">G28*$AD28</f>
        <v>0</v>
      </c>
      <c r="FY28" s="49">
        <f t="shared" ref="FY28" si="885">H28*$AD28</f>
        <v>0</v>
      </c>
      <c r="FZ28" s="49">
        <f t="shared" ref="FZ28" si="886">I28*$AD28</f>
        <v>0</v>
      </c>
      <c r="GA28" s="49">
        <f t="shared" ref="GA28" si="887">J28*$AD28</f>
        <v>0</v>
      </c>
      <c r="GB28" s="49">
        <f t="shared" ref="GB28" si="888">K28*$AD28</f>
        <v>0</v>
      </c>
      <c r="GC28" s="49">
        <f t="shared" ref="GC28" si="889">L28*$AD28</f>
        <v>0</v>
      </c>
      <c r="GD28" s="49">
        <f t="shared" ref="GD28" si="890">M28*$AD28</f>
        <v>0</v>
      </c>
      <c r="GE28" s="49">
        <f t="shared" ref="GE28" si="891">N28*$AD28</f>
        <v>0</v>
      </c>
      <c r="GF28" s="49">
        <f t="shared" ref="GF28" si="892">O28*$AD28</f>
        <v>0</v>
      </c>
      <c r="GG28" s="49">
        <f t="shared" ref="GG28" si="893">P28*$AD28</f>
        <v>5.070293593781975E-2</v>
      </c>
      <c r="GH28" s="49">
        <f t="shared" ref="GH28" si="894">Q28*$AD28</f>
        <v>5.070293593781975E-2</v>
      </c>
      <c r="GI28" s="49">
        <f t="shared" ref="GI28" si="895">R28*$AD28</f>
        <v>0</v>
      </c>
      <c r="GJ28" s="49">
        <f t="shared" ref="GJ28" si="896">S28*$AD28</f>
        <v>0</v>
      </c>
      <c r="GM28" s="181" t="s">
        <v>620</v>
      </c>
      <c r="GN28" s="49">
        <f t="shared" ref="GN28" si="897">D28*$AE28</f>
        <v>0</v>
      </c>
      <c r="GO28" s="49">
        <f t="shared" ref="GO28" si="898">E28*$AE28</f>
        <v>0</v>
      </c>
      <c r="GP28" s="49">
        <f t="shared" ref="GP28" si="899">F28*$AE28</f>
        <v>0</v>
      </c>
      <c r="GQ28" s="49">
        <f t="shared" ref="GQ28" si="900">G28*$AE28</f>
        <v>0</v>
      </c>
      <c r="GR28" s="49">
        <f t="shared" ref="GR28" si="901">H28*$AE28</f>
        <v>0</v>
      </c>
      <c r="GS28" s="49">
        <f t="shared" ref="GS28" si="902">I28*$AE28</f>
        <v>0</v>
      </c>
      <c r="GT28" s="49">
        <f t="shared" ref="GT28" si="903">J28*$AE28</f>
        <v>0</v>
      </c>
      <c r="GU28" s="49">
        <f t="shared" ref="GU28" si="904">K28*$AE28</f>
        <v>0</v>
      </c>
      <c r="GV28" s="49">
        <f t="shared" ref="GV28" si="905">L28*$AE28</f>
        <v>0</v>
      </c>
      <c r="GW28" s="49">
        <f t="shared" ref="GW28" si="906">M28*$AE28</f>
        <v>0</v>
      </c>
      <c r="GX28" s="49">
        <f t="shared" ref="GX28" si="907">N28*$AE28</f>
        <v>0</v>
      </c>
      <c r="GY28" s="49">
        <f t="shared" ref="GY28" si="908">O28*$AE28</f>
        <v>0</v>
      </c>
      <c r="GZ28" s="49">
        <f t="shared" ref="GZ28" si="909">P28*$AE28</f>
        <v>0.13586631466464283</v>
      </c>
      <c r="HA28" s="49">
        <f t="shared" ref="HA28" si="910">Q28*$AE28</f>
        <v>0.13586631466464283</v>
      </c>
      <c r="HB28" s="49">
        <f t="shared" ref="HB28" si="911">R28*$AE28</f>
        <v>0</v>
      </c>
      <c r="HC28" s="49">
        <f t="shared" ref="HC28" si="912">S28*$AE28</f>
        <v>0</v>
      </c>
      <c r="HF28" s="181" t="s">
        <v>620</v>
      </c>
      <c r="HG28" s="49">
        <f t="shared" ref="HG28" si="913">D28*$AF28</f>
        <v>0</v>
      </c>
      <c r="HH28" s="49">
        <f t="shared" ref="HH28" si="914">E28*$AF28</f>
        <v>0</v>
      </c>
      <c r="HI28" s="49">
        <f t="shared" ref="HI28" si="915">F28*$AF28</f>
        <v>0</v>
      </c>
      <c r="HJ28" s="49">
        <f t="shared" ref="HJ28" si="916">G28*$AF28</f>
        <v>0</v>
      </c>
      <c r="HK28" s="49">
        <f t="shared" ref="HK28" si="917">H28*$AF28</f>
        <v>0</v>
      </c>
      <c r="HL28" s="49">
        <f t="shared" ref="HL28" si="918">I28*$AF28</f>
        <v>0</v>
      </c>
      <c r="HM28" s="49">
        <f t="shared" ref="HM28" si="919">J28*$AF28</f>
        <v>0</v>
      </c>
      <c r="HN28" s="49">
        <f t="shared" ref="HN28" si="920">K28*$AF28</f>
        <v>0</v>
      </c>
      <c r="HO28" s="49">
        <f t="shared" ref="HO28" si="921">L28*$AF28</f>
        <v>0</v>
      </c>
      <c r="HP28" s="49">
        <f t="shared" ref="HP28" si="922">M28*$AF28</f>
        <v>0</v>
      </c>
      <c r="HQ28" s="49">
        <f t="shared" ref="HQ28" si="923">N28*$AF28</f>
        <v>0</v>
      </c>
      <c r="HR28" s="49">
        <f t="shared" ref="HR28" si="924">O28*$AF28</f>
        <v>0</v>
      </c>
      <c r="HS28" s="49">
        <f t="shared" ref="HS28" si="925">P28*$AF28</f>
        <v>0.85308317110700826</v>
      </c>
      <c r="HT28" s="49">
        <f t="shared" ref="HT28" si="926">Q28*$AF28</f>
        <v>0.85308317110700826</v>
      </c>
      <c r="HU28" s="49">
        <f t="shared" ref="HU28" si="927">R28*$AF28</f>
        <v>0</v>
      </c>
      <c r="HV28" s="49">
        <f t="shared" ref="HV28" si="928">S28*$AF28</f>
        <v>0</v>
      </c>
      <c r="HY28" s="491" t="s">
        <v>715</v>
      </c>
      <c r="HZ28" s="338">
        <f t="shared" ref="HZ28" si="929">D28*$AG28</f>
        <v>0</v>
      </c>
      <c r="IA28" s="338">
        <f t="shared" ref="IA28" si="930">E28*$AG28</f>
        <v>0</v>
      </c>
      <c r="IB28" s="338">
        <f t="shared" ref="IB28" si="931">F28*$AG28</f>
        <v>0</v>
      </c>
      <c r="IC28" s="338">
        <f t="shared" ref="IC28" si="932">G28*$AG28</f>
        <v>0</v>
      </c>
      <c r="ID28" s="338">
        <f t="shared" ref="ID28" si="933">H28*$AG28</f>
        <v>0</v>
      </c>
      <c r="IE28" s="338">
        <f t="shared" ref="IE28" si="934">I28*$AG28</f>
        <v>0</v>
      </c>
      <c r="IF28" s="338">
        <f t="shared" ref="IF28" si="935">J28*$AG28</f>
        <v>0</v>
      </c>
      <c r="IG28" s="338">
        <f t="shared" ref="IG28" si="936">K28*$AG28</f>
        <v>0</v>
      </c>
      <c r="IH28" s="338">
        <f t="shared" ref="IH28" si="937">L28*$AG28</f>
        <v>0</v>
      </c>
      <c r="II28" s="338">
        <f t="shared" ref="II28" si="938">M28*$AG28</f>
        <v>0</v>
      </c>
      <c r="IJ28" s="338">
        <f t="shared" ref="IJ28" si="939">N28*$AG28</f>
        <v>0</v>
      </c>
      <c r="IK28" s="338">
        <f t="shared" ref="IK28" si="940">O28*$AG28</f>
        <v>0</v>
      </c>
      <c r="IL28" s="338">
        <f t="shared" ref="IL28" si="941">P28*$AG28</f>
        <v>4.3627795569269799E-4</v>
      </c>
      <c r="IM28" s="338">
        <f t="shared" ref="IM28" si="942">Q28*$AG28</f>
        <v>4.3627795569269799E-4</v>
      </c>
      <c r="IN28" s="338">
        <f t="shared" ref="IN28" si="943">R28*$AG28</f>
        <v>0</v>
      </c>
      <c r="IO28" s="338">
        <f t="shared" ref="IO28" si="944">S28*$AG28</f>
        <v>0</v>
      </c>
      <c r="IR28" s="491" t="s">
        <v>715</v>
      </c>
      <c r="IS28" s="338">
        <f t="shared" ref="IS28" si="945">D28*$AH28</f>
        <v>0</v>
      </c>
      <c r="IT28" s="338">
        <f t="shared" ref="IT28" si="946">E28*$AH28</f>
        <v>0</v>
      </c>
      <c r="IU28" s="338">
        <f t="shared" ref="IU28" si="947">F28*$AH28</f>
        <v>0</v>
      </c>
      <c r="IV28" s="338">
        <f t="shared" ref="IV28" si="948">G28*$AH28</f>
        <v>0</v>
      </c>
      <c r="IW28" s="338">
        <f t="shared" ref="IW28" si="949">H28*$AH28</f>
        <v>0</v>
      </c>
      <c r="IX28" s="338">
        <f t="shared" ref="IX28" si="950">I28*$AH28</f>
        <v>0</v>
      </c>
      <c r="IY28" s="338">
        <f t="shared" ref="IY28" si="951">J28*$AH28</f>
        <v>0</v>
      </c>
      <c r="IZ28" s="338">
        <f t="shared" ref="IZ28" si="952">K28*$AH28</f>
        <v>0</v>
      </c>
      <c r="JA28" s="338">
        <f t="shared" ref="JA28" si="953">L28*$AH28</f>
        <v>0</v>
      </c>
      <c r="JB28" s="338">
        <f t="shared" ref="JB28" si="954">M28*$AH28</f>
        <v>0</v>
      </c>
      <c r="JC28" s="338">
        <f t="shared" ref="JC28" si="955">N28*$AH28</f>
        <v>0</v>
      </c>
      <c r="JD28" s="338">
        <f t="shared" ref="JD28" si="956">O28*$AH28</f>
        <v>0</v>
      </c>
      <c r="JE28" s="338">
        <f t="shared" ref="JE28" si="957">P28*$AH28</f>
        <v>5.7163430196962288E-2</v>
      </c>
      <c r="JF28" s="338">
        <f t="shared" ref="JF28" si="958">Q28*$AH28</f>
        <v>5.7163430196962288E-2</v>
      </c>
      <c r="JG28" s="338">
        <f t="shared" ref="JG28" si="959">R28*$AH28</f>
        <v>0</v>
      </c>
      <c r="JH28" s="338">
        <f t="shared" ref="JH28" si="960">S28*$AH28</f>
        <v>0</v>
      </c>
      <c r="JK28" s="491" t="s">
        <v>715</v>
      </c>
      <c r="JL28" s="338">
        <f t="shared" ref="JL28" si="961">D28*$AI28</f>
        <v>0</v>
      </c>
      <c r="JM28" s="338">
        <f t="shared" ref="JM28" si="962">E28*$AI28</f>
        <v>0</v>
      </c>
      <c r="JN28" s="338">
        <f t="shared" ref="JN28" si="963">F28*$AI28</f>
        <v>0</v>
      </c>
      <c r="JO28" s="338">
        <f t="shared" ref="JO28" si="964">G28*$AI28</f>
        <v>0</v>
      </c>
      <c r="JP28" s="338">
        <f t="shared" ref="JP28" si="965">H28*$AI28</f>
        <v>0</v>
      </c>
      <c r="JQ28" s="338">
        <f t="shared" ref="JQ28" si="966">I28*$AI28</f>
        <v>0</v>
      </c>
      <c r="JR28" s="338">
        <f t="shared" ref="JR28" si="967">J28*$AI28</f>
        <v>0</v>
      </c>
      <c r="JS28" s="338">
        <f t="shared" ref="JS28" si="968">K28*$AI28</f>
        <v>0</v>
      </c>
      <c r="JT28" s="338">
        <f t="shared" ref="JT28" si="969">L28*$AI28</f>
        <v>0</v>
      </c>
      <c r="JU28" s="338">
        <f t="shared" ref="JU28" si="970">M28*$AI28</f>
        <v>0</v>
      </c>
      <c r="JV28" s="338">
        <f t="shared" ref="JV28" si="971">N28*$AI28</f>
        <v>0</v>
      </c>
      <c r="JW28" s="338">
        <f t="shared" ref="JW28" si="972">O28*$AI28</f>
        <v>0</v>
      </c>
      <c r="JX28" s="338">
        <f t="shared" ref="JX28" si="973">P28*$AI28</f>
        <v>7.1007729901431421E-2</v>
      </c>
      <c r="JY28" s="338">
        <f t="shared" ref="JY28" si="974">Q28*$AI28</f>
        <v>7.1007729901431421E-2</v>
      </c>
      <c r="JZ28" s="338">
        <f t="shared" ref="JZ28" si="975">R28*$AI28</f>
        <v>0</v>
      </c>
      <c r="KA28" s="338">
        <f t="shared" ref="KA28" si="976">S28*$AI28</f>
        <v>0</v>
      </c>
      <c r="KD28" s="491" t="s">
        <v>715</v>
      </c>
      <c r="KE28" s="338">
        <f t="shared" ref="KE28" si="977">D28*$AJ28</f>
        <v>0</v>
      </c>
      <c r="KF28" s="338">
        <f t="shared" ref="KF28" si="978">E28*$AJ28</f>
        <v>0</v>
      </c>
      <c r="KG28" s="338">
        <f t="shared" ref="KG28" si="979">F28*$AJ28</f>
        <v>0</v>
      </c>
      <c r="KH28" s="338">
        <f t="shared" ref="KH28" si="980">G28*$AJ28</f>
        <v>0</v>
      </c>
      <c r="KI28" s="338">
        <f t="shared" ref="KI28" si="981">H28*$AJ28</f>
        <v>0</v>
      </c>
      <c r="KJ28" s="338">
        <f t="shared" ref="KJ28" si="982">I28*$AJ28</f>
        <v>0</v>
      </c>
      <c r="KK28" s="338">
        <f t="shared" ref="KK28" si="983">J28*$AJ28</f>
        <v>0</v>
      </c>
      <c r="KL28" s="338">
        <f t="shared" ref="KL28" si="984">K28*$AJ28</f>
        <v>0</v>
      </c>
      <c r="KM28" s="338">
        <f t="shared" ref="KM28" si="985">L28*$AJ28</f>
        <v>0</v>
      </c>
      <c r="KN28" s="338">
        <f t="shared" ref="KN28" si="986">M28*$AJ28</f>
        <v>0</v>
      </c>
      <c r="KO28" s="338">
        <f t="shared" ref="KO28" si="987">N28*$AJ28</f>
        <v>0</v>
      </c>
      <c r="KP28" s="338">
        <f t="shared" ref="KP28" si="988">O28*$AJ28</f>
        <v>0</v>
      </c>
      <c r="KQ28" s="338">
        <f t="shared" ref="KQ28" si="989">P28*$AJ28</f>
        <v>1.3191942774812058E-2</v>
      </c>
      <c r="KR28" s="338">
        <f t="shared" ref="KR28" si="990">Q28*$AJ28</f>
        <v>1.3191942774812058E-2</v>
      </c>
      <c r="KS28" s="338">
        <f t="shared" ref="KS28" si="991">R28*$AJ28</f>
        <v>0</v>
      </c>
      <c r="KT28" s="338">
        <f t="shared" ref="KT28" si="992">S28*$AJ28</f>
        <v>0</v>
      </c>
      <c r="KW28" s="491" t="s">
        <v>715</v>
      </c>
      <c r="KX28" s="338">
        <f t="shared" ref="KX28" si="993">D28*$AK28</f>
        <v>0</v>
      </c>
      <c r="KY28" s="338">
        <f t="shared" ref="KY28" si="994">E28*$AK28</f>
        <v>0</v>
      </c>
      <c r="KZ28" s="338">
        <f t="shared" ref="KZ28" si="995">F28*$AK28</f>
        <v>0</v>
      </c>
      <c r="LA28" s="338">
        <f t="shared" ref="LA28" si="996">G28*$AK28</f>
        <v>0</v>
      </c>
      <c r="LB28" s="338">
        <f t="shared" ref="LB28" si="997">H28*$AK28</f>
        <v>0</v>
      </c>
      <c r="LC28" s="338">
        <f t="shared" ref="LC28" si="998">I28*$AK28</f>
        <v>0</v>
      </c>
      <c r="LD28" s="338">
        <f t="shared" ref="LD28" si="999">J28*$AK28</f>
        <v>0</v>
      </c>
      <c r="LE28" s="338">
        <f t="shared" ref="LE28" si="1000">K28*$AK28</f>
        <v>0</v>
      </c>
      <c r="LF28" s="338">
        <f t="shared" ref="LF28" si="1001">L28*$AK28</f>
        <v>0</v>
      </c>
      <c r="LG28" s="338">
        <f t="shared" ref="LG28" si="1002">M28*$AK28</f>
        <v>0</v>
      </c>
      <c r="LH28" s="338">
        <f t="shared" ref="LH28" si="1003">N28*$AK28</f>
        <v>0</v>
      </c>
      <c r="LI28" s="338">
        <f t="shared" ref="LI28" si="1004">O28*$AK28</f>
        <v>0</v>
      </c>
      <c r="LJ28" s="338">
        <f t="shared" ref="LJ28" si="1005">P28*$AK28</f>
        <v>6.9166475617355075E-2</v>
      </c>
      <c r="LK28" s="338">
        <f t="shared" ref="LK28" si="1006">Q28*$AK28</f>
        <v>6.9166475617355075E-2</v>
      </c>
      <c r="LL28" s="338">
        <f t="shared" ref="LL28" si="1007">R28*$AK28</f>
        <v>0</v>
      </c>
      <c r="LM28" s="338">
        <f t="shared" ref="LM28" si="1008">S28*$AK28</f>
        <v>0</v>
      </c>
      <c r="LP28" s="491" t="s">
        <v>715</v>
      </c>
      <c r="LQ28" s="338">
        <f t="shared" ref="LQ28" si="1009">D28*$AL28</f>
        <v>0</v>
      </c>
      <c r="LR28" s="338">
        <f t="shared" ref="LR28" si="1010">E28*$AL28</f>
        <v>0</v>
      </c>
      <c r="LS28" s="338">
        <f t="shared" ref="LS28" si="1011">F28*$AL28</f>
        <v>0</v>
      </c>
      <c r="LT28" s="338">
        <f t="shared" ref="LT28" si="1012">G28*$AL28</f>
        <v>0</v>
      </c>
      <c r="LU28" s="338">
        <f t="shared" ref="LU28" si="1013">H28*$AL28</f>
        <v>0</v>
      </c>
      <c r="LV28" s="338">
        <f t="shared" ref="LV28" si="1014">I28*$AL28</f>
        <v>0</v>
      </c>
      <c r="LW28" s="338">
        <f t="shared" ref="LW28" si="1015">J28*$AL28</f>
        <v>0</v>
      </c>
      <c r="LX28" s="338">
        <f t="shared" ref="LX28" si="1016">K28*$AL28</f>
        <v>0</v>
      </c>
      <c r="LY28" s="338">
        <f t="shared" ref="LY28" si="1017">L28*$AL28</f>
        <v>0</v>
      </c>
      <c r="LZ28" s="338">
        <f t="shared" ref="LZ28" si="1018">M28*$AL28</f>
        <v>0</v>
      </c>
      <c r="MA28" s="338">
        <f t="shared" ref="MA28" si="1019">N28*$AL28</f>
        <v>0</v>
      </c>
      <c r="MB28" s="338">
        <f t="shared" ref="MB28" si="1020">O28*$AL28</f>
        <v>0</v>
      </c>
      <c r="MC28" s="338">
        <f t="shared" ref="MC28" si="1021">P28*$AL28</f>
        <v>1.1369208395342304E-5</v>
      </c>
      <c r="MD28" s="338">
        <f t="shared" ref="MD28" si="1022">Q28*$AL28</f>
        <v>1.1369208395342304E-5</v>
      </c>
      <c r="ME28" s="338">
        <f t="shared" ref="ME28" si="1023">R28*$AL28</f>
        <v>0</v>
      </c>
      <c r="MF28" s="338">
        <f t="shared" ref="MF28" si="1024">S28*$AL28</f>
        <v>0</v>
      </c>
      <c r="MI28" s="491" t="s">
        <v>715</v>
      </c>
      <c r="MJ28" s="338">
        <f t="shared" ref="MJ28" si="1025">D28*$AM28</f>
        <v>0</v>
      </c>
      <c r="MK28" s="338">
        <f t="shared" ref="MK28" si="1026">E28*$AM28</f>
        <v>0</v>
      </c>
      <c r="ML28" s="338">
        <f t="shared" ref="ML28" si="1027">F28*$AM28</f>
        <v>0</v>
      </c>
      <c r="MM28" s="338">
        <f t="shared" ref="MM28" si="1028">G28*$AM28</f>
        <v>0</v>
      </c>
      <c r="MN28" s="338">
        <f t="shared" ref="MN28" si="1029">H28*$AM28</f>
        <v>0</v>
      </c>
      <c r="MO28" s="338">
        <f t="shared" ref="MO28" si="1030">I28*$AM28</f>
        <v>0</v>
      </c>
      <c r="MP28" s="338">
        <f t="shared" ref="MP28" si="1031">J28*$AM28</f>
        <v>0</v>
      </c>
      <c r="MQ28" s="338">
        <f t="shared" ref="MQ28" si="1032">K28*$AM28</f>
        <v>0</v>
      </c>
      <c r="MR28" s="338">
        <f t="shared" ref="MR28" si="1033">L28*$AM28</f>
        <v>0</v>
      </c>
      <c r="MS28" s="338">
        <f t="shared" ref="MS28" si="1034">M28*$AM28</f>
        <v>0</v>
      </c>
      <c r="MT28" s="338">
        <f t="shared" ref="MT28" si="1035">N28*$AM28</f>
        <v>0</v>
      </c>
      <c r="MU28" s="338">
        <f t="shared" ref="MU28" si="1036">O28*$AM28</f>
        <v>0</v>
      </c>
      <c r="MV28" s="338">
        <f t="shared" ref="MV28" si="1037">P28*$AM28</f>
        <v>6.3723234089502526E-4</v>
      </c>
      <c r="MW28" s="338">
        <f t="shared" ref="MW28" si="1038">Q28*$AM28</f>
        <v>6.3723234089502526E-4</v>
      </c>
      <c r="MX28" s="338">
        <f t="shared" ref="MX28" si="1039">R28*$AM28</f>
        <v>0</v>
      </c>
      <c r="MY28" s="338">
        <f t="shared" ref="MY28" si="1040">S28*$AM28</f>
        <v>0</v>
      </c>
      <c r="NB28" s="491" t="s">
        <v>715</v>
      </c>
      <c r="NC28" s="338">
        <f t="shared" ref="NC28" si="1041">D28*$AN28</f>
        <v>0</v>
      </c>
      <c r="ND28" s="338">
        <f t="shared" ref="ND28" si="1042">E28*$AN28</f>
        <v>0</v>
      </c>
      <c r="NE28" s="338">
        <f t="shared" ref="NE28" si="1043">F28*$AN28</f>
        <v>0</v>
      </c>
      <c r="NF28" s="338">
        <f t="shared" ref="NF28" si="1044">G28*$AN28</f>
        <v>0</v>
      </c>
      <c r="NG28" s="338">
        <f t="shared" ref="NG28" si="1045">H28*$AN28</f>
        <v>0</v>
      </c>
      <c r="NH28" s="338">
        <f t="shared" ref="NH28" si="1046">I28*$AN28</f>
        <v>0</v>
      </c>
      <c r="NI28" s="338">
        <f t="shared" ref="NI28" si="1047">J28*$AN28</f>
        <v>0</v>
      </c>
      <c r="NJ28" s="338">
        <f t="shared" ref="NJ28" si="1048">K28*$AN28</f>
        <v>0</v>
      </c>
      <c r="NK28" s="338">
        <f t="shared" ref="NK28" si="1049">L28*$AN28</f>
        <v>0</v>
      </c>
      <c r="NL28" s="338">
        <f t="shared" ref="NL28" si="1050">M28*$AN28</f>
        <v>0</v>
      </c>
      <c r="NM28" s="338">
        <f t="shared" ref="NM28" si="1051">N28*$AN28</f>
        <v>0</v>
      </c>
      <c r="NN28" s="338">
        <f t="shared" ref="NN28" si="1052">O28*$AN28</f>
        <v>0</v>
      </c>
      <c r="NO28" s="338">
        <f t="shared" ref="NO28" si="1053">P28*$AN28</f>
        <v>6.145924285244946E-4</v>
      </c>
      <c r="NP28" s="338">
        <f t="shared" ref="NP28" si="1054">Q28*$AN28</f>
        <v>6.145924285244946E-4</v>
      </c>
      <c r="NQ28" s="338">
        <f t="shared" ref="NQ28" si="1055">R28*$AN28</f>
        <v>0</v>
      </c>
      <c r="NR28" s="338">
        <f t="shared" ref="NR28" si="1056">S28*$AN28</f>
        <v>0</v>
      </c>
    </row>
    <row r="29" spans="2:382" ht="12.75" customHeight="1" x14ac:dyDescent="0.2">
      <c r="B29" s="734"/>
      <c r="C29" s="149" t="s">
        <v>54</v>
      </c>
      <c r="D29" s="143">
        <f>'CAM Characteristics'!C76/1000</f>
        <v>1.13224130416209</v>
      </c>
      <c r="E29" s="127">
        <f>'CAM Characteristics'!C76/1000</f>
        <v>1.13224130416209</v>
      </c>
      <c r="F29" s="143">
        <f>'CAM Characteristics'!D76/1000</f>
        <v>1.4944005937232077</v>
      </c>
      <c r="G29" s="127">
        <f>'CAM Characteristics'!D76/1000</f>
        <v>1.4944005937232077</v>
      </c>
      <c r="H29" s="143">
        <f>'CAM Characteristics'!E76/1000</f>
        <v>1.4509243904690015</v>
      </c>
      <c r="I29" s="127">
        <f>'CAM Characteristics'!E76/1000</f>
        <v>1.4509243904690015</v>
      </c>
      <c r="J29" s="143">
        <f>'CAM Characteristics'!F76/1000</f>
        <v>1.2021978380067828</v>
      </c>
      <c r="K29" s="127">
        <f>'CAM Characteristics'!F76/1000</f>
        <v>1.2021978380067828</v>
      </c>
      <c r="L29" s="143">
        <f>'CAM Characteristics'!G76/1000</f>
        <v>1.0857409447826425</v>
      </c>
      <c r="M29" s="127">
        <f>'CAM Characteristics'!G76/1000</f>
        <v>1.0857409447826425</v>
      </c>
      <c r="N29" s="143"/>
      <c r="O29" s="127"/>
      <c r="P29" s="143">
        <f>'CAM Characteristics'!I76/1000</f>
        <v>1.7668266574981877</v>
      </c>
      <c r="Q29" s="143">
        <f>'CAM Characteristics'!I76/1000</f>
        <v>1.7668266574981877</v>
      </c>
      <c r="R29" s="143">
        <f>'CAM Characteristics'!J76/1000</f>
        <v>1.0857409447826425</v>
      </c>
      <c r="S29" s="127">
        <f>'CAM Characteristics'!J76/1000</f>
        <v>1.0857409447826425</v>
      </c>
      <c r="T29" s="318"/>
      <c r="U29" s="119"/>
      <c r="V29" s="149" t="s">
        <v>54</v>
      </c>
      <c r="W29" s="100">
        <f>'Ecoinvent 3.10'!M17</f>
        <v>5.0352776529357213</v>
      </c>
      <c r="X29" s="100">
        <f>'Ecoinvent 3.10'!N17</f>
        <v>0.90637000000000001</v>
      </c>
      <c r="Y29" s="100">
        <f>'Ecoinvent 3.10'!O17</f>
        <v>9.6080000000000005</v>
      </c>
      <c r="Z29" s="100">
        <f>'Ecoinvent 3.10'!P17</f>
        <v>2.7872000000000001E-3</v>
      </c>
      <c r="AA29" s="100">
        <f>'Ecoinvent 3.10'!Q17</f>
        <v>0.18587999999999999</v>
      </c>
      <c r="AB29" s="100">
        <f>'Ecoinvent 3.10'!R17</f>
        <v>8.5290000000000001E-3</v>
      </c>
      <c r="AC29" s="100">
        <f>'Ecoinvent 3.10'!S17</f>
        <v>6.4247999999999996E-4</v>
      </c>
      <c r="AD29" s="100">
        <f>'Ecoinvent 3.10'!T17</f>
        <v>7.9323000000000005E-2</v>
      </c>
      <c r="AE29" s="100">
        <f>'Ecoinvent 3.10'!U17</f>
        <v>0.24443999999999999</v>
      </c>
      <c r="AF29" s="100">
        <f>'Ecoinvent 3.10'!V17</f>
        <v>1.6248</v>
      </c>
      <c r="AG29" s="328">
        <f>'Ecoinvent 3.10'!W17</f>
        <v>1.1577E-3</v>
      </c>
      <c r="AH29" s="328">
        <f>'Ecoinvent 3.10'!X17</f>
        <v>0.23905000000000001</v>
      </c>
      <c r="AI29" s="328">
        <f>'Ecoinvent 3.10'!Y17</f>
        <v>0.23164999999999999</v>
      </c>
      <c r="AJ29" s="328">
        <f>'Ecoinvent 3.10'!Z17</f>
        <v>3.1961000000000003E-2</v>
      </c>
      <c r="AK29" s="328">
        <f>'Ecoinvent 3.10'!AA17</f>
        <v>0.11033999999999999</v>
      </c>
      <c r="AL29" s="328">
        <f>'Ecoinvent 3.10'!AB17</f>
        <v>8.8616999999999995E-5</v>
      </c>
      <c r="AM29" s="328">
        <f>'Ecoinvent 3.10'!AC17</f>
        <v>1.8641E-3</v>
      </c>
      <c r="AN29" s="328">
        <f>'Ecoinvent 3.10'!AD17</f>
        <v>1.7937999999999999E-3</v>
      </c>
      <c r="AO29" s="119"/>
      <c r="AP29" s="8"/>
      <c r="AQ29" s="149" t="s">
        <v>54</v>
      </c>
      <c r="AR29" s="49">
        <f t="shared" ref="AR29:BC32" si="1057">D29*$W29</f>
        <v>5.7011493365781689</v>
      </c>
      <c r="AS29" s="50">
        <f t="shared" si="1057"/>
        <v>5.7011493365781689</v>
      </c>
      <c r="AT29" s="49">
        <f t="shared" si="1057"/>
        <v>7.5247219141083415</v>
      </c>
      <c r="AU29" s="50">
        <f t="shared" si="1057"/>
        <v>7.5247219141083415</v>
      </c>
      <c r="AV29" s="49">
        <f t="shared" si="1057"/>
        <v>7.3058071594279452</v>
      </c>
      <c r="AW29" s="50">
        <f t="shared" si="1057"/>
        <v>7.3058071594279452</v>
      </c>
      <c r="AX29" s="49">
        <f t="shared" si="1057"/>
        <v>6.0533999081231915</v>
      </c>
      <c r="AY29" s="50">
        <f t="shared" si="1057"/>
        <v>6.0533999081231915</v>
      </c>
      <c r="AZ29" s="49">
        <f t="shared" si="1057"/>
        <v>5.4670071161413567</v>
      </c>
      <c r="BA29" s="50">
        <f t="shared" si="1057"/>
        <v>5.4670071161413567</v>
      </c>
      <c r="BB29" s="49">
        <f t="shared" si="1057"/>
        <v>0</v>
      </c>
      <c r="BC29" s="50">
        <f t="shared" si="1057"/>
        <v>0</v>
      </c>
      <c r="BD29" s="49">
        <f t="shared" ref="BD29:BD32" si="1058">P29*$W29</f>
        <v>8.8964627851117406</v>
      </c>
      <c r="BE29" s="50">
        <f t="shared" ref="BE29:BE32" si="1059">Q29*$W29</f>
        <v>8.8964627851117406</v>
      </c>
      <c r="BF29" s="49">
        <f t="shared" ref="BF29:BF32" si="1060">R29*$W29</f>
        <v>5.4670071161413567</v>
      </c>
      <c r="BG29" s="50">
        <f t="shared" ref="BG29:BG32" si="1061">S29*$W29</f>
        <v>5.4670071161413567</v>
      </c>
      <c r="BI29" s="156"/>
      <c r="BJ29" s="149" t="s">
        <v>54</v>
      </c>
      <c r="BK29" s="49">
        <f t="shared" si="744"/>
        <v>1.0262295508533936</v>
      </c>
      <c r="BL29" s="49">
        <f t="shared" si="745"/>
        <v>1.0262295508533936</v>
      </c>
      <c r="BM29" s="49">
        <f t="shared" si="746"/>
        <v>1.3544798661329038</v>
      </c>
      <c r="BN29" s="49">
        <f t="shared" si="747"/>
        <v>1.3544798661329038</v>
      </c>
      <c r="BO29" s="49">
        <f t="shared" si="748"/>
        <v>1.3150743397893889</v>
      </c>
      <c r="BP29" s="49">
        <f t="shared" si="749"/>
        <v>1.3150743397893889</v>
      </c>
      <c r="BQ29" s="49">
        <f t="shared" si="750"/>
        <v>1.0896360544342079</v>
      </c>
      <c r="BR29" s="49">
        <f t="shared" si="751"/>
        <v>1.0896360544342079</v>
      </c>
      <c r="BS29" s="49">
        <f t="shared" si="752"/>
        <v>0.9840830201226437</v>
      </c>
      <c r="BT29" s="49">
        <f t="shared" si="753"/>
        <v>0.9840830201226437</v>
      </c>
      <c r="BU29" s="49">
        <f t="shared" si="754"/>
        <v>0</v>
      </c>
      <c r="BV29" s="49">
        <f t="shared" si="755"/>
        <v>0</v>
      </c>
      <c r="BW29" s="49">
        <f t="shared" si="756"/>
        <v>1.6013986775566325</v>
      </c>
      <c r="BX29" s="49">
        <f t="shared" si="757"/>
        <v>1.6013986775566325</v>
      </c>
      <c r="BY29" s="49">
        <f t="shared" si="758"/>
        <v>0.9840830201226437</v>
      </c>
      <c r="BZ29" s="49">
        <f t="shared" si="759"/>
        <v>0.9840830201226437</v>
      </c>
      <c r="CA29" s="156"/>
      <c r="CB29" s="156"/>
      <c r="CC29" s="149" t="s">
        <v>54</v>
      </c>
      <c r="CD29" s="49">
        <f t="shared" si="760"/>
        <v>10.878574450389362</v>
      </c>
      <c r="CE29" s="49">
        <f t="shared" si="761"/>
        <v>10.878574450389362</v>
      </c>
      <c r="CF29" s="49">
        <f t="shared" si="762"/>
        <v>14.35820090449258</v>
      </c>
      <c r="CG29" s="49">
        <f t="shared" si="763"/>
        <v>14.35820090449258</v>
      </c>
      <c r="CH29" s="49">
        <f t="shared" si="764"/>
        <v>13.940481543626166</v>
      </c>
      <c r="CI29" s="49">
        <f t="shared" si="765"/>
        <v>13.940481543626166</v>
      </c>
      <c r="CJ29" s="49">
        <f t="shared" si="766"/>
        <v>11.55071682756917</v>
      </c>
      <c r="CK29" s="49">
        <f t="shared" si="767"/>
        <v>11.55071682756917</v>
      </c>
      <c r="CL29" s="49">
        <f t="shared" si="768"/>
        <v>10.431798997471629</v>
      </c>
      <c r="CM29" s="49">
        <f t="shared" si="769"/>
        <v>10.431798997471629</v>
      </c>
      <c r="CN29" s="49">
        <f t="shared" si="770"/>
        <v>0</v>
      </c>
      <c r="CO29" s="220">
        <f t="shared" si="771"/>
        <v>0</v>
      </c>
      <c r="CP29" s="49">
        <f t="shared" si="772"/>
        <v>16.975670525242588</v>
      </c>
      <c r="CQ29" s="49">
        <f t="shared" si="773"/>
        <v>16.975670525242588</v>
      </c>
      <c r="CR29" s="49">
        <f t="shared" si="774"/>
        <v>10.431798997471629</v>
      </c>
      <c r="CS29" s="220">
        <f t="shared" si="775"/>
        <v>10.431798997471629</v>
      </c>
      <c r="CV29" s="149" t="s">
        <v>54</v>
      </c>
      <c r="CW29" s="49">
        <f t="shared" si="776"/>
        <v>3.1557829629605774E-3</v>
      </c>
      <c r="CX29" s="49">
        <f t="shared" si="777"/>
        <v>3.1557829629605774E-3</v>
      </c>
      <c r="CY29" s="49">
        <f t="shared" si="778"/>
        <v>4.1651933348253248E-3</v>
      </c>
      <c r="CZ29" s="49">
        <f t="shared" si="779"/>
        <v>4.1651933348253248E-3</v>
      </c>
      <c r="DA29" s="49">
        <f t="shared" si="780"/>
        <v>4.0440164611152008E-3</v>
      </c>
      <c r="DB29" s="49">
        <f t="shared" si="781"/>
        <v>4.0440164611152008E-3</v>
      </c>
      <c r="DC29" s="49">
        <f t="shared" si="782"/>
        <v>3.3507658140925051E-3</v>
      </c>
      <c r="DD29" s="49">
        <f t="shared" si="783"/>
        <v>3.3507658140925051E-3</v>
      </c>
      <c r="DE29" s="49">
        <f t="shared" si="784"/>
        <v>3.0261771612981811E-3</v>
      </c>
      <c r="DF29" s="49">
        <f t="shared" si="785"/>
        <v>3.0261771612981811E-3</v>
      </c>
      <c r="DG29" s="49">
        <f t="shared" si="786"/>
        <v>0</v>
      </c>
      <c r="DH29" s="49">
        <f t="shared" si="787"/>
        <v>0</v>
      </c>
      <c r="DI29" s="49">
        <f t="shared" si="788"/>
        <v>4.9244992597789489E-3</v>
      </c>
      <c r="DJ29" s="49">
        <f t="shared" si="789"/>
        <v>4.9244992597789489E-3</v>
      </c>
      <c r="DK29" s="49">
        <f t="shared" si="790"/>
        <v>3.0261771612981811E-3</v>
      </c>
      <c r="DL29" s="49">
        <f t="shared" si="791"/>
        <v>3.0261771612981811E-3</v>
      </c>
      <c r="DO29" s="149" t="s">
        <v>54</v>
      </c>
      <c r="DP29" s="49">
        <f t="shared" si="792"/>
        <v>0.21046101361764927</v>
      </c>
      <c r="DQ29" s="49">
        <f t="shared" si="793"/>
        <v>0.21046101361764927</v>
      </c>
      <c r="DR29" s="49">
        <f t="shared" si="794"/>
        <v>0.27777918236126981</v>
      </c>
      <c r="DS29" s="49">
        <f t="shared" si="795"/>
        <v>0.27777918236126981</v>
      </c>
      <c r="DT29" s="49">
        <f t="shared" si="796"/>
        <v>0.26969782570037798</v>
      </c>
      <c r="DU29" s="49">
        <f t="shared" si="797"/>
        <v>0.26969782570037798</v>
      </c>
      <c r="DV29" s="49">
        <f t="shared" si="798"/>
        <v>0.22346453412870076</v>
      </c>
      <c r="DW29" s="49">
        <f t="shared" si="799"/>
        <v>0.22346453412870076</v>
      </c>
      <c r="DX29" s="49">
        <f t="shared" si="800"/>
        <v>0.20181752681619758</v>
      </c>
      <c r="DY29" s="49">
        <f t="shared" si="801"/>
        <v>0.20181752681619758</v>
      </c>
      <c r="DZ29" s="49">
        <f t="shared" si="802"/>
        <v>0</v>
      </c>
      <c r="EA29" s="49">
        <f t="shared" si="803"/>
        <v>0</v>
      </c>
      <c r="EB29" s="49">
        <f t="shared" si="804"/>
        <v>0.32841773909576311</v>
      </c>
      <c r="EC29" s="49">
        <f t="shared" si="805"/>
        <v>0.32841773909576311</v>
      </c>
      <c r="ED29" s="49">
        <f t="shared" si="806"/>
        <v>0.20181752681619758</v>
      </c>
      <c r="EE29" s="49">
        <f t="shared" si="807"/>
        <v>0.20181752681619758</v>
      </c>
      <c r="EH29" s="149" t="s">
        <v>54</v>
      </c>
      <c r="EI29" s="49">
        <f t="shared" ref="EI29:ET32" si="1062">D29*$AB29</f>
        <v>9.6568860831984654E-3</v>
      </c>
      <c r="EJ29" s="49">
        <f t="shared" si="1062"/>
        <v>9.6568860831984654E-3</v>
      </c>
      <c r="EK29" s="49">
        <f t="shared" si="1062"/>
        <v>1.2745742663865238E-2</v>
      </c>
      <c r="EL29" s="49">
        <f t="shared" si="1062"/>
        <v>1.2745742663865238E-2</v>
      </c>
      <c r="EM29" s="49">
        <f t="shared" si="1062"/>
        <v>1.2374934126310114E-2</v>
      </c>
      <c r="EN29" s="49">
        <f t="shared" si="1062"/>
        <v>1.2374934126310114E-2</v>
      </c>
      <c r="EO29" s="49">
        <f t="shared" si="1062"/>
        <v>1.0253545360359851E-2</v>
      </c>
      <c r="EP29" s="49">
        <f t="shared" si="1062"/>
        <v>1.0253545360359851E-2</v>
      </c>
      <c r="EQ29" s="49">
        <f t="shared" si="1062"/>
        <v>9.2602845180511581E-3</v>
      </c>
      <c r="ER29" s="49">
        <f t="shared" si="1062"/>
        <v>9.2602845180511581E-3</v>
      </c>
      <c r="ES29" s="49">
        <f t="shared" si="1062"/>
        <v>0</v>
      </c>
      <c r="ET29" s="49">
        <f t="shared" si="1062"/>
        <v>0</v>
      </c>
      <c r="EU29" s="49">
        <f t="shared" ref="EU29:EU32" si="1063">P29*$AB29</f>
        <v>1.5069264561802043E-2</v>
      </c>
      <c r="EV29" s="49">
        <f t="shared" ref="EV29:EV32" si="1064">Q29*$AB29</f>
        <v>1.5069264561802043E-2</v>
      </c>
      <c r="EW29" s="49">
        <f t="shared" ref="EW29:EW32" si="1065">R29*$AB29</f>
        <v>9.2602845180511581E-3</v>
      </c>
      <c r="EX29" s="49">
        <f t="shared" ref="EX29:EX32" si="1066">S29*$AB29</f>
        <v>9.2602845180511581E-3</v>
      </c>
      <c r="FA29" s="149" t="s">
        <v>54</v>
      </c>
      <c r="FB29" s="53">
        <f t="shared" ref="FB29:FM32" si="1067">D29*$AC29</f>
        <v>7.2744239309805955E-4</v>
      </c>
      <c r="FC29" s="53">
        <f t="shared" si="1067"/>
        <v>7.2744239309805955E-4</v>
      </c>
      <c r="FD29" s="53">
        <f t="shared" si="1067"/>
        <v>9.6012249345528639E-4</v>
      </c>
      <c r="FE29" s="53">
        <f t="shared" si="1067"/>
        <v>9.6012249345528639E-4</v>
      </c>
      <c r="FF29" s="53">
        <f t="shared" si="1067"/>
        <v>9.3218990238852397E-4</v>
      </c>
      <c r="FG29" s="53">
        <f t="shared" si="1067"/>
        <v>9.3218990238852397E-4</v>
      </c>
      <c r="FH29" s="53">
        <f t="shared" si="1067"/>
        <v>7.7238806696259773E-4</v>
      </c>
      <c r="FI29" s="53">
        <f t="shared" si="1067"/>
        <v>7.7238806696259773E-4</v>
      </c>
      <c r="FJ29" s="53">
        <f t="shared" si="1067"/>
        <v>6.9756684220395214E-4</v>
      </c>
      <c r="FK29" s="53">
        <f t="shared" si="1067"/>
        <v>6.9756684220395214E-4</v>
      </c>
      <c r="FL29" s="53">
        <f t="shared" si="1067"/>
        <v>0</v>
      </c>
      <c r="FM29" s="53">
        <f t="shared" si="1067"/>
        <v>0</v>
      </c>
      <c r="FN29" s="53">
        <f t="shared" ref="FN29:FN32" si="1068">P29*$AC29</f>
        <v>1.1351507909094355E-3</v>
      </c>
      <c r="FO29" s="53">
        <f t="shared" ref="FO29:FO32" si="1069">Q29*$AC29</f>
        <v>1.1351507909094355E-3</v>
      </c>
      <c r="FP29" s="53">
        <f t="shared" ref="FP29:FP32" si="1070">R29*$AC29</f>
        <v>6.9756684220395214E-4</v>
      </c>
      <c r="FQ29" s="53">
        <f t="shared" ref="FQ29:FQ32" si="1071">S29*$AC29</f>
        <v>6.9756684220395214E-4</v>
      </c>
      <c r="FT29" s="149" t="s">
        <v>54</v>
      </c>
      <c r="FU29" s="49">
        <f t="shared" ref="FU29:GF32" si="1072">D29*$AD29</f>
        <v>8.9812776970049468E-2</v>
      </c>
      <c r="FV29" s="49">
        <f t="shared" si="1072"/>
        <v>8.9812776970049468E-2</v>
      </c>
      <c r="FW29" s="49">
        <f t="shared" si="1072"/>
        <v>0.118540338295906</v>
      </c>
      <c r="FX29" s="49">
        <f t="shared" si="1072"/>
        <v>0.118540338295906</v>
      </c>
      <c r="FY29" s="49">
        <f t="shared" si="1072"/>
        <v>0.11509167542517261</v>
      </c>
      <c r="FZ29" s="49">
        <f t="shared" si="1072"/>
        <v>0.11509167542517261</v>
      </c>
      <c r="GA29" s="49">
        <f t="shared" si="1072"/>
        <v>9.5361939104212035E-2</v>
      </c>
      <c r="GB29" s="49">
        <f t="shared" si="1072"/>
        <v>9.5361939104212035E-2</v>
      </c>
      <c r="GC29" s="49">
        <f t="shared" si="1072"/>
        <v>8.6124228962993557E-2</v>
      </c>
      <c r="GD29" s="49">
        <f t="shared" si="1072"/>
        <v>8.6124228962993557E-2</v>
      </c>
      <c r="GE29" s="49">
        <f t="shared" si="1072"/>
        <v>0</v>
      </c>
      <c r="GF29" s="49">
        <f t="shared" si="1072"/>
        <v>0</v>
      </c>
      <c r="GG29" s="49">
        <f t="shared" ref="GG29:GG32" si="1073">P29*$AD29</f>
        <v>0.14014999095272876</v>
      </c>
      <c r="GH29" s="49">
        <f t="shared" ref="GH29:GH32" si="1074">Q29*$AD29</f>
        <v>0.14014999095272876</v>
      </c>
      <c r="GI29" s="49">
        <f t="shared" ref="GI29:GI32" si="1075">R29*$AD29</f>
        <v>8.6124228962993557E-2</v>
      </c>
      <c r="GJ29" s="49">
        <f t="shared" ref="GJ29:GJ32" si="1076">S29*$AD29</f>
        <v>8.6124228962993557E-2</v>
      </c>
      <c r="GM29" s="149" t="s">
        <v>54</v>
      </c>
      <c r="GN29" s="49">
        <f t="shared" ref="GN29:GY32" si="1077">D29*$AE29</f>
        <v>0.27676506438938125</v>
      </c>
      <c r="GO29" s="49">
        <f t="shared" si="1077"/>
        <v>0.27676506438938125</v>
      </c>
      <c r="GP29" s="49">
        <f t="shared" si="1077"/>
        <v>0.36529128112970088</v>
      </c>
      <c r="GQ29" s="49">
        <f t="shared" si="1077"/>
        <v>0.36529128112970088</v>
      </c>
      <c r="GR29" s="49">
        <f t="shared" si="1077"/>
        <v>0.35466395800624273</v>
      </c>
      <c r="GS29" s="49">
        <f t="shared" si="1077"/>
        <v>0.35466395800624273</v>
      </c>
      <c r="GT29" s="49">
        <f t="shared" si="1077"/>
        <v>0.29386523952237797</v>
      </c>
      <c r="GU29" s="49">
        <f t="shared" si="1077"/>
        <v>0.29386523952237797</v>
      </c>
      <c r="GV29" s="49">
        <f t="shared" si="1077"/>
        <v>0.26539851654266911</v>
      </c>
      <c r="GW29" s="49">
        <f t="shared" si="1077"/>
        <v>0.26539851654266911</v>
      </c>
      <c r="GX29" s="49">
        <f t="shared" si="1077"/>
        <v>0</v>
      </c>
      <c r="GY29" s="49">
        <f t="shared" si="1077"/>
        <v>0</v>
      </c>
      <c r="GZ29" s="49">
        <f t="shared" ref="GZ29:GZ32" si="1078">P29*$AE29</f>
        <v>0.431883108158857</v>
      </c>
      <c r="HA29" s="49">
        <f t="shared" ref="HA29:HA32" si="1079">Q29*$AE29</f>
        <v>0.431883108158857</v>
      </c>
      <c r="HB29" s="49">
        <f t="shared" ref="HB29:HB32" si="1080">R29*$AE29</f>
        <v>0.26539851654266911</v>
      </c>
      <c r="HC29" s="49">
        <f t="shared" ref="HC29:HC32" si="1081">S29*$AE29</f>
        <v>0.26539851654266911</v>
      </c>
      <c r="HF29" s="149" t="s">
        <v>54</v>
      </c>
      <c r="HG29" s="49">
        <f t="shared" ref="HG29:HR32" si="1082">D29*$AF29</f>
        <v>1.8396656710025638</v>
      </c>
      <c r="HH29" s="49">
        <f t="shared" si="1082"/>
        <v>1.8396656710025638</v>
      </c>
      <c r="HI29" s="49">
        <f t="shared" si="1082"/>
        <v>2.428102084681468</v>
      </c>
      <c r="HJ29" s="49">
        <f t="shared" si="1082"/>
        <v>2.428102084681468</v>
      </c>
      <c r="HK29" s="49">
        <f t="shared" si="1082"/>
        <v>2.3574619496340334</v>
      </c>
      <c r="HL29" s="49">
        <f t="shared" si="1082"/>
        <v>2.3574619496340334</v>
      </c>
      <c r="HM29" s="49">
        <f t="shared" si="1082"/>
        <v>1.9533310471934207</v>
      </c>
      <c r="HN29" s="49">
        <f t="shared" si="1082"/>
        <v>1.9533310471934207</v>
      </c>
      <c r="HO29" s="49">
        <f t="shared" si="1082"/>
        <v>1.7641118870828376</v>
      </c>
      <c r="HP29" s="49">
        <f t="shared" si="1082"/>
        <v>1.7641118870828376</v>
      </c>
      <c r="HQ29" s="49">
        <f t="shared" si="1082"/>
        <v>0</v>
      </c>
      <c r="HR29" s="49">
        <f t="shared" si="1082"/>
        <v>0</v>
      </c>
      <c r="HS29" s="49">
        <f t="shared" ref="HS29:HS32" si="1083">P29*$AF29</f>
        <v>2.8707399531030555</v>
      </c>
      <c r="HT29" s="49">
        <f t="shared" ref="HT29:HT32" si="1084">Q29*$AF29</f>
        <v>2.8707399531030555</v>
      </c>
      <c r="HU29" s="49">
        <f t="shared" ref="HU29:HU32" si="1085">R29*$AF29</f>
        <v>1.7641118870828376</v>
      </c>
      <c r="HV29" s="49">
        <f t="shared" ref="HV29:HV32" si="1086">S29*$AF29</f>
        <v>1.7641118870828376</v>
      </c>
      <c r="HY29" s="342" t="s">
        <v>54</v>
      </c>
      <c r="HZ29" s="338">
        <f t="shared" ref="HZ29:IK32" si="1087">D29*$AG29</f>
        <v>1.3107957578284517E-3</v>
      </c>
      <c r="IA29" s="338">
        <f t="shared" si="1087"/>
        <v>1.3107957578284517E-3</v>
      </c>
      <c r="IB29" s="338">
        <f t="shared" si="1087"/>
        <v>1.7300675673533575E-3</v>
      </c>
      <c r="IC29" s="338">
        <f t="shared" si="1087"/>
        <v>1.7300675673533575E-3</v>
      </c>
      <c r="ID29" s="338">
        <f t="shared" si="1087"/>
        <v>1.679735166845963E-3</v>
      </c>
      <c r="IE29" s="338">
        <f t="shared" si="1087"/>
        <v>1.679735166845963E-3</v>
      </c>
      <c r="IF29" s="338">
        <f t="shared" si="1087"/>
        <v>1.3917844370604526E-3</v>
      </c>
      <c r="IG29" s="338">
        <f t="shared" si="1087"/>
        <v>1.3917844370604526E-3</v>
      </c>
      <c r="IH29" s="338">
        <f t="shared" si="1087"/>
        <v>1.2569622917748653E-3</v>
      </c>
      <c r="II29" s="338">
        <f t="shared" si="1087"/>
        <v>1.2569622917748653E-3</v>
      </c>
      <c r="IJ29" s="338">
        <f t="shared" si="1087"/>
        <v>0</v>
      </c>
      <c r="IK29" s="338">
        <f t="shared" si="1087"/>
        <v>0</v>
      </c>
      <c r="IL29" s="338">
        <f t="shared" ref="IL29:IL32" si="1088">P29*$AG29</f>
        <v>2.0454552213856518E-3</v>
      </c>
      <c r="IM29" s="338">
        <f t="shared" ref="IM29:IM32" si="1089">Q29*$AG29</f>
        <v>2.0454552213856518E-3</v>
      </c>
      <c r="IN29" s="338">
        <f t="shared" ref="IN29:IN32" si="1090">R29*$AG29</f>
        <v>1.2569622917748653E-3</v>
      </c>
      <c r="IO29" s="338">
        <f t="shared" ref="IO29:IO32" si="1091">S29*$AG29</f>
        <v>1.2569622917748653E-3</v>
      </c>
      <c r="IR29" s="342" t="s">
        <v>54</v>
      </c>
      <c r="IS29" s="338">
        <f t="shared" ref="IS29:JD32" si="1092">D29*$AH29</f>
        <v>0.27066228375994761</v>
      </c>
      <c r="IT29" s="338">
        <f t="shared" si="1092"/>
        <v>0.27066228375994761</v>
      </c>
      <c r="IU29" s="338">
        <f t="shared" si="1092"/>
        <v>0.35723646192953279</v>
      </c>
      <c r="IV29" s="338">
        <f t="shared" si="1092"/>
        <v>0.35723646192953279</v>
      </c>
      <c r="IW29" s="338">
        <f t="shared" si="1092"/>
        <v>0.34684347554161482</v>
      </c>
      <c r="IX29" s="338">
        <f t="shared" si="1092"/>
        <v>0.34684347554161482</v>
      </c>
      <c r="IY29" s="338">
        <f t="shared" si="1092"/>
        <v>0.28738539317552142</v>
      </c>
      <c r="IZ29" s="338">
        <f t="shared" si="1092"/>
        <v>0.28738539317552142</v>
      </c>
      <c r="JA29" s="338">
        <f t="shared" si="1092"/>
        <v>0.2595463728502907</v>
      </c>
      <c r="JB29" s="338">
        <f t="shared" si="1092"/>
        <v>0.2595463728502907</v>
      </c>
      <c r="JC29" s="338">
        <f t="shared" si="1092"/>
        <v>0</v>
      </c>
      <c r="JD29" s="338">
        <f t="shared" si="1092"/>
        <v>0</v>
      </c>
      <c r="JE29" s="338">
        <f t="shared" ref="JE29:JE32" si="1093">P29*$AH29</f>
        <v>0.42235991247494181</v>
      </c>
      <c r="JF29" s="338">
        <f t="shared" ref="JF29:JF32" si="1094">Q29*$AH29</f>
        <v>0.42235991247494181</v>
      </c>
      <c r="JG29" s="338">
        <f t="shared" ref="JG29:JG32" si="1095">R29*$AH29</f>
        <v>0.2595463728502907</v>
      </c>
      <c r="JH29" s="338">
        <f t="shared" ref="JH29:JH32" si="1096">S29*$AH29</f>
        <v>0.2595463728502907</v>
      </c>
      <c r="JK29" s="342" t="s">
        <v>54</v>
      </c>
      <c r="JL29" s="338">
        <f t="shared" ref="JL29:JW32" si="1097">D29*$AI29</f>
        <v>0.26228369810914814</v>
      </c>
      <c r="JM29" s="338">
        <f t="shared" si="1097"/>
        <v>0.26228369810914814</v>
      </c>
      <c r="JN29" s="338">
        <f t="shared" si="1097"/>
        <v>0.34617789753598105</v>
      </c>
      <c r="JO29" s="338">
        <f t="shared" si="1097"/>
        <v>0.34617789753598105</v>
      </c>
      <c r="JP29" s="338">
        <f t="shared" si="1097"/>
        <v>0.33610663505214416</v>
      </c>
      <c r="JQ29" s="338">
        <f t="shared" si="1097"/>
        <v>0.33610663505214416</v>
      </c>
      <c r="JR29" s="338">
        <f t="shared" si="1097"/>
        <v>0.27848912917427121</v>
      </c>
      <c r="JS29" s="338">
        <f t="shared" si="1097"/>
        <v>0.27848912917427121</v>
      </c>
      <c r="JT29" s="338">
        <f t="shared" si="1097"/>
        <v>0.25151188985889911</v>
      </c>
      <c r="JU29" s="338">
        <f t="shared" si="1097"/>
        <v>0.25151188985889911</v>
      </c>
      <c r="JV29" s="338">
        <f t="shared" si="1097"/>
        <v>0</v>
      </c>
      <c r="JW29" s="338">
        <f t="shared" si="1097"/>
        <v>0</v>
      </c>
      <c r="JX29" s="338">
        <f t="shared" ref="JX29:JX32" si="1098">P29*$AI29</f>
        <v>0.40928539520945517</v>
      </c>
      <c r="JY29" s="338">
        <f t="shared" ref="JY29:JY32" si="1099">Q29*$AI29</f>
        <v>0.40928539520945517</v>
      </c>
      <c r="JZ29" s="338">
        <f t="shared" ref="JZ29:JZ32" si="1100">R29*$AI29</f>
        <v>0.25151188985889911</v>
      </c>
      <c r="KA29" s="338">
        <f t="shared" ref="KA29:KA32" si="1101">S29*$AI29</f>
        <v>0.25151188985889911</v>
      </c>
      <c r="KD29" s="342" t="s">
        <v>54</v>
      </c>
      <c r="KE29" s="338">
        <f t="shared" ref="KE29:KP32" si="1102">D29*$AJ29</f>
        <v>3.6187564322324561E-2</v>
      </c>
      <c r="KF29" s="338">
        <f t="shared" si="1102"/>
        <v>3.6187564322324561E-2</v>
      </c>
      <c r="KG29" s="338">
        <f t="shared" si="1102"/>
        <v>4.7762537375987443E-2</v>
      </c>
      <c r="KH29" s="338">
        <f t="shared" si="1102"/>
        <v>4.7762537375987443E-2</v>
      </c>
      <c r="KI29" s="338">
        <f t="shared" si="1102"/>
        <v>4.6372994443779764E-2</v>
      </c>
      <c r="KJ29" s="338">
        <f t="shared" si="1102"/>
        <v>4.6372994443779764E-2</v>
      </c>
      <c r="KK29" s="338">
        <f t="shared" si="1102"/>
        <v>3.8423445100534789E-2</v>
      </c>
      <c r="KL29" s="338">
        <f t="shared" si="1102"/>
        <v>3.8423445100534789E-2</v>
      </c>
      <c r="KM29" s="338">
        <f t="shared" si="1102"/>
        <v>3.4701366336198039E-2</v>
      </c>
      <c r="KN29" s="338">
        <f t="shared" si="1102"/>
        <v>3.4701366336198039E-2</v>
      </c>
      <c r="KO29" s="338">
        <f t="shared" si="1102"/>
        <v>0</v>
      </c>
      <c r="KP29" s="338">
        <f t="shared" si="1102"/>
        <v>0</v>
      </c>
      <c r="KQ29" s="338">
        <f t="shared" ref="KQ29:KQ32" si="1103">P29*$AJ29</f>
        <v>5.6469546800299579E-2</v>
      </c>
      <c r="KR29" s="338">
        <f t="shared" ref="KR29:KR32" si="1104">Q29*$AJ29</f>
        <v>5.6469546800299579E-2</v>
      </c>
      <c r="KS29" s="338">
        <f t="shared" ref="KS29:KS32" si="1105">R29*$AJ29</f>
        <v>3.4701366336198039E-2</v>
      </c>
      <c r="KT29" s="338">
        <f t="shared" ref="KT29:KT32" si="1106">S29*$AJ29</f>
        <v>3.4701366336198039E-2</v>
      </c>
      <c r="KW29" s="342" t="s">
        <v>54</v>
      </c>
      <c r="KX29" s="338">
        <f t="shared" ref="KX29:LI32" si="1107">D29*$AK29</f>
        <v>0.124931505501245</v>
      </c>
      <c r="KY29" s="338">
        <f t="shared" si="1107"/>
        <v>0.124931505501245</v>
      </c>
      <c r="KZ29" s="338">
        <f t="shared" si="1107"/>
        <v>0.16489216151141872</v>
      </c>
      <c r="LA29" s="338">
        <f t="shared" si="1107"/>
        <v>0.16489216151141872</v>
      </c>
      <c r="LB29" s="338">
        <f t="shared" si="1107"/>
        <v>0.16009499724434961</v>
      </c>
      <c r="LC29" s="338">
        <f t="shared" si="1107"/>
        <v>0.16009499724434961</v>
      </c>
      <c r="LD29" s="338">
        <f t="shared" si="1107"/>
        <v>0.13265050944566842</v>
      </c>
      <c r="LE29" s="338">
        <f t="shared" si="1107"/>
        <v>0.13265050944566842</v>
      </c>
      <c r="LF29" s="338">
        <f t="shared" si="1107"/>
        <v>0.11980065584731676</v>
      </c>
      <c r="LG29" s="338">
        <f t="shared" si="1107"/>
        <v>0.11980065584731676</v>
      </c>
      <c r="LH29" s="338">
        <f t="shared" si="1107"/>
        <v>0</v>
      </c>
      <c r="LI29" s="338">
        <f t="shared" si="1107"/>
        <v>0</v>
      </c>
      <c r="LJ29" s="338">
        <f t="shared" ref="LJ29:LJ32" si="1108">P29*$AK29</f>
        <v>0.19495165338835002</v>
      </c>
      <c r="LK29" s="338">
        <f t="shared" ref="LK29:LK32" si="1109">Q29*$AK29</f>
        <v>0.19495165338835002</v>
      </c>
      <c r="LL29" s="338">
        <f t="shared" ref="LL29:LL32" si="1110">R29*$AK29</f>
        <v>0.11980065584731676</v>
      </c>
      <c r="LM29" s="338">
        <f t="shared" ref="LM29:LM32" si="1111">S29*$AK29</f>
        <v>0.11980065584731676</v>
      </c>
      <c r="LP29" s="342" t="s">
        <v>54</v>
      </c>
      <c r="LQ29" s="338">
        <f t="shared" ref="LQ29:MB32" si="1112">D29*$AL29</f>
        <v>1.0033582765093193E-4</v>
      </c>
      <c r="LR29" s="338">
        <f t="shared" si="1112"/>
        <v>1.0033582765093193E-4</v>
      </c>
      <c r="LS29" s="338">
        <f t="shared" si="1112"/>
        <v>1.324292974139695E-4</v>
      </c>
      <c r="LT29" s="338">
        <f t="shared" si="1112"/>
        <v>1.324292974139695E-4</v>
      </c>
      <c r="LU29" s="338">
        <f t="shared" si="1112"/>
        <v>1.2857656671019151E-4</v>
      </c>
      <c r="LV29" s="338">
        <f t="shared" si="1112"/>
        <v>1.2857656671019151E-4</v>
      </c>
      <c r="LW29" s="338">
        <f t="shared" si="1112"/>
        <v>1.0653516581064707E-4</v>
      </c>
      <c r="LX29" s="338">
        <f t="shared" si="1112"/>
        <v>1.0653516581064707E-4</v>
      </c>
      <c r="LY29" s="338">
        <f t="shared" si="1112"/>
        <v>9.6215105303803423E-5</v>
      </c>
      <c r="LZ29" s="338">
        <f t="shared" si="1112"/>
        <v>9.6215105303803423E-5</v>
      </c>
      <c r="MA29" s="338">
        <f t="shared" si="1112"/>
        <v>0</v>
      </c>
      <c r="MB29" s="338">
        <f t="shared" si="1112"/>
        <v>0</v>
      </c>
      <c r="MC29" s="338">
        <f t="shared" ref="MC29:MC32" si="1113">P29*$AL29</f>
        <v>1.5657087790751689E-4</v>
      </c>
      <c r="MD29" s="338">
        <f t="shared" ref="MD29:MD32" si="1114">Q29*$AL29</f>
        <v>1.5657087790751689E-4</v>
      </c>
      <c r="ME29" s="338">
        <f t="shared" ref="ME29:ME32" si="1115">R29*$AL29</f>
        <v>9.6215105303803423E-5</v>
      </c>
      <c r="MF29" s="338">
        <f t="shared" ref="MF29:MF32" si="1116">S29*$AL29</f>
        <v>9.6215105303803423E-5</v>
      </c>
      <c r="MI29" s="342" t="s">
        <v>54</v>
      </c>
      <c r="MJ29" s="338">
        <f t="shared" ref="MJ29:MU32" si="1117">D29*$AM29</f>
        <v>2.110611015088552E-3</v>
      </c>
      <c r="MK29" s="338">
        <f t="shared" si="1117"/>
        <v>2.110611015088552E-3</v>
      </c>
      <c r="ML29" s="338">
        <f t="shared" si="1117"/>
        <v>2.7857121467594315E-3</v>
      </c>
      <c r="MM29" s="338">
        <f t="shared" si="1117"/>
        <v>2.7857121467594315E-3</v>
      </c>
      <c r="MN29" s="338">
        <f t="shared" si="1117"/>
        <v>2.7046681562732655E-3</v>
      </c>
      <c r="MO29" s="338">
        <f t="shared" si="1117"/>
        <v>2.7046681562732655E-3</v>
      </c>
      <c r="MP29" s="338">
        <f t="shared" si="1117"/>
        <v>2.2410169898284438E-3</v>
      </c>
      <c r="MQ29" s="338">
        <f t="shared" si="1117"/>
        <v>2.2410169898284438E-3</v>
      </c>
      <c r="MR29" s="338">
        <f t="shared" si="1117"/>
        <v>2.0239296951693238E-3</v>
      </c>
      <c r="MS29" s="338">
        <f t="shared" si="1117"/>
        <v>2.0239296951693238E-3</v>
      </c>
      <c r="MT29" s="338">
        <f t="shared" si="1117"/>
        <v>0</v>
      </c>
      <c r="MU29" s="338">
        <f t="shared" si="1117"/>
        <v>0</v>
      </c>
      <c r="MV29" s="338">
        <f t="shared" ref="MV29:MV32" si="1118">P29*$AM29</f>
        <v>3.2935415722423716E-3</v>
      </c>
      <c r="MW29" s="338">
        <f t="shared" ref="MW29:MW32" si="1119">Q29*$AM29</f>
        <v>3.2935415722423716E-3</v>
      </c>
      <c r="MX29" s="338">
        <f t="shared" ref="MX29:MX32" si="1120">R29*$AM29</f>
        <v>2.0239296951693238E-3</v>
      </c>
      <c r="MY29" s="338">
        <f t="shared" ref="MY29:MY32" si="1121">S29*$AM29</f>
        <v>2.0239296951693238E-3</v>
      </c>
      <c r="NB29" s="342" t="s">
        <v>54</v>
      </c>
      <c r="NC29" s="338">
        <f t="shared" ref="NC29:NN32" si="1122">D29*$AN29</f>
        <v>2.0310144514059571E-3</v>
      </c>
      <c r="ND29" s="338">
        <f t="shared" si="1122"/>
        <v>2.0310144514059571E-3</v>
      </c>
      <c r="NE29" s="338">
        <f t="shared" si="1122"/>
        <v>2.6806557850206896E-3</v>
      </c>
      <c r="NF29" s="338">
        <f t="shared" si="1122"/>
        <v>2.6806557850206896E-3</v>
      </c>
      <c r="NG29" s="338">
        <f t="shared" si="1122"/>
        <v>2.6026681716232948E-3</v>
      </c>
      <c r="NH29" s="338">
        <f t="shared" si="1122"/>
        <v>2.6026681716232948E-3</v>
      </c>
      <c r="NI29" s="338">
        <f t="shared" si="1122"/>
        <v>2.1565024818165669E-3</v>
      </c>
      <c r="NJ29" s="338">
        <f t="shared" si="1122"/>
        <v>2.1565024818165669E-3</v>
      </c>
      <c r="NK29" s="338">
        <f t="shared" si="1122"/>
        <v>1.9476021067511039E-3</v>
      </c>
      <c r="NL29" s="338">
        <f t="shared" si="1122"/>
        <v>1.9476021067511039E-3</v>
      </c>
      <c r="NM29" s="338">
        <f t="shared" si="1122"/>
        <v>0</v>
      </c>
      <c r="NN29" s="338">
        <f t="shared" si="1122"/>
        <v>0</v>
      </c>
      <c r="NO29" s="338">
        <f t="shared" ref="NO29:NO32" si="1123">P29*$AN29</f>
        <v>3.169333658220249E-3</v>
      </c>
      <c r="NP29" s="338">
        <f t="shared" ref="NP29:NP32" si="1124">Q29*$AN29</f>
        <v>3.169333658220249E-3</v>
      </c>
      <c r="NQ29" s="338">
        <f t="shared" ref="NQ29:NQ32" si="1125">R29*$AN29</f>
        <v>1.9476021067511039E-3</v>
      </c>
      <c r="NR29" s="338">
        <f t="shared" ref="NR29:NR32" si="1126">S29*$AN29</f>
        <v>1.9476021067511039E-3</v>
      </c>
    </row>
    <row r="30" spans="2:382" ht="14.25" customHeight="1" x14ac:dyDescent="0.25">
      <c r="B30" s="734"/>
      <c r="C30" s="149" t="s">
        <v>216</v>
      </c>
      <c r="D30" s="143">
        <f>'CAM Characteristics'!C79/1000</f>
        <v>0.16290391716608318</v>
      </c>
      <c r="E30" s="127">
        <f>'CAM Characteristics'!C79/1000</f>
        <v>0.16290391716608318</v>
      </c>
      <c r="F30" s="143">
        <f>'CAM Characteristics'!D79/1000</f>
        <v>0.21823560515104612</v>
      </c>
      <c r="G30" s="127">
        <f>'CAM Characteristics'!D79/1000</f>
        <v>0.21823560515104612</v>
      </c>
      <c r="H30" s="143">
        <f>'CAM Characteristics'!E79/1000</f>
        <v>0.2118865341143352</v>
      </c>
      <c r="I30" s="127">
        <f>'CAM Characteristics'!E79/1000</f>
        <v>0.2118865341143352</v>
      </c>
      <c r="J30" s="143">
        <f>'CAM Characteristics'!F79/1000</f>
        <v>0.175563616469818</v>
      </c>
      <c r="K30" s="127">
        <f>'CAM Characteristics'!F79/1000</f>
        <v>0.175563616469818</v>
      </c>
      <c r="L30" s="143">
        <f>'CAM Characteristics'!G79/1000</f>
        <v>0.15855677059895215</v>
      </c>
      <c r="M30" s="127">
        <f>'CAM Characteristics'!G79/1000</f>
        <v>0.15855677059895215</v>
      </c>
      <c r="N30" s="143"/>
      <c r="O30" s="127"/>
      <c r="P30" s="143">
        <f>'CAM Characteristics'!I79/1000</f>
        <v>0.25801949384632994</v>
      </c>
      <c r="Q30" s="143">
        <f>'CAM Characteristics'!I79/1000</f>
        <v>0.25801949384632994</v>
      </c>
      <c r="R30" s="143">
        <f>'CAM Characteristics'!J79/1000</f>
        <v>0.15855677059895215</v>
      </c>
      <c r="S30" s="127">
        <f>'CAM Characteristics'!J79/1000</f>
        <v>0.15855677059895215</v>
      </c>
      <c r="T30" s="318"/>
      <c r="U30" s="119"/>
      <c r="V30" s="149" t="s">
        <v>216</v>
      </c>
      <c r="W30" s="100">
        <f>'Ecoinvent 3.10'!M18</f>
        <v>13.232231661709054</v>
      </c>
      <c r="X30" s="100">
        <f>'Ecoinvent 3.10'!N18</f>
        <v>2.9285999999999999</v>
      </c>
      <c r="Y30" s="100">
        <f>'Ecoinvent 3.10'!O18</f>
        <v>13.289</v>
      </c>
      <c r="Z30" s="100">
        <f>'Ecoinvent 3.10'!P18</f>
        <v>2.2812000000000002E-3</v>
      </c>
      <c r="AA30" s="100">
        <f>'Ecoinvent 3.10'!Q18</f>
        <v>2.2081E-2</v>
      </c>
      <c r="AB30" s="100">
        <f>'Ecoinvent 3.10'!R18</f>
        <v>5.6494000000000003E-2</v>
      </c>
      <c r="AC30" s="100">
        <f>'Ecoinvent 3.10'!S18</f>
        <v>1.3746E-4</v>
      </c>
      <c r="AD30" s="100">
        <f>'Ecoinvent 3.10'!T18</f>
        <v>5.0402000000000002E-2</v>
      </c>
      <c r="AE30" s="100">
        <f>'Ecoinvent 3.10'!U18</f>
        <v>0.23283999999999999</v>
      </c>
      <c r="AF30" s="100">
        <f>'Ecoinvent 3.10'!V18</f>
        <v>0.79256000000000004</v>
      </c>
      <c r="AG30" s="328">
        <f>'Ecoinvent 3.10'!W18</f>
        <v>8.7600000000000004E-4</v>
      </c>
      <c r="AH30" s="328">
        <f>'Ecoinvent 3.10'!X18</f>
        <v>0.97391000000000005</v>
      </c>
      <c r="AI30" s="328">
        <f>'Ecoinvent 3.10'!Y18</f>
        <v>3.9056E-2</v>
      </c>
      <c r="AJ30" s="328">
        <f>'Ecoinvent 3.10'!Z18</f>
        <v>1.1733E-2</v>
      </c>
      <c r="AK30" s="328">
        <f>'Ecoinvent 3.10'!AA18</f>
        <v>7.7890000000000001E-2</v>
      </c>
      <c r="AL30" s="328">
        <f>'Ecoinvent 3.10'!AB18</f>
        <v>6.4482999999999999E-5</v>
      </c>
      <c r="AM30" s="328">
        <f>'Ecoinvent 3.10'!AC18</f>
        <v>3.1310000000000001E-3</v>
      </c>
      <c r="AN30" s="328">
        <f>'Ecoinvent 3.10'!AD18</f>
        <v>2.7404999999999999E-3</v>
      </c>
      <c r="AO30" s="119"/>
      <c r="AP30" s="8"/>
      <c r="AQ30" s="149" t="s">
        <v>216</v>
      </c>
      <c r="AR30" s="49">
        <f t="shared" si="1057"/>
        <v>2.1555823705414752</v>
      </c>
      <c r="AS30" s="50">
        <f t="shared" si="1057"/>
        <v>2.1555823705414752</v>
      </c>
      <c r="AT30" s="49">
        <f t="shared" si="1057"/>
        <v>2.8877440841919082</v>
      </c>
      <c r="AU30" s="50">
        <f t="shared" si="1057"/>
        <v>2.8877440841919082</v>
      </c>
      <c r="AV30" s="49">
        <f t="shared" si="1057"/>
        <v>2.8037317053975017</v>
      </c>
      <c r="AW30" s="50">
        <f t="shared" si="1057"/>
        <v>2.8037317053975017</v>
      </c>
      <c r="AX30" s="49">
        <f t="shared" si="1057"/>
        <v>2.3230984444960709</v>
      </c>
      <c r="AY30" s="50">
        <f t="shared" si="1057"/>
        <v>2.3230984444960709</v>
      </c>
      <c r="AZ30" s="49">
        <f t="shared" si="1057"/>
        <v>2.0980599200977941</v>
      </c>
      <c r="BA30" s="50">
        <f t="shared" si="1057"/>
        <v>2.0980599200977941</v>
      </c>
      <c r="BB30" s="49">
        <f t="shared" si="1057"/>
        <v>0</v>
      </c>
      <c r="BC30" s="50">
        <f t="shared" si="1057"/>
        <v>0</v>
      </c>
      <c r="BD30" s="49">
        <f t="shared" si="1058"/>
        <v>3.4141737158115517</v>
      </c>
      <c r="BE30" s="50">
        <f t="shared" si="1059"/>
        <v>3.4141737158115517</v>
      </c>
      <c r="BF30" s="49">
        <f t="shared" si="1060"/>
        <v>2.0980599200977941</v>
      </c>
      <c r="BG30" s="50">
        <f t="shared" si="1061"/>
        <v>2.0980599200977941</v>
      </c>
      <c r="BI30" s="156"/>
      <c r="BJ30" s="149" t="s">
        <v>216</v>
      </c>
      <c r="BK30" s="49">
        <f t="shared" si="744"/>
        <v>0.4770804118125912</v>
      </c>
      <c r="BL30" s="49">
        <f t="shared" si="745"/>
        <v>0.4770804118125912</v>
      </c>
      <c r="BM30" s="49">
        <f t="shared" si="746"/>
        <v>0.63912479324535365</v>
      </c>
      <c r="BN30" s="49">
        <f t="shared" si="747"/>
        <v>0.63912479324535365</v>
      </c>
      <c r="BO30" s="49">
        <f t="shared" si="748"/>
        <v>0.62053090380724207</v>
      </c>
      <c r="BP30" s="49">
        <f t="shared" si="749"/>
        <v>0.62053090380724207</v>
      </c>
      <c r="BQ30" s="49">
        <f t="shared" si="750"/>
        <v>0.51415560719350895</v>
      </c>
      <c r="BR30" s="49">
        <f t="shared" si="751"/>
        <v>0.51415560719350895</v>
      </c>
      <c r="BS30" s="49">
        <f t="shared" si="752"/>
        <v>0.46434935837609126</v>
      </c>
      <c r="BT30" s="49">
        <f t="shared" si="753"/>
        <v>0.46434935837609126</v>
      </c>
      <c r="BU30" s="49">
        <f t="shared" si="754"/>
        <v>0</v>
      </c>
      <c r="BV30" s="49">
        <f t="shared" si="755"/>
        <v>0</v>
      </c>
      <c r="BW30" s="49">
        <f t="shared" si="756"/>
        <v>0.75563588967836182</v>
      </c>
      <c r="BX30" s="49">
        <f t="shared" si="757"/>
        <v>0.75563588967836182</v>
      </c>
      <c r="BY30" s="49">
        <f t="shared" si="758"/>
        <v>0.46434935837609126</v>
      </c>
      <c r="BZ30" s="49">
        <f t="shared" si="759"/>
        <v>0.46434935837609126</v>
      </c>
      <c r="CA30" s="156"/>
      <c r="CB30" s="156"/>
      <c r="CC30" s="149" t="s">
        <v>216</v>
      </c>
      <c r="CD30" s="49">
        <f t="shared" si="760"/>
        <v>2.1648301552200793</v>
      </c>
      <c r="CE30" s="49">
        <f t="shared" si="761"/>
        <v>2.1648301552200793</v>
      </c>
      <c r="CF30" s="49">
        <f t="shared" si="762"/>
        <v>2.9001329568522518</v>
      </c>
      <c r="CG30" s="49">
        <f t="shared" si="763"/>
        <v>2.9001329568522518</v>
      </c>
      <c r="CH30" s="49">
        <f t="shared" si="764"/>
        <v>2.8157601518454003</v>
      </c>
      <c r="CI30" s="49">
        <f t="shared" si="765"/>
        <v>2.8157601518454003</v>
      </c>
      <c r="CJ30" s="49">
        <f t="shared" si="766"/>
        <v>2.3330648992674115</v>
      </c>
      <c r="CK30" s="49">
        <f t="shared" si="767"/>
        <v>2.3330648992674115</v>
      </c>
      <c r="CL30" s="49">
        <f t="shared" si="768"/>
        <v>2.1070609244894749</v>
      </c>
      <c r="CM30" s="49">
        <f t="shared" si="769"/>
        <v>2.1070609244894749</v>
      </c>
      <c r="CN30" s="49">
        <f t="shared" si="770"/>
        <v>0</v>
      </c>
      <c r="CO30" s="220">
        <f t="shared" si="771"/>
        <v>0</v>
      </c>
      <c r="CP30" s="49">
        <f t="shared" si="772"/>
        <v>3.4288210537238784</v>
      </c>
      <c r="CQ30" s="49">
        <f t="shared" si="773"/>
        <v>3.4288210537238784</v>
      </c>
      <c r="CR30" s="49">
        <f t="shared" si="774"/>
        <v>2.1070609244894749</v>
      </c>
      <c r="CS30" s="220">
        <f t="shared" si="775"/>
        <v>2.1070609244894749</v>
      </c>
      <c r="CV30" s="149" t="s">
        <v>216</v>
      </c>
      <c r="CW30" s="49">
        <f t="shared" si="776"/>
        <v>3.7161641583926896E-4</v>
      </c>
      <c r="CX30" s="49">
        <f t="shared" si="777"/>
        <v>3.7161641583926896E-4</v>
      </c>
      <c r="CY30" s="49">
        <f t="shared" si="778"/>
        <v>4.978390624705664E-4</v>
      </c>
      <c r="CZ30" s="49">
        <f t="shared" si="779"/>
        <v>4.978390624705664E-4</v>
      </c>
      <c r="DA30" s="49">
        <f t="shared" si="780"/>
        <v>4.8335556162162148E-4</v>
      </c>
      <c r="DB30" s="49">
        <f t="shared" si="781"/>
        <v>4.8335556162162148E-4</v>
      </c>
      <c r="DC30" s="49">
        <f t="shared" si="782"/>
        <v>4.0049572189094883E-4</v>
      </c>
      <c r="DD30" s="49">
        <f t="shared" si="783"/>
        <v>4.0049572189094883E-4</v>
      </c>
      <c r="DE30" s="49">
        <f t="shared" si="784"/>
        <v>3.6169970509032965E-4</v>
      </c>
      <c r="DF30" s="49">
        <f t="shared" si="785"/>
        <v>3.6169970509032965E-4</v>
      </c>
      <c r="DG30" s="49">
        <f t="shared" si="786"/>
        <v>0</v>
      </c>
      <c r="DH30" s="49">
        <f t="shared" si="787"/>
        <v>0</v>
      </c>
      <c r="DI30" s="49">
        <f t="shared" si="788"/>
        <v>5.8859406936224794E-4</v>
      </c>
      <c r="DJ30" s="49">
        <f t="shared" si="789"/>
        <v>5.8859406936224794E-4</v>
      </c>
      <c r="DK30" s="49">
        <f t="shared" si="790"/>
        <v>3.6169970509032965E-4</v>
      </c>
      <c r="DL30" s="49">
        <f t="shared" si="791"/>
        <v>3.6169970509032965E-4</v>
      </c>
      <c r="DO30" s="149" t="s">
        <v>216</v>
      </c>
      <c r="DP30" s="49">
        <f t="shared" si="792"/>
        <v>3.5970813949442828E-3</v>
      </c>
      <c r="DQ30" s="49">
        <f t="shared" si="793"/>
        <v>3.5970813949442828E-3</v>
      </c>
      <c r="DR30" s="49">
        <f t="shared" si="794"/>
        <v>4.8188603973402496E-3</v>
      </c>
      <c r="DS30" s="49">
        <f t="shared" si="795"/>
        <v>4.8188603973402496E-3</v>
      </c>
      <c r="DT30" s="49">
        <f t="shared" si="796"/>
        <v>4.6786665597786355E-3</v>
      </c>
      <c r="DU30" s="49">
        <f t="shared" si="797"/>
        <v>4.6786665597786355E-3</v>
      </c>
      <c r="DV30" s="49">
        <f t="shared" si="798"/>
        <v>3.8766202152700512E-3</v>
      </c>
      <c r="DW30" s="49">
        <f t="shared" si="799"/>
        <v>3.8766202152700512E-3</v>
      </c>
      <c r="DX30" s="49">
        <f t="shared" si="800"/>
        <v>3.5010920515954626E-3</v>
      </c>
      <c r="DY30" s="49">
        <f t="shared" si="801"/>
        <v>3.5010920515954626E-3</v>
      </c>
      <c r="DZ30" s="49">
        <f t="shared" si="802"/>
        <v>0</v>
      </c>
      <c r="EA30" s="49">
        <f t="shared" si="803"/>
        <v>0</v>
      </c>
      <c r="EB30" s="49">
        <f t="shared" si="804"/>
        <v>5.6973284436208117E-3</v>
      </c>
      <c r="EC30" s="49">
        <f t="shared" si="805"/>
        <v>5.6973284436208117E-3</v>
      </c>
      <c r="ED30" s="49">
        <f t="shared" si="806"/>
        <v>3.5010920515954626E-3</v>
      </c>
      <c r="EE30" s="49">
        <f t="shared" si="807"/>
        <v>3.5010920515954626E-3</v>
      </c>
      <c r="EH30" s="149" t="s">
        <v>216</v>
      </c>
      <c r="EI30" s="49">
        <f t="shared" si="1062"/>
        <v>9.203093896380703E-3</v>
      </c>
      <c r="EJ30" s="49">
        <f t="shared" si="1062"/>
        <v>9.203093896380703E-3</v>
      </c>
      <c r="EK30" s="49">
        <f t="shared" si="1062"/>
        <v>1.23290022774032E-2</v>
      </c>
      <c r="EL30" s="49">
        <f t="shared" si="1062"/>
        <v>1.23290022774032E-2</v>
      </c>
      <c r="EM30" s="49">
        <f t="shared" si="1062"/>
        <v>1.1970317858255253E-2</v>
      </c>
      <c r="EN30" s="49">
        <f t="shared" si="1062"/>
        <v>1.1970317858255253E-2</v>
      </c>
      <c r="EO30" s="49">
        <f t="shared" si="1062"/>
        <v>9.9182909488458974E-3</v>
      </c>
      <c r="EP30" s="49">
        <f t="shared" si="1062"/>
        <v>9.9182909488458974E-3</v>
      </c>
      <c r="EQ30" s="49">
        <f t="shared" si="1062"/>
        <v>8.9575061982172036E-3</v>
      </c>
      <c r="ER30" s="49">
        <f t="shared" si="1062"/>
        <v>8.9575061982172036E-3</v>
      </c>
      <c r="ES30" s="49">
        <f t="shared" si="1062"/>
        <v>0</v>
      </c>
      <c r="ET30" s="49">
        <f t="shared" si="1062"/>
        <v>0</v>
      </c>
      <c r="EU30" s="49">
        <f t="shared" si="1063"/>
        <v>1.4576553285354564E-2</v>
      </c>
      <c r="EV30" s="49">
        <f t="shared" si="1064"/>
        <v>1.4576553285354564E-2</v>
      </c>
      <c r="EW30" s="49">
        <f t="shared" si="1065"/>
        <v>8.9575061982172036E-3</v>
      </c>
      <c r="EX30" s="49">
        <f t="shared" si="1066"/>
        <v>8.9575061982172036E-3</v>
      </c>
      <c r="FA30" s="149" t="s">
        <v>216</v>
      </c>
      <c r="FB30" s="53">
        <f t="shared" si="1067"/>
        <v>2.2392772453649796E-5</v>
      </c>
      <c r="FC30" s="53">
        <f t="shared" si="1067"/>
        <v>2.2392772453649796E-5</v>
      </c>
      <c r="FD30" s="53">
        <f t="shared" si="1067"/>
        <v>2.99986662840628E-5</v>
      </c>
      <c r="FE30" s="53">
        <f t="shared" si="1067"/>
        <v>2.99986662840628E-5</v>
      </c>
      <c r="FF30" s="53">
        <f t="shared" si="1067"/>
        <v>2.9125922979356518E-5</v>
      </c>
      <c r="FG30" s="53">
        <f t="shared" si="1067"/>
        <v>2.9125922979356518E-5</v>
      </c>
      <c r="FH30" s="53">
        <f t="shared" si="1067"/>
        <v>2.4132974719941183E-5</v>
      </c>
      <c r="FI30" s="53">
        <f t="shared" si="1067"/>
        <v>2.4132974719941183E-5</v>
      </c>
      <c r="FJ30" s="53">
        <f t="shared" si="1067"/>
        <v>2.1795213686531964E-5</v>
      </c>
      <c r="FK30" s="53">
        <f t="shared" si="1067"/>
        <v>2.1795213686531964E-5</v>
      </c>
      <c r="FL30" s="53">
        <f t="shared" si="1067"/>
        <v>0</v>
      </c>
      <c r="FM30" s="53">
        <f t="shared" si="1067"/>
        <v>0</v>
      </c>
      <c r="FN30" s="53">
        <f t="shared" si="1068"/>
        <v>3.5467359624116515E-5</v>
      </c>
      <c r="FO30" s="53">
        <f t="shared" si="1069"/>
        <v>3.5467359624116515E-5</v>
      </c>
      <c r="FP30" s="53">
        <f t="shared" si="1070"/>
        <v>2.1795213686531964E-5</v>
      </c>
      <c r="FQ30" s="53">
        <f t="shared" si="1071"/>
        <v>2.1795213686531964E-5</v>
      </c>
      <c r="FT30" s="149" t="s">
        <v>216</v>
      </c>
      <c r="FU30" s="49">
        <f t="shared" si="1072"/>
        <v>8.2106832330049243E-3</v>
      </c>
      <c r="FV30" s="49">
        <f t="shared" si="1072"/>
        <v>8.2106832330049243E-3</v>
      </c>
      <c r="FW30" s="49">
        <f t="shared" si="1072"/>
        <v>1.0999510970823027E-2</v>
      </c>
      <c r="FX30" s="49">
        <f t="shared" si="1072"/>
        <v>1.0999510970823027E-2</v>
      </c>
      <c r="FY30" s="49">
        <f t="shared" si="1072"/>
        <v>1.0679505092430723E-2</v>
      </c>
      <c r="FZ30" s="49">
        <f t="shared" si="1072"/>
        <v>1.0679505092430723E-2</v>
      </c>
      <c r="GA30" s="49">
        <f t="shared" si="1072"/>
        <v>8.8487573973117673E-3</v>
      </c>
      <c r="GB30" s="49">
        <f t="shared" si="1072"/>
        <v>8.8487573973117673E-3</v>
      </c>
      <c r="GC30" s="49">
        <f t="shared" si="1072"/>
        <v>7.9915783517283869E-3</v>
      </c>
      <c r="GD30" s="49">
        <f t="shared" si="1072"/>
        <v>7.9915783517283869E-3</v>
      </c>
      <c r="GE30" s="49">
        <f t="shared" si="1072"/>
        <v>0</v>
      </c>
      <c r="GF30" s="49">
        <f t="shared" si="1072"/>
        <v>0</v>
      </c>
      <c r="GG30" s="49">
        <f t="shared" si="1073"/>
        <v>1.3004698528842722E-2</v>
      </c>
      <c r="GH30" s="49">
        <f t="shared" si="1074"/>
        <v>1.3004698528842722E-2</v>
      </c>
      <c r="GI30" s="49">
        <f t="shared" si="1075"/>
        <v>7.9915783517283869E-3</v>
      </c>
      <c r="GJ30" s="49">
        <f t="shared" si="1076"/>
        <v>7.9915783517283869E-3</v>
      </c>
      <c r="GM30" s="149" t="s">
        <v>216</v>
      </c>
      <c r="GN30" s="49">
        <f t="shared" si="1077"/>
        <v>3.7930548072950807E-2</v>
      </c>
      <c r="GO30" s="49">
        <f t="shared" si="1077"/>
        <v>3.7930548072950807E-2</v>
      </c>
      <c r="GP30" s="49">
        <f t="shared" si="1077"/>
        <v>5.0813978303369575E-2</v>
      </c>
      <c r="GQ30" s="49">
        <f t="shared" si="1077"/>
        <v>5.0813978303369575E-2</v>
      </c>
      <c r="GR30" s="49">
        <f t="shared" si="1077"/>
        <v>4.9335660603181807E-2</v>
      </c>
      <c r="GS30" s="49">
        <f t="shared" si="1077"/>
        <v>4.9335660603181807E-2</v>
      </c>
      <c r="GT30" s="49">
        <f t="shared" si="1077"/>
        <v>4.0878232458832424E-2</v>
      </c>
      <c r="GU30" s="49">
        <f t="shared" si="1077"/>
        <v>4.0878232458832424E-2</v>
      </c>
      <c r="GV30" s="49">
        <f t="shared" si="1077"/>
        <v>3.6918358466260015E-2</v>
      </c>
      <c r="GW30" s="49">
        <f t="shared" si="1077"/>
        <v>3.6918358466260015E-2</v>
      </c>
      <c r="GX30" s="49">
        <f t="shared" si="1077"/>
        <v>0</v>
      </c>
      <c r="GY30" s="49">
        <f t="shared" si="1077"/>
        <v>0</v>
      </c>
      <c r="GZ30" s="49">
        <f t="shared" si="1078"/>
        <v>6.0077258947179461E-2</v>
      </c>
      <c r="HA30" s="49">
        <f t="shared" si="1079"/>
        <v>6.0077258947179461E-2</v>
      </c>
      <c r="HB30" s="49">
        <f t="shared" si="1080"/>
        <v>3.6918358466260015E-2</v>
      </c>
      <c r="HC30" s="49">
        <f t="shared" si="1081"/>
        <v>3.6918358466260015E-2</v>
      </c>
      <c r="HF30" s="149" t="s">
        <v>216</v>
      </c>
      <c r="HG30" s="49">
        <f t="shared" si="1082"/>
        <v>0.12911112858915089</v>
      </c>
      <c r="HH30" s="49">
        <f t="shared" si="1082"/>
        <v>0.12911112858915089</v>
      </c>
      <c r="HI30" s="49">
        <f t="shared" si="1082"/>
        <v>0.17296481121851312</v>
      </c>
      <c r="HJ30" s="49">
        <f t="shared" si="1082"/>
        <v>0.17296481121851312</v>
      </c>
      <c r="HK30" s="49">
        <f t="shared" si="1082"/>
        <v>0.16793279147765752</v>
      </c>
      <c r="HL30" s="49">
        <f t="shared" si="1082"/>
        <v>0.16793279147765752</v>
      </c>
      <c r="HM30" s="49">
        <f t="shared" si="1082"/>
        <v>0.13914469986931896</v>
      </c>
      <c r="HN30" s="49">
        <f t="shared" si="1082"/>
        <v>0.13914469986931896</v>
      </c>
      <c r="HO30" s="49">
        <f t="shared" si="1082"/>
        <v>0.12566575410590552</v>
      </c>
      <c r="HP30" s="49">
        <f t="shared" si="1082"/>
        <v>0.12566575410590552</v>
      </c>
      <c r="HQ30" s="49">
        <f t="shared" si="1082"/>
        <v>0</v>
      </c>
      <c r="HR30" s="49">
        <f t="shared" si="1082"/>
        <v>0</v>
      </c>
      <c r="HS30" s="49">
        <f t="shared" si="1083"/>
        <v>0.20449593004284727</v>
      </c>
      <c r="HT30" s="49">
        <f t="shared" si="1084"/>
        <v>0.20449593004284727</v>
      </c>
      <c r="HU30" s="49">
        <f t="shared" si="1085"/>
        <v>0.12566575410590552</v>
      </c>
      <c r="HV30" s="49">
        <f t="shared" si="1086"/>
        <v>0.12566575410590552</v>
      </c>
      <c r="HY30" s="342" t="s">
        <v>542</v>
      </c>
      <c r="HZ30" s="338">
        <f t="shared" si="1087"/>
        <v>1.4270383143748886E-4</v>
      </c>
      <c r="IA30" s="338">
        <f t="shared" si="1087"/>
        <v>1.4270383143748886E-4</v>
      </c>
      <c r="IB30" s="338">
        <f t="shared" si="1087"/>
        <v>1.911743901123164E-4</v>
      </c>
      <c r="IC30" s="338">
        <f t="shared" si="1087"/>
        <v>1.911743901123164E-4</v>
      </c>
      <c r="ID30" s="338">
        <f t="shared" si="1087"/>
        <v>1.8561260388415764E-4</v>
      </c>
      <c r="IE30" s="338">
        <f t="shared" si="1087"/>
        <v>1.8561260388415764E-4</v>
      </c>
      <c r="IF30" s="338">
        <f t="shared" si="1087"/>
        <v>1.5379372802756057E-4</v>
      </c>
      <c r="IG30" s="338">
        <f t="shared" si="1087"/>
        <v>1.5379372802756057E-4</v>
      </c>
      <c r="IH30" s="338">
        <f t="shared" si="1087"/>
        <v>1.3889573104468208E-4</v>
      </c>
      <c r="II30" s="338">
        <f t="shared" si="1087"/>
        <v>1.3889573104468208E-4</v>
      </c>
      <c r="IJ30" s="338">
        <f t="shared" si="1087"/>
        <v>0</v>
      </c>
      <c r="IK30" s="338">
        <f t="shared" si="1087"/>
        <v>0</v>
      </c>
      <c r="IL30" s="338">
        <f t="shared" si="1088"/>
        <v>2.2602507660938505E-4</v>
      </c>
      <c r="IM30" s="338">
        <f t="shared" si="1089"/>
        <v>2.2602507660938505E-4</v>
      </c>
      <c r="IN30" s="338">
        <f t="shared" si="1090"/>
        <v>1.3889573104468208E-4</v>
      </c>
      <c r="IO30" s="338">
        <f t="shared" si="1091"/>
        <v>1.3889573104468208E-4</v>
      </c>
      <c r="IR30" s="342" t="s">
        <v>542</v>
      </c>
      <c r="IS30" s="338">
        <f t="shared" si="1092"/>
        <v>0.15865375396722009</v>
      </c>
      <c r="IT30" s="338">
        <f t="shared" si="1092"/>
        <v>0.15865375396722009</v>
      </c>
      <c r="IU30" s="338">
        <f t="shared" si="1092"/>
        <v>0.21254183821265535</v>
      </c>
      <c r="IV30" s="338">
        <f t="shared" si="1092"/>
        <v>0.21254183821265535</v>
      </c>
      <c r="IW30" s="338">
        <f t="shared" si="1092"/>
        <v>0.2063584144392922</v>
      </c>
      <c r="IX30" s="338">
        <f t="shared" si="1092"/>
        <v>0.2063584144392922</v>
      </c>
      <c r="IY30" s="338">
        <f t="shared" si="1092"/>
        <v>0.17098316171612046</v>
      </c>
      <c r="IZ30" s="338">
        <f t="shared" si="1092"/>
        <v>0.17098316171612046</v>
      </c>
      <c r="JA30" s="338">
        <f t="shared" si="1092"/>
        <v>0.1544200244540255</v>
      </c>
      <c r="JB30" s="338">
        <f t="shared" si="1092"/>
        <v>0.1544200244540255</v>
      </c>
      <c r="JC30" s="338">
        <f t="shared" si="1092"/>
        <v>0</v>
      </c>
      <c r="JD30" s="338">
        <f t="shared" si="1092"/>
        <v>0</v>
      </c>
      <c r="JE30" s="338">
        <f t="shared" si="1093"/>
        <v>0.25128776525187918</v>
      </c>
      <c r="JF30" s="338">
        <f t="shared" si="1094"/>
        <v>0.25128776525187918</v>
      </c>
      <c r="JG30" s="338">
        <f t="shared" si="1095"/>
        <v>0.1544200244540255</v>
      </c>
      <c r="JH30" s="338">
        <f t="shared" si="1096"/>
        <v>0.1544200244540255</v>
      </c>
      <c r="JK30" s="342" t="s">
        <v>542</v>
      </c>
      <c r="JL30" s="338">
        <f t="shared" si="1097"/>
        <v>6.3623753888385447E-3</v>
      </c>
      <c r="JM30" s="338">
        <f t="shared" si="1097"/>
        <v>6.3623753888385447E-3</v>
      </c>
      <c r="JN30" s="338">
        <f t="shared" si="1097"/>
        <v>8.5234097947792572E-3</v>
      </c>
      <c r="JO30" s="338">
        <f t="shared" si="1097"/>
        <v>8.5234097947792572E-3</v>
      </c>
      <c r="JP30" s="338">
        <f t="shared" si="1097"/>
        <v>8.2754404763694753E-3</v>
      </c>
      <c r="JQ30" s="338">
        <f t="shared" si="1097"/>
        <v>8.2754404763694753E-3</v>
      </c>
      <c r="JR30" s="338">
        <f t="shared" si="1097"/>
        <v>6.8568126048452116E-3</v>
      </c>
      <c r="JS30" s="338">
        <f t="shared" si="1097"/>
        <v>6.8568126048452116E-3</v>
      </c>
      <c r="JT30" s="338">
        <f t="shared" si="1097"/>
        <v>6.1925932325126755E-3</v>
      </c>
      <c r="JU30" s="338">
        <f t="shared" si="1097"/>
        <v>6.1925932325126755E-3</v>
      </c>
      <c r="JV30" s="338">
        <f t="shared" si="1097"/>
        <v>0</v>
      </c>
      <c r="JW30" s="338">
        <f t="shared" si="1097"/>
        <v>0</v>
      </c>
      <c r="JX30" s="338">
        <f t="shared" si="1098"/>
        <v>1.0077209351662262E-2</v>
      </c>
      <c r="JY30" s="338">
        <f t="shared" si="1099"/>
        <v>1.0077209351662262E-2</v>
      </c>
      <c r="JZ30" s="338">
        <f t="shared" si="1100"/>
        <v>6.1925932325126755E-3</v>
      </c>
      <c r="KA30" s="338">
        <f t="shared" si="1101"/>
        <v>6.1925932325126755E-3</v>
      </c>
      <c r="KD30" s="342" t="s">
        <v>542</v>
      </c>
      <c r="KE30" s="338">
        <f t="shared" si="1102"/>
        <v>1.9113516601096542E-3</v>
      </c>
      <c r="KF30" s="338">
        <f t="shared" si="1102"/>
        <v>1.9113516601096542E-3</v>
      </c>
      <c r="KG30" s="338">
        <f t="shared" si="1102"/>
        <v>2.5605583552372243E-3</v>
      </c>
      <c r="KH30" s="338">
        <f t="shared" si="1102"/>
        <v>2.5605583552372243E-3</v>
      </c>
      <c r="KI30" s="338">
        <f t="shared" si="1102"/>
        <v>2.486064704763495E-3</v>
      </c>
      <c r="KJ30" s="338">
        <f t="shared" si="1102"/>
        <v>2.486064704763495E-3</v>
      </c>
      <c r="KK30" s="338">
        <f t="shared" si="1102"/>
        <v>2.0598879120403745E-3</v>
      </c>
      <c r="KL30" s="338">
        <f t="shared" si="1102"/>
        <v>2.0598879120403745E-3</v>
      </c>
      <c r="KM30" s="338">
        <f t="shared" si="1102"/>
        <v>1.8603465894375057E-3</v>
      </c>
      <c r="KN30" s="338">
        <f t="shared" si="1102"/>
        <v>1.8603465894375057E-3</v>
      </c>
      <c r="KO30" s="338">
        <f t="shared" si="1102"/>
        <v>0</v>
      </c>
      <c r="KP30" s="338">
        <f t="shared" si="1102"/>
        <v>0</v>
      </c>
      <c r="KQ30" s="338">
        <f t="shared" si="1103"/>
        <v>3.0273427212989894E-3</v>
      </c>
      <c r="KR30" s="338">
        <f t="shared" si="1104"/>
        <v>3.0273427212989894E-3</v>
      </c>
      <c r="KS30" s="338">
        <f t="shared" si="1105"/>
        <v>1.8603465894375057E-3</v>
      </c>
      <c r="KT30" s="338">
        <f t="shared" si="1106"/>
        <v>1.8603465894375057E-3</v>
      </c>
      <c r="KW30" s="342" t="s">
        <v>542</v>
      </c>
      <c r="KX30" s="338">
        <f t="shared" si="1107"/>
        <v>1.2688586108066219E-2</v>
      </c>
      <c r="KY30" s="338">
        <f t="shared" si="1107"/>
        <v>1.2688586108066219E-2</v>
      </c>
      <c r="KZ30" s="338">
        <f t="shared" si="1107"/>
        <v>1.6998371285214982E-2</v>
      </c>
      <c r="LA30" s="338">
        <f t="shared" si="1107"/>
        <v>1.6998371285214982E-2</v>
      </c>
      <c r="LB30" s="338">
        <f t="shared" si="1107"/>
        <v>1.6503842142165569E-2</v>
      </c>
      <c r="LC30" s="338">
        <f t="shared" si="1107"/>
        <v>1.6503842142165569E-2</v>
      </c>
      <c r="LD30" s="338">
        <f t="shared" si="1107"/>
        <v>1.3674650086834123E-2</v>
      </c>
      <c r="LE30" s="338">
        <f t="shared" si="1107"/>
        <v>1.3674650086834123E-2</v>
      </c>
      <c r="LF30" s="338">
        <f t="shared" si="1107"/>
        <v>1.2349986861952383E-2</v>
      </c>
      <c r="LG30" s="338">
        <f t="shared" si="1107"/>
        <v>1.2349986861952383E-2</v>
      </c>
      <c r="LH30" s="338">
        <f t="shared" si="1107"/>
        <v>0</v>
      </c>
      <c r="LI30" s="338">
        <f t="shared" si="1107"/>
        <v>0</v>
      </c>
      <c r="LJ30" s="338">
        <f t="shared" si="1108"/>
        <v>2.0097138375690639E-2</v>
      </c>
      <c r="LK30" s="338">
        <f t="shared" si="1109"/>
        <v>2.0097138375690639E-2</v>
      </c>
      <c r="LL30" s="338">
        <f t="shared" si="1110"/>
        <v>1.2349986861952383E-2</v>
      </c>
      <c r="LM30" s="338">
        <f t="shared" si="1111"/>
        <v>1.2349986861952383E-2</v>
      </c>
      <c r="LP30" s="342" t="s">
        <v>542</v>
      </c>
      <c r="LQ30" s="338">
        <f t="shared" si="1112"/>
        <v>1.0504533290620543E-5</v>
      </c>
      <c r="LR30" s="338">
        <f t="shared" si="1112"/>
        <v>1.0504533290620543E-5</v>
      </c>
      <c r="LS30" s="338">
        <f t="shared" si="1112"/>
        <v>1.4072486526954907E-5</v>
      </c>
      <c r="LT30" s="338">
        <f t="shared" si="1112"/>
        <v>1.4072486526954907E-5</v>
      </c>
      <c r="LU30" s="338">
        <f t="shared" si="1112"/>
        <v>1.3663079379294676E-5</v>
      </c>
      <c r="LV30" s="338">
        <f t="shared" si="1112"/>
        <v>1.3663079379294676E-5</v>
      </c>
      <c r="LW30" s="338">
        <f t="shared" si="1112"/>
        <v>1.1320868680823273E-5</v>
      </c>
      <c r="LX30" s="338">
        <f t="shared" si="1112"/>
        <v>1.1320868680823273E-5</v>
      </c>
      <c r="LY30" s="338">
        <f t="shared" si="1112"/>
        <v>1.0224216238532232E-5</v>
      </c>
      <c r="LZ30" s="338">
        <f t="shared" si="1112"/>
        <v>1.0224216238532232E-5</v>
      </c>
      <c r="MA30" s="338">
        <f t="shared" si="1112"/>
        <v>0</v>
      </c>
      <c r="MB30" s="338">
        <f t="shared" si="1112"/>
        <v>0</v>
      </c>
      <c r="MC30" s="338">
        <f t="shared" si="1113"/>
        <v>1.6637871021692893E-5</v>
      </c>
      <c r="MD30" s="338">
        <f t="shared" si="1114"/>
        <v>1.6637871021692893E-5</v>
      </c>
      <c r="ME30" s="338">
        <f t="shared" si="1115"/>
        <v>1.0224216238532232E-5</v>
      </c>
      <c r="MF30" s="338">
        <f t="shared" si="1116"/>
        <v>1.0224216238532232E-5</v>
      </c>
      <c r="MI30" s="342" t="s">
        <v>542</v>
      </c>
      <c r="MJ30" s="338">
        <f t="shared" si="1117"/>
        <v>5.1005216464700652E-4</v>
      </c>
      <c r="MK30" s="338">
        <f t="shared" si="1117"/>
        <v>5.1005216464700652E-4</v>
      </c>
      <c r="ML30" s="338">
        <f t="shared" si="1117"/>
        <v>6.8329567972792542E-4</v>
      </c>
      <c r="MM30" s="338">
        <f t="shared" si="1117"/>
        <v>6.8329567972792542E-4</v>
      </c>
      <c r="MN30" s="338">
        <f t="shared" si="1117"/>
        <v>6.634167383119835E-4</v>
      </c>
      <c r="MO30" s="338">
        <f t="shared" si="1117"/>
        <v>6.634167383119835E-4</v>
      </c>
      <c r="MP30" s="338">
        <f t="shared" si="1117"/>
        <v>5.496896831670002E-4</v>
      </c>
      <c r="MQ30" s="338">
        <f t="shared" si="1117"/>
        <v>5.496896831670002E-4</v>
      </c>
      <c r="MR30" s="338">
        <f t="shared" si="1117"/>
        <v>4.9644124874531918E-4</v>
      </c>
      <c r="MS30" s="338">
        <f t="shared" si="1117"/>
        <v>4.9644124874531918E-4</v>
      </c>
      <c r="MT30" s="338">
        <f t="shared" si="1117"/>
        <v>0</v>
      </c>
      <c r="MU30" s="338">
        <f t="shared" si="1117"/>
        <v>0</v>
      </c>
      <c r="MV30" s="338">
        <f t="shared" si="1118"/>
        <v>8.0785903523285902E-4</v>
      </c>
      <c r="MW30" s="338">
        <f t="shared" si="1119"/>
        <v>8.0785903523285902E-4</v>
      </c>
      <c r="MX30" s="338">
        <f t="shared" si="1120"/>
        <v>4.9644124874531918E-4</v>
      </c>
      <c r="MY30" s="338">
        <f t="shared" si="1121"/>
        <v>4.9644124874531918E-4</v>
      </c>
      <c r="NB30" s="342" t="s">
        <v>542</v>
      </c>
      <c r="NC30" s="338">
        <f t="shared" si="1122"/>
        <v>4.4643818499365094E-4</v>
      </c>
      <c r="ND30" s="338">
        <f t="shared" si="1122"/>
        <v>4.4643818499365094E-4</v>
      </c>
      <c r="NE30" s="338">
        <f t="shared" si="1122"/>
        <v>5.9807467591644183E-4</v>
      </c>
      <c r="NF30" s="338">
        <f t="shared" si="1122"/>
        <v>5.9807467591644183E-4</v>
      </c>
      <c r="NG30" s="338">
        <f t="shared" si="1122"/>
        <v>5.8067504674033557E-4</v>
      </c>
      <c r="NH30" s="338">
        <f t="shared" si="1122"/>
        <v>5.8067504674033557E-4</v>
      </c>
      <c r="NI30" s="338">
        <f t="shared" si="1122"/>
        <v>4.8113209093553617E-4</v>
      </c>
      <c r="NJ30" s="338">
        <f t="shared" si="1122"/>
        <v>4.8113209093553617E-4</v>
      </c>
      <c r="NK30" s="338">
        <f t="shared" si="1122"/>
        <v>4.3452482982642837E-4</v>
      </c>
      <c r="NL30" s="338">
        <f t="shared" si="1122"/>
        <v>4.3452482982642837E-4</v>
      </c>
      <c r="NM30" s="338">
        <f t="shared" si="1122"/>
        <v>0</v>
      </c>
      <c r="NN30" s="338">
        <f t="shared" si="1122"/>
        <v>0</v>
      </c>
      <c r="NO30" s="338">
        <f t="shared" si="1123"/>
        <v>7.071024228858672E-4</v>
      </c>
      <c r="NP30" s="338">
        <f t="shared" si="1124"/>
        <v>7.071024228858672E-4</v>
      </c>
      <c r="NQ30" s="338">
        <f t="shared" si="1125"/>
        <v>4.3452482982642837E-4</v>
      </c>
      <c r="NR30" s="338">
        <f t="shared" si="1126"/>
        <v>4.3452482982642837E-4</v>
      </c>
    </row>
    <row r="31" spans="2:382" ht="12.75" customHeight="1" x14ac:dyDescent="0.2">
      <c r="B31" s="734"/>
      <c r="C31" s="149" t="s">
        <v>396</v>
      </c>
      <c r="D31" s="143">
        <f>GREET!D18</f>
        <v>0.8607009630528587</v>
      </c>
      <c r="E31" s="127">
        <f>GREET!D18</f>
        <v>0.8607009630528587</v>
      </c>
      <c r="F31" s="143">
        <f>GREET!G18</f>
        <v>1.1513272622655124</v>
      </c>
      <c r="G31" s="127">
        <f>GREET!G18</f>
        <v>1.1513272622655124</v>
      </c>
      <c r="H31" s="143">
        <f>GREET!H18</f>
        <v>1.1221797366385371</v>
      </c>
      <c r="I31" s="127">
        <f>GREET!H18</f>
        <v>1.1221797366385371</v>
      </c>
      <c r="J31" s="143">
        <f>GREET!I18</f>
        <v>0.93318104415204672</v>
      </c>
      <c r="K31" s="127">
        <f>GREET!I18</f>
        <v>0.93318104415204672</v>
      </c>
      <c r="L31" s="143">
        <f>GREET!K18</f>
        <v>0.84430665899470903</v>
      </c>
      <c r="M31" s="127">
        <f>GREET!K18</f>
        <v>0.84430665899470903</v>
      </c>
      <c r="N31" s="143"/>
      <c r="O31" s="127"/>
      <c r="P31" s="143">
        <f>GREET!M18</f>
        <v>1.5760390967901234</v>
      </c>
      <c r="Q31" s="143">
        <f>GREET!M18</f>
        <v>1.5760390967901234</v>
      </c>
      <c r="R31" s="143">
        <f>GREET!K18</f>
        <v>0.84430665899470903</v>
      </c>
      <c r="S31" s="127">
        <f>GREET!K18</f>
        <v>0.84430665899470903</v>
      </c>
      <c r="T31" s="318"/>
      <c r="U31" s="119"/>
      <c r="V31" s="149" t="s">
        <v>396</v>
      </c>
      <c r="W31" s="100">
        <f>'Ecoinvent 3.10'!M26</f>
        <v>1.7398570160580278E-3</v>
      </c>
      <c r="X31" s="100">
        <f>'Ecoinvent 3.10'!N26</f>
        <v>4.2383999999999998E-4</v>
      </c>
      <c r="Y31" s="100">
        <f>'Ecoinvent 3.10'!O26</f>
        <v>5.8237000000000002E-3</v>
      </c>
      <c r="Z31" s="100">
        <f>'Ecoinvent 3.10'!P26</f>
        <v>3.1441000000000001E-6</v>
      </c>
      <c r="AA31" s="100">
        <f>'Ecoinvent 3.10'!Q26</f>
        <v>6.2706999999999994E-5</v>
      </c>
      <c r="AB31" s="100">
        <f>'Ecoinvent 3.10'!R26</f>
        <v>2.0772999999999999E-5</v>
      </c>
      <c r="AC31" s="100">
        <f>'Ecoinvent 3.10'!S26</f>
        <v>1.5632000000000001E-7</v>
      </c>
      <c r="AD31" s="100">
        <f>'Ecoinvent 3.10'!T26</f>
        <v>3.2746000000000001E-5</v>
      </c>
      <c r="AE31" s="100">
        <f>'Ecoinvent 3.10'!U26</f>
        <v>1.5087E-4</v>
      </c>
      <c r="AF31" s="100">
        <f>'Ecoinvent 3.10'!V26</f>
        <v>6.8725000000000004E-4</v>
      </c>
      <c r="AG31" s="328">
        <f>'Ecoinvent 3.10'!W26</f>
        <v>1.1093999999999999E-6</v>
      </c>
      <c r="AH31" s="328">
        <f>'Ecoinvent 3.10'!X26</f>
        <v>1.0284E-4</v>
      </c>
      <c r="AI31" s="328">
        <f>'Ecoinvent 3.10'!Y26</f>
        <v>4.5904E-5</v>
      </c>
      <c r="AJ31" s="328">
        <f>'Ecoinvent 3.10'!Z26</f>
        <v>9.8532000000000008E-6</v>
      </c>
      <c r="AK31" s="328">
        <f>'Ecoinvent 3.10'!AA26</f>
        <v>4.7926999999999997E-5</v>
      </c>
      <c r="AL31" s="328">
        <f>'Ecoinvent 3.10'!AB26</f>
        <v>2.1497000000000001E-8</v>
      </c>
      <c r="AM31" s="328">
        <f>'Ecoinvent 3.10'!AC26</f>
        <v>8.2900000000000002E-7</v>
      </c>
      <c r="AN31" s="328">
        <f>'Ecoinvent 3.10'!AD26</f>
        <v>7.9370999999999998E-7</v>
      </c>
      <c r="AO31" s="119"/>
      <c r="AP31" s="8"/>
      <c r="AQ31" s="149" t="s">
        <v>396</v>
      </c>
      <c r="AR31" s="49">
        <f t="shared" si="1057"/>
        <v>1.4974966092954176E-3</v>
      </c>
      <c r="AS31" s="50">
        <f t="shared" si="1057"/>
        <v>1.4974966092954176E-3</v>
      </c>
      <c r="AT31" s="49">
        <f t="shared" si="1057"/>
        <v>2.0031448150315328E-3</v>
      </c>
      <c r="AU31" s="50">
        <f t="shared" si="1057"/>
        <v>2.0031448150315328E-3</v>
      </c>
      <c r="AV31" s="49">
        <f t="shared" si="1057"/>
        <v>1.9524322880687087E-3</v>
      </c>
      <c r="AW31" s="50">
        <f t="shared" si="1057"/>
        <v>1.9524322880687087E-3</v>
      </c>
      <c r="AX31" s="49">
        <f t="shared" si="1057"/>
        <v>1.6236015869202946E-3</v>
      </c>
      <c r="AY31" s="50">
        <f t="shared" si="1057"/>
        <v>1.6236015869202946E-3</v>
      </c>
      <c r="AZ31" s="49">
        <f t="shared" si="1057"/>
        <v>1.4689728643564573E-3</v>
      </c>
      <c r="BA31" s="50">
        <f t="shared" si="1057"/>
        <v>1.4689728643564573E-3</v>
      </c>
      <c r="BB31" s="49">
        <f t="shared" si="1057"/>
        <v>0</v>
      </c>
      <c r="BC31" s="50">
        <f t="shared" si="1057"/>
        <v>0</v>
      </c>
      <c r="BD31" s="49">
        <f t="shared" si="1058"/>
        <v>2.7420826801320534E-3</v>
      </c>
      <c r="BE31" s="50">
        <f t="shared" si="1059"/>
        <v>2.7420826801320534E-3</v>
      </c>
      <c r="BF31" s="49">
        <f t="shared" si="1060"/>
        <v>1.4689728643564573E-3</v>
      </c>
      <c r="BG31" s="50">
        <f t="shared" si="1061"/>
        <v>1.4689728643564573E-3</v>
      </c>
      <c r="BI31" s="156"/>
      <c r="BJ31" s="149" t="s">
        <v>396</v>
      </c>
      <c r="BK31" s="49">
        <f t="shared" si="744"/>
        <v>3.6479949618032362E-4</v>
      </c>
      <c r="BL31" s="49">
        <f t="shared" si="745"/>
        <v>3.6479949618032362E-4</v>
      </c>
      <c r="BM31" s="49">
        <f t="shared" si="746"/>
        <v>4.8797854683861478E-4</v>
      </c>
      <c r="BN31" s="49">
        <f t="shared" si="747"/>
        <v>4.8797854683861478E-4</v>
      </c>
      <c r="BO31" s="49">
        <f t="shared" si="748"/>
        <v>4.7562465957687756E-4</v>
      </c>
      <c r="BP31" s="49">
        <f t="shared" si="749"/>
        <v>4.7562465957687756E-4</v>
      </c>
      <c r="BQ31" s="49">
        <f t="shared" si="750"/>
        <v>3.9551945375340344E-4</v>
      </c>
      <c r="BR31" s="49">
        <f t="shared" si="751"/>
        <v>3.9551945375340344E-4</v>
      </c>
      <c r="BS31" s="49">
        <f t="shared" si="752"/>
        <v>3.5785093434831746E-4</v>
      </c>
      <c r="BT31" s="49">
        <f t="shared" si="753"/>
        <v>3.5785093434831746E-4</v>
      </c>
      <c r="BU31" s="49">
        <f t="shared" si="754"/>
        <v>0</v>
      </c>
      <c r="BV31" s="49">
        <f t="shared" si="755"/>
        <v>0</v>
      </c>
      <c r="BW31" s="49">
        <f t="shared" si="756"/>
        <v>6.679884107835259E-4</v>
      </c>
      <c r="BX31" s="49">
        <f t="shared" si="757"/>
        <v>6.679884107835259E-4</v>
      </c>
      <c r="BY31" s="49">
        <f t="shared" si="758"/>
        <v>3.5785093434831746E-4</v>
      </c>
      <c r="BZ31" s="49">
        <f t="shared" si="759"/>
        <v>3.5785093434831746E-4</v>
      </c>
      <c r="CA31" s="156"/>
      <c r="CB31" s="156"/>
      <c r="CC31" s="149" t="s">
        <v>396</v>
      </c>
      <c r="CD31" s="49">
        <f t="shared" si="760"/>
        <v>5.0124641985309333E-3</v>
      </c>
      <c r="CE31" s="49">
        <f t="shared" si="761"/>
        <v>5.0124641985309333E-3</v>
      </c>
      <c r="CF31" s="49">
        <f t="shared" si="762"/>
        <v>6.7049845772556649E-3</v>
      </c>
      <c r="CG31" s="49">
        <f t="shared" si="763"/>
        <v>6.7049845772556649E-3</v>
      </c>
      <c r="CH31" s="49">
        <f t="shared" si="764"/>
        <v>6.5352381322618487E-3</v>
      </c>
      <c r="CI31" s="49">
        <f t="shared" si="765"/>
        <v>6.5352381322618487E-3</v>
      </c>
      <c r="CJ31" s="49">
        <f t="shared" si="766"/>
        <v>5.434566446828275E-3</v>
      </c>
      <c r="CK31" s="49">
        <f t="shared" si="767"/>
        <v>5.434566446828275E-3</v>
      </c>
      <c r="CL31" s="49">
        <f t="shared" si="768"/>
        <v>4.916988689987487E-3</v>
      </c>
      <c r="CM31" s="49">
        <f t="shared" si="769"/>
        <v>4.916988689987487E-3</v>
      </c>
      <c r="CN31" s="49">
        <f t="shared" si="770"/>
        <v>0</v>
      </c>
      <c r="CO31" s="220">
        <f t="shared" si="771"/>
        <v>0</v>
      </c>
      <c r="CP31" s="49">
        <f t="shared" si="772"/>
        <v>9.1783788879766428E-3</v>
      </c>
      <c r="CQ31" s="49">
        <f t="shared" si="773"/>
        <v>9.1783788879766428E-3</v>
      </c>
      <c r="CR31" s="49">
        <f t="shared" si="774"/>
        <v>4.916988689987487E-3</v>
      </c>
      <c r="CS31" s="220">
        <f t="shared" si="775"/>
        <v>4.916988689987487E-3</v>
      </c>
      <c r="CV31" s="149" t="s">
        <v>396</v>
      </c>
      <c r="CW31" s="49">
        <f t="shared" si="776"/>
        <v>2.7061298979344931E-6</v>
      </c>
      <c r="CX31" s="49">
        <f t="shared" si="777"/>
        <v>2.7061298979344931E-6</v>
      </c>
      <c r="CY31" s="49">
        <f t="shared" si="778"/>
        <v>3.6198880452889975E-6</v>
      </c>
      <c r="CZ31" s="49">
        <f t="shared" si="779"/>
        <v>3.6198880452889975E-6</v>
      </c>
      <c r="DA31" s="49">
        <f t="shared" si="780"/>
        <v>3.5282453099652244E-6</v>
      </c>
      <c r="DB31" s="49">
        <f t="shared" si="781"/>
        <v>3.5282453099652244E-6</v>
      </c>
      <c r="DC31" s="49">
        <f t="shared" si="782"/>
        <v>2.93401452091845E-6</v>
      </c>
      <c r="DD31" s="49">
        <f t="shared" si="783"/>
        <v>2.93401452091845E-6</v>
      </c>
      <c r="DE31" s="49">
        <f t="shared" si="784"/>
        <v>2.6545845665452648E-6</v>
      </c>
      <c r="DF31" s="49">
        <f t="shared" si="785"/>
        <v>2.6545845665452648E-6</v>
      </c>
      <c r="DG31" s="49">
        <f t="shared" si="786"/>
        <v>0</v>
      </c>
      <c r="DH31" s="49">
        <f t="shared" si="787"/>
        <v>0</v>
      </c>
      <c r="DI31" s="49">
        <f t="shared" si="788"/>
        <v>4.9552245242178273E-6</v>
      </c>
      <c r="DJ31" s="49">
        <f t="shared" si="789"/>
        <v>4.9552245242178273E-6</v>
      </c>
      <c r="DK31" s="49">
        <f t="shared" si="790"/>
        <v>2.6545845665452648E-6</v>
      </c>
      <c r="DL31" s="49">
        <f t="shared" si="791"/>
        <v>2.6545845665452648E-6</v>
      </c>
      <c r="DO31" s="149" t="s">
        <v>396</v>
      </c>
      <c r="DP31" s="49">
        <f t="shared" si="792"/>
        <v>5.3971975290155604E-5</v>
      </c>
      <c r="DQ31" s="49">
        <f t="shared" si="793"/>
        <v>5.3971975290155604E-5</v>
      </c>
      <c r="DR31" s="49">
        <f t="shared" si="794"/>
        <v>7.2196278634883474E-5</v>
      </c>
      <c r="DS31" s="49">
        <f t="shared" si="795"/>
        <v>7.2196278634883474E-5</v>
      </c>
      <c r="DT31" s="49">
        <f t="shared" si="796"/>
        <v>7.0368524745392742E-5</v>
      </c>
      <c r="DU31" s="49">
        <f t="shared" si="797"/>
        <v>7.0368524745392742E-5</v>
      </c>
      <c r="DV31" s="49">
        <f t="shared" si="798"/>
        <v>5.8516983735642391E-5</v>
      </c>
      <c r="DW31" s="49">
        <f t="shared" si="799"/>
        <v>5.8516983735642391E-5</v>
      </c>
      <c r="DX31" s="49">
        <f t="shared" si="800"/>
        <v>5.2943937665581211E-5</v>
      </c>
      <c r="DY31" s="49">
        <f t="shared" si="801"/>
        <v>5.2943937665581211E-5</v>
      </c>
      <c r="DZ31" s="49">
        <f t="shared" si="802"/>
        <v>0</v>
      </c>
      <c r="EA31" s="49">
        <f t="shared" si="803"/>
        <v>0</v>
      </c>
      <c r="EB31" s="49">
        <f t="shared" si="804"/>
        <v>9.8828683642418266E-5</v>
      </c>
      <c r="EC31" s="49">
        <f t="shared" si="805"/>
        <v>9.8828683642418266E-5</v>
      </c>
      <c r="ED31" s="49">
        <f t="shared" si="806"/>
        <v>5.2943937665581211E-5</v>
      </c>
      <c r="EE31" s="49">
        <f t="shared" si="807"/>
        <v>5.2943937665581211E-5</v>
      </c>
      <c r="EH31" s="149" t="s">
        <v>396</v>
      </c>
      <c r="EI31" s="49">
        <f t="shared" si="1062"/>
        <v>1.7879341105497034E-5</v>
      </c>
      <c r="EJ31" s="49">
        <f t="shared" si="1062"/>
        <v>1.7879341105497034E-5</v>
      </c>
      <c r="EK31" s="49">
        <f t="shared" si="1062"/>
        <v>2.3916521219041488E-5</v>
      </c>
      <c r="EL31" s="49">
        <f t="shared" si="1062"/>
        <v>2.3916521219041488E-5</v>
      </c>
      <c r="EM31" s="49">
        <f t="shared" si="1062"/>
        <v>2.331103966919233E-5</v>
      </c>
      <c r="EN31" s="49">
        <f t="shared" si="1062"/>
        <v>2.331103966919233E-5</v>
      </c>
      <c r="EO31" s="49">
        <f t="shared" si="1062"/>
        <v>1.9384969830170466E-5</v>
      </c>
      <c r="EP31" s="49">
        <f t="shared" si="1062"/>
        <v>1.9384969830170466E-5</v>
      </c>
      <c r="EQ31" s="49">
        <f t="shared" si="1062"/>
        <v>1.753878222729709E-5</v>
      </c>
      <c r="ER31" s="49">
        <f t="shared" si="1062"/>
        <v>1.753878222729709E-5</v>
      </c>
      <c r="ES31" s="49">
        <f t="shared" si="1062"/>
        <v>0</v>
      </c>
      <c r="ET31" s="49">
        <f t="shared" si="1062"/>
        <v>0</v>
      </c>
      <c r="EU31" s="49">
        <f t="shared" si="1063"/>
        <v>3.2739060157621234E-5</v>
      </c>
      <c r="EV31" s="49">
        <f t="shared" si="1064"/>
        <v>3.2739060157621234E-5</v>
      </c>
      <c r="EW31" s="49">
        <f t="shared" si="1065"/>
        <v>1.753878222729709E-5</v>
      </c>
      <c r="EX31" s="49">
        <f t="shared" si="1066"/>
        <v>1.753878222729709E-5</v>
      </c>
      <c r="FA31" s="149" t="s">
        <v>396</v>
      </c>
      <c r="FB31" s="53">
        <f t="shared" si="1067"/>
        <v>1.3454477454442288E-7</v>
      </c>
      <c r="FC31" s="53">
        <f t="shared" si="1067"/>
        <v>1.3454477454442288E-7</v>
      </c>
      <c r="FD31" s="53">
        <f t="shared" si="1067"/>
        <v>1.7997547763734492E-7</v>
      </c>
      <c r="FE31" s="53">
        <f t="shared" si="1067"/>
        <v>1.7997547763734492E-7</v>
      </c>
      <c r="FF31" s="53">
        <f t="shared" si="1067"/>
        <v>1.7541913643133613E-7</v>
      </c>
      <c r="FG31" s="53">
        <f t="shared" si="1067"/>
        <v>1.7541913643133613E-7</v>
      </c>
      <c r="FH31" s="53">
        <f t="shared" si="1067"/>
        <v>1.4587486082184795E-7</v>
      </c>
      <c r="FI31" s="53">
        <f t="shared" si="1067"/>
        <v>1.4587486082184795E-7</v>
      </c>
      <c r="FJ31" s="53">
        <f t="shared" si="1067"/>
        <v>1.3198201693405293E-7</v>
      </c>
      <c r="FK31" s="53">
        <f t="shared" si="1067"/>
        <v>1.3198201693405293E-7</v>
      </c>
      <c r="FL31" s="53">
        <f t="shared" si="1067"/>
        <v>0</v>
      </c>
      <c r="FM31" s="53">
        <f t="shared" si="1067"/>
        <v>0</v>
      </c>
      <c r="FN31" s="53">
        <f t="shared" si="1068"/>
        <v>2.463664316102321E-7</v>
      </c>
      <c r="FO31" s="53">
        <f t="shared" si="1069"/>
        <v>2.463664316102321E-7</v>
      </c>
      <c r="FP31" s="53">
        <f t="shared" si="1070"/>
        <v>1.3198201693405293E-7</v>
      </c>
      <c r="FQ31" s="53">
        <f t="shared" si="1071"/>
        <v>1.3198201693405293E-7</v>
      </c>
      <c r="FT31" s="149" t="s">
        <v>396</v>
      </c>
      <c r="FU31" s="49">
        <f t="shared" si="1072"/>
        <v>2.8184513736128911E-5</v>
      </c>
      <c r="FV31" s="49">
        <f t="shared" si="1072"/>
        <v>2.8184513736128911E-5</v>
      </c>
      <c r="FW31" s="49">
        <f t="shared" si="1072"/>
        <v>3.770136253014647E-5</v>
      </c>
      <c r="FX31" s="49">
        <f t="shared" si="1072"/>
        <v>3.770136253014647E-5</v>
      </c>
      <c r="FY31" s="49">
        <f t="shared" si="1072"/>
        <v>3.6746897655965534E-5</v>
      </c>
      <c r="FZ31" s="49">
        <f t="shared" si="1072"/>
        <v>3.6746897655965534E-5</v>
      </c>
      <c r="GA31" s="49">
        <f t="shared" si="1072"/>
        <v>3.0557946471802922E-5</v>
      </c>
      <c r="GB31" s="49">
        <f t="shared" si="1072"/>
        <v>3.0557946471802922E-5</v>
      </c>
      <c r="GC31" s="49">
        <f t="shared" si="1072"/>
        <v>2.7647665855440742E-5</v>
      </c>
      <c r="GD31" s="49">
        <f t="shared" si="1072"/>
        <v>2.7647665855440742E-5</v>
      </c>
      <c r="GE31" s="49">
        <f t="shared" si="1072"/>
        <v>0</v>
      </c>
      <c r="GF31" s="49">
        <f t="shared" si="1072"/>
        <v>0</v>
      </c>
      <c r="GG31" s="49">
        <f t="shared" si="1073"/>
        <v>5.1608976263489386E-5</v>
      </c>
      <c r="GH31" s="49">
        <f t="shared" si="1074"/>
        <v>5.1608976263489386E-5</v>
      </c>
      <c r="GI31" s="49">
        <f t="shared" si="1075"/>
        <v>2.7647665855440742E-5</v>
      </c>
      <c r="GJ31" s="49">
        <f t="shared" si="1076"/>
        <v>2.7647665855440742E-5</v>
      </c>
      <c r="GM31" s="149" t="s">
        <v>396</v>
      </c>
      <c r="GN31" s="49">
        <f t="shared" si="1077"/>
        <v>1.2985395429578479E-4</v>
      </c>
      <c r="GO31" s="49">
        <f t="shared" si="1077"/>
        <v>1.2985395429578479E-4</v>
      </c>
      <c r="GP31" s="49">
        <f t="shared" si="1077"/>
        <v>1.7370074405799785E-4</v>
      </c>
      <c r="GQ31" s="49">
        <f t="shared" si="1077"/>
        <v>1.7370074405799785E-4</v>
      </c>
      <c r="GR31" s="49">
        <f t="shared" si="1077"/>
        <v>1.6930325686665608E-4</v>
      </c>
      <c r="GS31" s="49">
        <f t="shared" si="1077"/>
        <v>1.6930325686665608E-4</v>
      </c>
      <c r="GT31" s="49">
        <f t="shared" si="1077"/>
        <v>1.4078902413121929E-4</v>
      </c>
      <c r="GU31" s="49">
        <f t="shared" si="1077"/>
        <v>1.4078902413121929E-4</v>
      </c>
      <c r="GV31" s="49">
        <f t="shared" si="1077"/>
        <v>1.2738054564253174E-4</v>
      </c>
      <c r="GW31" s="49">
        <f t="shared" si="1077"/>
        <v>1.2738054564253174E-4</v>
      </c>
      <c r="GX31" s="49">
        <f t="shared" si="1077"/>
        <v>0</v>
      </c>
      <c r="GY31" s="49">
        <f t="shared" si="1077"/>
        <v>0</v>
      </c>
      <c r="GZ31" s="49">
        <f t="shared" si="1078"/>
        <v>2.3777701853272592E-4</v>
      </c>
      <c r="HA31" s="49">
        <f t="shared" si="1079"/>
        <v>2.3777701853272592E-4</v>
      </c>
      <c r="HB31" s="49">
        <f t="shared" si="1080"/>
        <v>1.2738054564253174E-4</v>
      </c>
      <c r="HC31" s="49">
        <f t="shared" si="1081"/>
        <v>1.2738054564253174E-4</v>
      </c>
      <c r="HF31" s="149" t="s">
        <v>396</v>
      </c>
      <c r="HG31" s="49">
        <f t="shared" si="1082"/>
        <v>5.9151673685807721E-4</v>
      </c>
      <c r="HH31" s="49">
        <f t="shared" si="1082"/>
        <v>5.9151673685807721E-4</v>
      </c>
      <c r="HI31" s="49">
        <f t="shared" si="1082"/>
        <v>7.9124966099197345E-4</v>
      </c>
      <c r="HJ31" s="49">
        <f t="shared" si="1082"/>
        <v>7.9124966099197345E-4</v>
      </c>
      <c r="HK31" s="49">
        <f t="shared" si="1082"/>
        <v>7.7121802400483463E-4</v>
      </c>
      <c r="HL31" s="49">
        <f t="shared" si="1082"/>
        <v>7.7121802400483463E-4</v>
      </c>
      <c r="HM31" s="49">
        <f t="shared" si="1082"/>
        <v>6.4132867259349417E-4</v>
      </c>
      <c r="HN31" s="49">
        <f t="shared" si="1082"/>
        <v>6.4132867259349417E-4</v>
      </c>
      <c r="HO31" s="49">
        <f t="shared" si="1082"/>
        <v>5.8024975139411383E-4</v>
      </c>
      <c r="HP31" s="49">
        <f t="shared" si="1082"/>
        <v>5.8024975139411383E-4</v>
      </c>
      <c r="HQ31" s="49">
        <f t="shared" si="1082"/>
        <v>0</v>
      </c>
      <c r="HR31" s="49">
        <f t="shared" si="1082"/>
        <v>0</v>
      </c>
      <c r="HS31" s="49">
        <f t="shared" si="1083"/>
        <v>1.0831328692690123E-3</v>
      </c>
      <c r="HT31" s="49">
        <f t="shared" si="1084"/>
        <v>1.0831328692690123E-3</v>
      </c>
      <c r="HU31" s="49">
        <f t="shared" si="1085"/>
        <v>5.8024975139411383E-4</v>
      </c>
      <c r="HV31" s="49">
        <f t="shared" si="1086"/>
        <v>5.8024975139411383E-4</v>
      </c>
      <c r="HY31" s="342" t="s">
        <v>396</v>
      </c>
      <c r="HZ31" s="338">
        <f t="shared" si="1087"/>
        <v>9.5486164841084143E-7</v>
      </c>
      <c r="IA31" s="338">
        <f t="shared" si="1087"/>
        <v>9.5486164841084143E-7</v>
      </c>
      <c r="IB31" s="338">
        <f t="shared" si="1087"/>
        <v>1.2772824647573594E-6</v>
      </c>
      <c r="IC31" s="338">
        <f t="shared" si="1087"/>
        <v>1.2772824647573594E-6</v>
      </c>
      <c r="ID31" s="338">
        <f t="shared" si="1087"/>
        <v>1.244946199826793E-6</v>
      </c>
      <c r="IE31" s="338">
        <f t="shared" si="1087"/>
        <v>1.244946199826793E-6</v>
      </c>
      <c r="IF31" s="338">
        <f t="shared" si="1087"/>
        <v>1.0352710503822805E-6</v>
      </c>
      <c r="IG31" s="338">
        <f t="shared" si="1087"/>
        <v>1.0352710503822805E-6</v>
      </c>
      <c r="IH31" s="338">
        <f t="shared" si="1087"/>
        <v>9.366738074887301E-7</v>
      </c>
      <c r="II31" s="338">
        <f t="shared" si="1087"/>
        <v>9.366738074887301E-7</v>
      </c>
      <c r="IJ31" s="338">
        <f t="shared" si="1087"/>
        <v>0</v>
      </c>
      <c r="IK31" s="338">
        <f t="shared" si="1087"/>
        <v>0</v>
      </c>
      <c r="IL31" s="338">
        <f t="shared" si="1088"/>
        <v>1.7484577739789629E-6</v>
      </c>
      <c r="IM31" s="338">
        <f t="shared" si="1089"/>
        <v>1.7484577739789629E-6</v>
      </c>
      <c r="IN31" s="338">
        <f t="shared" si="1090"/>
        <v>9.366738074887301E-7</v>
      </c>
      <c r="IO31" s="338">
        <f t="shared" si="1091"/>
        <v>9.366738074887301E-7</v>
      </c>
      <c r="IR31" s="342" t="s">
        <v>396</v>
      </c>
      <c r="IS31" s="338">
        <f t="shared" si="1092"/>
        <v>8.8514487040355989E-5</v>
      </c>
      <c r="IT31" s="338">
        <f t="shared" si="1092"/>
        <v>8.8514487040355989E-5</v>
      </c>
      <c r="IU31" s="338">
        <f t="shared" si="1092"/>
        <v>1.1840249565138529E-4</v>
      </c>
      <c r="IV31" s="338">
        <f t="shared" si="1092"/>
        <v>1.1840249565138529E-4</v>
      </c>
      <c r="IW31" s="338">
        <f t="shared" si="1092"/>
        <v>1.1540496411590715E-4</v>
      </c>
      <c r="IX31" s="338">
        <f t="shared" si="1092"/>
        <v>1.1540496411590715E-4</v>
      </c>
      <c r="IY31" s="338">
        <f t="shared" si="1092"/>
        <v>9.5968338580596489E-5</v>
      </c>
      <c r="IZ31" s="338">
        <f t="shared" si="1092"/>
        <v>9.5968338580596489E-5</v>
      </c>
      <c r="JA31" s="338">
        <f t="shared" si="1092"/>
        <v>8.6828496811015873E-5</v>
      </c>
      <c r="JB31" s="338">
        <f t="shared" si="1092"/>
        <v>8.6828496811015873E-5</v>
      </c>
      <c r="JC31" s="338">
        <f t="shared" si="1092"/>
        <v>0</v>
      </c>
      <c r="JD31" s="338">
        <f t="shared" si="1092"/>
        <v>0</v>
      </c>
      <c r="JE31" s="338">
        <f t="shared" si="1093"/>
        <v>1.6207986071389629E-4</v>
      </c>
      <c r="JF31" s="338">
        <f t="shared" si="1094"/>
        <v>1.6207986071389629E-4</v>
      </c>
      <c r="JG31" s="338">
        <f t="shared" si="1095"/>
        <v>8.6828496811015873E-5</v>
      </c>
      <c r="JH31" s="338">
        <f t="shared" si="1096"/>
        <v>8.6828496811015873E-5</v>
      </c>
      <c r="JK31" s="342" t="s">
        <v>396</v>
      </c>
      <c r="JL31" s="338">
        <f t="shared" si="1097"/>
        <v>3.9509617007978425E-5</v>
      </c>
      <c r="JM31" s="338">
        <f t="shared" si="1097"/>
        <v>3.9509617007978425E-5</v>
      </c>
      <c r="JN31" s="338">
        <f t="shared" si="1097"/>
        <v>5.2850526647036084E-5</v>
      </c>
      <c r="JO31" s="338">
        <f t="shared" si="1097"/>
        <v>5.2850526647036084E-5</v>
      </c>
      <c r="JP31" s="338">
        <f t="shared" si="1097"/>
        <v>5.1512538630655409E-5</v>
      </c>
      <c r="JQ31" s="338">
        <f t="shared" si="1097"/>
        <v>5.1512538630655409E-5</v>
      </c>
      <c r="JR31" s="338">
        <f t="shared" si="1097"/>
        <v>4.283674265075555E-5</v>
      </c>
      <c r="JS31" s="338">
        <f t="shared" si="1097"/>
        <v>4.283674265075555E-5</v>
      </c>
      <c r="JT31" s="338">
        <f t="shared" si="1097"/>
        <v>3.8757052874493123E-5</v>
      </c>
      <c r="JU31" s="338">
        <f t="shared" si="1097"/>
        <v>3.8757052874493123E-5</v>
      </c>
      <c r="JV31" s="338">
        <f t="shared" si="1097"/>
        <v>0</v>
      </c>
      <c r="JW31" s="338">
        <f t="shared" si="1097"/>
        <v>0</v>
      </c>
      <c r="JX31" s="338">
        <f t="shared" si="1098"/>
        <v>7.2346498699053829E-5</v>
      </c>
      <c r="JY31" s="338">
        <f t="shared" si="1099"/>
        <v>7.2346498699053829E-5</v>
      </c>
      <c r="JZ31" s="338">
        <f t="shared" si="1100"/>
        <v>3.8757052874493123E-5</v>
      </c>
      <c r="KA31" s="338">
        <f t="shared" si="1101"/>
        <v>3.8757052874493123E-5</v>
      </c>
      <c r="KD31" s="342" t="s">
        <v>396</v>
      </c>
      <c r="KE31" s="338">
        <f t="shared" si="1102"/>
        <v>8.4806587291524275E-6</v>
      </c>
      <c r="KF31" s="338">
        <f t="shared" si="1102"/>
        <v>8.4806587291524275E-6</v>
      </c>
      <c r="KG31" s="338">
        <f t="shared" si="1102"/>
        <v>1.1344257780554547E-5</v>
      </c>
      <c r="KH31" s="338">
        <f t="shared" si="1102"/>
        <v>1.1344257780554547E-5</v>
      </c>
      <c r="KI31" s="338">
        <f t="shared" si="1102"/>
        <v>1.1057061381046834E-5</v>
      </c>
      <c r="KJ31" s="338">
        <f t="shared" si="1102"/>
        <v>1.1057061381046834E-5</v>
      </c>
      <c r="KK31" s="338">
        <f t="shared" si="1102"/>
        <v>9.1948194642389471E-6</v>
      </c>
      <c r="KL31" s="338">
        <f t="shared" si="1102"/>
        <v>9.1948194642389471E-6</v>
      </c>
      <c r="KM31" s="338">
        <f t="shared" si="1102"/>
        <v>8.3191223724066681E-6</v>
      </c>
      <c r="KN31" s="338">
        <f t="shared" si="1102"/>
        <v>8.3191223724066681E-6</v>
      </c>
      <c r="KO31" s="338">
        <f t="shared" si="1102"/>
        <v>0</v>
      </c>
      <c r="KP31" s="338">
        <f t="shared" si="1102"/>
        <v>0</v>
      </c>
      <c r="KQ31" s="338">
        <f t="shared" si="1103"/>
        <v>1.5529028428492446E-5</v>
      </c>
      <c r="KR31" s="338">
        <f t="shared" si="1104"/>
        <v>1.5529028428492446E-5</v>
      </c>
      <c r="KS31" s="338">
        <f t="shared" si="1105"/>
        <v>8.3191223724066681E-6</v>
      </c>
      <c r="KT31" s="338">
        <f t="shared" si="1106"/>
        <v>8.3191223724066681E-6</v>
      </c>
      <c r="KW31" s="342" t="s">
        <v>396</v>
      </c>
      <c r="KX31" s="338">
        <f t="shared" si="1107"/>
        <v>4.1250815056234357E-5</v>
      </c>
      <c r="KY31" s="338">
        <f t="shared" si="1107"/>
        <v>4.1250815056234357E-5</v>
      </c>
      <c r="KZ31" s="338">
        <f t="shared" si="1107"/>
        <v>5.5179661698599208E-5</v>
      </c>
      <c r="LA31" s="338">
        <f t="shared" si="1107"/>
        <v>5.5179661698599208E-5</v>
      </c>
      <c r="LB31" s="338">
        <f t="shared" si="1107"/>
        <v>5.3782708237875167E-5</v>
      </c>
      <c r="LC31" s="338">
        <f t="shared" si="1107"/>
        <v>5.3782708237875167E-5</v>
      </c>
      <c r="LD31" s="338">
        <f t="shared" si="1107"/>
        <v>4.4724567903075139E-5</v>
      </c>
      <c r="LE31" s="338">
        <f t="shared" si="1107"/>
        <v>4.4724567903075139E-5</v>
      </c>
      <c r="LF31" s="338">
        <f t="shared" si="1107"/>
        <v>4.0465085245639418E-5</v>
      </c>
      <c r="LG31" s="338">
        <f t="shared" si="1107"/>
        <v>4.0465085245639418E-5</v>
      </c>
      <c r="LH31" s="338">
        <f t="shared" si="1107"/>
        <v>0</v>
      </c>
      <c r="LI31" s="338">
        <f t="shared" si="1107"/>
        <v>0</v>
      </c>
      <c r="LJ31" s="338">
        <f t="shared" si="1108"/>
        <v>7.5534825791860239E-5</v>
      </c>
      <c r="LK31" s="338">
        <f t="shared" si="1109"/>
        <v>7.5534825791860239E-5</v>
      </c>
      <c r="LL31" s="338">
        <f t="shared" si="1110"/>
        <v>4.0465085245639418E-5</v>
      </c>
      <c r="LM31" s="338">
        <f t="shared" si="1111"/>
        <v>4.0465085245639418E-5</v>
      </c>
      <c r="LP31" s="342" t="s">
        <v>396</v>
      </c>
      <c r="LQ31" s="338">
        <f t="shared" si="1112"/>
        <v>1.8502488602747304E-8</v>
      </c>
      <c r="LR31" s="338">
        <f t="shared" si="1112"/>
        <v>1.8502488602747304E-8</v>
      </c>
      <c r="LS31" s="338">
        <f t="shared" si="1112"/>
        <v>2.475008215692172E-8</v>
      </c>
      <c r="LT31" s="338">
        <f t="shared" si="1112"/>
        <v>2.475008215692172E-8</v>
      </c>
      <c r="LU31" s="338">
        <f t="shared" si="1112"/>
        <v>2.4123497798518632E-8</v>
      </c>
      <c r="LV31" s="338">
        <f t="shared" si="1112"/>
        <v>2.4123497798518632E-8</v>
      </c>
      <c r="LW31" s="338">
        <f t="shared" si="1112"/>
        <v>2.006059290613655E-8</v>
      </c>
      <c r="LX31" s="338">
        <f t="shared" si="1112"/>
        <v>2.006059290613655E-8</v>
      </c>
      <c r="LY31" s="338">
        <f t="shared" si="1112"/>
        <v>1.8150060248409259E-8</v>
      </c>
      <c r="LZ31" s="338">
        <f t="shared" si="1112"/>
        <v>1.8150060248409259E-8</v>
      </c>
      <c r="MA31" s="338">
        <f t="shared" si="1112"/>
        <v>0</v>
      </c>
      <c r="MB31" s="338">
        <f t="shared" si="1112"/>
        <v>0</v>
      </c>
      <c r="MC31" s="338">
        <f t="shared" si="1113"/>
        <v>3.3880112463697287E-8</v>
      </c>
      <c r="MD31" s="338">
        <f t="shared" si="1114"/>
        <v>3.3880112463697287E-8</v>
      </c>
      <c r="ME31" s="338">
        <f t="shared" si="1115"/>
        <v>1.8150060248409259E-8</v>
      </c>
      <c r="MF31" s="338">
        <f t="shared" si="1116"/>
        <v>1.8150060248409259E-8</v>
      </c>
      <c r="MI31" s="342" t="s">
        <v>396</v>
      </c>
      <c r="MJ31" s="338">
        <f t="shared" si="1117"/>
        <v>7.1352109837081992E-7</v>
      </c>
      <c r="MK31" s="338">
        <f t="shared" si="1117"/>
        <v>7.1352109837081992E-7</v>
      </c>
      <c r="ML31" s="338">
        <f t="shared" si="1117"/>
        <v>9.5445030041810992E-7</v>
      </c>
      <c r="MM31" s="338">
        <f t="shared" si="1117"/>
        <v>9.5445030041810992E-7</v>
      </c>
      <c r="MN31" s="338">
        <f t="shared" si="1117"/>
        <v>9.3028700167334723E-7</v>
      </c>
      <c r="MO31" s="338">
        <f t="shared" si="1117"/>
        <v>9.3028700167334723E-7</v>
      </c>
      <c r="MP31" s="338">
        <f t="shared" si="1117"/>
        <v>7.7360708560204674E-7</v>
      </c>
      <c r="MQ31" s="338">
        <f t="shared" si="1117"/>
        <v>7.7360708560204674E-7</v>
      </c>
      <c r="MR31" s="338">
        <f t="shared" si="1117"/>
        <v>6.9993022030661386E-7</v>
      </c>
      <c r="MS31" s="338">
        <f t="shared" si="1117"/>
        <v>6.9993022030661386E-7</v>
      </c>
      <c r="MT31" s="338">
        <f t="shared" si="1117"/>
        <v>0</v>
      </c>
      <c r="MU31" s="338">
        <f t="shared" si="1117"/>
        <v>0</v>
      </c>
      <c r="MV31" s="338">
        <f t="shared" si="1118"/>
        <v>1.3065364112390123E-6</v>
      </c>
      <c r="MW31" s="338">
        <f t="shared" si="1119"/>
        <v>1.3065364112390123E-6</v>
      </c>
      <c r="MX31" s="338">
        <f t="shared" si="1120"/>
        <v>6.9993022030661386E-7</v>
      </c>
      <c r="MY31" s="338">
        <f t="shared" si="1121"/>
        <v>6.9993022030661386E-7</v>
      </c>
      <c r="NB31" s="342" t="s">
        <v>396</v>
      </c>
      <c r="NC31" s="338">
        <f t="shared" si="1122"/>
        <v>6.8314696138468442E-7</v>
      </c>
      <c r="ND31" s="338">
        <f t="shared" si="1122"/>
        <v>6.8314696138468442E-7</v>
      </c>
      <c r="NE31" s="338">
        <f t="shared" si="1122"/>
        <v>9.1381996133275978E-7</v>
      </c>
      <c r="NF31" s="338">
        <f t="shared" si="1122"/>
        <v>9.1381996133275978E-7</v>
      </c>
      <c r="NG31" s="338">
        <f t="shared" si="1122"/>
        <v>8.9068527876737327E-7</v>
      </c>
      <c r="NH31" s="338">
        <f t="shared" si="1122"/>
        <v>8.9068527876737327E-7</v>
      </c>
      <c r="NI31" s="338">
        <f t="shared" si="1122"/>
        <v>7.4067512655392094E-7</v>
      </c>
      <c r="NJ31" s="338">
        <f t="shared" si="1122"/>
        <v>7.4067512655392094E-7</v>
      </c>
      <c r="NK31" s="338">
        <f t="shared" si="1122"/>
        <v>6.7013463831069044E-7</v>
      </c>
      <c r="NL31" s="338">
        <f t="shared" si="1122"/>
        <v>6.7013463831069044E-7</v>
      </c>
      <c r="NM31" s="338">
        <f t="shared" si="1122"/>
        <v>0</v>
      </c>
      <c r="NN31" s="338">
        <f t="shared" si="1122"/>
        <v>0</v>
      </c>
      <c r="NO31" s="338">
        <f t="shared" si="1123"/>
        <v>1.2509179915132889E-6</v>
      </c>
      <c r="NP31" s="338">
        <f t="shared" si="1124"/>
        <v>1.2509179915132889E-6</v>
      </c>
      <c r="NQ31" s="338">
        <f t="shared" si="1125"/>
        <v>6.7013463831069044E-7</v>
      </c>
      <c r="NR31" s="338">
        <f t="shared" si="1126"/>
        <v>6.7013463831069044E-7</v>
      </c>
    </row>
    <row r="32" spans="2:382" ht="12.75" customHeight="1" x14ac:dyDescent="0.2">
      <c r="B32" s="734"/>
      <c r="C32" s="149" t="s">
        <v>365</v>
      </c>
      <c r="D32" s="143">
        <f>GREET!D20</f>
        <v>15.261351916477889</v>
      </c>
      <c r="E32" s="127">
        <f>GREET!D20</f>
        <v>15.261351916477889</v>
      </c>
      <c r="F32" s="143">
        <f>GREET!G20</f>
        <v>20.414535680483411</v>
      </c>
      <c r="G32" s="127">
        <f>GREET!G20</f>
        <v>20.414535680483411</v>
      </c>
      <c r="H32" s="143">
        <f>GREET!H20</f>
        <v>19.897711992369903</v>
      </c>
      <c r="I32" s="127">
        <f>GREET!H20</f>
        <v>19.897711992369903</v>
      </c>
      <c r="J32" s="143">
        <f>GREET!I20</f>
        <v>16.546518393654974</v>
      </c>
      <c r="K32" s="127">
        <f>GREET!I20</f>
        <v>16.546518393654974</v>
      </c>
      <c r="L32" s="143">
        <f>GREET!K20</f>
        <v>14.970659499021167</v>
      </c>
      <c r="M32" s="127">
        <f>GREET!K20</f>
        <v>14.970659499021167</v>
      </c>
      <c r="N32" s="143"/>
      <c r="O32" s="127"/>
      <c r="P32" s="143">
        <f>GREET!M20</f>
        <v>27.945231064839511</v>
      </c>
      <c r="Q32" s="143">
        <f>GREET!M20</f>
        <v>27.945231064839511</v>
      </c>
      <c r="R32" s="143">
        <f>GREET!K20</f>
        <v>14.970659499021167</v>
      </c>
      <c r="S32" s="127">
        <f>GREET!K20</f>
        <v>14.970659499021167</v>
      </c>
      <c r="T32" s="318"/>
      <c r="U32" s="119"/>
      <c r="V32" s="149" t="s">
        <v>365</v>
      </c>
      <c r="W32" s="100">
        <f>'Ecoinvent 3.10'!M35</f>
        <v>0.99828727057226196</v>
      </c>
      <c r="X32" s="100">
        <f>'Ecoinvent 3.10'!N35</f>
        <v>0.20746439999999999</v>
      </c>
      <c r="Y32" s="100">
        <f>'Ecoinvent 3.10'!O35</f>
        <v>0.67435199999999995</v>
      </c>
      <c r="Z32" s="100">
        <f>'Ecoinvent 3.10'!P35</f>
        <v>8.8869600000000007E-5</v>
      </c>
      <c r="AA32" s="100">
        <f>'Ecoinvent 3.10'!Q35</f>
        <v>1.2027959999999999E-3</v>
      </c>
      <c r="AB32" s="100">
        <f>'Ecoinvent 3.10'!R35</f>
        <v>1.562112E-4</v>
      </c>
      <c r="AC32" s="100">
        <f>'Ecoinvent 3.10'!S35</f>
        <v>3.419712E-6</v>
      </c>
      <c r="AD32" s="100">
        <f>'Ecoinvent 3.10'!T35</f>
        <v>7.4714400000000004E-4</v>
      </c>
      <c r="AE32" s="100">
        <f>'Ecoinvent 3.10'!U35</f>
        <v>1.096452E-2</v>
      </c>
      <c r="AF32" s="100">
        <f>'Ecoinvent 3.10'!V35</f>
        <v>1.102932E-2</v>
      </c>
      <c r="AG32" s="328">
        <f>'Ecoinvent 3.10'!W35</f>
        <v>3.5511120000000001E-5</v>
      </c>
      <c r="AH32" s="328">
        <f>'Ecoinvent 3.10'!X35</f>
        <v>7.4872800000000003E-2</v>
      </c>
      <c r="AI32" s="328">
        <f>'Ecoinvent 3.10'!Y35</f>
        <v>9.8971200000000001E-4</v>
      </c>
      <c r="AJ32" s="328">
        <f>'Ecoinvent 3.10'!Z35</f>
        <v>2.4006240000000001E-4</v>
      </c>
      <c r="AK32" s="328">
        <f>'Ecoinvent 3.10'!AA35</f>
        <v>1.7943480000000001E-3</v>
      </c>
      <c r="AL32" s="328">
        <f>'Ecoinvent 3.10'!AB35</f>
        <v>2.5094880000000004E-6</v>
      </c>
      <c r="AM32" s="328">
        <f>'Ecoinvent 3.10'!AC35</f>
        <v>2.0774880000000001E-4</v>
      </c>
      <c r="AN32" s="328">
        <f>'Ecoinvent 3.10'!AD35</f>
        <v>1.8267479999999999E-4</v>
      </c>
      <c r="AO32" s="119"/>
      <c r="AP32" s="8"/>
      <c r="AQ32" s="149" t="s">
        <v>365</v>
      </c>
      <c r="AR32" s="49">
        <f t="shared" si="1057"/>
        <v>15.235213349943471</v>
      </c>
      <c r="AS32" s="50">
        <f t="shared" si="1057"/>
        <v>15.235213349943471</v>
      </c>
      <c r="AT32" s="49">
        <f t="shared" si="1057"/>
        <v>20.379571104469839</v>
      </c>
      <c r="AU32" s="50">
        <f t="shared" si="1057"/>
        <v>20.379571104469839</v>
      </c>
      <c r="AV32" s="49">
        <f t="shared" si="1057"/>
        <v>19.863632595495915</v>
      </c>
      <c r="AW32" s="50">
        <f t="shared" si="1057"/>
        <v>19.863632595495915</v>
      </c>
      <c r="AX32" s="49">
        <f t="shared" si="1057"/>
        <v>16.518178684675554</v>
      </c>
      <c r="AY32" s="50">
        <f t="shared" si="1057"/>
        <v>16.518178684675554</v>
      </c>
      <c r="AZ32" s="49">
        <f t="shared" si="1057"/>
        <v>14.945018809944548</v>
      </c>
      <c r="BA32" s="50">
        <f t="shared" si="1057"/>
        <v>14.945018809944548</v>
      </c>
      <c r="BB32" s="49">
        <f t="shared" si="1057"/>
        <v>0</v>
      </c>
      <c r="BC32" s="50">
        <f t="shared" si="1057"/>
        <v>0</v>
      </c>
      <c r="BD32" s="49">
        <f t="shared" si="1058"/>
        <v>27.897368445229823</v>
      </c>
      <c r="BE32" s="50">
        <f t="shared" si="1059"/>
        <v>27.897368445229823</v>
      </c>
      <c r="BF32" s="49">
        <f t="shared" si="1060"/>
        <v>14.945018809944548</v>
      </c>
      <c r="BG32" s="50">
        <f t="shared" si="1061"/>
        <v>14.945018809944548</v>
      </c>
      <c r="BI32" s="156"/>
      <c r="BJ32" s="149" t="s">
        <v>365</v>
      </c>
      <c r="BK32" s="49">
        <f t="shared" si="744"/>
        <v>3.166187218540935</v>
      </c>
      <c r="BL32" s="49">
        <f t="shared" si="745"/>
        <v>3.166187218540935</v>
      </c>
      <c r="BM32" s="49">
        <f t="shared" si="746"/>
        <v>4.2352893962300824</v>
      </c>
      <c r="BN32" s="49">
        <f t="shared" si="747"/>
        <v>4.2352893962300824</v>
      </c>
      <c r="BO32" s="49">
        <f t="shared" si="748"/>
        <v>4.1280668798698263</v>
      </c>
      <c r="BP32" s="49">
        <f t="shared" si="749"/>
        <v>4.1280668798698263</v>
      </c>
      <c r="BQ32" s="49">
        <f t="shared" si="750"/>
        <v>3.4328135106285931</v>
      </c>
      <c r="BR32" s="49">
        <f t="shared" si="751"/>
        <v>3.4328135106285931</v>
      </c>
      <c r="BS32" s="49">
        <f t="shared" si="752"/>
        <v>3.1058788905687269</v>
      </c>
      <c r="BT32" s="49">
        <f t="shared" si="753"/>
        <v>3.1058788905687269</v>
      </c>
      <c r="BU32" s="49">
        <f t="shared" si="754"/>
        <v>0</v>
      </c>
      <c r="BV32" s="49">
        <f t="shared" si="755"/>
        <v>0</v>
      </c>
      <c r="BW32" s="49">
        <f t="shared" si="756"/>
        <v>5.7976405957282902</v>
      </c>
      <c r="BX32" s="49">
        <f t="shared" si="757"/>
        <v>5.7976405957282902</v>
      </c>
      <c r="BY32" s="49">
        <f t="shared" si="758"/>
        <v>3.1058788905687269</v>
      </c>
      <c r="BZ32" s="49">
        <f t="shared" si="759"/>
        <v>3.1058788905687269</v>
      </c>
      <c r="CA32" s="156"/>
      <c r="CB32" s="156"/>
      <c r="CC32" s="149" t="s">
        <v>365</v>
      </c>
      <c r="CD32" s="49">
        <f t="shared" si="760"/>
        <v>10.291523187580696</v>
      </c>
      <c r="CE32" s="49">
        <f t="shared" si="761"/>
        <v>10.291523187580696</v>
      </c>
      <c r="CF32" s="49">
        <f t="shared" si="762"/>
        <v>13.766582965205348</v>
      </c>
      <c r="CG32" s="49">
        <f t="shared" si="763"/>
        <v>13.766582965205348</v>
      </c>
      <c r="CH32" s="49">
        <f t="shared" si="764"/>
        <v>13.418061877478628</v>
      </c>
      <c r="CI32" s="49">
        <f t="shared" si="765"/>
        <v>13.418061877478628</v>
      </c>
      <c r="CJ32" s="49">
        <f t="shared" si="766"/>
        <v>11.158177771798018</v>
      </c>
      <c r="CK32" s="49">
        <f t="shared" si="767"/>
        <v>11.158177771798018</v>
      </c>
      <c r="CL32" s="49">
        <f t="shared" si="768"/>
        <v>10.095494174483921</v>
      </c>
      <c r="CM32" s="49">
        <f t="shared" si="769"/>
        <v>10.095494174483921</v>
      </c>
      <c r="CN32" s="49">
        <f t="shared" si="770"/>
        <v>0</v>
      </c>
      <c r="CO32" s="220">
        <f t="shared" si="771"/>
        <v>0</v>
      </c>
      <c r="CP32" s="49">
        <f t="shared" si="772"/>
        <v>18.844922459036653</v>
      </c>
      <c r="CQ32" s="49">
        <f t="shared" si="773"/>
        <v>18.844922459036653</v>
      </c>
      <c r="CR32" s="49">
        <f t="shared" si="774"/>
        <v>10.095494174483921</v>
      </c>
      <c r="CS32" s="220">
        <f t="shared" si="775"/>
        <v>10.095494174483921</v>
      </c>
      <c r="CV32" s="149" t="s">
        <v>365</v>
      </c>
      <c r="CW32" s="49">
        <f t="shared" si="776"/>
        <v>1.3562702402766234E-3</v>
      </c>
      <c r="CX32" s="49">
        <f t="shared" si="777"/>
        <v>1.3562702402766234E-3</v>
      </c>
      <c r="CY32" s="49">
        <f t="shared" si="778"/>
        <v>1.8142316201102888E-3</v>
      </c>
      <c r="CZ32" s="49">
        <f t="shared" si="779"/>
        <v>1.8142316201102888E-3</v>
      </c>
      <c r="DA32" s="49">
        <f t="shared" si="780"/>
        <v>1.7683017056771165E-3</v>
      </c>
      <c r="DB32" s="49">
        <f t="shared" si="781"/>
        <v>1.7683017056771165E-3</v>
      </c>
      <c r="DC32" s="49">
        <f t="shared" si="782"/>
        <v>1.4704824710367601E-3</v>
      </c>
      <c r="DD32" s="49">
        <f t="shared" si="783"/>
        <v>1.4704824710367601E-3</v>
      </c>
      <c r="DE32" s="49">
        <f t="shared" si="784"/>
        <v>1.3304365214142117E-3</v>
      </c>
      <c r="DF32" s="49">
        <f t="shared" si="785"/>
        <v>1.3304365214142117E-3</v>
      </c>
      <c r="DG32" s="49">
        <f t="shared" si="786"/>
        <v>0</v>
      </c>
      <c r="DH32" s="49">
        <f t="shared" si="787"/>
        <v>0</v>
      </c>
      <c r="DI32" s="49">
        <f t="shared" si="788"/>
        <v>2.4834815066398616E-3</v>
      </c>
      <c r="DJ32" s="49">
        <f t="shared" si="789"/>
        <v>2.4834815066398616E-3</v>
      </c>
      <c r="DK32" s="49">
        <f t="shared" si="790"/>
        <v>1.3304365214142117E-3</v>
      </c>
      <c r="DL32" s="49">
        <f t="shared" si="791"/>
        <v>1.3304365214142117E-3</v>
      </c>
      <c r="DO32" s="149" t="s">
        <v>365</v>
      </c>
      <c r="DP32" s="49">
        <f t="shared" si="792"/>
        <v>1.8356293039731936E-2</v>
      </c>
      <c r="DQ32" s="49">
        <f t="shared" si="793"/>
        <v>1.8356293039731936E-2</v>
      </c>
      <c r="DR32" s="49">
        <f t="shared" si="794"/>
        <v>2.4554521858342723E-2</v>
      </c>
      <c r="DS32" s="49">
        <f t="shared" si="795"/>
        <v>2.4554521858342723E-2</v>
      </c>
      <c r="DT32" s="49">
        <f t="shared" si="796"/>
        <v>2.3932888393574547E-2</v>
      </c>
      <c r="DU32" s="49">
        <f t="shared" si="797"/>
        <v>2.3932888393574547E-2</v>
      </c>
      <c r="DV32" s="49">
        <f t="shared" si="798"/>
        <v>1.9902086137814627E-2</v>
      </c>
      <c r="DW32" s="49">
        <f t="shared" si="799"/>
        <v>1.9902086137814627E-2</v>
      </c>
      <c r="DX32" s="49">
        <f t="shared" si="800"/>
        <v>1.8006649362784663E-2</v>
      </c>
      <c r="DY32" s="49">
        <f t="shared" si="801"/>
        <v>1.8006649362784663E-2</v>
      </c>
      <c r="DZ32" s="49">
        <f t="shared" si="802"/>
        <v>0</v>
      </c>
      <c r="EA32" s="49">
        <f t="shared" si="803"/>
        <v>0</v>
      </c>
      <c r="EB32" s="49">
        <f t="shared" si="804"/>
        <v>3.3612412143864699E-2</v>
      </c>
      <c r="EC32" s="49">
        <f t="shared" si="805"/>
        <v>3.3612412143864699E-2</v>
      </c>
      <c r="ED32" s="49">
        <f t="shared" si="806"/>
        <v>1.8006649362784663E-2</v>
      </c>
      <c r="EE32" s="49">
        <f t="shared" si="807"/>
        <v>1.8006649362784663E-2</v>
      </c>
      <c r="EH32" s="149" t="s">
        <v>365</v>
      </c>
      <c r="EI32" s="49">
        <f t="shared" si="1062"/>
        <v>2.3839940964953108E-3</v>
      </c>
      <c r="EJ32" s="49">
        <f t="shared" si="1062"/>
        <v>2.3839940964953108E-3</v>
      </c>
      <c r="EK32" s="49">
        <f t="shared" si="1062"/>
        <v>3.18897911609113E-3</v>
      </c>
      <c r="EL32" s="49">
        <f t="shared" si="1062"/>
        <v>3.18897911609113E-3</v>
      </c>
      <c r="EM32" s="49">
        <f t="shared" si="1062"/>
        <v>3.1082454675824935E-3</v>
      </c>
      <c r="EN32" s="49">
        <f t="shared" si="1062"/>
        <v>3.1082454675824935E-3</v>
      </c>
      <c r="EO32" s="49">
        <f t="shared" si="1062"/>
        <v>2.5847514940949157E-3</v>
      </c>
      <c r="EP32" s="49">
        <f t="shared" si="1062"/>
        <v>2.5847514940949157E-3</v>
      </c>
      <c r="EQ32" s="49">
        <f t="shared" si="1062"/>
        <v>2.3385846851334954E-3</v>
      </c>
      <c r="ER32" s="49">
        <f t="shared" si="1062"/>
        <v>2.3385846851334954E-3</v>
      </c>
      <c r="ES32" s="49">
        <f t="shared" si="1062"/>
        <v>0</v>
      </c>
      <c r="ET32" s="49">
        <f t="shared" si="1062"/>
        <v>0</v>
      </c>
      <c r="EU32" s="49">
        <f t="shared" si="1063"/>
        <v>4.365358078915858E-3</v>
      </c>
      <c r="EV32" s="49">
        <f t="shared" si="1064"/>
        <v>4.365358078915858E-3</v>
      </c>
      <c r="EW32" s="49">
        <f t="shared" si="1065"/>
        <v>2.3385846851334954E-3</v>
      </c>
      <c r="EX32" s="49">
        <f t="shared" si="1066"/>
        <v>2.3385846851334954E-3</v>
      </c>
      <c r="FA32" s="149" t="s">
        <v>365</v>
      </c>
      <c r="FB32" s="53">
        <f t="shared" si="1067"/>
        <v>5.2189428285002431E-5</v>
      </c>
      <c r="FC32" s="53">
        <f t="shared" si="1067"/>
        <v>5.2189428285002431E-5</v>
      </c>
      <c r="FD32" s="53">
        <f t="shared" si="1067"/>
        <v>6.9811832640977284E-5</v>
      </c>
      <c r="FE32" s="53">
        <f t="shared" si="1067"/>
        <v>6.9811832640977284E-5</v>
      </c>
      <c r="FF32" s="53">
        <f t="shared" si="1067"/>
        <v>6.8044444472851266E-5</v>
      </c>
      <c r="FG32" s="53">
        <f t="shared" si="1067"/>
        <v>6.8044444472851266E-5</v>
      </c>
      <c r="FH32" s="53">
        <f t="shared" si="1067"/>
        <v>5.6584327509002637E-5</v>
      </c>
      <c r="FI32" s="53">
        <f t="shared" si="1067"/>
        <v>5.6584327509002637E-5</v>
      </c>
      <c r="FJ32" s="53">
        <f t="shared" si="1067"/>
        <v>5.1195343936716672E-5</v>
      </c>
      <c r="FK32" s="53">
        <f t="shared" si="1067"/>
        <v>5.1195343936716672E-5</v>
      </c>
      <c r="FL32" s="53">
        <f t="shared" si="1067"/>
        <v>0</v>
      </c>
      <c r="FM32" s="53">
        <f t="shared" si="1067"/>
        <v>0</v>
      </c>
      <c r="FN32" s="53">
        <f t="shared" si="1068"/>
        <v>9.5564642015204449E-5</v>
      </c>
      <c r="FO32" s="53">
        <f t="shared" si="1069"/>
        <v>9.5564642015204449E-5</v>
      </c>
      <c r="FP32" s="53">
        <f t="shared" si="1070"/>
        <v>5.1195343936716672E-5</v>
      </c>
      <c r="FQ32" s="53">
        <f t="shared" si="1071"/>
        <v>5.1195343936716672E-5</v>
      </c>
      <c r="FT32" s="149" t="s">
        <v>365</v>
      </c>
      <c r="FU32" s="49">
        <f t="shared" si="1072"/>
        <v>1.1402427516284955E-2</v>
      </c>
      <c r="FV32" s="49">
        <f t="shared" si="1072"/>
        <v>1.1402427516284955E-2</v>
      </c>
      <c r="FW32" s="49">
        <f t="shared" si="1072"/>
        <v>1.5252597846459099E-2</v>
      </c>
      <c r="FX32" s="49">
        <f t="shared" si="1072"/>
        <v>1.5252597846459099E-2</v>
      </c>
      <c r="FY32" s="49">
        <f t="shared" si="1072"/>
        <v>1.486645612882722E-2</v>
      </c>
      <c r="FZ32" s="49">
        <f t="shared" si="1072"/>
        <v>1.486645612882722E-2</v>
      </c>
      <c r="GA32" s="49">
        <f t="shared" si="1072"/>
        <v>1.2362631938708953E-2</v>
      </c>
      <c r="GB32" s="49">
        <f t="shared" si="1072"/>
        <v>1.2362631938708953E-2</v>
      </c>
      <c r="GC32" s="49">
        <f t="shared" si="1072"/>
        <v>1.1185238420736671E-2</v>
      </c>
      <c r="GD32" s="49">
        <f t="shared" si="1072"/>
        <v>1.1185238420736671E-2</v>
      </c>
      <c r="GE32" s="49">
        <f t="shared" si="1072"/>
        <v>0</v>
      </c>
      <c r="GF32" s="49">
        <f t="shared" si="1072"/>
        <v>0</v>
      </c>
      <c r="GG32" s="49">
        <f t="shared" si="1073"/>
        <v>2.0879111718708453E-2</v>
      </c>
      <c r="GH32" s="49">
        <f t="shared" si="1074"/>
        <v>2.0879111718708453E-2</v>
      </c>
      <c r="GI32" s="49">
        <f t="shared" si="1075"/>
        <v>1.1185238420736671E-2</v>
      </c>
      <c r="GJ32" s="49">
        <f t="shared" si="1076"/>
        <v>1.1185238420736671E-2</v>
      </c>
      <c r="GM32" s="149" t="s">
        <v>365</v>
      </c>
      <c r="GN32" s="49">
        <f t="shared" si="1077"/>
        <v>0.16733339831526015</v>
      </c>
      <c r="GO32" s="49">
        <f t="shared" si="1077"/>
        <v>0.16733339831526015</v>
      </c>
      <c r="GP32" s="49">
        <f t="shared" si="1077"/>
        <v>0.22383558475937398</v>
      </c>
      <c r="GQ32" s="49">
        <f t="shared" si="1077"/>
        <v>0.22383558475937398</v>
      </c>
      <c r="GR32" s="49">
        <f t="shared" si="1077"/>
        <v>0.21816886109457964</v>
      </c>
      <c r="GS32" s="49">
        <f t="shared" si="1077"/>
        <v>0.21816886109457964</v>
      </c>
      <c r="GT32" s="49">
        <f t="shared" si="1077"/>
        <v>0.18142463185759783</v>
      </c>
      <c r="GU32" s="49">
        <f t="shared" si="1077"/>
        <v>0.18142463185759783</v>
      </c>
      <c r="GV32" s="49">
        <f t="shared" si="1077"/>
        <v>0.16414609549020756</v>
      </c>
      <c r="GW32" s="49">
        <f t="shared" si="1077"/>
        <v>0.16414609549020756</v>
      </c>
      <c r="GX32" s="49">
        <f t="shared" si="1077"/>
        <v>0</v>
      </c>
      <c r="GY32" s="49">
        <f t="shared" si="1077"/>
        <v>0</v>
      </c>
      <c r="GZ32" s="49">
        <f t="shared" si="1078"/>
        <v>0.30640604491505413</v>
      </c>
      <c r="HA32" s="49">
        <f t="shared" si="1079"/>
        <v>0.30640604491505413</v>
      </c>
      <c r="HB32" s="49">
        <f t="shared" si="1080"/>
        <v>0.16414609549020756</v>
      </c>
      <c r="HC32" s="49">
        <f t="shared" si="1081"/>
        <v>0.16414609549020756</v>
      </c>
      <c r="HF32" s="149" t="s">
        <v>365</v>
      </c>
      <c r="HG32" s="49">
        <f t="shared" si="1082"/>
        <v>0.16832233391944793</v>
      </c>
      <c r="HH32" s="49">
        <f t="shared" si="1082"/>
        <v>0.16832233391944793</v>
      </c>
      <c r="HI32" s="49">
        <f t="shared" si="1082"/>
        <v>0.22515844667146931</v>
      </c>
      <c r="HJ32" s="49">
        <f t="shared" si="1082"/>
        <v>0.22515844667146931</v>
      </c>
      <c r="HK32" s="49">
        <f t="shared" si="1082"/>
        <v>0.21945823283168522</v>
      </c>
      <c r="HL32" s="49">
        <f t="shared" si="1082"/>
        <v>0.21945823283168522</v>
      </c>
      <c r="HM32" s="49">
        <f t="shared" si="1082"/>
        <v>0.18249684624950668</v>
      </c>
      <c r="HN32" s="49">
        <f t="shared" si="1082"/>
        <v>0.18249684624950668</v>
      </c>
      <c r="HO32" s="49">
        <f t="shared" si="1082"/>
        <v>0.16511619422574414</v>
      </c>
      <c r="HP32" s="49">
        <f t="shared" si="1082"/>
        <v>0.16511619422574414</v>
      </c>
      <c r="HQ32" s="49">
        <f t="shared" si="1082"/>
        <v>0</v>
      </c>
      <c r="HR32" s="49">
        <f t="shared" si="1082"/>
        <v>0</v>
      </c>
      <c r="HS32" s="49">
        <f t="shared" si="1083"/>
        <v>0.30821689588805573</v>
      </c>
      <c r="HT32" s="49">
        <f t="shared" si="1084"/>
        <v>0.30821689588805573</v>
      </c>
      <c r="HU32" s="49">
        <f t="shared" si="1085"/>
        <v>0.16511619422574414</v>
      </c>
      <c r="HV32" s="49">
        <f t="shared" si="1086"/>
        <v>0.16511619422574414</v>
      </c>
      <c r="HY32" s="342" t="s">
        <v>365</v>
      </c>
      <c r="HZ32" s="338">
        <f t="shared" si="1087"/>
        <v>5.4194769926827629E-4</v>
      </c>
      <c r="IA32" s="338">
        <f t="shared" si="1087"/>
        <v>5.4194769926827629E-4</v>
      </c>
      <c r="IB32" s="338">
        <f t="shared" si="1087"/>
        <v>7.2494302629392811E-4</v>
      </c>
      <c r="IC32" s="338">
        <f t="shared" si="1087"/>
        <v>7.2494302629392811E-4</v>
      </c>
      <c r="ID32" s="338">
        <f t="shared" si="1087"/>
        <v>7.0659003828648672E-4</v>
      </c>
      <c r="IE32" s="338">
        <f t="shared" si="1087"/>
        <v>7.0659003828648672E-4</v>
      </c>
      <c r="IF32" s="338">
        <f t="shared" si="1087"/>
        <v>5.875854002592891E-4</v>
      </c>
      <c r="IG32" s="338">
        <f t="shared" si="1087"/>
        <v>5.875854002592891E-4</v>
      </c>
      <c r="IH32" s="338">
        <f t="shared" si="1087"/>
        <v>5.3162488594888052E-4</v>
      </c>
      <c r="II32" s="338">
        <f t="shared" si="1087"/>
        <v>5.3162488594888052E-4</v>
      </c>
      <c r="IJ32" s="338">
        <f t="shared" si="1087"/>
        <v>0</v>
      </c>
      <c r="IK32" s="338">
        <f t="shared" si="1087"/>
        <v>0</v>
      </c>
      <c r="IL32" s="338">
        <f t="shared" si="1088"/>
        <v>9.9236645377124362E-4</v>
      </c>
      <c r="IM32" s="338">
        <f t="shared" si="1089"/>
        <v>9.9236645377124362E-4</v>
      </c>
      <c r="IN32" s="338">
        <f t="shared" si="1090"/>
        <v>5.3162488594888052E-4</v>
      </c>
      <c r="IO32" s="338">
        <f t="shared" si="1091"/>
        <v>5.3162488594888052E-4</v>
      </c>
      <c r="IR32" s="342" t="s">
        <v>365</v>
      </c>
      <c r="IS32" s="338">
        <f t="shared" si="1092"/>
        <v>1.1426601497720656</v>
      </c>
      <c r="IT32" s="338">
        <f t="shared" si="1092"/>
        <v>1.1426601497720656</v>
      </c>
      <c r="IU32" s="338">
        <f t="shared" si="1092"/>
        <v>1.5284934470976983</v>
      </c>
      <c r="IV32" s="338">
        <f t="shared" si="1092"/>
        <v>1.5284934470976983</v>
      </c>
      <c r="IW32" s="338">
        <f t="shared" si="1092"/>
        <v>1.4897974104623133</v>
      </c>
      <c r="IX32" s="338">
        <f t="shared" si="1092"/>
        <v>1.4897974104623133</v>
      </c>
      <c r="IY32" s="338">
        <f t="shared" si="1092"/>
        <v>1.2388841623844502</v>
      </c>
      <c r="IZ32" s="338">
        <f t="shared" si="1092"/>
        <v>1.2388841623844502</v>
      </c>
      <c r="JA32" s="338">
        <f t="shared" si="1092"/>
        <v>1.1208951945383121</v>
      </c>
      <c r="JB32" s="338">
        <f t="shared" si="1092"/>
        <v>1.1208951945383121</v>
      </c>
      <c r="JC32" s="338">
        <f t="shared" si="1092"/>
        <v>0</v>
      </c>
      <c r="JD32" s="338">
        <f t="shared" si="1092"/>
        <v>0</v>
      </c>
      <c r="JE32" s="338">
        <f t="shared" si="1093"/>
        <v>2.0923376964715157</v>
      </c>
      <c r="JF32" s="338">
        <f t="shared" si="1094"/>
        <v>2.0923376964715157</v>
      </c>
      <c r="JG32" s="338">
        <f t="shared" si="1095"/>
        <v>1.1208951945383121</v>
      </c>
      <c r="JH32" s="338">
        <f t="shared" si="1096"/>
        <v>1.1208951945383121</v>
      </c>
      <c r="JK32" s="342" t="s">
        <v>365</v>
      </c>
      <c r="JL32" s="338">
        <f t="shared" si="1097"/>
        <v>1.5104343127961163E-2</v>
      </c>
      <c r="JM32" s="338">
        <f t="shared" si="1097"/>
        <v>1.5104343127961163E-2</v>
      </c>
      <c r="JN32" s="338">
        <f t="shared" si="1097"/>
        <v>2.0204510937402598E-2</v>
      </c>
      <c r="JO32" s="338">
        <f t="shared" si="1097"/>
        <v>2.0204510937402598E-2</v>
      </c>
      <c r="JP32" s="338">
        <f t="shared" si="1097"/>
        <v>1.9693004331392403E-2</v>
      </c>
      <c r="JQ32" s="338">
        <f t="shared" si="1097"/>
        <v>1.9693004331392403E-2</v>
      </c>
      <c r="JR32" s="338">
        <f t="shared" si="1097"/>
        <v>1.637628781242105E-2</v>
      </c>
      <c r="JS32" s="338">
        <f t="shared" si="1097"/>
        <v>1.637628781242105E-2</v>
      </c>
      <c r="JT32" s="338">
        <f t="shared" si="1097"/>
        <v>1.4816641354095238E-2</v>
      </c>
      <c r="JU32" s="338">
        <f t="shared" si="1097"/>
        <v>1.4816641354095238E-2</v>
      </c>
      <c r="JV32" s="338">
        <f t="shared" si="1097"/>
        <v>0</v>
      </c>
      <c r="JW32" s="338">
        <f t="shared" si="1097"/>
        <v>0</v>
      </c>
      <c r="JX32" s="338">
        <f t="shared" si="1098"/>
        <v>2.7657730527644444E-2</v>
      </c>
      <c r="JY32" s="338">
        <f t="shared" si="1099"/>
        <v>2.7657730527644444E-2</v>
      </c>
      <c r="JZ32" s="338">
        <f t="shared" si="1100"/>
        <v>1.4816641354095238E-2</v>
      </c>
      <c r="KA32" s="338">
        <f t="shared" si="1101"/>
        <v>1.4816641354095238E-2</v>
      </c>
      <c r="KD32" s="342" t="s">
        <v>365</v>
      </c>
      <c r="KE32" s="338">
        <f t="shared" si="1102"/>
        <v>3.6636767683142814E-3</v>
      </c>
      <c r="KF32" s="338">
        <f t="shared" si="1102"/>
        <v>3.6636767683142814E-3</v>
      </c>
      <c r="KG32" s="338">
        <f t="shared" si="1102"/>
        <v>4.9007624303424807E-3</v>
      </c>
      <c r="KH32" s="338">
        <f t="shared" si="1102"/>
        <v>4.9007624303424807E-3</v>
      </c>
      <c r="KI32" s="338">
        <f t="shared" si="1102"/>
        <v>4.7766924953971009E-3</v>
      </c>
      <c r="KJ32" s="338">
        <f t="shared" si="1102"/>
        <v>4.7766924953971009E-3</v>
      </c>
      <c r="KK32" s="338">
        <f t="shared" si="1102"/>
        <v>3.9721969172249582E-3</v>
      </c>
      <c r="KL32" s="338">
        <f t="shared" si="1102"/>
        <v>3.9721969172249582E-3</v>
      </c>
      <c r="KM32" s="338">
        <f t="shared" si="1102"/>
        <v>3.5938924489178192E-3</v>
      </c>
      <c r="KN32" s="338">
        <f t="shared" si="1102"/>
        <v>3.5938924489178192E-3</v>
      </c>
      <c r="KO32" s="338">
        <f t="shared" si="1102"/>
        <v>0</v>
      </c>
      <c r="KP32" s="338">
        <f t="shared" si="1102"/>
        <v>0</v>
      </c>
      <c r="KQ32" s="338">
        <f t="shared" si="1103"/>
        <v>6.7085992379799292E-3</v>
      </c>
      <c r="KR32" s="338">
        <f t="shared" si="1104"/>
        <v>6.7085992379799292E-3</v>
      </c>
      <c r="KS32" s="338">
        <f t="shared" si="1105"/>
        <v>3.5938924489178192E-3</v>
      </c>
      <c r="KT32" s="338">
        <f t="shared" si="1106"/>
        <v>3.5938924489178192E-3</v>
      </c>
      <c r="KW32" s="342" t="s">
        <v>365</v>
      </c>
      <c r="KX32" s="338">
        <f t="shared" si="1107"/>
        <v>2.7384176288628267E-2</v>
      </c>
      <c r="KY32" s="338">
        <f t="shared" si="1107"/>
        <v>2.7384176288628267E-2</v>
      </c>
      <c r="KZ32" s="338">
        <f t="shared" si="1107"/>
        <v>3.6630781269204049E-2</v>
      </c>
      <c r="LA32" s="338">
        <f t="shared" si="1107"/>
        <v>3.6630781269204049E-2</v>
      </c>
      <c r="LB32" s="338">
        <f t="shared" si="1107"/>
        <v>3.5703419718084953E-2</v>
      </c>
      <c r="LC32" s="338">
        <f t="shared" si="1107"/>
        <v>3.5703419718084953E-2</v>
      </c>
      <c r="LD32" s="338">
        <f t="shared" si="1107"/>
        <v>2.9690212186618017E-2</v>
      </c>
      <c r="LE32" s="338">
        <f t="shared" si="1107"/>
        <v>2.9690212186618017E-2</v>
      </c>
      <c r="LF32" s="338">
        <f t="shared" si="1107"/>
        <v>2.6862572930749635E-2</v>
      </c>
      <c r="LG32" s="338">
        <f t="shared" si="1107"/>
        <v>2.6862572930749635E-2</v>
      </c>
      <c r="LH32" s="338">
        <f t="shared" si="1107"/>
        <v>0</v>
      </c>
      <c r="LI32" s="338">
        <f t="shared" si="1107"/>
        <v>0</v>
      </c>
      <c r="LJ32" s="338">
        <f t="shared" si="1108"/>
        <v>5.014346947073265E-2</v>
      </c>
      <c r="LK32" s="338">
        <f t="shared" si="1109"/>
        <v>5.014346947073265E-2</v>
      </c>
      <c r="LL32" s="338">
        <f t="shared" si="1110"/>
        <v>2.6862572930749635E-2</v>
      </c>
      <c r="LM32" s="338">
        <f t="shared" si="1111"/>
        <v>2.6862572930749635E-2</v>
      </c>
      <c r="LP32" s="342" t="s">
        <v>365</v>
      </c>
      <c r="LQ32" s="338">
        <f t="shared" si="1112"/>
        <v>3.8298179498178269E-5</v>
      </c>
      <c r="LR32" s="338">
        <f t="shared" si="1112"/>
        <v>3.8298179498178269E-5</v>
      </c>
      <c r="LS32" s="338">
        <f t="shared" si="1112"/>
        <v>5.1230032315744958E-5</v>
      </c>
      <c r="LT32" s="338">
        <f t="shared" si="1112"/>
        <v>5.1230032315744958E-5</v>
      </c>
      <c r="LU32" s="338">
        <f t="shared" si="1112"/>
        <v>4.993306947230837E-5</v>
      </c>
      <c r="LV32" s="338">
        <f t="shared" si="1112"/>
        <v>4.993306947230837E-5</v>
      </c>
      <c r="LW32" s="338">
        <f t="shared" si="1112"/>
        <v>4.152328935065644E-5</v>
      </c>
      <c r="LX32" s="338">
        <f t="shared" si="1112"/>
        <v>4.152328935065644E-5</v>
      </c>
      <c r="LY32" s="338">
        <f t="shared" si="1112"/>
        <v>3.7568690364879633E-5</v>
      </c>
      <c r="LZ32" s="338">
        <f t="shared" si="1112"/>
        <v>3.7568690364879633E-5</v>
      </c>
      <c r="MA32" s="338">
        <f t="shared" si="1112"/>
        <v>0</v>
      </c>
      <c r="MB32" s="338">
        <f t="shared" si="1112"/>
        <v>0</v>
      </c>
      <c r="MC32" s="338">
        <f t="shared" si="1113"/>
        <v>7.012822201444199E-5</v>
      </c>
      <c r="MD32" s="338">
        <f t="shared" si="1114"/>
        <v>7.012822201444199E-5</v>
      </c>
      <c r="ME32" s="338">
        <f t="shared" si="1115"/>
        <v>3.7568690364879633E-5</v>
      </c>
      <c r="MF32" s="338">
        <f t="shared" si="1116"/>
        <v>3.7568690364879633E-5</v>
      </c>
      <c r="MI32" s="342" t="s">
        <v>365</v>
      </c>
      <c r="MJ32" s="338">
        <f t="shared" si="1117"/>
        <v>3.1705275470259816E-3</v>
      </c>
      <c r="MK32" s="338">
        <f t="shared" si="1117"/>
        <v>3.1705275470259816E-3</v>
      </c>
      <c r="ML32" s="338">
        <f t="shared" si="1117"/>
        <v>4.2410952901776123E-3</v>
      </c>
      <c r="MM32" s="338">
        <f t="shared" si="1117"/>
        <v>4.2410952901776123E-3</v>
      </c>
      <c r="MN32" s="338">
        <f t="shared" si="1117"/>
        <v>4.1337257891604562E-3</v>
      </c>
      <c r="MO32" s="338">
        <f t="shared" si="1117"/>
        <v>4.1337257891604562E-3</v>
      </c>
      <c r="MP32" s="338">
        <f t="shared" si="1117"/>
        <v>3.4375193404597485E-3</v>
      </c>
      <c r="MQ32" s="338">
        <f t="shared" si="1117"/>
        <v>3.4375193404597485E-3</v>
      </c>
      <c r="MR32" s="338">
        <f t="shared" si="1117"/>
        <v>3.1101365461302486E-3</v>
      </c>
      <c r="MS32" s="338">
        <f t="shared" si="1117"/>
        <v>3.1101365461302486E-3</v>
      </c>
      <c r="MT32" s="338">
        <f t="shared" si="1117"/>
        <v>0</v>
      </c>
      <c r="MU32" s="338">
        <f t="shared" si="1117"/>
        <v>0</v>
      </c>
      <c r="MV32" s="338">
        <f t="shared" si="1118"/>
        <v>5.8055882194431307E-3</v>
      </c>
      <c r="MW32" s="338">
        <f t="shared" si="1119"/>
        <v>5.8055882194431307E-3</v>
      </c>
      <c r="MX32" s="338">
        <f t="shared" si="1120"/>
        <v>3.1101365461302486E-3</v>
      </c>
      <c r="MY32" s="338">
        <f t="shared" si="1121"/>
        <v>3.1101365461302486E-3</v>
      </c>
      <c r="NB32" s="342" t="s">
        <v>365</v>
      </c>
      <c r="NC32" s="338">
        <f t="shared" si="1122"/>
        <v>2.787864409072215E-3</v>
      </c>
      <c r="ND32" s="338">
        <f t="shared" si="1122"/>
        <v>2.787864409072215E-3</v>
      </c>
      <c r="NE32" s="338">
        <f t="shared" si="1122"/>
        <v>3.729221222525171E-3</v>
      </c>
      <c r="NF32" s="338">
        <f t="shared" si="1122"/>
        <v>3.729221222525171E-3</v>
      </c>
      <c r="NG32" s="338">
        <f t="shared" si="1122"/>
        <v>3.6348105586637733E-3</v>
      </c>
      <c r="NH32" s="338">
        <f t="shared" si="1122"/>
        <v>3.6348105586637733E-3</v>
      </c>
      <c r="NI32" s="338">
        <f t="shared" si="1122"/>
        <v>3.0226319382572436E-3</v>
      </c>
      <c r="NJ32" s="338">
        <f t="shared" si="1122"/>
        <v>3.0226319382572436E-3</v>
      </c>
      <c r="NK32" s="338">
        <f t="shared" si="1122"/>
        <v>2.7347622298517916E-3</v>
      </c>
      <c r="NL32" s="338">
        <f t="shared" si="1122"/>
        <v>2.7347622298517916E-3</v>
      </c>
      <c r="NM32" s="338">
        <f t="shared" si="1122"/>
        <v>0</v>
      </c>
      <c r="NN32" s="338">
        <f t="shared" si="1122"/>
        <v>0</v>
      </c>
      <c r="NO32" s="338">
        <f t="shared" si="1123"/>
        <v>5.1048894957233448E-3</v>
      </c>
      <c r="NP32" s="338">
        <f t="shared" si="1124"/>
        <v>5.1048894957233448E-3</v>
      </c>
      <c r="NQ32" s="338">
        <f t="shared" si="1125"/>
        <v>2.7347622298517916E-3</v>
      </c>
      <c r="NR32" s="338">
        <f t="shared" si="1126"/>
        <v>2.7347622298517916E-3</v>
      </c>
    </row>
    <row r="33" spans="2:382" ht="14.25" customHeight="1" x14ac:dyDescent="0.25">
      <c r="B33" s="734"/>
      <c r="C33" s="149" t="s">
        <v>416</v>
      </c>
      <c r="D33" s="143">
        <f>'CAM Characteristics'!C85/1000</f>
        <v>7.9164283837401234E-2</v>
      </c>
      <c r="E33" s="119">
        <f>'CAM Characteristics'!C85/1000</f>
        <v>7.9164283837401234E-2</v>
      </c>
      <c r="F33" s="119">
        <f>'CAM Characteristics'!D85/1000</f>
        <v>0.10605309982810789</v>
      </c>
      <c r="G33" s="119">
        <f>'CAM Characteristics'!D85/1000</f>
        <v>0.10605309982810789</v>
      </c>
      <c r="H33" s="119">
        <f>'CAM Characteristics'!E85/1000</f>
        <v>0.10296772490037318</v>
      </c>
      <c r="I33" s="119">
        <f>'CAM Characteristics'!E85/1000</f>
        <v>0.10296772490037318</v>
      </c>
      <c r="J33" s="119">
        <f>'CAM Characteristics'!F85/1000</f>
        <v>8.5316352163390341E-2</v>
      </c>
      <c r="K33" s="119">
        <f>'CAM Characteristics'!F85/1000</f>
        <v>8.5316352163390341E-2</v>
      </c>
      <c r="L33" s="119">
        <f>'CAM Characteristics'!G85/1000</f>
        <v>7.7051757934342116E-2</v>
      </c>
      <c r="M33" s="119">
        <f>'CAM Characteristics'!G85/1000</f>
        <v>7.7051757934342116E-2</v>
      </c>
      <c r="N33" s="143"/>
      <c r="O33" s="127"/>
      <c r="P33" s="119">
        <f>'CAM Characteristics'!I85/1000</f>
        <v>0.12538635535454254</v>
      </c>
      <c r="Q33" s="143">
        <f>'CAM Characteristics'!I85/1000</f>
        <v>0.12538635535454254</v>
      </c>
      <c r="R33" s="119">
        <f>'CAM Characteristics'!J85/1000</f>
        <v>7.7051757934342116E-2</v>
      </c>
      <c r="S33" s="119">
        <f>'CAM Characteristics'!J85/1000</f>
        <v>7.7051757934342116E-2</v>
      </c>
      <c r="T33" s="318"/>
      <c r="U33" s="119"/>
      <c r="V33" s="149" t="s">
        <v>416</v>
      </c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328"/>
      <c r="AH33" s="328"/>
      <c r="AI33" s="328"/>
      <c r="AJ33" s="328"/>
      <c r="AK33" s="328"/>
      <c r="AL33" s="328"/>
      <c r="AM33" s="328"/>
      <c r="AN33" s="328"/>
      <c r="AO33" s="119"/>
      <c r="AP33" s="8"/>
      <c r="AQ33" s="149" t="s">
        <v>416</v>
      </c>
      <c r="AR33" s="49"/>
      <c r="AS33" s="50"/>
      <c r="AT33" s="49"/>
      <c r="AU33" s="50"/>
      <c r="AV33" s="49"/>
      <c r="AW33" s="50"/>
      <c r="AX33" s="49"/>
      <c r="AY33" s="50"/>
      <c r="AZ33" s="49"/>
      <c r="BA33" s="50"/>
      <c r="BB33" s="49"/>
      <c r="BC33" s="50"/>
      <c r="BD33" s="49"/>
      <c r="BE33" s="50"/>
      <c r="BF33" s="49"/>
      <c r="BG33" s="50"/>
      <c r="BI33" s="156"/>
      <c r="BJ33" s="149" t="s">
        <v>416</v>
      </c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156"/>
      <c r="CB33" s="156"/>
      <c r="CC33" s="149" t="s">
        <v>416</v>
      </c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220"/>
      <c r="CP33" s="49"/>
      <c r="CQ33" s="49"/>
      <c r="CR33" s="49"/>
      <c r="CS33" s="220"/>
      <c r="CV33" s="149" t="s">
        <v>416</v>
      </c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O33" s="149" t="s">
        <v>416</v>
      </c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H33" s="149" t="s">
        <v>416</v>
      </c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FA33" s="149" t="s">
        <v>416</v>
      </c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/>
      <c r="FN33" s="53"/>
      <c r="FO33" s="53"/>
      <c r="FP33" s="53"/>
      <c r="FQ33" s="53"/>
      <c r="FT33" s="149" t="s">
        <v>416</v>
      </c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M33" s="149" t="s">
        <v>416</v>
      </c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F33" s="149" t="s">
        <v>416</v>
      </c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Y33" s="342" t="s">
        <v>543</v>
      </c>
      <c r="HZ33" s="338"/>
      <c r="IA33" s="338"/>
      <c r="IB33" s="338"/>
      <c r="IC33" s="338"/>
      <c r="ID33" s="338"/>
      <c r="IE33" s="338"/>
      <c r="IF33" s="338"/>
      <c r="IG33" s="338"/>
      <c r="IH33" s="338"/>
      <c r="II33" s="338"/>
      <c r="IJ33" s="338"/>
      <c r="IK33" s="338"/>
      <c r="IL33" s="338"/>
      <c r="IM33" s="338"/>
      <c r="IN33" s="338"/>
      <c r="IO33" s="338"/>
      <c r="IR33" s="342" t="s">
        <v>543</v>
      </c>
      <c r="IS33" s="338"/>
      <c r="IT33" s="338"/>
      <c r="IU33" s="338"/>
      <c r="IV33" s="338"/>
      <c r="IW33" s="338"/>
      <c r="IX33" s="338"/>
      <c r="IY33" s="338"/>
      <c r="IZ33" s="338"/>
      <c r="JA33" s="338"/>
      <c r="JB33" s="338"/>
      <c r="JC33" s="338"/>
      <c r="JD33" s="338"/>
      <c r="JE33" s="338"/>
      <c r="JF33" s="338"/>
      <c r="JG33" s="338"/>
      <c r="JH33" s="338"/>
      <c r="JK33" s="342" t="s">
        <v>543</v>
      </c>
      <c r="JL33" s="338"/>
      <c r="JM33" s="338"/>
      <c r="JN33" s="338"/>
      <c r="JO33" s="338"/>
      <c r="JP33" s="338"/>
      <c r="JQ33" s="338"/>
      <c r="JR33" s="338"/>
      <c r="JS33" s="338"/>
      <c r="JT33" s="338"/>
      <c r="JU33" s="338"/>
      <c r="JV33" s="338"/>
      <c r="JW33" s="338"/>
      <c r="JX33" s="338"/>
      <c r="JY33" s="338"/>
      <c r="JZ33" s="338"/>
      <c r="KA33" s="338"/>
      <c r="KD33" s="342" t="s">
        <v>543</v>
      </c>
      <c r="KE33" s="338"/>
      <c r="KF33" s="338"/>
      <c r="KG33" s="338"/>
      <c r="KH33" s="338"/>
      <c r="KI33" s="338"/>
      <c r="KJ33" s="338"/>
      <c r="KK33" s="338"/>
      <c r="KL33" s="338"/>
      <c r="KM33" s="338"/>
      <c r="KN33" s="338"/>
      <c r="KO33" s="338"/>
      <c r="KP33" s="338"/>
      <c r="KQ33" s="338"/>
      <c r="KR33" s="338"/>
      <c r="KS33" s="338"/>
      <c r="KT33" s="338"/>
      <c r="KW33" s="342" t="s">
        <v>543</v>
      </c>
      <c r="KX33" s="338"/>
      <c r="KY33" s="338"/>
      <c r="KZ33" s="338"/>
      <c r="LA33" s="338"/>
      <c r="LB33" s="338"/>
      <c r="LC33" s="338"/>
      <c r="LD33" s="338"/>
      <c r="LE33" s="338"/>
      <c r="LF33" s="338"/>
      <c r="LG33" s="338"/>
      <c r="LH33" s="338"/>
      <c r="LI33" s="338"/>
      <c r="LJ33" s="338"/>
      <c r="LK33" s="338"/>
      <c r="LL33" s="338"/>
      <c r="LM33" s="338"/>
      <c r="LP33" s="342" t="s">
        <v>543</v>
      </c>
      <c r="LQ33" s="338"/>
      <c r="LR33" s="338"/>
      <c r="LS33" s="338"/>
      <c r="LT33" s="338"/>
      <c r="LU33" s="338"/>
      <c r="LV33" s="338"/>
      <c r="LW33" s="338"/>
      <c r="LX33" s="338"/>
      <c r="LY33" s="338"/>
      <c r="LZ33" s="338"/>
      <c r="MA33" s="338"/>
      <c r="MB33" s="338"/>
      <c r="MC33" s="338"/>
      <c r="MD33" s="338"/>
      <c r="ME33" s="338"/>
      <c r="MF33" s="338"/>
      <c r="MI33" s="342" t="s">
        <v>543</v>
      </c>
      <c r="MJ33" s="338"/>
      <c r="MK33" s="338"/>
      <c r="ML33" s="338"/>
      <c r="MM33" s="338"/>
      <c r="MN33" s="338"/>
      <c r="MO33" s="338"/>
      <c r="MP33" s="338"/>
      <c r="MQ33" s="338"/>
      <c r="MR33" s="338"/>
      <c r="MS33" s="338"/>
      <c r="MT33" s="338"/>
      <c r="MU33" s="338"/>
      <c r="MV33" s="338"/>
      <c r="MW33" s="338"/>
      <c r="MX33" s="338"/>
      <c r="MY33" s="338"/>
      <c r="NB33" s="342" t="s">
        <v>543</v>
      </c>
      <c r="NC33" s="338"/>
      <c r="ND33" s="338"/>
      <c r="NE33" s="338"/>
      <c r="NF33" s="338"/>
      <c r="NG33" s="338"/>
      <c r="NH33" s="338"/>
      <c r="NI33" s="338"/>
      <c r="NJ33" s="338"/>
      <c r="NK33" s="338"/>
      <c r="NL33" s="338"/>
      <c r="NM33" s="338"/>
      <c r="NN33" s="338"/>
      <c r="NO33" s="338"/>
      <c r="NP33" s="338"/>
      <c r="NQ33" s="338"/>
      <c r="NR33" s="338"/>
    </row>
    <row r="34" spans="2:382" ht="14.25" customHeight="1" x14ac:dyDescent="0.25">
      <c r="B34" s="734"/>
      <c r="C34" s="149" t="s">
        <v>425</v>
      </c>
      <c r="D34" s="119">
        <f>'CAM Characteristics'!C82/1000</f>
        <v>2.0103936681825325</v>
      </c>
      <c r="E34" s="119">
        <f>'CAM Characteristics'!C82/1000</f>
        <v>2.0103936681825325</v>
      </c>
      <c r="F34" s="119">
        <f>'CAM Characteristics'!D82/1000</f>
        <v>2.6534392274027638</v>
      </c>
      <c r="G34" s="119">
        <f>'CAM Characteristics'!D82/1000</f>
        <v>2.6534392274027638</v>
      </c>
      <c r="H34" s="119">
        <f>'CAM Characteristics'!E82/1000</f>
        <v>2.5762434181547023</v>
      </c>
      <c r="I34" s="119">
        <f>'CAM Characteristics'!E82/1000</f>
        <v>2.5762434181547023</v>
      </c>
      <c r="J34" s="119">
        <f>'CAM Characteristics'!F82/1000</f>
        <v>2.1346076252006854</v>
      </c>
      <c r="K34" s="119">
        <f>'CAM Characteristics'!F82/1000</f>
        <v>2.1346076252006854</v>
      </c>
      <c r="L34" s="119">
        <f>'CAM Characteristics'!G82/1000</f>
        <v>1.9278282046890098</v>
      </c>
      <c r="M34" s="119">
        <f>'CAM Characteristics'!G82/1000</f>
        <v>1.9278282046890098</v>
      </c>
      <c r="N34" s="143"/>
      <c r="O34" s="127"/>
      <c r="P34" s="119">
        <f>'CAM Characteristics'!I82/1000</f>
        <v>3.137155579780865</v>
      </c>
      <c r="Q34" s="143">
        <f>'CAM Characteristics'!I82/1000</f>
        <v>3.137155579780865</v>
      </c>
      <c r="R34" s="119">
        <f>'CAM Characteristics'!J82/1000</f>
        <v>1.9278282046890098</v>
      </c>
      <c r="S34" s="119">
        <f>'CAM Characteristics'!J82/1000</f>
        <v>1.9278282046890098</v>
      </c>
      <c r="T34" s="318"/>
      <c r="U34" s="119"/>
      <c r="V34" s="149" t="s">
        <v>425</v>
      </c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328"/>
      <c r="AH34" s="328"/>
      <c r="AI34" s="328"/>
      <c r="AJ34" s="328"/>
      <c r="AK34" s="328"/>
      <c r="AL34" s="328"/>
      <c r="AM34" s="328"/>
      <c r="AN34" s="328"/>
      <c r="AO34" s="119"/>
      <c r="AP34" s="8"/>
      <c r="AQ34" s="149" t="s">
        <v>425</v>
      </c>
      <c r="AR34" s="49"/>
      <c r="AS34" s="50"/>
      <c r="AT34" s="49"/>
      <c r="AU34" s="50"/>
      <c r="AV34" s="49"/>
      <c r="AW34" s="50"/>
      <c r="AX34" s="49"/>
      <c r="AY34" s="50"/>
      <c r="AZ34" s="49"/>
      <c r="BA34" s="50"/>
      <c r="BB34" s="49"/>
      <c r="BC34" s="50"/>
      <c r="BD34" s="49"/>
      <c r="BE34" s="50"/>
      <c r="BF34" s="49"/>
      <c r="BG34" s="50"/>
      <c r="BI34" s="156"/>
      <c r="BJ34" s="149" t="s">
        <v>425</v>
      </c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156"/>
      <c r="CB34" s="156"/>
      <c r="CC34" s="149" t="s">
        <v>425</v>
      </c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220"/>
      <c r="CP34" s="49"/>
      <c r="CQ34" s="49"/>
      <c r="CR34" s="49"/>
      <c r="CS34" s="220"/>
      <c r="CV34" s="149" t="s">
        <v>425</v>
      </c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O34" s="149" t="s">
        <v>425</v>
      </c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H34" s="149" t="s">
        <v>425</v>
      </c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FA34" s="149" t="s">
        <v>425</v>
      </c>
      <c r="FB34" s="53"/>
      <c r="FC34" s="53"/>
      <c r="FD34" s="53"/>
      <c r="FE34" s="53"/>
      <c r="FF34" s="53"/>
      <c r="FG34" s="53"/>
      <c r="FH34" s="53"/>
      <c r="FI34" s="53"/>
      <c r="FJ34" s="53"/>
      <c r="FK34" s="53"/>
      <c r="FL34" s="53"/>
      <c r="FM34" s="53"/>
      <c r="FN34" s="53"/>
      <c r="FO34" s="53"/>
      <c r="FP34" s="53"/>
      <c r="FQ34" s="53"/>
      <c r="FT34" s="149" t="s">
        <v>425</v>
      </c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M34" s="149" t="s">
        <v>425</v>
      </c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F34" s="149" t="s">
        <v>425</v>
      </c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Y34" s="342" t="s">
        <v>544</v>
      </c>
      <c r="HZ34" s="338"/>
      <c r="IA34" s="338"/>
      <c r="IB34" s="338"/>
      <c r="IC34" s="338"/>
      <c r="ID34" s="338"/>
      <c r="IE34" s="338"/>
      <c r="IF34" s="338"/>
      <c r="IG34" s="338"/>
      <c r="IH34" s="338"/>
      <c r="II34" s="338"/>
      <c r="IJ34" s="338"/>
      <c r="IK34" s="338"/>
      <c r="IL34" s="338"/>
      <c r="IM34" s="338"/>
      <c r="IN34" s="338"/>
      <c r="IO34" s="338"/>
      <c r="IR34" s="342" t="s">
        <v>544</v>
      </c>
      <c r="IS34" s="338"/>
      <c r="IT34" s="338"/>
      <c r="IU34" s="338"/>
      <c r="IV34" s="338"/>
      <c r="IW34" s="338"/>
      <c r="IX34" s="338"/>
      <c r="IY34" s="338"/>
      <c r="IZ34" s="338"/>
      <c r="JA34" s="338"/>
      <c r="JB34" s="338"/>
      <c r="JC34" s="338"/>
      <c r="JD34" s="338"/>
      <c r="JE34" s="338"/>
      <c r="JF34" s="338"/>
      <c r="JG34" s="338"/>
      <c r="JH34" s="338"/>
      <c r="JK34" s="342" t="s">
        <v>544</v>
      </c>
      <c r="JL34" s="338"/>
      <c r="JM34" s="338"/>
      <c r="JN34" s="338"/>
      <c r="JO34" s="338"/>
      <c r="JP34" s="338"/>
      <c r="JQ34" s="338"/>
      <c r="JR34" s="338"/>
      <c r="JS34" s="338"/>
      <c r="JT34" s="338"/>
      <c r="JU34" s="338"/>
      <c r="JV34" s="338"/>
      <c r="JW34" s="338"/>
      <c r="JX34" s="338"/>
      <c r="JY34" s="338"/>
      <c r="JZ34" s="338"/>
      <c r="KA34" s="338"/>
      <c r="KD34" s="342" t="s">
        <v>544</v>
      </c>
      <c r="KE34" s="338"/>
      <c r="KF34" s="338"/>
      <c r="KG34" s="338"/>
      <c r="KH34" s="338"/>
      <c r="KI34" s="338"/>
      <c r="KJ34" s="338"/>
      <c r="KK34" s="338"/>
      <c r="KL34" s="338"/>
      <c r="KM34" s="338"/>
      <c r="KN34" s="338"/>
      <c r="KO34" s="338"/>
      <c r="KP34" s="338"/>
      <c r="KQ34" s="338"/>
      <c r="KR34" s="338"/>
      <c r="KS34" s="338"/>
      <c r="KT34" s="338"/>
      <c r="KW34" s="342" t="s">
        <v>544</v>
      </c>
      <c r="KX34" s="338"/>
      <c r="KY34" s="338"/>
      <c r="KZ34" s="338"/>
      <c r="LA34" s="338"/>
      <c r="LB34" s="338"/>
      <c r="LC34" s="338"/>
      <c r="LD34" s="338"/>
      <c r="LE34" s="338"/>
      <c r="LF34" s="338"/>
      <c r="LG34" s="338"/>
      <c r="LH34" s="338"/>
      <c r="LI34" s="338"/>
      <c r="LJ34" s="338"/>
      <c r="LK34" s="338"/>
      <c r="LL34" s="338"/>
      <c r="LM34" s="338"/>
      <c r="LP34" s="342" t="s">
        <v>544</v>
      </c>
      <c r="LQ34" s="338"/>
      <c r="LR34" s="338"/>
      <c r="LS34" s="338"/>
      <c r="LT34" s="338"/>
      <c r="LU34" s="338"/>
      <c r="LV34" s="338"/>
      <c r="LW34" s="338"/>
      <c r="LX34" s="338"/>
      <c r="LY34" s="338"/>
      <c r="LZ34" s="338"/>
      <c r="MA34" s="338"/>
      <c r="MB34" s="338"/>
      <c r="MC34" s="338"/>
      <c r="MD34" s="338"/>
      <c r="ME34" s="338"/>
      <c r="MF34" s="338"/>
      <c r="MI34" s="342" t="s">
        <v>544</v>
      </c>
      <c r="MJ34" s="338"/>
      <c r="MK34" s="338"/>
      <c r="ML34" s="338"/>
      <c r="MM34" s="338"/>
      <c r="MN34" s="338"/>
      <c r="MO34" s="338"/>
      <c r="MP34" s="338"/>
      <c r="MQ34" s="338"/>
      <c r="MR34" s="338"/>
      <c r="MS34" s="338"/>
      <c r="MT34" s="338"/>
      <c r="MU34" s="338"/>
      <c r="MV34" s="338"/>
      <c r="MW34" s="338"/>
      <c r="MX34" s="338"/>
      <c r="MY34" s="338"/>
      <c r="NB34" s="342" t="s">
        <v>544</v>
      </c>
      <c r="NC34" s="338"/>
      <c r="ND34" s="338"/>
      <c r="NE34" s="338"/>
      <c r="NF34" s="338"/>
      <c r="NG34" s="338"/>
      <c r="NH34" s="338"/>
      <c r="NI34" s="338"/>
      <c r="NJ34" s="338"/>
      <c r="NK34" s="338"/>
      <c r="NL34" s="338"/>
      <c r="NM34" s="338"/>
      <c r="NN34" s="338"/>
      <c r="NO34" s="338"/>
      <c r="NP34" s="338"/>
      <c r="NQ34" s="338"/>
      <c r="NR34" s="338"/>
    </row>
    <row r="35" spans="2:382" ht="14.25" customHeight="1" x14ac:dyDescent="0.25">
      <c r="B35" s="734"/>
      <c r="C35" s="404" t="s">
        <v>375</v>
      </c>
      <c r="D35" s="405">
        <f>'CAM Characteristics'!C88/1000</f>
        <v>8.3739633328681923E-2</v>
      </c>
      <c r="E35" s="406">
        <f>'CAM Characteristics'!C88/1000</f>
        <v>8.3739633328681923E-2</v>
      </c>
      <c r="F35" s="406">
        <f>'CAM Characteristics'!D88/1000</f>
        <v>0.11218250532293819</v>
      </c>
      <c r="G35" s="406">
        <f>'CAM Characteristics'!D88/1000</f>
        <v>0.11218250532293819</v>
      </c>
      <c r="H35" s="406">
        <f>'CAM Characteristics'!E88/1000</f>
        <v>0.10891880921396201</v>
      </c>
      <c r="I35" s="406">
        <f>'CAM Characteristics'!E88/1000</f>
        <v>0.10891880921396201</v>
      </c>
      <c r="J35" s="406">
        <f>'CAM Characteristics'!F88/1000</f>
        <v>9.0247264306427641E-2</v>
      </c>
      <c r="K35" s="406">
        <f>'CAM Characteristics'!F88/1000</f>
        <v>9.0247264306427641E-2</v>
      </c>
      <c r="L35" s="406">
        <f>'CAM Characteristics'!G88/1000</f>
        <v>8.1505012664609994E-2</v>
      </c>
      <c r="M35" s="406">
        <f>'CAM Characteristics'!G88/1000</f>
        <v>8.1505012664609994E-2</v>
      </c>
      <c r="N35" s="405"/>
      <c r="O35" s="406"/>
      <c r="P35" s="406">
        <f>'CAM Characteristics'!I88/1000</f>
        <v>0.1326331384917874</v>
      </c>
      <c r="Q35" s="405">
        <f>'CAM Characteristics'!I88/1000</f>
        <v>0.1326331384917874</v>
      </c>
      <c r="R35" s="406">
        <f>'CAM Characteristics'!J88/1000</f>
        <v>8.1505012664609994E-2</v>
      </c>
      <c r="S35" s="406">
        <f>'CAM Characteristics'!J88/1000</f>
        <v>8.1505012664609994E-2</v>
      </c>
      <c r="T35" s="318"/>
      <c r="U35" s="119"/>
      <c r="V35" s="404" t="s">
        <v>375</v>
      </c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328"/>
      <c r="AH35" s="328"/>
      <c r="AI35" s="328"/>
      <c r="AJ35" s="328"/>
      <c r="AK35" s="328"/>
      <c r="AL35" s="328"/>
      <c r="AM35" s="328"/>
      <c r="AN35" s="328"/>
      <c r="AO35" s="119"/>
      <c r="AP35" s="8"/>
      <c r="AQ35" s="404" t="s">
        <v>375</v>
      </c>
      <c r="AR35" s="49"/>
      <c r="AS35" s="50"/>
      <c r="AT35" s="49"/>
      <c r="AU35" s="50"/>
      <c r="AV35" s="49"/>
      <c r="AW35" s="50"/>
      <c r="AX35" s="49"/>
      <c r="AY35" s="50"/>
      <c r="AZ35" s="49"/>
      <c r="BA35" s="50"/>
      <c r="BB35" s="49"/>
      <c r="BC35" s="50"/>
      <c r="BD35" s="49"/>
      <c r="BE35" s="50"/>
      <c r="BF35" s="49"/>
      <c r="BG35" s="50"/>
      <c r="BI35" s="156"/>
      <c r="BJ35" s="404" t="s">
        <v>375</v>
      </c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56"/>
      <c r="CB35" s="156"/>
      <c r="CC35" s="404" t="s">
        <v>375</v>
      </c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220"/>
      <c r="CP35" s="49"/>
      <c r="CQ35" s="49"/>
      <c r="CR35" s="49"/>
      <c r="CS35" s="220"/>
      <c r="CV35" s="404" t="s">
        <v>375</v>
      </c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O35" s="404" t="s">
        <v>375</v>
      </c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H35" s="404" t="s">
        <v>375</v>
      </c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FA35" s="404" t="s">
        <v>375</v>
      </c>
      <c r="FB35" s="53"/>
      <c r="FC35" s="53"/>
      <c r="FD35" s="53"/>
      <c r="FE35" s="53"/>
      <c r="FF35" s="53"/>
      <c r="FG35" s="53"/>
      <c r="FH35" s="53"/>
      <c r="FI35" s="53"/>
      <c r="FJ35" s="53"/>
      <c r="FK35" s="53"/>
      <c r="FL35" s="53"/>
      <c r="FM35" s="53"/>
      <c r="FN35" s="53"/>
      <c r="FO35" s="53"/>
      <c r="FP35" s="53"/>
      <c r="FQ35" s="53"/>
      <c r="FT35" s="404" t="s">
        <v>375</v>
      </c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M35" s="404" t="s">
        <v>375</v>
      </c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F35" s="404" t="s">
        <v>375</v>
      </c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Y35" s="492" t="s">
        <v>538</v>
      </c>
      <c r="HZ35" s="338"/>
      <c r="IA35" s="338"/>
      <c r="IB35" s="338"/>
      <c r="IC35" s="338"/>
      <c r="ID35" s="338"/>
      <c r="IE35" s="338"/>
      <c r="IF35" s="338"/>
      <c r="IG35" s="338"/>
      <c r="IH35" s="338"/>
      <c r="II35" s="338"/>
      <c r="IJ35" s="338"/>
      <c r="IK35" s="338"/>
      <c r="IL35" s="338"/>
      <c r="IM35" s="338"/>
      <c r="IN35" s="338"/>
      <c r="IO35" s="338"/>
      <c r="IR35" s="492" t="s">
        <v>538</v>
      </c>
      <c r="IS35" s="338"/>
      <c r="IT35" s="338"/>
      <c r="IU35" s="338"/>
      <c r="IV35" s="338"/>
      <c r="IW35" s="338"/>
      <c r="IX35" s="338"/>
      <c r="IY35" s="338"/>
      <c r="IZ35" s="338"/>
      <c r="JA35" s="338"/>
      <c r="JB35" s="338"/>
      <c r="JC35" s="338"/>
      <c r="JD35" s="338"/>
      <c r="JE35" s="338"/>
      <c r="JF35" s="338"/>
      <c r="JG35" s="338"/>
      <c r="JH35" s="338"/>
      <c r="JK35" s="492" t="s">
        <v>538</v>
      </c>
      <c r="JL35" s="338"/>
      <c r="JM35" s="338"/>
      <c r="JN35" s="338"/>
      <c r="JO35" s="338"/>
      <c r="JP35" s="338"/>
      <c r="JQ35" s="338"/>
      <c r="JR35" s="338"/>
      <c r="JS35" s="338"/>
      <c r="JT35" s="338"/>
      <c r="JU35" s="338"/>
      <c r="JV35" s="338"/>
      <c r="JW35" s="338"/>
      <c r="JX35" s="338"/>
      <c r="JY35" s="338"/>
      <c r="JZ35" s="338"/>
      <c r="KA35" s="338"/>
      <c r="KD35" s="492" t="s">
        <v>538</v>
      </c>
      <c r="KE35" s="338"/>
      <c r="KF35" s="338"/>
      <c r="KG35" s="338"/>
      <c r="KH35" s="338"/>
      <c r="KI35" s="338"/>
      <c r="KJ35" s="338"/>
      <c r="KK35" s="338"/>
      <c r="KL35" s="338"/>
      <c r="KM35" s="338"/>
      <c r="KN35" s="338"/>
      <c r="KO35" s="338"/>
      <c r="KP35" s="338"/>
      <c r="KQ35" s="338"/>
      <c r="KR35" s="338"/>
      <c r="KS35" s="338"/>
      <c r="KT35" s="338"/>
      <c r="KW35" s="492" t="s">
        <v>538</v>
      </c>
      <c r="KX35" s="338"/>
      <c r="KY35" s="338"/>
      <c r="KZ35" s="338"/>
      <c r="LA35" s="338"/>
      <c r="LB35" s="338"/>
      <c r="LC35" s="338"/>
      <c r="LD35" s="338"/>
      <c r="LE35" s="338"/>
      <c r="LF35" s="338"/>
      <c r="LG35" s="338"/>
      <c r="LH35" s="338"/>
      <c r="LI35" s="338"/>
      <c r="LJ35" s="338"/>
      <c r="LK35" s="338"/>
      <c r="LL35" s="338"/>
      <c r="LM35" s="338"/>
      <c r="LP35" s="492" t="s">
        <v>538</v>
      </c>
      <c r="LQ35" s="338"/>
      <c r="LR35" s="338"/>
      <c r="LS35" s="338"/>
      <c r="LT35" s="338"/>
      <c r="LU35" s="338"/>
      <c r="LV35" s="338"/>
      <c r="LW35" s="338"/>
      <c r="LX35" s="338"/>
      <c r="LY35" s="338"/>
      <c r="LZ35" s="338"/>
      <c r="MA35" s="338"/>
      <c r="MB35" s="338"/>
      <c r="MC35" s="338"/>
      <c r="MD35" s="338"/>
      <c r="ME35" s="338"/>
      <c r="MF35" s="338"/>
      <c r="MI35" s="492" t="s">
        <v>538</v>
      </c>
      <c r="MJ35" s="338"/>
      <c r="MK35" s="338"/>
      <c r="ML35" s="338"/>
      <c r="MM35" s="338"/>
      <c r="MN35" s="338"/>
      <c r="MO35" s="338"/>
      <c r="MP35" s="338"/>
      <c r="MQ35" s="338"/>
      <c r="MR35" s="338"/>
      <c r="MS35" s="338"/>
      <c r="MT35" s="338"/>
      <c r="MU35" s="338"/>
      <c r="MV35" s="338"/>
      <c r="MW35" s="338"/>
      <c r="MX35" s="338"/>
      <c r="MY35" s="338"/>
      <c r="NB35" s="492" t="s">
        <v>538</v>
      </c>
      <c r="NC35" s="338"/>
      <c r="ND35" s="338"/>
      <c r="NE35" s="338"/>
      <c r="NF35" s="338"/>
      <c r="NG35" s="338"/>
      <c r="NH35" s="338"/>
      <c r="NI35" s="338"/>
      <c r="NJ35" s="338"/>
      <c r="NK35" s="338"/>
      <c r="NL35" s="338"/>
      <c r="NM35" s="338"/>
      <c r="NN35" s="338"/>
      <c r="NO35" s="338"/>
      <c r="NP35" s="338"/>
      <c r="NQ35" s="338"/>
      <c r="NR35" s="338"/>
    </row>
    <row r="36" spans="2:382" ht="12.75" customHeight="1" x14ac:dyDescent="0.2">
      <c r="B36" s="734"/>
      <c r="C36" s="147" t="s">
        <v>576</v>
      </c>
      <c r="D36" s="142"/>
      <c r="E36" s="125"/>
      <c r="F36" s="142"/>
      <c r="G36" s="125"/>
      <c r="H36" s="142"/>
      <c r="I36" s="125"/>
      <c r="J36" s="142"/>
      <c r="K36" s="125"/>
      <c r="L36" s="142"/>
      <c r="M36" s="125"/>
      <c r="N36" s="142">
        <f>'CAM Characteristics'!H22</f>
        <v>1.953125</v>
      </c>
      <c r="O36" s="125">
        <f>'CAM Characteristics'!H22</f>
        <v>1.953125</v>
      </c>
      <c r="P36" s="142"/>
      <c r="Q36" s="142"/>
      <c r="R36" s="142"/>
      <c r="S36" s="142"/>
      <c r="T36" s="318"/>
      <c r="U36" s="119"/>
      <c r="V36" s="147" t="s">
        <v>576</v>
      </c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328"/>
      <c r="AH36" s="328"/>
      <c r="AI36" s="328"/>
      <c r="AJ36" s="328"/>
      <c r="AK36" s="328"/>
      <c r="AL36" s="328"/>
      <c r="AM36" s="328"/>
      <c r="AN36" s="328"/>
      <c r="AO36" s="119"/>
      <c r="AP36" s="8"/>
      <c r="AQ36" s="147" t="s">
        <v>576</v>
      </c>
      <c r="AR36" s="56">
        <f>SUM(AR38:AR44)</f>
        <v>0</v>
      </c>
      <c r="AS36" s="57">
        <f t="shared" ref="AS36" si="1127">SUM(AS38:AS44)</f>
        <v>0</v>
      </c>
      <c r="AT36" s="56">
        <f t="shared" ref="AT36:BA36" si="1128">SUM(AT38:AT44)</f>
        <v>0</v>
      </c>
      <c r="AU36" s="57">
        <f t="shared" si="1128"/>
        <v>0</v>
      </c>
      <c r="AV36" s="56">
        <f t="shared" si="1128"/>
        <v>0</v>
      </c>
      <c r="AW36" s="57">
        <f t="shared" si="1128"/>
        <v>0</v>
      </c>
      <c r="AX36" s="56">
        <f t="shared" si="1128"/>
        <v>0</v>
      </c>
      <c r="AY36" s="57">
        <f t="shared" si="1128"/>
        <v>0</v>
      </c>
      <c r="AZ36" s="56">
        <f t="shared" si="1128"/>
        <v>0</v>
      </c>
      <c r="BA36" s="57">
        <f t="shared" si="1128"/>
        <v>0</v>
      </c>
      <c r="BB36" s="56">
        <f>SUM(BB37:BB44)</f>
        <v>62.826876396286842</v>
      </c>
      <c r="BC36" s="57">
        <f>SUM(BC37:BC44)</f>
        <v>62.826876396286842</v>
      </c>
      <c r="BD36" s="56">
        <f t="shared" ref="BD36:BG36" si="1129">SUM(BD38:BD44)</f>
        <v>0</v>
      </c>
      <c r="BE36" s="57">
        <f t="shared" si="1129"/>
        <v>0</v>
      </c>
      <c r="BF36" s="56">
        <f t="shared" si="1129"/>
        <v>0</v>
      </c>
      <c r="BG36" s="57">
        <f t="shared" si="1129"/>
        <v>0</v>
      </c>
      <c r="BI36" s="156"/>
      <c r="BJ36" s="147" t="s">
        <v>576</v>
      </c>
      <c r="BK36" s="56">
        <f t="shared" ref="BK36:BT36" si="1130">SUM(BK38:BK45)</f>
        <v>0</v>
      </c>
      <c r="BL36" s="56">
        <f t="shared" si="1130"/>
        <v>0</v>
      </c>
      <c r="BM36" s="56">
        <f t="shared" si="1130"/>
        <v>0</v>
      </c>
      <c r="BN36" s="56">
        <f t="shared" si="1130"/>
        <v>0</v>
      </c>
      <c r="BO36" s="56">
        <f t="shared" si="1130"/>
        <v>0</v>
      </c>
      <c r="BP36" s="56">
        <f t="shared" si="1130"/>
        <v>0</v>
      </c>
      <c r="BQ36" s="56">
        <f t="shared" si="1130"/>
        <v>0</v>
      </c>
      <c r="BR36" s="56">
        <f t="shared" si="1130"/>
        <v>0</v>
      </c>
      <c r="BS36" s="56">
        <f t="shared" si="1130"/>
        <v>0</v>
      </c>
      <c r="BT36" s="56">
        <f t="shared" si="1130"/>
        <v>0</v>
      </c>
      <c r="BU36" s="57">
        <f>SUM(BU37:BU45)</f>
        <v>11.558223844508522</v>
      </c>
      <c r="BV36" s="57">
        <f>SUM(BV37:BV45)</f>
        <v>11.558223844508522</v>
      </c>
      <c r="BW36" s="56">
        <f t="shared" ref="BW36:BZ36" si="1131">SUM(BW38:BW45)</f>
        <v>0</v>
      </c>
      <c r="BX36" s="56">
        <f t="shared" si="1131"/>
        <v>0</v>
      </c>
      <c r="BY36" s="56">
        <f t="shared" si="1131"/>
        <v>0</v>
      </c>
      <c r="BZ36" s="56">
        <f t="shared" si="1131"/>
        <v>0</v>
      </c>
      <c r="CA36" s="156"/>
      <c r="CB36" s="156"/>
      <c r="CC36" s="147" t="s">
        <v>576</v>
      </c>
      <c r="CD36" s="56">
        <f t="shared" ref="CD36:CM36" si="1132">SUM(CD38:CD44)</f>
        <v>0</v>
      </c>
      <c r="CE36" s="56">
        <f t="shared" si="1132"/>
        <v>0</v>
      </c>
      <c r="CF36" s="56">
        <f t="shared" si="1132"/>
        <v>0</v>
      </c>
      <c r="CG36" s="56">
        <f t="shared" si="1132"/>
        <v>0</v>
      </c>
      <c r="CH36" s="56">
        <f t="shared" si="1132"/>
        <v>0</v>
      </c>
      <c r="CI36" s="56">
        <f t="shared" si="1132"/>
        <v>0</v>
      </c>
      <c r="CJ36" s="56">
        <f t="shared" si="1132"/>
        <v>0</v>
      </c>
      <c r="CK36" s="56">
        <f t="shared" si="1132"/>
        <v>0</v>
      </c>
      <c r="CL36" s="56">
        <f t="shared" si="1132"/>
        <v>0</v>
      </c>
      <c r="CM36" s="56">
        <f t="shared" si="1132"/>
        <v>0</v>
      </c>
      <c r="CN36" s="56">
        <f>SUM(CN37:CN44)</f>
        <v>109.96484752747207</v>
      </c>
      <c r="CO36" s="57">
        <f>SUM(CO37:CO44)</f>
        <v>109.96484752747207</v>
      </c>
      <c r="CP36" s="56">
        <f t="shared" ref="CP36:CS36" si="1133">SUM(CP38:CP44)</f>
        <v>0</v>
      </c>
      <c r="CQ36" s="56">
        <f t="shared" si="1133"/>
        <v>0</v>
      </c>
      <c r="CR36" s="56">
        <f t="shared" si="1133"/>
        <v>0</v>
      </c>
      <c r="CS36" s="221">
        <f t="shared" si="1133"/>
        <v>0</v>
      </c>
      <c r="CV36" s="147" t="s">
        <v>576</v>
      </c>
      <c r="CW36" s="56">
        <f t="shared" ref="CW36:DF36" si="1134">SUM(CW38:CW44)</f>
        <v>0</v>
      </c>
      <c r="CX36" s="56">
        <f t="shared" si="1134"/>
        <v>0</v>
      </c>
      <c r="CY36" s="56">
        <f t="shared" si="1134"/>
        <v>0</v>
      </c>
      <c r="CZ36" s="56">
        <f t="shared" si="1134"/>
        <v>0</v>
      </c>
      <c r="DA36" s="56">
        <f t="shared" si="1134"/>
        <v>0</v>
      </c>
      <c r="DB36" s="56">
        <f t="shared" si="1134"/>
        <v>0</v>
      </c>
      <c r="DC36" s="56">
        <f t="shared" si="1134"/>
        <v>0</v>
      </c>
      <c r="DD36" s="56">
        <f t="shared" si="1134"/>
        <v>0</v>
      </c>
      <c r="DE36" s="56">
        <f t="shared" si="1134"/>
        <v>0</v>
      </c>
      <c r="DF36" s="56">
        <f t="shared" si="1134"/>
        <v>0</v>
      </c>
      <c r="DG36" s="56">
        <f>SUM(DG37:DG44)</f>
        <v>0.12253906811825861</v>
      </c>
      <c r="DH36" s="57">
        <f>SUM(DH37:DH44)</f>
        <v>0.12253906811825861</v>
      </c>
      <c r="DI36" s="56">
        <f t="shared" ref="DI36:DL36" si="1135">SUM(DI38:DI44)</f>
        <v>0</v>
      </c>
      <c r="DJ36" s="56">
        <f t="shared" si="1135"/>
        <v>0</v>
      </c>
      <c r="DK36" s="56">
        <f t="shared" si="1135"/>
        <v>0</v>
      </c>
      <c r="DL36" s="56">
        <f t="shared" si="1135"/>
        <v>0</v>
      </c>
      <c r="DO36" s="147" t="s">
        <v>576</v>
      </c>
      <c r="DP36" s="56">
        <f t="shared" ref="DP36:DY36" si="1136">SUM(DP38:DP44)</f>
        <v>0</v>
      </c>
      <c r="DQ36" s="56">
        <f t="shared" si="1136"/>
        <v>0</v>
      </c>
      <c r="DR36" s="56">
        <f t="shared" si="1136"/>
        <v>0</v>
      </c>
      <c r="DS36" s="56">
        <f t="shared" si="1136"/>
        <v>0</v>
      </c>
      <c r="DT36" s="56">
        <f t="shared" si="1136"/>
        <v>0</v>
      </c>
      <c r="DU36" s="56">
        <f t="shared" si="1136"/>
        <v>0</v>
      </c>
      <c r="DV36" s="56">
        <f t="shared" si="1136"/>
        <v>0</v>
      </c>
      <c r="DW36" s="56">
        <f t="shared" si="1136"/>
        <v>0</v>
      </c>
      <c r="DX36" s="56">
        <f t="shared" si="1136"/>
        <v>0</v>
      </c>
      <c r="DY36" s="56">
        <f t="shared" si="1136"/>
        <v>0</v>
      </c>
      <c r="DZ36" s="56">
        <f>SUM(DZ37:DZ44)</f>
        <v>12.453596672683295</v>
      </c>
      <c r="EA36" s="57">
        <f>SUM(EA37:EA44)</f>
        <v>12.453596672683295</v>
      </c>
      <c r="EB36" s="56">
        <f t="shared" ref="EB36:EE36" si="1137">SUM(EB38:EB44)</f>
        <v>0</v>
      </c>
      <c r="EC36" s="56">
        <f t="shared" si="1137"/>
        <v>0</v>
      </c>
      <c r="ED36" s="56">
        <f t="shared" si="1137"/>
        <v>0</v>
      </c>
      <c r="EE36" s="56">
        <f t="shared" si="1137"/>
        <v>0</v>
      </c>
      <c r="EH36" s="147" t="s">
        <v>576</v>
      </c>
      <c r="EI36" s="56">
        <f t="shared" ref="EI36:ER36" si="1138">SUM(EI38:EI44)</f>
        <v>0</v>
      </c>
      <c r="EJ36" s="56">
        <f t="shared" si="1138"/>
        <v>0</v>
      </c>
      <c r="EK36" s="56">
        <f t="shared" si="1138"/>
        <v>0</v>
      </c>
      <c r="EL36" s="56">
        <f t="shared" si="1138"/>
        <v>0</v>
      </c>
      <c r="EM36" s="56">
        <f t="shared" si="1138"/>
        <v>0</v>
      </c>
      <c r="EN36" s="56">
        <f t="shared" si="1138"/>
        <v>0</v>
      </c>
      <c r="EO36" s="56">
        <f t="shared" si="1138"/>
        <v>0</v>
      </c>
      <c r="EP36" s="56">
        <f t="shared" si="1138"/>
        <v>0</v>
      </c>
      <c r="EQ36" s="56">
        <f t="shared" si="1138"/>
        <v>0</v>
      </c>
      <c r="ER36" s="56">
        <f t="shared" si="1138"/>
        <v>0</v>
      </c>
      <c r="ES36" s="56">
        <f>SUM(ES37:ES44)</f>
        <v>0.2111858524158764</v>
      </c>
      <c r="ET36" s="57">
        <f>SUM(ET37:ET44)</f>
        <v>0.2111858524158764</v>
      </c>
      <c r="EU36" s="56">
        <f t="shared" ref="EU36:EX36" si="1139">SUM(EU38:EU44)</f>
        <v>0</v>
      </c>
      <c r="EV36" s="56">
        <f t="shared" si="1139"/>
        <v>0</v>
      </c>
      <c r="EW36" s="56">
        <f t="shared" si="1139"/>
        <v>0</v>
      </c>
      <c r="EX36" s="56">
        <f t="shared" si="1139"/>
        <v>0</v>
      </c>
      <c r="FA36" s="147" t="s">
        <v>576</v>
      </c>
      <c r="FB36" s="485">
        <f t="shared" ref="FB36:FK36" si="1140">SUM(FB38:FB44)</f>
        <v>0</v>
      </c>
      <c r="FC36" s="485">
        <f t="shared" si="1140"/>
        <v>0</v>
      </c>
      <c r="FD36" s="485">
        <f t="shared" si="1140"/>
        <v>0</v>
      </c>
      <c r="FE36" s="485">
        <f t="shared" si="1140"/>
        <v>0</v>
      </c>
      <c r="FF36" s="485">
        <f t="shared" si="1140"/>
        <v>0</v>
      </c>
      <c r="FG36" s="485">
        <f t="shared" si="1140"/>
        <v>0</v>
      </c>
      <c r="FH36" s="485">
        <f t="shared" si="1140"/>
        <v>0</v>
      </c>
      <c r="FI36" s="485">
        <f t="shared" si="1140"/>
        <v>0</v>
      </c>
      <c r="FJ36" s="485">
        <f t="shared" si="1140"/>
        <v>0</v>
      </c>
      <c r="FK36" s="485">
        <f t="shared" si="1140"/>
        <v>0</v>
      </c>
      <c r="FL36" s="485">
        <f>SUM(FL37:FL44)</f>
        <v>6.5725002905430915E-3</v>
      </c>
      <c r="FM36" s="485">
        <f>SUM(FM37:FM44)</f>
        <v>6.5725002905430915E-3</v>
      </c>
      <c r="FN36" s="485">
        <f t="shared" ref="FN36:FQ36" si="1141">SUM(FN38:FN44)</f>
        <v>0</v>
      </c>
      <c r="FO36" s="485">
        <f t="shared" si="1141"/>
        <v>0</v>
      </c>
      <c r="FP36" s="485">
        <f t="shared" si="1141"/>
        <v>0</v>
      </c>
      <c r="FQ36" s="485">
        <f t="shared" si="1141"/>
        <v>0</v>
      </c>
      <c r="FT36" s="147" t="s">
        <v>576</v>
      </c>
      <c r="FU36" s="56">
        <f t="shared" ref="FU36:GF36" si="1142">SUM(FU38:FU44)</f>
        <v>0</v>
      </c>
      <c r="FV36" s="56">
        <f t="shared" si="1142"/>
        <v>0</v>
      </c>
      <c r="FW36" s="56">
        <f t="shared" si="1142"/>
        <v>0</v>
      </c>
      <c r="FX36" s="56">
        <f t="shared" si="1142"/>
        <v>0</v>
      </c>
      <c r="FY36" s="56">
        <f t="shared" si="1142"/>
        <v>0</v>
      </c>
      <c r="FZ36" s="56">
        <f t="shared" si="1142"/>
        <v>0</v>
      </c>
      <c r="GA36" s="56">
        <f t="shared" si="1142"/>
        <v>0</v>
      </c>
      <c r="GB36" s="56">
        <f t="shared" si="1142"/>
        <v>0</v>
      </c>
      <c r="GC36" s="56">
        <f t="shared" si="1142"/>
        <v>0</v>
      </c>
      <c r="GD36" s="56">
        <f t="shared" si="1142"/>
        <v>0</v>
      </c>
      <c r="GE36" s="56">
        <f t="shared" si="1142"/>
        <v>0.38682316314398274</v>
      </c>
      <c r="GF36" s="56">
        <f t="shared" si="1142"/>
        <v>0.38682316314398274</v>
      </c>
      <c r="GG36" s="56">
        <f t="shared" ref="GG36:GJ36" si="1143">SUM(GG38:GG44)</f>
        <v>0</v>
      </c>
      <c r="GH36" s="56">
        <f t="shared" si="1143"/>
        <v>0</v>
      </c>
      <c r="GI36" s="56">
        <f t="shared" si="1143"/>
        <v>0</v>
      </c>
      <c r="GJ36" s="56">
        <f t="shared" si="1143"/>
        <v>0</v>
      </c>
      <c r="GM36" s="147" t="s">
        <v>576</v>
      </c>
      <c r="GN36" s="56">
        <f t="shared" ref="GN36:GW36" si="1144">SUM(GN38:GN44)</f>
        <v>0</v>
      </c>
      <c r="GO36" s="56">
        <f t="shared" si="1144"/>
        <v>0</v>
      </c>
      <c r="GP36" s="56">
        <f t="shared" si="1144"/>
        <v>0</v>
      </c>
      <c r="GQ36" s="56">
        <f t="shared" si="1144"/>
        <v>0</v>
      </c>
      <c r="GR36" s="56">
        <f t="shared" si="1144"/>
        <v>0</v>
      </c>
      <c r="GS36" s="56">
        <f t="shared" si="1144"/>
        <v>0</v>
      </c>
      <c r="GT36" s="56">
        <f t="shared" si="1144"/>
        <v>0</v>
      </c>
      <c r="GU36" s="56">
        <f t="shared" si="1144"/>
        <v>0</v>
      </c>
      <c r="GV36" s="56">
        <f t="shared" si="1144"/>
        <v>0</v>
      </c>
      <c r="GW36" s="56">
        <f t="shared" si="1144"/>
        <v>0</v>
      </c>
      <c r="GX36" s="56">
        <f>SUM(GX37:GX44)</f>
        <v>2.0607437335247685</v>
      </c>
      <c r="GY36" s="57">
        <f>SUM(GY37:GY44)</f>
        <v>2.0607437335247685</v>
      </c>
      <c r="GZ36" s="56">
        <f t="shared" ref="GZ36:HC36" si="1145">SUM(GZ38:GZ44)</f>
        <v>0</v>
      </c>
      <c r="HA36" s="56">
        <f t="shared" si="1145"/>
        <v>0</v>
      </c>
      <c r="HB36" s="56">
        <f t="shared" si="1145"/>
        <v>0</v>
      </c>
      <c r="HC36" s="56">
        <f t="shared" si="1145"/>
        <v>0</v>
      </c>
      <c r="HF36" s="147" t="s">
        <v>576</v>
      </c>
      <c r="HG36" s="56">
        <f t="shared" ref="HG36:HP36" si="1146">SUM(HG38:HG44)</f>
        <v>0</v>
      </c>
      <c r="HH36" s="56">
        <f t="shared" si="1146"/>
        <v>0</v>
      </c>
      <c r="HI36" s="56">
        <f t="shared" si="1146"/>
        <v>0</v>
      </c>
      <c r="HJ36" s="56">
        <f t="shared" si="1146"/>
        <v>0</v>
      </c>
      <c r="HK36" s="56">
        <f t="shared" si="1146"/>
        <v>0</v>
      </c>
      <c r="HL36" s="56">
        <f t="shared" si="1146"/>
        <v>0</v>
      </c>
      <c r="HM36" s="56">
        <f t="shared" si="1146"/>
        <v>0</v>
      </c>
      <c r="HN36" s="56">
        <f t="shared" si="1146"/>
        <v>0</v>
      </c>
      <c r="HO36" s="56">
        <f t="shared" si="1146"/>
        <v>0</v>
      </c>
      <c r="HP36" s="56">
        <f t="shared" si="1146"/>
        <v>0</v>
      </c>
      <c r="HQ36" s="56">
        <f>SUM(HQ37:HQ44)</f>
        <v>17.034225682481178</v>
      </c>
      <c r="HR36" s="57">
        <f>SUM(HR37:HR44)</f>
        <v>17.034225682481178</v>
      </c>
      <c r="HS36" s="56">
        <f t="shared" ref="HS36:HV36" si="1147">SUM(HS38:HS44)</f>
        <v>0</v>
      </c>
      <c r="HT36" s="56">
        <f t="shared" si="1147"/>
        <v>0</v>
      </c>
      <c r="HU36" s="56">
        <f t="shared" si="1147"/>
        <v>0</v>
      </c>
      <c r="HV36" s="56">
        <f t="shared" si="1147"/>
        <v>0</v>
      </c>
      <c r="HY36" s="339" t="s">
        <v>576</v>
      </c>
      <c r="HZ36" s="340">
        <f t="shared" ref="HZ36:II36" si="1148">SUM(HZ38:HZ44)</f>
        <v>0</v>
      </c>
      <c r="IA36" s="340">
        <f t="shared" si="1148"/>
        <v>0</v>
      </c>
      <c r="IB36" s="340">
        <f t="shared" si="1148"/>
        <v>0</v>
      </c>
      <c r="IC36" s="340">
        <f t="shared" si="1148"/>
        <v>0</v>
      </c>
      <c r="ID36" s="340">
        <f t="shared" si="1148"/>
        <v>0</v>
      </c>
      <c r="IE36" s="340">
        <f t="shared" si="1148"/>
        <v>0</v>
      </c>
      <c r="IF36" s="340">
        <f t="shared" si="1148"/>
        <v>0</v>
      </c>
      <c r="IG36" s="340">
        <f t="shared" si="1148"/>
        <v>0</v>
      </c>
      <c r="IH36" s="340">
        <f t="shared" si="1148"/>
        <v>0</v>
      </c>
      <c r="II36" s="340">
        <f t="shared" si="1148"/>
        <v>0</v>
      </c>
      <c r="IJ36" s="56">
        <f>SUM(IJ37:IJ44)</f>
        <v>4.0499522216996424E-2</v>
      </c>
      <c r="IK36" s="57">
        <f>SUM(IK37:IK44)</f>
        <v>4.0499522216996424E-2</v>
      </c>
      <c r="IL36" s="340">
        <f t="shared" ref="IL36:IO36" si="1149">SUM(IL38:IL44)</f>
        <v>0</v>
      </c>
      <c r="IM36" s="340">
        <f t="shared" si="1149"/>
        <v>0</v>
      </c>
      <c r="IN36" s="340">
        <f t="shared" si="1149"/>
        <v>0</v>
      </c>
      <c r="IO36" s="340">
        <f t="shared" si="1149"/>
        <v>0</v>
      </c>
      <c r="IR36" s="339" t="s">
        <v>576</v>
      </c>
      <c r="IS36" s="340">
        <f t="shared" ref="IS36:JB36" si="1150">SUM(IS38:IS44)</f>
        <v>0</v>
      </c>
      <c r="IT36" s="340">
        <f t="shared" si="1150"/>
        <v>0</v>
      </c>
      <c r="IU36" s="340">
        <f t="shared" si="1150"/>
        <v>0</v>
      </c>
      <c r="IV36" s="340">
        <f t="shared" si="1150"/>
        <v>0</v>
      </c>
      <c r="IW36" s="340">
        <f t="shared" si="1150"/>
        <v>0</v>
      </c>
      <c r="IX36" s="340">
        <f t="shared" si="1150"/>
        <v>0</v>
      </c>
      <c r="IY36" s="340">
        <f t="shared" si="1150"/>
        <v>0</v>
      </c>
      <c r="IZ36" s="340">
        <f t="shared" si="1150"/>
        <v>0</v>
      </c>
      <c r="JA36" s="340">
        <f t="shared" si="1150"/>
        <v>0</v>
      </c>
      <c r="JB36" s="340">
        <f t="shared" si="1150"/>
        <v>0</v>
      </c>
      <c r="JC36" s="56">
        <f>SUM(JC37:JC44)</f>
        <v>3.0806703115266796</v>
      </c>
      <c r="JD36" s="57">
        <f>SUM(JD37:JD44)</f>
        <v>3.0806703115266796</v>
      </c>
      <c r="JE36" s="340">
        <f t="shared" ref="JE36:JH36" si="1151">SUM(JE38:JE44)</f>
        <v>0</v>
      </c>
      <c r="JF36" s="340">
        <f t="shared" si="1151"/>
        <v>0</v>
      </c>
      <c r="JG36" s="340">
        <f t="shared" si="1151"/>
        <v>0</v>
      </c>
      <c r="JH36" s="340">
        <f t="shared" si="1151"/>
        <v>0</v>
      </c>
      <c r="JK36" s="339" t="s">
        <v>576</v>
      </c>
      <c r="JL36" s="340">
        <f t="shared" ref="JL36:JU36" si="1152">SUM(JL38:JL44)</f>
        <v>0</v>
      </c>
      <c r="JM36" s="340">
        <f t="shared" si="1152"/>
        <v>0</v>
      </c>
      <c r="JN36" s="340">
        <f t="shared" si="1152"/>
        <v>0</v>
      </c>
      <c r="JO36" s="340">
        <f t="shared" si="1152"/>
        <v>0</v>
      </c>
      <c r="JP36" s="340">
        <f t="shared" si="1152"/>
        <v>0</v>
      </c>
      <c r="JQ36" s="340">
        <f t="shared" si="1152"/>
        <v>0</v>
      </c>
      <c r="JR36" s="340">
        <f t="shared" si="1152"/>
        <v>0</v>
      </c>
      <c r="JS36" s="340">
        <f t="shared" si="1152"/>
        <v>0</v>
      </c>
      <c r="JT36" s="340">
        <f t="shared" si="1152"/>
        <v>0</v>
      </c>
      <c r="JU36" s="340">
        <f t="shared" si="1152"/>
        <v>0</v>
      </c>
      <c r="JV36" s="56">
        <f>SUM(JV37:JV44)</f>
        <v>2.8301400222536657</v>
      </c>
      <c r="JW36" s="57">
        <f>SUM(JW37:JW44)</f>
        <v>2.8301400222536657</v>
      </c>
      <c r="JX36" s="340">
        <f t="shared" ref="JX36:KA36" si="1153">SUM(JX38:JX44)</f>
        <v>0</v>
      </c>
      <c r="JY36" s="340">
        <f t="shared" si="1153"/>
        <v>0</v>
      </c>
      <c r="JZ36" s="340">
        <f t="shared" si="1153"/>
        <v>0</v>
      </c>
      <c r="KA36" s="340">
        <f t="shared" si="1153"/>
        <v>0</v>
      </c>
      <c r="KD36" s="339" t="s">
        <v>576</v>
      </c>
      <c r="KE36" s="340">
        <f t="shared" ref="KE36:KN36" si="1154">SUM(KE38:KE44)</f>
        <v>0</v>
      </c>
      <c r="KF36" s="340">
        <f t="shared" si="1154"/>
        <v>0</v>
      </c>
      <c r="KG36" s="340">
        <f t="shared" si="1154"/>
        <v>0</v>
      </c>
      <c r="KH36" s="340">
        <f t="shared" si="1154"/>
        <v>0</v>
      </c>
      <c r="KI36" s="340">
        <f t="shared" si="1154"/>
        <v>0</v>
      </c>
      <c r="KJ36" s="340">
        <f t="shared" si="1154"/>
        <v>0</v>
      </c>
      <c r="KK36" s="340">
        <f t="shared" si="1154"/>
        <v>0</v>
      </c>
      <c r="KL36" s="340">
        <f t="shared" si="1154"/>
        <v>0</v>
      </c>
      <c r="KM36" s="340">
        <f t="shared" si="1154"/>
        <v>0</v>
      </c>
      <c r="KN36" s="340">
        <f t="shared" si="1154"/>
        <v>0</v>
      </c>
      <c r="KO36" s="56">
        <f>SUM(KO37:KO44)</f>
        <v>0.63722418633988243</v>
      </c>
      <c r="KP36" s="57">
        <f>SUM(KP37:KP44)</f>
        <v>0.63722418633988243</v>
      </c>
      <c r="KQ36" s="340">
        <f t="shared" ref="KQ36:KT36" si="1155">SUM(KQ38:KQ44)</f>
        <v>0</v>
      </c>
      <c r="KR36" s="340">
        <f t="shared" si="1155"/>
        <v>0</v>
      </c>
      <c r="KS36" s="340">
        <f t="shared" si="1155"/>
        <v>0</v>
      </c>
      <c r="KT36" s="340">
        <f t="shared" si="1155"/>
        <v>0</v>
      </c>
      <c r="KW36" s="339" t="s">
        <v>576</v>
      </c>
      <c r="KX36" s="340">
        <f t="shared" ref="KX36:LG36" si="1156">SUM(KX38:KX44)</f>
        <v>0</v>
      </c>
      <c r="KY36" s="340">
        <f t="shared" si="1156"/>
        <v>0</v>
      </c>
      <c r="KZ36" s="340">
        <f t="shared" si="1156"/>
        <v>0</v>
      </c>
      <c r="LA36" s="340">
        <f t="shared" si="1156"/>
        <v>0</v>
      </c>
      <c r="LB36" s="340">
        <f t="shared" si="1156"/>
        <v>0</v>
      </c>
      <c r="LC36" s="340">
        <f t="shared" si="1156"/>
        <v>0</v>
      </c>
      <c r="LD36" s="340">
        <f t="shared" si="1156"/>
        <v>0</v>
      </c>
      <c r="LE36" s="340">
        <f t="shared" si="1156"/>
        <v>0</v>
      </c>
      <c r="LF36" s="340">
        <f t="shared" si="1156"/>
        <v>0</v>
      </c>
      <c r="LG36" s="340">
        <f t="shared" si="1156"/>
        <v>0</v>
      </c>
      <c r="LH36" s="56">
        <f>SUM(LH37:LH44)</f>
        <v>1.0189075230921616</v>
      </c>
      <c r="LI36" s="57">
        <f>SUM(LI37:LI44)</f>
        <v>1.0189075230921616</v>
      </c>
      <c r="LJ36" s="340">
        <f t="shared" ref="LJ36:LM36" si="1157">SUM(LJ38:LJ44)</f>
        <v>0</v>
      </c>
      <c r="LK36" s="340">
        <f t="shared" si="1157"/>
        <v>0</v>
      </c>
      <c r="LL36" s="340">
        <f t="shared" si="1157"/>
        <v>0</v>
      </c>
      <c r="LM36" s="340">
        <f t="shared" si="1157"/>
        <v>0</v>
      </c>
      <c r="LP36" s="339" t="s">
        <v>576</v>
      </c>
      <c r="LQ36" s="340">
        <f t="shared" ref="LQ36:LZ36" si="1158">SUM(LQ38:LQ44)</f>
        <v>0</v>
      </c>
      <c r="LR36" s="340">
        <f t="shared" si="1158"/>
        <v>0</v>
      </c>
      <c r="LS36" s="340">
        <f t="shared" si="1158"/>
        <v>0</v>
      </c>
      <c r="LT36" s="340">
        <f t="shared" si="1158"/>
        <v>0</v>
      </c>
      <c r="LU36" s="340">
        <f t="shared" si="1158"/>
        <v>0</v>
      </c>
      <c r="LV36" s="340">
        <f t="shared" si="1158"/>
        <v>0</v>
      </c>
      <c r="LW36" s="340">
        <f t="shared" si="1158"/>
        <v>0</v>
      </c>
      <c r="LX36" s="340">
        <f t="shared" si="1158"/>
        <v>0</v>
      </c>
      <c r="LY36" s="340">
        <f t="shared" si="1158"/>
        <v>0</v>
      </c>
      <c r="LZ36" s="340">
        <f t="shared" si="1158"/>
        <v>0</v>
      </c>
      <c r="MA36" s="56">
        <f>SUM(MA37:MA44)</f>
        <v>3.3178807559581121E-3</v>
      </c>
      <c r="MB36" s="57">
        <f>SUM(MB37:MB44)</f>
        <v>3.3178807559581121E-3</v>
      </c>
      <c r="MC36" s="340">
        <f t="shared" ref="MC36:MF36" si="1159">SUM(MC38:MC44)</f>
        <v>0</v>
      </c>
      <c r="MD36" s="340">
        <f t="shared" si="1159"/>
        <v>0</v>
      </c>
      <c r="ME36" s="340">
        <f t="shared" si="1159"/>
        <v>0</v>
      </c>
      <c r="MF36" s="340">
        <f t="shared" si="1159"/>
        <v>0</v>
      </c>
      <c r="MI36" s="339" t="s">
        <v>576</v>
      </c>
      <c r="MJ36" s="340">
        <f t="shared" ref="MJ36:MS36" si="1160">SUM(MJ38:MJ44)</f>
        <v>0</v>
      </c>
      <c r="MK36" s="340">
        <f t="shared" si="1160"/>
        <v>0</v>
      </c>
      <c r="ML36" s="340">
        <f t="shared" si="1160"/>
        <v>0</v>
      </c>
      <c r="MM36" s="340">
        <f t="shared" si="1160"/>
        <v>0</v>
      </c>
      <c r="MN36" s="340">
        <f t="shared" si="1160"/>
        <v>0</v>
      </c>
      <c r="MO36" s="340">
        <f t="shared" si="1160"/>
        <v>0</v>
      </c>
      <c r="MP36" s="340">
        <f t="shared" si="1160"/>
        <v>0</v>
      </c>
      <c r="MQ36" s="340">
        <f t="shared" si="1160"/>
        <v>0</v>
      </c>
      <c r="MR36" s="340">
        <f t="shared" si="1160"/>
        <v>0</v>
      </c>
      <c r="MS36" s="340">
        <f t="shared" si="1160"/>
        <v>0</v>
      </c>
      <c r="MT36" s="56">
        <f>SUM(MT37:MT44)</f>
        <v>2.828069667013965E-2</v>
      </c>
      <c r="MU36" s="57">
        <f>SUM(MU37:MU44)</f>
        <v>2.828069667013965E-2</v>
      </c>
      <c r="MV36" s="340">
        <f t="shared" ref="MV36:MY36" si="1161">SUM(MV38:MV44)</f>
        <v>0</v>
      </c>
      <c r="MW36" s="340">
        <f t="shared" si="1161"/>
        <v>0</v>
      </c>
      <c r="MX36" s="340">
        <f t="shared" si="1161"/>
        <v>0</v>
      </c>
      <c r="MY36" s="340">
        <f t="shared" si="1161"/>
        <v>0</v>
      </c>
      <c r="NB36" s="339" t="s">
        <v>576</v>
      </c>
      <c r="NC36" s="340">
        <f t="shared" ref="NC36:NL36" si="1162">SUM(NC38:NC44)</f>
        <v>0</v>
      </c>
      <c r="ND36" s="340">
        <f t="shared" si="1162"/>
        <v>0</v>
      </c>
      <c r="NE36" s="340">
        <f t="shared" si="1162"/>
        <v>0</v>
      </c>
      <c r="NF36" s="340">
        <f t="shared" si="1162"/>
        <v>0</v>
      </c>
      <c r="NG36" s="340">
        <f t="shared" si="1162"/>
        <v>0</v>
      </c>
      <c r="NH36" s="340">
        <f t="shared" si="1162"/>
        <v>0</v>
      </c>
      <c r="NI36" s="340">
        <f t="shared" si="1162"/>
        <v>0</v>
      </c>
      <c r="NJ36" s="340">
        <f t="shared" si="1162"/>
        <v>0</v>
      </c>
      <c r="NK36" s="340">
        <f t="shared" si="1162"/>
        <v>0</v>
      </c>
      <c r="NL36" s="340">
        <f t="shared" si="1162"/>
        <v>0</v>
      </c>
      <c r="NM36" s="56">
        <f>SUM(NM37:NM44)</f>
        <v>2.7234744879473215E-2</v>
      </c>
      <c r="NN36" s="57">
        <f>SUM(NN37:NN44)</f>
        <v>2.7234744879473215E-2</v>
      </c>
      <c r="NO36" s="340">
        <f t="shared" ref="NO36:NR36" si="1163">SUM(NO38:NO44)</f>
        <v>0</v>
      </c>
      <c r="NP36" s="340">
        <f t="shared" si="1163"/>
        <v>0</v>
      </c>
      <c r="NQ36" s="340">
        <f t="shared" si="1163"/>
        <v>0</v>
      </c>
      <c r="NR36" s="340">
        <f t="shared" si="1163"/>
        <v>0</v>
      </c>
    </row>
    <row r="37" spans="2:382" ht="14.25" customHeight="1" x14ac:dyDescent="0.25">
      <c r="B37" s="734"/>
      <c r="C37" s="148" t="s">
        <v>368</v>
      </c>
      <c r="D37" s="142"/>
      <c r="E37" s="125"/>
      <c r="F37" s="142"/>
      <c r="G37" s="125"/>
      <c r="H37" s="142"/>
      <c r="I37" s="125"/>
      <c r="J37" s="142"/>
      <c r="K37" s="125"/>
      <c r="L37" s="142"/>
      <c r="M37" s="125"/>
      <c r="N37" s="143">
        <f>'CAM Characteristics'!H109/1000</f>
        <v>0.45739506742062591</v>
      </c>
      <c r="O37" s="127">
        <f>'CAM Characteristics'!H109/1000</f>
        <v>0.45739506742062591</v>
      </c>
      <c r="P37" s="142"/>
      <c r="Q37" s="142"/>
      <c r="R37" s="142"/>
      <c r="S37" s="142"/>
      <c r="T37" s="318"/>
      <c r="U37" s="119"/>
      <c r="V37" s="148" t="s">
        <v>368</v>
      </c>
      <c r="W37" s="100">
        <f>'Ecoinvent 3.10'!M9</f>
        <v>29.827926632637222</v>
      </c>
      <c r="X37" s="100">
        <f>'Ecoinvent 3.10'!N9</f>
        <v>8.1082999999999998</v>
      </c>
      <c r="Y37" s="100">
        <f>'Ecoinvent 3.10'!O9</f>
        <v>79.290999999999997</v>
      </c>
      <c r="Z37" s="100">
        <f>'Ecoinvent 3.10'!P9</f>
        <v>4.8938000000000002E-2</v>
      </c>
      <c r="AA37" s="100">
        <f>'Ecoinvent 3.10'!Q9</f>
        <v>26.823</v>
      </c>
      <c r="AB37" s="100">
        <f>'Ecoinvent 3.10'!R9</f>
        <v>8.7756000000000001E-2</v>
      </c>
      <c r="AC37" s="100">
        <f>'Ecoinvent 3.10'!S9</f>
        <v>4.6760999999999999E-3</v>
      </c>
      <c r="AD37" s="100">
        <f>'Ecoinvent 3.10'!T9</f>
        <v>0.70374000000000003</v>
      </c>
      <c r="AE37" s="100">
        <f>'Ecoinvent 3.10'!U9</f>
        <v>1.7015</v>
      </c>
      <c r="AF37" s="100">
        <f>'Ecoinvent 3.10'!V9</f>
        <v>15.747</v>
      </c>
      <c r="AG37" s="328">
        <f>'Ecoinvent 3.10'!W9</f>
        <v>1.8803E-2</v>
      </c>
      <c r="AH37" s="328">
        <f>'Ecoinvent 3.10'!X9</f>
        <v>2.0499000000000001</v>
      </c>
      <c r="AI37" s="328">
        <f>'Ecoinvent 3.10'!Y9</f>
        <v>0.28543000000000002</v>
      </c>
      <c r="AJ37" s="328">
        <f>'Ecoinvent 3.10'!Z9</f>
        <v>0.23585999999999999</v>
      </c>
      <c r="AK37" s="328">
        <f>'Ecoinvent 3.10'!AA9</f>
        <v>0.96316999999999997</v>
      </c>
      <c r="AL37" s="328">
        <f>'Ecoinvent 3.10'!AB9</f>
        <v>6.2123999999999999E-3</v>
      </c>
      <c r="AM37" s="328">
        <f>'Ecoinvent 3.10'!AC9</f>
        <v>2.9071E-2</v>
      </c>
      <c r="AN37" s="328">
        <f>'Ecoinvent 3.10'!AD9</f>
        <v>2.8277E-2</v>
      </c>
      <c r="AO37" s="119"/>
      <c r="AP37" s="8"/>
      <c r="AQ37" s="148" t="s">
        <v>368</v>
      </c>
      <c r="AR37" s="49">
        <f t="shared" ref="AR37:BC38" si="1164">D37*$W37</f>
        <v>0</v>
      </c>
      <c r="AS37" s="50">
        <f t="shared" si="1164"/>
        <v>0</v>
      </c>
      <c r="AT37" s="49">
        <f t="shared" si="1164"/>
        <v>0</v>
      </c>
      <c r="AU37" s="50">
        <f t="shared" si="1164"/>
        <v>0</v>
      </c>
      <c r="AV37" s="49">
        <f t="shared" si="1164"/>
        <v>0</v>
      </c>
      <c r="AW37" s="50">
        <f t="shared" si="1164"/>
        <v>0</v>
      </c>
      <c r="AX37" s="49">
        <f t="shared" si="1164"/>
        <v>0</v>
      </c>
      <c r="AY37" s="50">
        <f t="shared" si="1164"/>
        <v>0</v>
      </c>
      <c r="AZ37" s="49">
        <f t="shared" si="1164"/>
        <v>0</v>
      </c>
      <c r="BA37" s="50">
        <f t="shared" si="1164"/>
        <v>0</v>
      </c>
      <c r="BB37" s="49">
        <f t="shared" si="1164"/>
        <v>13.643146513152585</v>
      </c>
      <c r="BC37" s="50">
        <f t="shared" si="1164"/>
        <v>13.643146513152585</v>
      </c>
      <c r="BD37" s="49">
        <f t="shared" ref="BD37:BD38" si="1165">P37*$W37</f>
        <v>0</v>
      </c>
      <c r="BE37" s="50">
        <f t="shared" ref="BE37:BE38" si="1166">Q37*$W37</f>
        <v>0</v>
      </c>
      <c r="BF37" s="49">
        <f t="shared" ref="BF37:BF38" si="1167">R37*$W37</f>
        <v>0</v>
      </c>
      <c r="BG37" s="50">
        <f t="shared" ref="BG37:BG38" si="1168">S37*$W37</f>
        <v>0</v>
      </c>
      <c r="BI37" s="156"/>
      <c r="BJ37" s="148" t="s">
        <v>368</v>
      </c>
      <c r="BK37" s="222">
        <f t="shared" ref="BK37:BK45" si="1169">D37*$X37</f>
        <v>0</v>
      </c>
      <c r="BL37" s="222">
        <f t="shared" ref="BL37:BL45" si="1170">E37*$X37</f>
        <v>0</v>
      </c>
      <c r="BM37" s="222">
        <f t="shared" ref="BM37:BM45" si="1171">F37*$X37</f>
        <v>0</v>
      </c>
      <c r="BN37" s="222">
        <f t="shared" ref="BN37:BN45" si="1172">G37*$X37</f>
        <v>0</v>
      </c>
      <c r="BO37" s="222">
        <f t="shared" ref="BO37:BO45" si="1173">H37*$X37</f>
        <v>0</v>
      </c>
      <c r="BP37" s="222">
        <f t="shared" ref="BP37:BP45" si="1174">I37*$X37</f>
        <v>0</v>
      </c>
      <c r="BQ37" s="222">
        <f t="shared" ref="BQ37:BQ45" si="1175">J37*$X37</f>
        <v>0</v>
      </c>
      <c r="BR37" s="222">
        <f t="shared" ref="BR37:BR45" si="1176">K37*$X37</f>
        <v>0</v>
      </c>
      <c r="BS37" s="222">
        <f t="shared" ref="BS37:BS45" si="1177">L37*$X37</f>
        <v>0</v>
      </c>
      <c r="BT37" s="222">
        <f t="shared" ref="BT37:BT45" si="1178">M37*$X37</f>
        <v>0</v>
      </c>
      <c r="BU37" s="222">
        <f t="shared" ref="BU37:BU45" si="1179">N37*$X37</f>
        <v>3.7086964251666612</v>
      </c>
      <c r="BV37" s="222">
        <f t="shared" ref="BV37:BV45" si="1180">O37*$X37</f>
        <v>3.7086964251666612</v>
      </c>
      <c r="BW37" s="222">
        <f t="shared" ref="BW37:BW45" si="1181">P37*$X37</f>
        <v>0</v>
      </c>
      <c r="BX37" s="222">
        <f t="shared" ref="BX37:BX45" si="1182">Q37*$X37</f>
        <v>0</v>
      </c>
      <c r="BY37" s="222">
        <f t="shared" ref="BY37:BY45" si="1183">R37*$X37</f>
        <v>0</v>
      </c>
      <c r="BZ37" s="222">
        <f t="shared" ref="BZ37:BZ45" si="1184">S37*$X37</f>
        <v>0</v>
      </c>
      <c r="CA37" s="156"/>
      <c r="CB37" s="156"/>
      <c r="CC37" s="148" t="s">
        <v>368</v>
      </c>
      <c r="CD37" s="49">
        <f t="shared" ref="CD37:CS44" si="1185">D37*$Y37</f>
        <v>0</v>
      </c>
      <c r="CE37" s="49">
        <f t="shared" si="1185"/>
        <v>0</v>
      </c>
      <c r="CF37" s="49">
        <f t="shared" si="1185"/>
        <v>0</v>
      </c>
      <c r="CG37" s="49">
        <f t="shared" si="1185"/>
        <v>0</v>
      </c>
      <c r="CH37" s="49">
        <f t="shared" si="1185"/>
        <v>0</v>
      </c>
      <c r="CI37" s="49">
        <f t="shared" si="1185"/>
        <v>0</v>
      </c>
      <c r="CJ37" s="49">
        <f t="shared" si="1185"/>
        <v>0</v>
      </c>
      <c r="CK37" s="49">
        <f t="shared" si="1185"/>
        <v>0</v>
      </c>
      <c r="CL37" s="49">
        <f t="shared" si="1185"/>
        <v>0</v>
      </c>
      <c r="CM37" s="49">
        <f t="shared" si="1185"/>
        <v>0</v>
      </c>
      <c r="CN37" s="49">
        <f t="shared" si="1185"/>
        <v>36.267312290848849</v>
      </c>
      <c r="CO37" s="49">
        <f t="shared" si="1185"/>
        <v>36.267312290848849</v>
      </c>
      <c r="CP37" s="49">
        <f t="shared" si="1185"/>
        <v>0</v>
      </c>
      <c r="CQ37" s="49">
        <f t="shared" si="1185"/>
        <v>0</v>
      </c>
      <c r="CR37" s="49">
        <f t="shared" si="1185"/>
        <v>0</v>
      </c>
      <c r="CS37" s="49">
        <f t="shared" si="1185"/>
        <v>0</v>
      </c>
      <c r="CV37" s="148" t="s">
        <v>368</v>
      </c>
      <c r="CW37" s="49">
        <f t="shared" ref="CW37:DL44" si="1186">D37*$Z37</f>
        <v>0</v>
      </c>
      <c r="CX37" s="49">
        <f t="shared" si="1186"/>
        <v>0</v>
      </c>
      <c r="CY37" s="49">
        <f t="shared" si="1186"/>
        <v>0</v>
      </c>
      <c r="CZ37" s="49">
        <f t="shared" si="1186"/>
        <v>0</v>
      </c>
      <c r="DA37" s="49">
        <f t="shared" si="1186"/>
        <v>0</v>
      </c>
      <c r="DB37" s="49">
        <f t="shared" si="1186"/>
        <v>0</v>
      </c>
      <c r="DC37" s="49">
        <f t="shared" si="1186"/>
        <v>0</v>
      </c>
      <c r="DD37" s="49">
        <f t="shared" si="1186"/>
        <v>0</v>
      </c>
      <c r="DE37" s="49">
        <f t="shared" si="1186"/>
        <v>0</v>
      </c>
      <c r="DF37" s="49">
        <f t="shared" si="1186"/>
        <v>0</v>
      </c>
      <c r="DG37" s="49">
        <f t="shared" si="1186"/>
        <v>2.2383999809430594E-2</v>
      </c>
      <c r="DH37" s="49">
        <f t="shared" si="1186"/>
        <v>2.2383999809430594E-2</v>
      </c>
      <c r="DI37" s="49">
        <f t="shared" si="1186"/>
        <v>0</v>
      </c>
      <c r="DJ37" s="49">
        <f t="shared" si="1186"/>
        <v>0</v>
      </c>
      <c r="DK37" s="49">
        <f t="shared" si="1186"/>
        <v>0</v>
      </c>
      <c r="DL37" s="49">
        <f t="shared" si="1186"/>
        <v>0</v>
      </c>
      <c r="DO37" s="148" t="s">
        <v>368</v>
      </c>
      <c r="DP37" s="49">
        <f t="shared" ref="DP37:EE44" si="1187">D37*$AA37</f>
        <v>0</v>
      </c>
      <c r="DQ37" s="49">
        <f t="shared" si="1187"/>
        <v>0</v>
      </c>
      <c r="DR37" s="49">
        <f t="shared" si="1187"/>
        <v>0</v>
      </c>
      <c r="DS37" s="49">
        <f t="shared" si="1187"/>
        <v>0</v>
      </c>
      <c r="DT37" s="49">
        <f t="shared" si="1187"/>
        <v>0</v>
      </c>
      <c r="DU37" s="49">
        <f t="shared" si="1187"/>
        <v>0</v>
      </c>
      <c r="DV37" s="49">
        <f t="shared" si="1187"/>
        <v>0</v>
      </c>
      <c r="DW37" s="49">
        <f t="shared" si="1187"/>
        <v>0</v>
      </c>
      <c r="DX37" s="49">
        <f t="shared" si="1187"/>
        <v>0</v>
      </c>
      <c r="DY37" s="49">
        <f t="shared" si="1187"/>
        <v>0</v>
      </c>
      <c r="DZ37" s="49">
        <f t="shared" si="1187"/>
        <v>12.268707893423448</v>
      </c>
      <c r="EA37" s="49">
        <f t="shared" si="1187"/>
        <v>12.268707893423448</v>
      </c>
      <c r="EB37" s="49">
        <f t="shared" si="1187"/>
        <v>0</v>
      </c>
      <c r="EC37" s="49">
        <f t="shared" si="1187"/>
        <v>0</v>
      </c>
      <c r="ED37" s="49">
        <f t="shared" si="1187"/>
        <v>0</v>
      </c>
      <c r="EE37" s="49">
        <f t="shared" si="1187"/>
        <v>0</v>
      </c>
      <c r="EH37" s="148" t="s">
        <v>368</v>
      </c>
      <c r="EI37" s="49">
        <f t="shared" ref="EI37:ET38" si="1188">D37*$AB37</f>
        <v>0</v>
      </c>
      <c r="EJ37" s="49">
        <f t="shared" si="1188"/>
        <v>0</v>
      </c>
      <c r="EK37" s="49">
        <f t="shared" si="1188"/>
        <v>0</v>
      </c>
      <c r="EL37" s="49">
        <f t="shared" si="1188"/>
        <v>0</v>
      </c>
      <c r="EM37" s="49">
        <f t="shared" si="1188"/>
        <v>0</v>
      </c>
      <c r="EN37" s="49">
        <f t="shared" si="1188"/>
        <v>0</v>
      </c>
      <c r="EO37" s="49">
        <f t="shared" si="1188"/>
        <v>0</v>
      </c>
      <c r="EP37" s="49">
        <f t="shared" si="1188"/>
        <v>0</v>
      </c>
      <c r="EQ37" s="49">
        <f t="shared" si="1188"/>
        <v>0</v>
      </c>
      <c r="ER37" s="49">
        <f t="shared" si="1188"/>
        <v>0</v>
      </c>
      <c r="ES37" s="49">
        <f t="shared" si="1188"/>
        <v>4.0139161536564445E-2</v>
      </c>
      <c r="ET37" s="49">
        <f t="shared" si="1188"/>
        <v>4.0139161536564445E-2</v>
      </c>
      <c r="EU37" s="49">
        <f t="shared" ref="EU37:EU38" si="1189">P37*$AB37</f>
        <v>0</v>
      </c>
      <c r="EV37" s="49">
        <f t="shared" ref="EV37:EV38" si="1190">Q37*$AB37</f>
        <v>0</v>
      </c>
      <c r="EW37" s="49">
        <f t="shared" ref="EW37:EW38" si="1191">R37*$AB37</f>
        <v>0</v>
      </c>
      <c r="EX37" s="49">
        <f t="shared" ref="EX37:EX38" si="1192">S37*$AB37</f>
        <v>0</v>
      </c>
      <c r="FA37" s="148" t="s">
        <v>368</v>
      </c>
      <c r="FB37" s="53">
        <f t="shared" ref="FB37:FM38" si="1193">D37*$AC37</f>
        <v>0</v>
      </c>
      <c r="FC37" s="53">
        <f t="shared" si="1193"/>
        <v>0</v>
      </c>
      <c r="FD37" s="53">
        <f t="shared" si="1193"/>
        <v>0</v>
      </c>
      <c r="FE37" s="53">
        <f t="shared" si="1193"/>
        <v>0</v>
      </c>
      <c r="FF37" s="53">
        <f t="shared" si="1193"/>
        <v>0</v>
      </c>
      <c r="FG37" s="53">
        <f t="shared" si="1193"/>
        <v>0</v>
      </c>
      <c r="FH37" s="53">
        <f t="shared" si="1193"/>
        <v>0</v>
      </c>
      <c r="FI37" s="53">
        <f t="shared" si="1193"/>
        <v>0</v>
      </c>
      <c r="FJ37" s="53">
        <f t="shared" si="1193"/>
        <v>0</v>
      </c>
      <c r="FK37" s="53">
        <f t="shared" si="1193"/>
        <v>0</v>
      </c>
      <c r="FL37" s="53">
        <f t="shared" si="1193"/>
        <v>2.1388250747655887E-3</v>
      </c>
      <c r="FM37" s="53">
        <f t="shared" si="1193"/>
        <v>2.1388250747655887E-3</v>
      </c>
      <c r="FN37" s="53">
        <f t="shared" ref="FN37:FN38" si="1194">P37*$AC37</f>
        <v>0</v>
      </c>
      <c r="FO37" s="53">
        <f t="shared" ref="FO37:FO38" si="1195">Q37*$AC37</f>
        <v>0</v>
      </c>
      <c r="FP37" s="53">
        <f t="shared" ref="FP37:FP38" si="1196">R37*$AC37</f>
        <v>0</v>
      </c>
      <c r="FQ37" s="53">
        <f t="shared" ref="FQ37:FQ38" si="1197">S37*$AC37</f>
        <v>0</v>
      </c>
      <c r="FT37" s="148" t="s">
        <v>368</v>
      </c>
      <c r="FU37" s="49">
        <f t="shared" ref="FU37:GF38" si="1198">D37*$AD37</f>
        <v>0</v>
      </c>
      <c r="FV37" s="49">
        <f t="shared" si="1198"/>
        <v>0</v>
      </c>
      <c r="FW37" s="49">
        <f t="shared" si="1198"/>
        <v>0</v>
      </c>
      <c r="FX37" s="49">
        <f t="shared" si="1198"/>
        <v>0</v>
      </c>
      <c r="FY37" s="49">
        <f t="shared" si="1198"/>
        <v>0</v>
      </c>
      <c r="FZ37" s="49">
        <f t="shared" si="1198"/>
        <v>0</v>
      </c>
      <c r="GA37" s="49">
        <f t="shared" si="1198"/>
        <v>0</v>
      </c>
      <c r="GB37" s="49">
        <f t="shared" si="1198"/>
        <v>0</v>
      </c>
      <c r="GC37" s="49">
        <f t="shared" si="1198"/>
        <v>0</v>
      </c>
      <c r="GD37" s="49">
        <f t="shared" si="1198"/>
        <v>0</v>
      </c>
      <c r="GE37" s="49">
        <f t="shared" si="1198"/>
        <v>0.32188720474659127</v>
      </c>
      <c r="GF37" s="49">
        <f t="shared" si="1198"/>
        <v>0.32188720474659127</v>
      </c>
      <c r="GG37" s="49">
        <f t="shared" ref="GG37:GG38" si="1199">P37*$AD37</f>
        <v>0</v>
      </c>
      <c r="GH37" s="49">
        <f t="shared" ref="GH37:GH38" si="1200">Q37*$AD37</f>
        <v>0</v>
      </c>
      <c r="GI37" s="49">
        <f t="shared" ref="GI37:GI38" si="1201">R37*$AD37</f>
        <v>0</v>
      </c>
      <c r="GJ37" s="49">
        <f t="shared" ref="GJ37:GJ38" si="1202">S37*$AD37</f>
        <v>0</v>
      </c>
      <c r="GM37" s="148" t="s">
        <v>368</v>
      </c>
      <c r="GN37" s="49">
        <f t="shared" ref="GN37:GY38" si="1203">D37*$AE37</f>
        <v>0</v>
      </c>
      <c r="GO37" s="49">
        <f t="shared" si="1203"/>
        <v>0</v>
      </c>
      <c r="GP37" s="49">
        <f t="shared" si="1203"/>
        <v>0</v>
      </c>
      <c r="GQ37" s="49">
        <f t="shared" si="1203"/>
        <v>0</v>
      </c>
      <c r="GR37" s="49">
        <f t="shared" si="1203"/>
        <v>0</v>
      </c>
      <c r="GS37" s="49">
        <f t="shared" si="1203"/>
        <v>0</v>
      </c>
      <c r="GT37" s="49">
        <f t="shared" si="1203"/>
        <v>0</v>
      </c>
      <c r="GU37" s="49">
        <f t="shared" si="1203"/>
        <v>0</v>
      </c>
      <c r="GV37" s="49">
        <f t="shared" si="1203"/>
        <v>0</v>
      </c>
      <c r="GW37" s="49">
        <f t="shared" si="1203"/>
        <v>0</v>
      </c>
      <c r="GX37" s="49">
        <f t="shared" si="1203"/>
        <v>0.77825770721619503</v>
      </c>
      <c r="GY37" s="49">
        <f t="shared" si="1203"/>
        <v>0.77825770721619503</v>
      </c>
      <c r="GZ37" s="49">
        <f t="shared" ref="GZ37:GZ38" si="1204">P37*$AE37</f>
        <v>0</v>
      </c>
      <c r="HA37" s="49">
        <f t="shared" ref="HA37:HA38" si="1205">Q37*$AE37</f>
        <v>0</v>
      </c>
      <c r="HB37" s="49">
        <f t="shared" ref="HB37:HB38" si="1206">R37*$AE37</f>
        <v>0</v>
      </c>
      <c r="HC37" s="49">
        <f t="shared" ref="HC37:HC38" si="1207">S37*$AE37</f>
        <v>0</v>
      </c>
      <c r="HF37" s="148" t="s">
        <v>368</v>
      </c>
      <c r="HG37" s="49">
        <f t="shared" ref="HG37:HR38" si="1208">D37*$AF37</f>
        <v>0</v>
      </c>
      <c r="HH37" s="49">
        <f t="shared" si="1208"/>
        <v>0</v>
      </c>
      <c r="HI37" s="49">
        <f t="shared" si="1208"/>
        <v>0</v>
      </c>
      <c r="HJ37" s="49">
        <f t="shared" si="1208"/>
        <v>0</v>
      </c>
      <c r="HK37" s="49">
        <f t="shared" si="1208"/>
        <v>0</v>
      </c>
      <c r="HL37" s="49">
        <f t="shared" si="1208"/>
        <v>0</v>
      </c>
      <c r="HM37" s="49">
        <f t="shared" si="1208"/>
        <v>0</v>
      </c>
      <c r="HN37" s="49">
        <f t="shared" si="1208"/>
        <v>0</v>
      </c>
      <c r="HO37" s="49">
        <f t="shared" si="1208"/>
        <v>0</v>
      </c>
      <c r="HP37" s="49">
        <f t="shared" si="1208"/>
        <v>0</v>
      </c>
      <c r="HQ37" s="49">
        <f t="shared" si="1208"/>
        <v>7.2026001266725963</v>
      </c>
      <c r="HR37" s="49">
        <f t="shared" si="1208"/>
        <v>7.2026001266725963</v>
      </c>
      <c r="HS37" s="49">
        <f t="shared" ref="HS37:HS38" si="1209">P37*$AF37</f>
        <v>0</v>
      </c>
      <c r="HT37" s="49">
        <f t="shared" ref="HT37:HT38" si="1210">Q37*$AF37</f>
        <v>0</v>
      </c>
      <c r="HU37" s="49">
        <f t="shared" ref="HU37:HU38" si="1211">R37*$AF37</f>
        <v>0</v>
      </c>
      <c r="HV37" s="49">
        <f t="shared" ref="HV37:HV38" si="1212">S37*$AF37</f>
        <v>0</v>
      </c>
      <c r="HY37" s="341" t="s">
        <v>711</v>
      </c>
      <c r="HZ37" s="338">
        <f t="shared" ref="HZ37:IK38" si="1213">D37*$AG37</f>
        <v>0</v>
      </c>
      <c r="IA37" s="338">
        <f t="shared" si="1213"/>
        <v>0</v>
      </c>
      <c r="IB37" s="338">
        <f t="shared" si="1213"/>
        <v>0</v>
      </c>
      <c r="IC37" s="338">
        <f t="shared" si="1213"/>
        <v>0</v>
      </c>
      <c r="ID37" s="338">
        <f t="shared" si="1213"/>
        <v>0</v>
      </c>
      <c r="IE37" s="338">
        <f t="shared" si="1213"/>
        <v>0</v>
      </c>
      <c r="IF37" s="338">
        <f t="shared" si="1213"/>
        <v>0</v>
      </c>
      <c r="IG37" s="338">
        <f t="shared" si="1213"/>
        <v>0</v>
      </c>
      <c r="IH37" s="338">
        <f t="shared" si="1213"/>
        <v>0</v>
      </c>
      <c r="II37" s="338">
        <f t="shared" si="1213"/>
        <v>0</v>
      </c>
      <c r="IJ37" s="338">
        <f t="shared" si="1213"/>
        <v>8.6003994527100291E-3</v>
      </c>
      <c r="IK37" s="338">
        <f t="shared" si="1213"/>
        <v>8.6003994527100291E-3</v>
      </c>
      <c r="IL37" s="338">
        <f t="shared" ref="IL37:IL38" si="1214">P37*$AG37</f>
        <v>0</v>
      </c>
      <c r="IM37" s="338">
        <f t="shared" ref="IM37:IM38" si="1215">Q37*$AG37</f>
        <v>0</v>
      </c>
      <c r="IN37" s="338">
        <f t="shared" ref="IN37:IN38" si="1216">R37*$AG37</f>
        <v>0</v>
      </c>
      <c r="IO37" s="338">
        <f t="shared" ref="IO37:IO38" si="1217">S37*$AG37</f>
        <v>0</v>
      </c>
      <c r="IR37" s="341" t="s">
        <v>711</v>
      </c>
      <c r="IS37" s="338">
        <f t="shared" ref="IS37:JD38" si="1218">D37*$AH37</f>
        <v>0</v>
      </c>
      <c r="IT37" s="338">
        <f t="shared" si="1218"/>
        <v>0</v>
      </c>
      <c r="IU37" s="338">
        <f t="shared" si="1218"/>
        <v>0</v>
      </c>
      <c r="IV37" s="338">
        <f t="shared" si="1218"/>
        <v>0</v>
      </c>
      <c r="IW37" s="338">
        <f t="shared" si="1218"/>
        <v>0</v>
      </c>
      <c r="IX37" s="338">
        <f t="shared" si="1218"/>
        <v>0</v>
      </c>
      <c r="IY37" s="338">
        <f t="shared" si="1218"/>
        <v>0</v>
      </c>
      <c r="IZ37" s="338">
        <f t="shared" si="1218"/>
        <v>0</v>
      </c>
      <c r="JA37" s="338">
        <f t="shared" si="1218"/>
        <v>0</v>
      </c>
      <c r="JB37" s="338">
        <f t="shared" si="1218"/>
        <v>0</v>
      </c>
      <c r="JC37" s="338">
        <f t="shared" si="1218"/>
        <v>0.93761414870554105</v>
      </c>
      <c r="JD37" s="338">
        <f t="shared" si="1218"/>
        <v>0.93761414870554105</v>
      </c>
      <c r="JE37" s="338">
        <f t="shared" ref="JE37:JE38" si="1219">P37*$AH37</f>
        <v>0</v>
      </c>
      <c r="JF37" s="338">
        <f t="shared" ref="JF37:JF38" si="1220">Q37*$AH37</f>
        <v>0</v>
      </c>
      <c r="JG37" s="338">
        <f t="shared" ref="JG37:JG38" si="1221">R37*$AH37</f>
        <v>0</v>
      </c>
      <c r="JH37" s="338">
        <f t="shared" ref="JH37:JH38" si="1222">S37*$AH37</f>
        <v>0</v>
      </c>
      <c r="JK37" s="341" t="s">
        <v>711</v>
      </c>
      <c r="JL37" s="338">
        <f t="shared" ref="JL37:JW38" si="1223">D37*$AI37</f>
        <v>0</v>
      </c>
      <c r="JM37" s="338">
        <f t="shared" si="1223"/>
        <v>0</v>
      </c>
      <c r="JN37" s="338">
        <f t="shared" si="1223"/>
        <v>0</v>
      </c>
      <c r="JO37" s="338">
        <f t="shared" si="1223"/>
        <v>0</v>
      </c>
      <c r="JP37" s="338">
        <f t="shared" si="1223"/>
        <v>0</v>
      </c>
      <c r="JQ37" s="338">
        <f t="shared" si="1223"/>
        <v>0</v>
      </c>
      <c r="JR37" s="338">
        <f t="shared" si="1223"/>
        <v>0</v>
      </c>
      <c r="JS37" s="338">
        <f t="shared" si="1223"/>
        <v>0</v>
      </c>
      <c r="JT37" s="338">
        <f t="shared" si="1223"/>
        <v>0</v>
      </c>
      <c r="JU37" s="338">
        <f t="shared" si="1223"/>
        <v>0</v>
      </c>
      <c r="JV37" s="338">
        <f t="shared" si="1223"/>
        <v>0.13055427409386927</v>
      </c>
      <c r="JW37" s="338">
        <f t="shared" si="1223"/>
        <v>0.13055427409386927</v>
      </c>
      <c r="JX37" s="338">
        <f t="shared" ref="JX37:JX38" si="1224">P37*$AI37</f>
        <v>0</v>
      </c>
      <c r="JY37" s="338">
        <f t="shared" ref="JY37:JY38" si="1225">Q37*$AI37</f>
        <v>0</v>
      </c>
      <c r="JZ37" s="338">
        <f t="shared" ref="JZ37:JZ38" si="1226">R37*$AI37</f>
        <v>0</v>
      </c>
      <c r="KA37" s="338">
        <f t="shared" ref="KA37:KA38" si="1227">S37*$AI37</f>
        <v>0</v>
      </c>
      <c r="KD37" s="341" t="s">
        <v>711</v>
      </c>
      <c r="KE37" s="338">
        <f t="shared" ref="KE37:KP38" si="1228">D37*$AJ37</f>
        <v>0</v>
      </c>
      <c r="KF37" s="338">
        <f t="shared" si="1228"/>
        <v>0</v>
      </c>
      <c r="KG37" s="338">
        <f t="shared" si="1228"/>
        <v>0</v>
      </c>
      <c r="KH37" s="338">
        <f t="shared" si="1228"/>
        <v>0</v>
      </c>
      <c r="KI37" s="338">
        <f t="shared" si="1228"/>
        <v>0</v>
      </c>
      <c r="KJ37" s="338">
        <f t="shared" si="1228"/>
        <v>0</v>
      </c>
      <c r="KK37" s="338">
        <f t="shared" si="1228"/>
        <v>0</v>
      </c>
      <c r="KL37" s="338">
        <f t="shared" si="1228"/>
        <v>0</v>
      </c>
      <c r="KM37" s="338">
        <f t="shared" si="1228"/>
        <v>0</v>
      </c>
      <c r="KN37" s="338">
        <f t="shared" si="1228"/>
        <v>0</v>
      </c>
      <c r="KO37" s="338">
        <f t="shared" si="1228"/>
        <v>0.10788120060182882</v>
      </c>
      <c r="KP37" s="338">
        <f t="shared" si="1228"/>
        <v>0.10788120060182882</v>
      </c>
      <c r="KQ37" s="338">
        <f t="shared" ref="KQ37:KQ38" si="1229">P37*$AJ37</f>
        <v>0</v>
      </c>
      <c r="KR37" s="338">
        <f t="shared" ref="KR37:KR38" si="1230">Q37*$AJ37</f>
        <v>0</v>
      </c>
      <c r="KS37" s="338">
        <f t="shared" ref="KS37:KS38" si="1231">R37*$AJ37</f>
        <v>0</v>
      </c>
      <c r="KT37" s="338">
        <f t="shared" ref="KT37:KT38" si="1232">S37*$AJ37</f>
        <v>0</v>
      </c>
      <c r="KW37" s="341" t="s">
        <v>711</v>
      </c>
      <c r="KX37" s="338">
        <f t="shared" ref="KX37:LI38" si="1233">D37*$AK37</f>
        <v>0</v>
      </c>
      <c r="KY37" s="338">
        <f t="shared" si="1233"/>
        <v>0</v>
      </c>
      <c r="KZ37" s="338">
        <f t="shared" si="1233"/>
        <v>0</v>
      </c>
      <c r="LA37" s="338">
        <f t="shared" si="1233"/>
        <v>0</v>
      </c>
      <c r="LB37" s="338">
        <f t="shared" si="1233"/>
        <v>0</v>
      </c>
      <c r="LC37" s="338">
        <f t="shared" si="1233"/>
        <v>0</v>
      </c>
      <c r="LD37" s="338">
        <f t="shared" si="1233"/>
        <v>0</v>
      </c>
      <c r="LE37" s="338">
        <f t="shared" si="1233"/>
        <v>0</v>
      </c>
      <c r="LF37" s="338">
        <f t="shared" si="1233"/>
        <v>0</v>
      </c>
      <c r="LG37" s="338">
        <f t="shared" si="1233"/>
        <v>0</v>
      </c>
      <c r="LH37" s="338">
        <f t="shared" si="1233"/>
        <v>0.44054920708752426</v>
      </c>
      <c r="LI37" s="338">
        <f t="shared" si="1233"/>
        <v>0.44054920708752426</v>
      </c>
      <c r="LJ37" s="338">
        <f t="shared" ref="LJ37:LJ38" si="1234">P37*$AK37</f>
        <v>0</v>
      </c>
      <c r="LK37" s="338">
        <f t="shared" ref="LK37:LK38" si="1235">Q37*$AK37</f>
        <v>0</v>
      </c>
      <c r="LL37" s="338">
        <f t="shared" ref="LL37:LL38" si="1236">R37*$AK37</f>
        <v>0</v>
      </c>
      <c r="LM37" s="338">
        <f t="shared" ref="LM37:LM38" si="1237">S37*$AK37</f>
        <v>0</v>
      </c>
      <c r="LP37" s="341" t="s">
        <v>711</v>
      </c>
      <c r="LQ37" s="338">
        <f t="shared" ref="LQ37:MB38" si="1238">D37*$AL37</f>
        <v>0</v>
      </c>
      <c r="LR37" s="338">
        <f t="shared" si="1238"/>
        <v>0</v>
      </c>
      <c r="LS37" s="338">
        <f t="shared" si="1238"/>
        <v>0</v>
      </c>
      <c r="LT37" s="338">
        <f t="shared" si="1238"/>
        <v>0</v>
      </c>
      <c r="LU37" s="338">
        <f t="shared" si="1238"/>
        <v>0</v>
      </c>
      <c r="LV37" s="338">
        <f t="shared" si="1238"/>
        <v>0</v>
      </c>
      <c r="LW37" s="338">
        <f t="shared" si="1238"/>
        <v>0</v>
      </c>
      <c r="LX37" s="338">
        <f t="shared" si="1238"/>
        <v>0</v>
      </c>
      <c r="LY37" s="338">
        <f t="shared" si="1238"/>
        <v>0</v>
      </c>
      <c r="LZ37" s="338">
        <f t="shared" si="1238"/>
        <v>0</v>
      </c>
      <c r="MA37" s="338">
        <f t="shared" si="1238"/>
        <v>2.8415211168438962E-3</v>
      </c>
      <c r="MB37" s="338">
        <f t="shared" si="1238"/>
        <v>2.8415211168438962E-3</v>
      </c>
      <c r="MC37" s="338">
        <f t="shared" ref="MC37:MC38" si="1239">P37*$AL37</f>
        <v>0</v>
      </c>
      <c r="MD37" s="338">
        <f t="shared" ref="MD37:MD38" si="1240">Q37*$AL37</f>
        <v>0</v>
      </c>
      <c r="ME37" s="338">
        <f t="shared" ref="ME37:ME38" si="1241">R37*$AL37</f>
        <v>0</v>
      </c>
      <c r="MF37" s="338">
        <f t="shared" ref="MF37:MF38" si="1242">S37*$AL37</f>
        <v>0</v>
      </c>
      <c r="MI37" s="341" t="s">
        <v>711</v>
      </c>
      <c r="MJ37" s="338">
        <f t="shared" ref="MJ37:MU38" si="1243">D37*$AM37</f>
        <v>0</v>
      </c>
      <c r="MK37" s="338">
        <f t="shared" si="1243"/>
        <v>0</v>
      </c>
      <c r="ML37" s="338">
        <f t="shared" si="1243"/>
        <v>0</v>
      </c>
      <c r="MM37" s="338">
        <f t="shared" si="1243"/>
        <v>0</v>
      </c>
      <c r="MN37" s="338">
        <f t="shared" si="1243"/>
        <v>0</v>
      </c>
      <c r="MO37" s="338">
        <f t="shared" si="1243"/>
        <v>0</v>
      </c>
      <c r="MP37" s="338">
        <f t="shared" si="1243"/>
        <v>0</v>
      </c>
      <c r="MQ37" s="338">
        <f t="shared" si="1243"/>
        <v>0</v>
      </c>
      <c r="MR37" s="338">
        <f t="shared" si="1243"/>
        <v>0</v>
      </c>
      <c r="MS37" s="338">
        <f t="shared" si="1243"/>
        <v>0</v>
      </c>
      <c r="MT37" s="338">
        <f t="shared" si="1243"/>
        <v>1.3296932004985015E-2</v>
      </c>
      <c r="MU37" s="338">
        <f t="shared" si="1243"/>
        <v>1.3296932004985015E-2</v>
      </c>
      <c r="MV37" s="338">
        <f t="shared" ref="MV37:MV38" si="1244">P37*$AM37</f>
        <v>0</v>
      </c>
      <c r="MW37" s="338">
        <f t="shared" ref="MW37:MW38" si="1245">Q37*$AM37</f>
        <v>0</v>
      </c>
      <c r="MX37" s="338">
        <f t="shared" ref="MX37:MX38" si="1246">R37*$AM37</f>
        <v>0</v>
      </c>
      <c r="MY37" s="338">
        <f t="shared" ref="MY37:MY38" si="1247">S37*$AM37</f>
        <v>0</v>
      </c>
      <c r="NB37" s="341" t="s">
        <v>711</v>
      </c>
      <c r="NC37" s="338">
        <f t="shared" ref="NC37:NN38" si="1248">D37*$AN37</f>
        <v>0</v>
      </c>
      <c r="ND37" s="338">
        <f t="shared" si="1248"/>
        <v>0</v>
      </c>
      <c r="NE37" s="338">
        <f t="shared" si="1248"/>
        <v>0</v>
      </c>
      <c r="NF37" s="338">
        <f t="shared" si="1248"/>
        <v>0</v>
      </c>
      <c r="NG37" s="338">
        <f t="shared" si="1248"/>
        <v>0</v>
      </c>
      <c r="NH37" s="338">
        <f t="shared" si="1248"/>
        <v>0</v>
      </c>
      <c r="NI37" s="338">
        <f t="shared" si="1248"/>
        <v>0</v>
      </c>
      <c r="NJ37" s="338">
        <f t="shared" si="1248"/>
        <v>0</v>
      </c>
      <c r="NK37" s="338">
        <f t="shared" si="1248"/>
        <v>0</v>
      </c>
      <c r="NL37" s="338">
        <f t="shared" si="1248"/>
        <v>0</v>
      </c>
      <c r="NM37" s="338">
        <f t="shared" si="1248"/>
        <v>1.2933760321453039E-2</v>
      </c>
      <c r="NN37" s="338">
        <f t="shared" si="1248"/>
        <v>1.2933760321453039E-2</v>
      </c>
      <c r="NO37" s="338">
        <f t="shared" ref="NO37:NO38" si="1249">P37*$AN37</f>
        <v>0</v>
      </c>
      <c r="NP37" s="338">
        <f t="shared" ref="NP37:NP38" si="1250">Q37*$AN37</f>
        <v>0</v>
      </c>
      <c r="NQ37" s="338">
        <f t="shared" ref="NQ37:NQ38" si="1251">R37*$AN37</f>
        <v>0</v>
      </c>
      <c r="NR37" s="338">
        <f t="shared" ref="NR37:NR38" si="1252">S37*$AN37</f>
        <v>0</v>
      </c>
    </row>
    <row r="38" spans="2:382" ht="12.75" customHeight="1" x14ac:dyDescent="0.2">
      <c r="B38" s="734"/>
      <c r="C38" s="148" t="s">
        <v>56</v>
      </c>
      <c r="D38" s="143"/>
      <c r="E38" s="127"/>
      <c r="F38" s="143"/>
      <c r="G38" s="127"/>
      <c r="H38" s="143"/>
      <c r="I38" s="127"/>
      <c r="J38" s="143"/>
      <c r="K38" s="127"/>
      <c r="L38" s="143"/>
      <c r="M38" s="127"/>
      <c r="N38" s="193"/>
      <c r="O38" s="194"/>
      <c r="P38" s="142"/>
      <c r="Q38" s="142"/>
      <c r="R38" s="142"/>
      <c r="S38" s="142"/>
      <c r="T38" s="318"/>
      <c r="U38" s="119"/>
      <c r="V38" s="148" t="s">
        <v>56</v>
      </c>
      <c r="W38" s="100">
        <f>'Ecoinvent 3.10'!M10</f>
        <v>54.178208064816104</v>
      </c>
      <c r="X38" s="100">
        <f>'Ecoinvent 3.10'!N10</f>
        <v>15.558</v>
      </c>
      <c r="Y38" s="100">
        <f>'Ecoinvent 3.10'!O10</f>
        <v>142.31</v>
      </c>
      <c r="Z38" s="100">
        <f>'Ecoinvent 3.10'!P10</f>
        <v>8.3553000000000002E-2</v>
      </c>
      <c r="AA38" s="100">
        <f>'Ecoinvent 3.10'!Q10</f>
        <v>43.543999999999997</v>
      </c>
      <c r="AB38" s="100">
        <f>'Ecoinvent 3.10'!R10</f>
        <v>0.14912</v>
      </c>
      <c r="AC38" s="100">
        <f>'Ecoinvent 3.10'!S10</f>
        <v>7.9451999999999995E-3</v>
      </c>
      <c r="AD38" s="100">
        <f>'Ecoinvent 3.10'!T10</f>
        <v>1.2293000000000001</v>
      </c>
      <c r="AE38" s="100">
        <f>'Ecoinvent 3.10'!U10</f>
        <v>3.0192999999999999</v>
      </c>
      <c r="AF38" s="100">
        <f>'Ecoinvent 3.10'!V10</f>
        <v>27.573</v>
      </c>
      <c r="AG38" s="328">
        <f>'Ecoinvent 3.10'!W10</f>
        <v>3.2518999999999999E-2</v>
      </c>
      <c r="AH38" s="328">
        <f>'Ecoinvent 3.10'!X10</f>
        <v>3.7145999999999999</v>
      </c>
      <c r="AI38" s="328">
        <f>'Ecoinvent 3.10'!Y10</f>
        <v>0.53774999999999995</v>
      </c>
      <c r="AJ38" s="328">
        <f>'Ecoinvent 3.10'!Z10</f>
        <v>0.41064000000000001</v>
      </c>
      <c r="AK38" s="328">
        <f>'Ecoinvent 3.10'!AA10</f>
        <v>1.6881999999999999</v>
      </c>
      <c r="AL38" s="328">
        <f>'Ecoinvent 3.10'!AB10</f>
        <v>1.0109999999999999E-2</v>
      </c>
      <c r="AM38" s="328">
        <f>'Ecoinvent 3.10'!AC10</f>
        <v>5.0776000000000002E-2</v>
      </c>
      <c r="AN38" s="328">
        <f>'Ecoinvent 3.10'!AD10</f>
        <v>4.9326000000000002E-2</v>
      </c>
      <c r="AO38" s="119"/>
      <c r="AP38" s="8"/>
      <c r="AQ38" s="148" t="s">
        <v>56</v>
      </c>
      <c r="AR38" s="49">
        <f t="shared" si="1164"/>
        <v>0</v>
      </c>
      <c r="AS38" s="50">
        <f t="shared" si="1164"/>
        <v>0</v>
      </c>
      <c r="AT38" s="49">
        <f t="shared" si="1164"/>
        <v>0</v>
      </c>
      <c r="AU38" s="50">
        <f t="shared" si="1164"/>
        <v>0</v>
      </c>
      <c r="AV38" s="49">
        <f t="shared" si="1164"/>
        <v>0</v>
      </c>
      <c r="AW38" s="50">
        <f t="shared" si="1164"/>
        <v>0</v>
      </c>
      <c r="AX38" s="49">
        <f t="shared" si="1164"/>
        <v>0</v>
      </c>
      <c r="AY38" s="50">
        <f t="shared" si="1164"/>
        <v>0</v>
      </c>
      <c r="AZ38" s="49">
        <f t="shared" si="1164"/>
        <v>0</v>
      </c>
      <c r="BA38" s="50">
        <f t="shared" si="1164"/>
        <v>0</v>
      </c>
      <c r="BB38" s="49">
        <f t="shared" si="1164"/>
        <v>0</v>
      </c>
      <c r="BC38" s="50">
        <f t="shared" si="1164"/>
        <v>0</v>
      </c>
      <c r="BD38" s="49">
        <f t="shared" si="1165"/>
        <v>0</v>
      </c>
      <c r="BE38" s="50">
        <f t="shared" si="1166"/>
        <v>0</v>
      </c>
      <c r="BF38" s="49">
        <f t="shared" si="1167"/>
        <v>0</v>
      </c>
      <c r="BG38" s="50">
        <f t="shared" si="1168"/>
        <v>0</v>
      </c>
      <c r="BI38" s="156"/>
      <c r="BJ38" s="148" t="s">
        <v>56</v>
      </c>
      <c r="BK38" s="49">
        <f t="shared" si="1169"/>
        <v>0</v>
      </c>
      <c r="BL38" s="49">
        <f t="shared" si="1170"/>
        <v>0</v>
      </c>
      <c r="BM38" s="49">
        <f t="shared" si="1171"/>
        <v>0</v>
      </c>
      <c r="BN38" s="49">
        <f t="shared" si="1172"/>
        <v>0</v>
      </c>
      <c r="BO38" s="49">
        <f t="shared" si="1173"/>
        <v>0</v>
      </c>
      <c r="BP38" s="49">
        <f t="shared" si="1174"/>
        <v>0</v>
      </c>
      <c r="BQ38" s="49">
        <f t="shared" si="1175"/>
        <v>0</v>
      </c>
      <c r="BR38" s="49">
        <f t="shared" si="1176"/>
        <v>0</v>
      </c>
      <c r="BS38" s="49">
        <f t="shared" si="1177"/>
        <v>0</v>
      </c>
      <c r="BT38" s="49">
        <f t="shared" si="1178"/>
        <v>0</v>
      </c>
      <c r="BU38" s="49">
        <f t="shared" si="1179"/>
        <v>0</v>
      </c>
      <c r="BV38" s="49">
        <f t="shared" si="1180"/>
        <v>0</v>
      </c>
      <c r="BW38" s="49">
        <f t="shared" si="1181"/>
        <v>0</v>
      </c>
      <c r="BX38" s="49">
        <f t="shared" si="1182"/>
        <v>0</v>
      </c>
      <c r="BY38" s="49">
        <f t="shared" si="1183"/>
        <v>0</v>
      </c>
      <c r="BZ38" s="49">
        <f t="shared" si="1184"/>
        <v>0</v>
      </c>
      <c r="CA38" s="156"/>
      <c r="CB38" s="156"/>
      <c r="CC38" s="148" t="s">
        <v>56</v>
      </c>
      <c r="CD38" s="49">
        <f t="shared" si="1185"/>
        <v>0</v>
      </c>
      <c r="CE38" s="49">
        <f t="shared" si="1185"/>
        <v>0</v>
      </c>
      <c r="CF38" s="49">
        <f t="shared" si="1185"/>
        <v>0</v>
      </c>
      <c r="CG38" s="49">
        <f t="shared" si="1185"/>
        <v>0</v>
      </c>
      <c r="CH38" s="49">
        <f t="shared" si="1185"/>
        <v>0</v>
      </c>
      <c r="CI38" s="49">
        <f t="shared" si="1185"/>
        <v>0</v>
      </c>
      <c r="CJ38" s="49">
        <f t="shared" si="1185"/>
        <v>0</v>
      </c>
      <c r="CK38" s="49">
        <f t="shared" si="1185"/>
        <v>0</v>
      </c>
      <c r="CL38" s="49">
        <f t="shared" si="1185"/>
        <v>0</v>
      </c>
      <c r="CM38" s="49">
        <f t="shared" si="1185"/>
        <v>0</v>
      </c>
      <c r="CN38" s="49">
        <f t="shared" si="1185"/>
        <v>0</v>
      </c>
      <c r="CO38" s="220">
        <f t="shared" si="1185"/>
        <v>0</v>
      </c>
      <c r="CP38" s="49">
        <f t="shared" si="1185"/>
        <v>0</v>
      </c>
      <c r="CQ38" s="49">
        <f t="shared" si="1185"/>
        <v>0</v>
      </c>
      <c r="CR38" s="49">
        <f t="shared" si="1185"/>
        <v>0</v>
      </c>
      <c r="CS38" s="220">
        <f t="shared" si="1185"/>
        <v>0</v>
      </c>
      <c r="CV38" s="148" t="s">
        <v>56</v>
      </c>
      <c r="CW38" s="49">
        <f t="shared" si="1186"/>
        <v>0</v>
      </c>
      <c r="CX38" s="49">
        <f t="shared" si="1186"/>
        <v>0</v>
      </c>
      <c r="CY38" s="49">
        <f t="shared" si="1186"/>
        <v>0</v>
      </c>
      <c r="CZ38" s="49">
        <f t="shared" si="1186"/>
        <v>0</v>
      </c>
      <c r="DA38" s="49">
        <f t="shared" si="1186"/>
        <v>0</v>
      </c>
      <c r="DB38" s="49">
        <f t="shared" si="1186"/>
        <v>0</v>
      </c>
      <c r="DC38" s="49">
        <f t="shared" si="1186"/>
        <v>0</v>
      </c>
      <c r="DD38" s="49">
        <f t="shared" si="1186"/>
        <v>0</v>
      </c>
      <c r="DE38" s="49">
        <f t="shared" si="1186"/>
        <v>0</v>
      </c>
      <c r="DF38" s="49">
        <f t="shared" si="1186"/>
        <v>0</v>
      </c>
      <c r="DG38" s="49">
        <f t="shared" si="1186"/>
        <v>0</v>
      </c>
      <c r="DH38" s="49">
        <f t="shared" si="1186"/>
        <v>0</v>
      </c>
      <c r="DI38" s="49">
        <f t="shared" si="1186"/>
        <v>0</v>
      </c>
      <c r="DJ38" s="49">
        <f t="shared" si="1186"/>
        <v>0</v>
      </c>
      <c r="DK38" s="49">
        <f t="shared" si="1186"/>
        <v>0</v>
      </c>
      <c r="DL38" s="49">
        <f t="shared" si="1186"/>
        <v>0</v>
      </c>
      <c r="DO38" s="148" t="s">
        <v>56</v>
      </c>
      <c r="DP38" s="49">
        <f t="shared" si="1187"/>
        <v>0</v>
      </c>
      <c r="DQ38" s="49">
        <f t="shared" si="1187"/>
        <v>0</v>
      </c>
      <c r="DR38" s="49">
        <f t="shared" si="1187"/>
        <v>0</v>
      </c>
      <c r="DS38" s="49">
        <f t="shared" si="1187"/>
        <v>0</v>
      </c>
      <c r="DT38" s="49">
        <f t="shared" si="1187"/>
        <v>0</v>
      </c>
      <c r="DU38" s="49">
        <f t="shared" si="1187"/>
        <v>0</v>
      </c>
      <c r="DV38" s="49">
        <f t="shared" si="1187"/>
        <v>0</v>
      </c>
      <c r="DW38" s="49">
        <f t="shared" si="1187"/>
        <v>0</v>
      </c>
      <c r="DX38" s="49">
        <f t="shared" si="1187"/>
        <v>0</v>
      </c>
      <c r="DY38" s="49">
        <f t="shared" si="1187"/>
        <v>0</v>
      </c>
      <c r="DZ38" s="49">
        <f t="shared" si="1187"/>
        <v>0</v>
      </c>
      <c r="EA38" s="49">
        <f t="shared" si="1187"/>
        <v>0</v>
      </c>
      <c r="EB38" s="49">
        <f t="shared" si="1187"/>
        <v>0</v>
      </c>
      <c r="EC38" s="49">
        <f t="shared" si="1187"/>
        <v>0</v>
      </c>
      <c r="ED38" s="49">
        <f t="shared" si="1187"/>
        <v>0</v>
      </c>
      <c r="EE38" s="49">
        <f t="shared" si="1187"/>
        <v>0</v>
      </c>
      <c r="EH38" s="148" t="s">
        <v>56</v>
      </c>
      <c r="EI38" s="49">
        <f t="shared" si="1188"/>
        <v>0</v>
      </c>
      <c r="EJ38" s="49">
        <f t="shared" si="1188"/>
        <v>0</v>
      </c>
      <c r="EK38" s="49">
        <f t="shared" si="1188"/>
        <v>0</v>
      </c>
      <c r="EL38" s="49">
        <f t="shared" si="1188"/>
        <v>0</v>
      </c>
      <c r="EM38" s="49">
        <f t="shared" si="1188"/>
        <v>0</v>
      </c>
      <c r="EN38" s="49">
        <f t="shared" si="1188"/>
        <v>0</v>
      </c>
      <c r="EO38" s="49">
        <f t="shared" si="1188"/>
        <v>0</v>
      </c>
      <c r="EP38" s="49">
        <f t="shared" si="1188"/>
        <v>0</v>
      </c>
      <c r="EQ38" s="49">
        <f t="shared" si="1188"/>
        <v>0</v>
      </c>
      <c r="ER38" s="49">
        <f t="shared" si="1188"/>
        <v>0</v>
      </c>
      <c r="ES38" s="49">
        <f t="shared" si="1188"/>
        <v>0</v>
      </c>
      <c r="ET38" s="49">
        <f t="shared" si="1188"/>
        <v>0</v>
      </c>
      <c r="EU38" s="49">
        <f t="shared" si="1189"/>
        <v>0</v>
      </c>
      <c r="EV38" s="49">
        <f t="shared" si="1190"/>
        <v>0</v>
      </c>
      <c r="EW38" s="49">
        <f t="shared" si="1191"/>
        <v>0</v>
      </c>
      <c r="EX38" s="49">
        <f t="shared" si="1192"/>
        <v>0</v>
      </c>
      <c r="FA38" s="148" t="s">
        <v>56</v>
      </c>
      <c r="FB38" s="53">
        <f t="shared" si="1193"/>
        <v>0</v>
      </c>
      <c r="FC38" s="53">
        <f t="shared" si="1193"/>
        <v>0</v>
      </c>
      <c r="FD38" s="53">
        <f t="shared" si="1193"/>
        <v>0</v>
      </c>
      <c r="FE38" s="53">
        <f t="shared" si="1193"/>
        <v>0</v>
      </c>
      <c r="FF38" s="53">
        <f t="shared" si="1193"/>
        <v>0</v>
      </c>
      <c r="FG38" s="53">
        <f t="shared" si="1193"/>
        <v>0</v>
      </c>
      <c r="FH38" s="53">
        <f t="shared" si="1193"/>
        <v>0</v>
      </c>
      <c r="FI38" s="53">
        <f t="shared" si="1193"/>
        <v>0</v>
      </c>
      <c r="FJ38" s="53">
        <f t="shared" si="1193"/>
        <v>0</v>
      </c>
      <c r="FK38" s="53">
        <f t="shared" si="1193"/>
        <v>0</v>
      </c>
      <c r="FL38" s="53">
        <f t="shared" si="1193"/>
        <v>0</v>
      </c>
      <c r="FM38" s="53">
        <f t="shared" si="1193"/>
        <v>0</v>
      </c>
      <c r="FN38" s="53">
        <f t="shared" si="1194"/>
        <v>0</v>
      </c>
      <c r="FO38" s="53">
        <f t="shared" si="1195"/>
        <v>0</v>
      </c>
      <c r="FP38" s="53">
        <f t="shared" si="1196"/>
        <v>0</v>
      </c>
      <c r="FQ38" s="53">
        <f t="shared" si="1197"/>
        <v>0</v>
      </c>
      <c r="FT38" s="148" t="s">
        <v>56</v>
      </c>
      <c r="FU38" s="49">
        <f t="shared" si="1198"/>
        <v>0</v>
      </c>
      <c r="FV38" s="49">
        <f t="shared" si="1198"/>
        <v>0</v>
      </c>
      <c r="FW38" s="49">
        <f t="shared" si="1198"/>
        <v>0</v>
      </c>
      <c r="FX38" s="49">
        <f t="shared" si="1198"/>
        <v>0</v>
      </c>
      <c r="FY38" s="49">
        <f t="shared" si="1198"/>
        <v>0</v>
      </c>
      <c r="FZ38" s="49">
        <f t="shared" si="1198"/>
        <v>0</v>
      </c>
      <c r="GA38" s="49">
        <f t="shared" si="1198"/>
        <v>0</v>
      </c>
      <c r="GB38" s="49">
        <f t="shared" si="1198"/>
        <v>0</v>
      </c>
      <c r="GC38" s="49">
        <f t="shared" si="1198"/>
        <v>0</v>
      </c>
      <c r="GD38" s="49">
        <f t="shared" si="1198"/>
        <v>0</v>
      </c>
      <c r="GE38" s="49">
        <f t="shared" si="1198"/>
        <v>0</v>
      </c>
      <c r="GF38" s="49">
        <f t="shared" si="1198"/>
        <v>0</v>
      </c>
      <c r="GG38" s="49">
        <f t="shared" si="1199"/>
        <v>0</v>
      </c>
      <c r="GH38" s="49">
        <f t="shared" si="1200"/>
        <v>0</v>
      </c>
      <c r="GI38" s="49">
        <f t="shared" si="1201"/>
        <v>0</v>
      </c>
      <c r="GJ38" s="49">
        <f t="shared" si="1202"/>
        <v>0</v>
      </c>
      <c r="GM38" s="148" t="s">
        <v>56</v>
      </c>
      <c r="GN38" s="49">
        <f t="shared" si="1203"/>
        <v>0</v>
      </c>
      <c r="GO38" s="49">
        <f t="shared" si="1203"/>
        <v>0</v>
      </c>
      <c r="GP38" s="49">
        <f t="shared" si="1203"/>
        <v>0</v>
      </c>
      <c r="GQ38" s="49">
        <f t="shared" si="1203"/>
        <v>0</v>
      </c>
      <c r="GR38" s="49">
        <f t="shared" si="1203"/>
        <v>0</v>
      </c>
      <c r="GS38" s="49">
        <f t="shared" si="1203"/>
        <v>0</v>
      </c>
      <c r="GT38" s="49">
        <f t="shared" si="1203"/>
        <v>0</v>
      </c>
      <c r="GU38" s="49">
        <f t="shared" si="1203"/>
        <v>0</v>
      </c>
      <c r="GV38" s="49">
        <f t="shared" si="1203"/>
        <v>0</v>
      </c>
      <c r="GW38" s="49">
        <f t="shared" si="1203"/>
        <v>0</v>
      </c>
      <c r="GX38" s="49">
        <f t="shared" si="1203"/>
        <v>0</v>
      </c>
      <c r="GY38" s="49">
        <f t="shared" si="1203"/>
        <v>0</v>
      </c>
      <c r="GZ38" s="49">
        <f t="shared" si="1204"/>
        <v>0</v>
      </c>
      <c r="HA38" s="49">
        <f t="shared" si="1205"/>
        <v>0</v>
      </c>
      <c r="HB38" s="49">
        <f t="shared" si="1206"/>
        <v>0</v>
      </c>
      <c r="HC38" s="49">
        <f t="shared" si="1207"/>
        <v>0</v>
      </c>
      <c r="HF38" s="148" t="s">
        <v>56</v>
      </c>
      <c r="HG38" s="49">
        <f t="shared" si="1208"/>
        <v>0</v>
      </c>
      <c r="HH38" s="49">
        <f t="shared" si="1208"/>
        <v>0</v>
      </c>
      <c r="HI38" s="49">
        <f t="shared" si="1208"/>
        <v>0</v>
      </c>
      <c r="HJ38" s="49">
        <f t="shared" si="1208"/>
        <v>0</v>
      </c>
      <c r="HK38" s="49">
        <f t="shared" si="1208"/>
        <v>0</v>
      </c>
      <c r="HL38" s="49">
        <f t="shared" si="1208"/>
        <v>0</v>
      </c>
      <c r="HM38" s="49">
        <f t="shared" si="1208"/>
        <v>0</v>
      </c>
      <c r="HN38" s="49">
        <f t="shared" si="1208"/>
        <v>0</v>
      </c>
      <c r="HO38" s="49">
        <f t="shared" si="1208"/>
        <v>0</v>
      </c>
      <c r="HP38" s="49">
        <f t="shared" si="1208"/>
        <v>0</v>
      </c>
      <c r="HQ38" s="49">
        <f t="shared" si="1208"/>
        <v>0</v>
      </c>
      <c r="HR38" s="49">
        <f t="shared" si="1208"/>
        <v>0</v>
      </c>
      <c r="HS38" s="49">
        <f t="shared" si="1209"/>
        <v>0</v>
      </c>
      <c r="HT38" s="49">
        <f t="shared" si="1210"/>
        <v>0</v>
      </c>
      <c r="HU38" s="49">
        <f t="shared" si="1211"/>
        <v>0</v>
      </c>
      <c r="HV38" s="49">
        <f t="shared" si="1212"/>
        <v>0</v>
      </c>
      <c r="HY38" s="341" t="s">
        <v>56</v>
      </c>
      <c r="HZ38" s="338">
        <f t="shared" si="1213"/>
        <v>0</v>
      </c>
      <c r="IA38" s="338">
        <f t="shared" si="1213"/>
        <v>0</v>
      </c>
      <c r="IB38" s="338">
        <f t="shared" si="1213"/>
        <v>0</v>
      </c>
      <c r="IC38" s="338">
        <f t="shared" si="1213"/>
        <v>0</v>
      </c>
      <c r="ID38" s="338">
        <f t="shared" si="1213"/>
        <v>0</v>
      </c>
      <c r="IE38" s="338">
        <f t="shared" si="1213"/>
        <v>0</v>
      </c>
      <c r="IF38" s="338">
        <f t="shared" si="1213"/>
        <v>0</v>
      </c>
      <c r="IG38" s="338">
        <f t="shared" si="1213"/>
        <v>0</v>
      </c>
      <c r="IH38" s="338">
        <f t="shared" si="1213"/>
        <v>0</v>
      </c>
      <c r="II38" s="338">
        <f t="shared" si="1213"/>
        <v>0</v>
      </c>
      <c r="IJ38" s="338">
        <f t="shared" si="1213"/>
        <v>0</v>
      </c>
      <c r="IK38" s="338">
        <f t="shared" si="1213"/>
        <v>0</v>
      </c>
      <c r="IL38" s="338">
        <f t="shared" si="1214"/>
        <v>0</v>
      </c>
      <c r="IM38" s="338">
        <f t="shared" si="1215"/>
        <v>0</v>
      </c>
      <c r="IN38" s="338">
        <f t="shared" si="1216"/>
        <v>0</v>
      </c>
      <c r="IO38" s="338">
        <f t="shared" si="1217"/>
        <v>0</v>
      </c>
      <c r="IR38" s="341" t="s">
        <v>56</v>
      </c>
      <c r="IS38" s="338">
        <f t="shared" si="1218"/>
        <v>0</v>
      </c>
      <c r="IT38" s="338">
        <f t="shared" si="1218"/>
        <v>0</v>
      </c>
      <c r="IU38" s="338">
        <f t="shared" si="1218"/>
        <v>0</v>
      </c>
      <c r="IV38" s="338">
        <f t="shared" si="1218"/>
        <v>0</v>
      </c>
      <c r="IW38" s="338">
        <f t="shared" si="1218"/>
        <v>0</v>
      </c>
      <c r="IX38" s="338">
        <f t="shared" si="1218"/>
        <v>0</v>
      </c>
      <c r="IY38" s="338">
        <f t="shared" si="1218"/>
        <v>0</v>
      </c>
      <c r="IZ38" s="338">
        <f t="shared" si="1218"/>
        <v>0</v>
      </c>
      <c r="JA38" s="338">
        <f t="shared" si="1218"/>
        <v>0</v>
      </c>
      <c r="JB38" s="338">
        <f t="shared" si="1218"/>
        <v>0</v>
      </c>
      <c r="JC38" s="338">
        <f t="shared" si="1218"/>
        <v>0</v>
      </c>
      <c r="JD38" s="338">
        <f t="shared" si="1218"/>
        <v>0</v>
      </c>
      <c r="JE38" s="338">
        <f t="shared" si="1219"/>
        <v>0</v>
      </c>
      <c r="JF38" s="338">
        <f t="shared" si="1220"/>
        <v>0</v>
      </c>
      <c r="JG38" s="338">
        <f t="shared" si="1221"/>
        <v>0</v>
      </c>
      <c r="JH38" s="338">
        <f t="shared" si="1222"/>
        <v>0</v>
      </c>
      <c r="JK38" s="341" t="s">
        <v>56</v>
      </c>
      <c r="JL38" s="338">
        <f t="shared" si="1223"/>
        <v>0</v>
      </c>
      <c r="JM38" s="338">
        <f t="shared" si="1223"/>
        <v>0</v>
      </c>
      <c r="JN38" s="338">
        <f t="shared" si="1223"/>
        <v>0</v>
      </c>
      <c r="JO38" s="338">
        <f t="shared" si="1223"/>
        <v>0</v>
      </c>
      <c r="JP38" s="338">
        <f t="shared" si="1223"/>
        <v>0</v>
      </c>
      <c r="JQ38" s="338">
        <f t="shared" si="1223"/>
        <v>0</v>
      </c>
      <c r="JR38" s="338">
        <f t="shared" si="1223"/>
        <v>0</v>
      </c>
      <c r="JS38" s="338">
        <f t="shared" si="1223"/>
        <v>0</v>
      </c>
      <c r="JT38" s="338">
        <f t="shared" si="1223"/>
        <v>0</v>
      </c>
      <c r="JU38" s="338">
        <f t="shared" si="1223"/>
        <v>0</v>
      </c>
      <c r="JV38" s="338">
        <f t="shared" si="1223"/>
        <v>0</v>
      </c>
      <c r="JW38" s="338">
        <f t="shared" si="1223"/>
        <v>0</v>
      </c>
      <c r="JX38" s="338">
        <f t="shared" si="1224"/>
        <v>0</v>
      </c>
      <c r="JY38" s="338">
        <f t="shared" si="1225"/>
        <v>0</v>
      </c>
      <c r="JZ38" s="338">
        <f t="shared" si="1226"/>
        <v>0</v>
      </c>
      <c r="KA38" s="338">
        <f t="shared" si="1227"/>
        <v>0</v>
      </c>
      <c r="KD38" s="341" t="s">
        <v>56</v>
      </c>
      <c r="KE38" s="338">
        <f t="shared" si="1228"/>
        <v>0</v>
      </c>
      <c r="KF38" s="338">
        <f t="shared" si="1228"/>
        <v>0</v>
      </c>
      <c r="KG38" s="338">
        <f t="shared" si="1228"/>
        <v>0</v>
      </c>
      <c r="KH38" s="338">
        <f t="shared" si="1228"/>
        <v>0</v>
      </c>
      <c r="KI38" s="338">
        <f t="shared" si="1228"/>
        <v>0</v>
      </c>
      <c r="KJ38" s="338">
        <f t="shared" si="1228"/>
        <v>0</v>
      </c>
      <c r="KK38" s="338">
        <f t="shared" si="1228"/>
        <v>0</v>
      </c>
      <c r="KL38" s="338">
        <f t="shared" si="1228"/>
        <v>0</v>
      </c>
      <c r="KM38" s="338">
        <f t="shared" si="1228"/>
        <v>0</v>
      </c>
      <c r="KN38" s="338">
        <f t="shared" si="1228"/>
        <v>0</v>
      </c>
      <c r="KO38" s="338">
        <f t="shared" si="1228"/>
        <v>0</v>
      </c>
      <c r="KP38" s="338">
        <f t="shared" si="1228"/>
        <v>0</v>
      </c>
      <c r="KQ38" s="338">
        <f t="shared" si="1229"/>
        <v>0</v>
      </c>
      <c r="KR38" s="338">
        <f t="shared" si="1230"/>
        <v>0</v>
      </c>
      <c r="KS38" s="338">
        <f t="shared" si="1231"/>
        <v>0</v>
      </c>
      <c r="KT38" s="338">
        <f t="shared" si="1232"/>
        <v>0</v>
      </c>
      <c r="KW38" s="341" t="s">
        <v>56</v>
      </c>
      <c r="KX38" s="338">
        <f t="shared" si="1233"/>
        <v>0</v>
      </c>
      <c r="KY38" s="338">
        <f t="shared" si="1233"/>
        <v>0</v>
      </c>
      <c r="KZ38" s="338">
        <f t="shared" si="1233"/>
        <v>0</v>
      </c>
      <c r="LA38" s="338">
        <f t="shared" si="1233"/>
        <v>0</v>
      </c>
      <c r="LB38" s="338">
        <f t="shared" si="1233"/>
        <v>0</v>
      </c>
      <c r="LC38" s="338">
        <f t="shared" si="1233"/>
        <v>0</v>
      </c>
      <c r="LD38" s="338">
        <f t="shared" si="1233"/>
        <v>0</v>
      </c>
      <c r="LE38" s="338">
        <f t="shared" si="1233"/>
        <v>0</v>
      </c>
      <c r="LF38" s="338">
        <f t="shared" si="1233"/>
        <v>0</v>
      </c>
      <c r="LG38" s="338">
        <f t="shared" si="1233"/>
        <v>0</v>
      </c>
      <c r="LH38" s="338">
        <f t="shared" si="1233"/>
        <v>0</v>
      </c>
      <c r="LI38" s="338">
        <f t="shared" si="1233"/>
        <v>0</v>
      </c>
      <c r="LJ38" s="338">
        <f t="shared" si="1234"/>
        <v>0</v>
      </c>
      <c r="LK38" s="338">
        <f t="shared" si="1235"/>
        <v>0</v>
      </c>
      <c r="LL38" s="338">
        <f t="shared" si="1236"/>
        <v>0</v>
      </c>
      <c r="LM38" s="338">
        <f t="shared" si="1237"/>
        <v>0</v>
      </c>
      <c r="LP38" s="341" t="s">
        <v>56</v>
      </c>
      <c r="LQ38" s="338">
        <f t="shared" si="1238"/>
        <v>0</v>
      </c>
      <c r="LR38" s="338">
        <f t="shared" si="1238"/>
        <v>0</v>
      </c>
      <c r="LS38" s="338">
        <f t="shared" si="1238"/>
        <v>0</v>
      </c>
      <c r="LT38" s="338">
        <f t="shared" si="1238"/>
        <v>0</v>
      </c>
      <c r="LU38" s="338">
        <f t="shared" si="1238"/>
        <v>0</v>
      </c>
      <c r="LV38" s="338">
        <f t="shared" si="1238"/>
        <v>0</v>
      </c>
      <c r="LW38" s="338">
        <f t="shared" si="1238"/>
        <v>0</v>
      </c>
      <c r="LX38" s="338">
        <f t="shared" si="1238"/>
        <v>0</v>
      </c>
      <c r="LY38" s="338">
        <f t="shared" si="1238"/>
        <v>0</v>
      </c>
      <c r="LZ38" s="338">
        <f t="shared" si="1238"/>
        <v>0</v>
      </c>
      <c r="MA38" s="338">
        <f t="shared" si="1238"/>
        <v>0</v>
      </c>
      <c r="MB38" s="338">
        <f t="shared" si="1238"/>
        <v>0</v>
      </c>
      <c r="MC38" s="338">
        <f t="shared" si="1239"/>
        <v>0</v>
      </c>
      <c r="MD38" s="338">
        <f t="shared" si="1240"/>
        <v>0</v>
      </c>
      <c r="ME38" s="338">
        <f t="shared" si="1241"/>
        <v>0</v>
      </c>
      <c r="MF38" s="338">
        <f t="shared" si="1242"/>
        <v>0</v>
      </c>
      <c r="MI38" s="341" t="s">
        <v>56</v>
      </c>
      <c r="MJ38" s="338">
        <f t="shared" si="1243"/>
        <v>0</v>
      </c>
      <c r="MK38" s="338">
        <f t="shared" si="1243"/>
        <v>0</v>
      </c>
      <c r="ML38" s="338">
        <f t="shared" si="1243"/>
        <v>0</v>
      </c>
      <c r="MM38" s="338">
        <f t="shared" si="1243"/>
        <v>0</v>
      </c>
      <c r="MN38" s="338">
        <f t="shared" si="1243"/>
        <v>0</v>
      </c>
      <c r="MO38" s="338">
        <f t="shared" si="1243"/>
        <v>0</v>
      </c>
      <c r="MP38" s="338">
        <f t="shared" si="1243"/>
        <v>0</v>
      </c>
      <c r="MQ38" s="338">
        <f t="shared" si="1243"/>
        <v>0</v>
      </c>
      <c r="MR38" s="338">
        <f t="shared" si="1243"/>
        <v>0</v>
      </c>
      <c r="MS38" s="338">
        <f t="shared" si="1243"/>
        <v>0</v>
      </c>
      <c r="MT38" s="338">
        <f t="shared" si="1243"/>
        <v>0</v>
      </c>
      <c r="MU38" s="338">
        <f t="shared" si="1243"/>
        <v>0</v>
      </c>
      <c r="MV38" s="338">
        <f t="shared" si="1244"/>
        <v>0</v>
      </c>
      <c r="MW38" s="338">
        <f t="shared" si="1245"/>
        <v>0</v>
      </c>
      <c r="MX38" s="338">
        <f t="shared" si="1246"/>
        <v>0</v>
      </c>
      <c r="MY38" s="338">
        <f t="shared" si="1247"/>
        <v>0</v>
      </c>
      <c r="NB38" s="341" t="s">
        <v>56</v>
      </c>
      <c r="NC38" s="338">
        <f t="shared" si="1248"/>
        <v>0</v>
      </c>
      <c r="ND38" s="338">
        <f t="shared" si="1248"/>
        <v>0</v>
      </c>
      <c r="NE38" s="338">
        <f t="shared" si="1248"/>
        <v>0</v>
      </c>
      <c r="NF38" s="338">
        <f t="shared" si="1248"/>
        <v>0</v>
      </c>
      <c r="NG38" s="338">
        <f t="shared" si="1248"/>
        <v>0</v>
      </c>
      <c r="NH38" s="338">
        <f t="shared" si="1248"/>
        <v>0</v>
      </c>
      <c r="NI38" s="338">
        <f t="shared" si="1248"/>
        <v>0</v>
      </c>
      <c r="NJ38" s="338">
        <f t="shared" si="1248"/>
        <v>0</v>
      </c>
      <c r="NK38" s="338">
        <f t="shared" si="1248"/>
        <v>0</v>
      </c>
      <c r="NL38" s="338">
        <f t="shared" si="1248"/>
        <v>0</v>
      </c>
      <c r="NM38" s="338">
        <f t="shared" si="1248"/>
        <v>0</v>
      </c>
      <c r="NN38" s="338">
        <f t="shared" si="1248"/>
        <v>0</v>
      </c>
      <c r="NO38" s="338">
        <f t="shared" si="1249"/>
        <v>0</v>
      </c>
      <c r="NP38" s="338">
        <f t="shared" si="1250"/>
        <v>0</v>
      </c>
      <c r="NQ38" s="338">
        <f t="shared" si="1251"/>
        <v>0</v>
      </c>
      <c r="NR38" s="338">
        <f t="shared" si="1252"/>
        <v>0</v>
      </c>
    </row>
    <row r="39" spans="2:382" ht="12.75" customHeight="1" x14ac:dyDescent="0.25">
      <c r="B39" s="734"/>
      <c r="C39" s="148" t="s">
        <v>577</v>
      </c>
      <c r="D39" s="143"/>
      <c r="E39" s="127"/>
      <c r="F39" s="143"/>
      <c r="G39" s="127"/>
      <c r="H39" s="143"/>
      <c r="I39" s="127"/>
      <c r="J39" s="143"/>
      <c r="K39" s="127"/>
      <c r="L39" s="143"/>
      <c r="M39" s="127"/>
      <c r="N39" s="193"/>
      <c r="O39" s="194"/>
      <c r="P39" s="143"/>
      <c r="Q39" s="143"/>
      <c r="R39" s="143"/>
      <c r="S39" s="143"/>
      <c r="T39" s="318"/>
      <c r="U39" s="119"/>
      <c r="V39" s="148" t="s">
        <v>577</v>
      </c>
      <c r="W39" s="100">
        <f>'Ecoinvent 3.10'!M$11</f>
        <v>1.3814716995952694</v>
      </c>
      <c r="X39" s="100">
        <f>'Ecoinvent 3.10'!N$11</f>
        <v>0.35428999999999999</v>
      </c>
      <c r="Y39" s="100">
        <f>'Ecoinvent 3.10'!O$11</f>
        <v>5.5420999999999996</v>
      </c>
      <c r="Z39" s="100">
        <f>'Ecoinvent 3.10'!P$11</f>
        <v>3.2816999999999998E-3</v>
      </c>
      <c r="AA39" s="100">
        <f>'Ecoinvent 3.10'!Q$11</f>
        <v>7.8510000000000003E-3</v>
      </c>
      <c r="AB39" s="100">
        <f>'Ecoinvent 3.10'!R$11</f>
        <v>1.6954E-2</v>
      </c>
      <c r="AC39" s="100">
        <f>'Ecoinvent 3.10'!S$11</f>
        <v>1.9572E-4</v>
      </c>
      <c r="AD39" s="100">
        <f>'Ecoinvent 3.10'!T$11</f>
        <v>4.8223000000000002E-2</v>
      </c>
      <c r="AE39" s="100">
        <f>'Ecoinvent 3.10'!U$11</f>
        <v>0.13572000000000001</v>
      </c>
      <c r="AF39" s="100">
        <f>'Ecoinvent 3.10'!V$11</f>
        <v>0.88431999999999999</v>
      </c>
      <c r="AG39" s="328">
        <f>'Ecoinvent 3.10'!W$11</f>
        <v>8.7633999999999997E-4</v>
      </c>
      <c r="AH39" s="328">
        <f>'Ecoinvent 3.10'!X$11</f>
        <v>8.2319000000000003E-2</v>
      </c>
      <c r="AI39" s="328">
        <f>'Ecoinvent 3.10'!Y$11</f>
        <v>2.2055000000000002E-2</v>
      </c>
      <c r="AJ39" s="328">
        <f>'Ecoinvent 3.10'!Z$11</f>
        <v>2.8549999999999999E-2</v>
      </c>
      <c r="AK39" s="328">
        <f>'Ecoinvent 3.10'!AA$11</f>
        <v>6.6274E-2</v>
      </c>
      <c r="AL39" s="328">
        <f>'Ecoinvent 3.10'!AB$11</f>
        <v>3.4752999999999997E-5</v>
      </c>
      <c r="AM39" s="328">
        <f>'Ecoinvent 3.10'!AC$11</f>
        <v>1.0039999999999999E-3</v>
      </c>
      <c r="AN39" s="328">
        <f>'Ecoinvent 3.10'!AD$11</f>
        <v>9.7287000000000003E-4</v>
      </c>
      <c r="AO39" s="119"/>
      <c r="AP39" s="8"/>
      <c r="AQ39" s="148" t="s">
        <v>577</v>
      </c>
      <c r="AR39" s="49">
        <f t="shared" ref="AR39" si="1253">D39*$W39</f>
        <v>0</v>
      </c>
      <c r="AS39" s="50">
        <f t="shared" ref="AS39" si="1254">E39*$W39</f>
        <v>0</v>
      </c>
      <c r="AT39" s="49">
        <f t="shared" ref="AT39" si="1255">F39*$W39</f>
        <v>0</v>
      </c>
      <c r="AU39" s="50">
        <f t="shared" ref="AU39" si="1256">G39*$W39</f>
        <v>0</v>
      </c>
      <c r="AV39" s="49">
        <f t="shared" ref="AV39" si="1257">H39*$W39</f>
        <v>0</v>
      </c>
      <c r="AW39" s="50">
        <f t="shared" ref="AW39" si="1258">I39*$W39</f>
        <v>0</v>
      </c>
      <c r="AX39" s="49">
        <f t="shared" ref="AX39" si="1259">J39*$W39</f>
        <v>0</v>
      </c>
      <c r="AY39" s="50">
        <f t="shared" ref="AY39" si="1260">K39*$W39</f>
        <v>0</v>
      </c>
      <c r="AZ39" s="49">
        <f t="shared" ref="AZ39" si="1261">L39*$W39</f>
        <v>0</v>
      </c>
      <c r="BA39" s="50">
        <f t="shared" ref="BA39" si="1262">M39*$W39</f>
        <v>0</v>
      </c>
      <c r="BB39" s="49">
        <f t="shared" ref="BB39" si="1263">N39*$W39</f>
        <v>0</v>
      </c>
      <c r="BC39" s="50">
        <f t="shared" ref="BC39" si="1264">O39*$W39</f>
        <v>0</v>
      </c>
      <c r="BD39" s="49">
        <f t="shared" ref="BD39" si="1265">P39*$W39</f>
        <v>0</v>
      </c>
      <c r="BE39" s="50">
        <f t="shared" ref="BE39" si="1266">Q39*$W39</f>
        <v>0</v>
      </c>
      <c r="BF39" s="49">
        <f t="shared" ref="BF39" si="1267">R39*$W39</f>
        <v>0</v>
      </c>
      <c r="BG39" s="50">
        <f t="shared" ref="BG39" si="1268">S39*$W39</f>
        <v>0</v>
      </c>
      <c r="BI39" s="156"/>
      <c r="BJ39" s="148" t="s">
        <v>577</v>
      </c>
      <c r="BK39" s="49">
        <f t="shared" si="1169"/>
        <v>0</v>
      </c>
      <c r="BL39" s="49">
        <f t="shared" si="1170"/>
        <v>0</v>
      </c>
      <c r="BM39" s="49">
        <f t="shared" si="1171"/>
        <v>0</v>
      </c>
      <c r="BN39" s="49">
        <f t="shared" si="1172"/>
        <v>0</v>
      </c>
      <c r="BO39" s="49">
        <f t="shared" si="1173"/>
        <v>0</v>
      </c>
      <c r="BP39" s="49">
        <f t="shared" si="1174"/>
        <v>0</v>
      </c>
      <c r="BQ39" s="49">
        <f t="shared" si="1175"/>
        <v>0</v>
      </c>
      <c r="BR39" s="49">
        <f t="shared" si="1176"/>
        <v>0</v>
      </c>
      <c r="BS39" s="49">
        <f t="shared" si="1177"/>
        <v>0</v>
      </c>
      <c r="BT39" s="49">
        <f t="shared" si="1178"/>
        <v>0</v>
      </c>
      <c r="BU39" s="49">
        <f t="shared" si="1179"/>
        <v>0</v>
      </c>
      <c r="BV39" s="49">
        <f t="shared" si="1180"/>
        <v>0</v>
      </c>
      <c r="BW39" s="49">
        <f t="shared" si="1181"/>
        <v>0</v>
      </c>
      <c r="BX39" s="49">
        <f t="shared" si="1182"/>
        <v>0</v>
      </c>
      <c r="BY39" s="49">
        <f t="shared" si="1183"/>
        <v>0</v>
      </c>
      <c r="BZ39" s="49">
        <f t="shared" si="1184"/>
        <v>0</v>
      </c>
      <c r="CA39" s="156"/>
      <c r="CB39" s="156"/>
      <c r="CC39" s="148" t="s">
        <v>577</v>
      </c>
      <c r="CD39" s="49">
        <f t="shared" si="1185"/>
        <v>0</v>
      </c>
      <c r="CE39" s="49">
        <f t="shared" si="1185"/>
        <v>0</v>
      </c>
      <c r="CF39" s="49">
        <f t="shared" si="1185"/>
        <v>0</v>
      </c>
      <c r="CG39" s="49">
        <f t="shared" si="1185"/>
        <v>0</v>
      </c>
      <c r="CH39" s="49">
        <f t="shared" si="1185"/>
        <v>0</v>
      </c>
      <c r="CI39" s="49">
        <f t="shared" si="1185"/>
        <v>0</v>
      </c>
      <c r="CJ39" s="49">
        <f t="shared" si="1185"/>
        <v>0</v>
      </c>
      <c r="CK39" s="49">
        <f t="shared" si="1185"/>
        <v>0</v>
      </c>
      <c r="CL39" s="49">
        <f t="shared" si="1185"/>
        <v>0</v>
      </c>
      <c r="CM39" s="49">
        <f t="shared" si="1185"/>
        <v>0</v>
      </c>
      <c r="CN39" s="49">
        <f t="shared" si="1185"/>
        <v>0</v>
      </c>
      <c r="CO39" s="220">
        <f t="shared" si="1185"/>
        <v>0</v>
      </c>
      <c r="CP39" s="49">
        <f t="shared" si="1185"/>
        <v>0</v>
      </c>
      <c r="CQ39" s="49">
        <f t="shared" si="1185"/>
        <v>0</v>
      </c>
      <c r="CR39" s="49">
        <f t="shared" si="1185"/>
        <v>0</v>
      </c>
      <c r="CS39" s="220">
        <f t="shared" si="1185"/>
        <v>0</v>
      </c>
      <c r="CV39" s="148" t="s">
        <v>577</v>
      </c>
      <c r="CW39" s="49">
        <f t="shared" si="1186"/>
        <v>0</v>
      </c>
      <c r="CX39" s="49">
        <f t="shared" si="1186"/>
        <v>0</v>
      </c>
      <c r="CY39" s="49">
        <f t="shared" si="1186"/>
        <v>0</v>
      </c>
      <c r="CZ39" s="49">
        <f t="shared" si="1186"/>
        <v>0</v>
      </c>
      <c r="DA39" s="49">
        <f t="shared" si="1186"/>
        <v>0</v>
      </c>
      <c r="DB39" s="49">
        <f t="shared" si="1186"/>
        <v>0</v>
      </c>
      <c r="DC39" s="49">
        <f t="shared" si="1186"/>
        <v>0</v>
      </c>
      <c r="DD39" s="49">
        <f t="shared" si="1186"/>
        <v>0</v>
      </c>
      <c r="DE39" s="49">
        <f t="shared" si="1186"/>
        <v>0</v>
      </c>
      <c r="DF39" s="49">
        <f t="shared" si="1186"/>
        <v>0</v>
      </c>
      <c r="DG39" s="49">
        <f t="shared" si="1186"/>
        <v>0</v>
      </c>
      <c r="DH39" s="49">
        <f t="shared" si="1186"/>
        <v>0</v>
      </c>
      <c r="DI39" s="49">
        <f t="shared" si="1186"/>
        <v>0</v>
      </c>
      <c r="DJ39" s="49">
        <f t="shared" si="1186"/>
        <v>0</v>
      </c>
      <c r="DK39" s="49">
        <f t="shared" si="1186"/>
        <v>0</v>
      </c>
      <c r="DL39" s="49">
        <f t="shared" si="1186"/>
        <v>0</v>
      </c>
      <c r="DO39" s="148" t="s">
        <v>577</v>
      </c>
      <c r="DP39" s="49">
        <f t="shared" si="1187"/>
        <v>0</v>
      </c>
      <c r="DQ39" s="49">
        <f t="shared" si="1187"/>
        <v>0</v>
      </c>
      <c r="DR39" s="49">
        <f t="shared" si="1187"/>
        <v>0</v>
      </c>
      <c r="DS39" s="49">
        <f t="shared" si="1187"/>
        <v>0</v>
      </c>
      <c r="DT39" s="49">
        <f t="shared" si="1187"/>
        <v>0</v>
      </c>
      <c r="DU39" s="49">
        <f t="shared" si="1187"/>
        <v>0</v>
      </c>
      <c r="DV39" s="49">
        <f t="shared" si="1187"/>
        <v>0</v>
      </c>
      <c r="DW39" s="49">
        <f t="shared" si="1187"/>
        <v>0</v>
      </c>
      <c r="DX39" s="49">
        <f t="shared" si="1187"/>
        <v>0</v>
      </c>
      <c r="DY39" s="49">
        <f t="shared" si="1187"/>
        <v>0</v>
      </c>
      <c r="DZ39" s="49">
        <f t="shared" si="1187"/>
        <v>0</v>
      </c>
      <c r="EA39" s="49">
        <f t="shared" si="1187"/>
        <v>0</v>
      </c>
      <c r="EB39" s="49">
        <f t="shared" si="1187"/>
        <v>0</v>
      </c>
      <c r="EC39" s="49">
        <f t="shared" si="1187"/>
        <v>0</v>
      </c>
      <c r="ED39" s="49">
        <f t="shared" si="1187"/>
        <v>0</v>
      </c>
      <c r="EE39" s="49">
        <f t="shared" si="1187"/>
        <v>0</v>
      </c>
      <c r="EH39" s="148" t="s">
        <v>577</v>
      </c>
      <c r="EI39" s="49">
        <f t="shared" ref="EI39" si="1269">D39*$AB39</f>
        <v>0</v>
      </c>
      <c r="EJ39" s="49">
        <f t="shared" ref="EJ39" si="1270">E39*$AB39</f>
        <v>0</v>
      </c>
      <c r="EK39" s="49">
        <f t="shared" ref="EK39" si="1271">F39*$AB39</f>
        <v>0</v>
      </c>
      <c r="EL39" s="49">
        <f t="shared" ref="EL39" si="1272">G39*$AB39</f>
        <v>0</v>
      </c>
      <c r="EM39" s="49">
        <f t="shared" ref="EM39" si="1273">H39*$AB39</f>
        <v>0</v>
      </c>
      <c r="EN39" s="49">
        <f t="shared" ref="EN39" si="1274">I39*$AB39</f>
        <v>0</v>
      </c>
      <c r="EO39" s="49">
        <f t="shared" ref="EO39" si="1275">J39*$AB39</f>
        <v>0</v>
      </c>
      <c r="EP39" s="49">
        <f t="shared" ref="EP39" si="1276">K39*$AB39</f>
        <v>0</v>
      </c>
      <c r="EQ39" s="49">
        <f t="shared" ref="EQ39" si="1277">L39*$AB39</f>
        <v>0</v>
      </c>
      <c r="ER39" s="49">
        <f t="shared" ref="ER39" si="1278">M39*$AB39</f>
        <v>0</v>
      </c>
      <c r="ES39" s="49">
        <f t="shared" ref="ES39" si="1279">N39*$AB39</f>
        <v>0</v>
      </c>
      <c r="ET39" s="49">
        <f t="shared" ref="ET39" si="1280">O39*$AB39</f>
        <v>0</v>
      </c>
      <c r="EU39" s="49">
        <f t="shared" ref="EU39" si="1281">P39*$AB39</f>
        <v>0</v>
      </c>
      <c r="EV39" s="49">
        <f t="shared" ref="EV39" si="1282">Q39*$AB39</f>
        <v>0</v>
      </c>
      <c r="EW39" s="49">
        <f t="shared" ref="EW39" si="1283">R39*$AB39</f>
        <v>0</v>
      </c>
      <c r="EX39" s="49">
        <f t="shared" ref="EX39" si="1284">S39*$AB39</f>
        <v>0</v>
      </c>
      <c r="FA39" s="148" t="s">
        <v>577</v>
      </c>
      <c r="FB39" s="53">
        <f t="shared" ref="FB39" si="1285">D39*$AC39</f>
        <v>0</v>
      </c>
      <c r="FC39" s="53">
        <f t="shared" ref="FC39" si="1286">E39*$AC39</f>
        <v>0</v>
      </c>
      <c r="FD39" s="53">
        <f t="shared" ref="FD39" si="1287">F39*$AC39</f>
        <v>0</v>
      </c>
      <c r="FE39" s="53">
        <f t="shared" ref="FE39" si="1288">G39*$AC39</f>
        <v>0</v>
      </c>
      <c r="FF39" s="53">
        <f t="shared" ref="FF39" si="1289">H39*$AC39</f>
        <v>0</v>
      </c>
      <c r="FG39" s="53">
        <f t="shared" ref="FG39" si="1290">I39*$AC39</f>
        <v>0</v>
      </c>
      <c r="FH39" s="53">
        <f t="shared" ref="FH39" si="1291">J39*$AC39</f>
        <v>0</v>
      </c>
      <c r="FI39" s="53">
        <f t="shared" ref="FI39" si="1292">K39*$AC39</f>
        <v>0</v>
      </c>
      <c r="FJ39" s="53">
        <f t="shared" ref="FJ39" si="1293">L39*$AC39</f>
        <v>0</v>
      </c>
      <c r="FK39" s="53">
        <f t="shared" ref="FK39" si="1294">M39*$AC39</f>
        <v>0</v>
      </c>
      <c r="FL39" s="53">
        <f t="shared" ref="FL39" si="1295">N39*$AC39</f>
        <v>0</v>
      </c>
      <c r="FM39" s="53">
        <f t="shared" ref="FM39" si="1296">O39*$AC39</f>
        <v>0</v>
      </c>
      <c r="FN39" s="53">
        <f t="shared" ref="FN39" si="1297">P39*$AC39</f>
        <v>0</v>
      </c>
      <c r="FO39" s="53">
        <f t="shared" ref="FO39" si="1298">Q39*$AC39</f>
        <v>0</v>
      </c>
      <c r="FP39" s="53">
        <f t="shared" ref="FP39" si="1299">R39*$AC39</f>
        <v>0</v>
      </c>
      <c r="FQ39" s="53">
        <f t="shared" ref="FQ39" si="1300">S39*$AC39</f>
        <v>0</v>
      </c>
      <c r="FT39" s="148" t="s">
        <v>577</v>
      </c>
      <c r="FU39" s="49">
        <f t="shared" ref="FU39" si="1301">D39*$AD39</f>
        <v>0</v>
      </c>
      <c r="FV39" s="49">
        <f t="shared" ref="FV39" si="1302">E39*$AD39</f>
        <v>0</v>
      </c>
      <c r="FW39" s="49">
        <f t="shared" ref="FW39" si="1303">F39*$AD39</f>
        <v>0</v>
      </c>
      <c r="FX39" s="49">
        <f t="shared" ref="FX39" si="1304">G39*$AD39</f>
        <v>0</v>
      </c>
      <c r="FY39" s="49">
        <f t="shared" ref="FY39" si="1305">H39*$AD39</f>
        <v>0</v>
      </c>
      <c r="FZ39" s="49">
        <f t="shared" ref="FZ39" si="1306">I39*$AD39</f>
        <v>0</v>
      </c>
      <c r="GA39" s="49">
        <f t="shared" ref="GA39" si="1307">J39*$AD39</f>
        <v>0</v>
      </c>
      <c r="GB39" s="49">
        <f t="shared" ref="GB39" si="1308">K39*$AD39</f>
        <v>0</v>
      </c>
      <c r="GC39" s="49">
        <f t="shared" ref="GC39" si="1309">L39*$AD39</f>
        <v>0</v>
      </c>
      <c r="GD39" s="49">
        <f t="shared" ref="GD39" si="1310">M39*$AD39</f>
        <v>0</v>
      </c>
      <c r="GE39" s="49">
        <f t="shared" ref="GE39" si="1311">N39*$AD39</f>
        <v>0</v>
      </c>
      <c r="GF39" s="49">
        <f t="shared" ref="GF39" si="1312">O39*$AD39</f>
        <v>0</v>
      </c>
      <c r="GG39" s="49">
        <f t="shared" ref="GG39" si="1313">P39*$AD39</f>
        <v>0</v>
      </c>
      <c r="GH39" s="49">
        <f t="shared" ref="GH39" si="1314">Q39*$AD39</f>
        <v>0</v>
      </c>
      <c r="GI39" s="49">
        <f t="shared" ref="GI39" si="1315">R39*$AD39</f>
        <v>0</v>
      </c>
      <c r="GJ39" s="49">
        <f t="shared" ref="GJ39" si="1316">S39*$AD39</f>
        <v>0</v>
      </c>
      <c r="GM39" s="148" t="s">
        <v>577</v>
      </c>
      <c r="GN39" s="49">
        <f t="shared" ref="GN39" si="1317">D39*$AE39</f>
        <v>0</v>
      </c>
      <c r="GO39" s="49">
        <f t="shared" ref="GO39" si="1318">E39*$AE39</f>
        <v>0</v>
      </c>
      <c r="GP39" s="49">
        <f t="shared" ref="GP39" si="1319">F39*$AE39</f>
        <v>0</v>
      </c>
      <c r="GQ39" s="49">
        <f t="shared" ref="GQ39" si="1320">G39*$AE39</f>
        <v>0</v>
      </c>
      <c r="GR39" s="49">
        <f t="shared" ref="GR39" si="1321">H39*$AE39</f>
        <v>0</v>
      </c>
      <c r="GS39" s="49">
        <f t="shared" ref="GS39" si="1322">I39*$AE39</f>
        <v>0</v>
      </c>
      <c r="GT39" s="49">
        <f t="shared" ref="GT39" si="1323">J39*$AE39</f>
        <v>0</v>
      </c>
      <c r="GU39" s="49">
        <f t="shared" ref="GU39" si="1324">K39*$AE39</f>
        <v>0</v>
      </c>
      <c r="GV39" s="49">
        <f t="shared" ref="GV39" si="1325">L39*$AE39</f>
        <v>0</v>
      </c>
      <c r="GW39" s="49">
        <f t="shared" ref="GW39" si="1326">M39*$AE39</f>
        <v>0</v>
      </c>
      <c r="GX39" s="49">
        <f t="shared" ref="GX39" si="1327">N39*$AE39</f>
        <v>0</v>
      </c>
      <c r="GY39" s="49">
        <f t="shared" ref="GY39" si="1328">O39*$AE39</f>
        <v>0</v>
      </c>
      <c r="GZ39" s="49">
        <f t="shared" ref="GZ39" si="1329">P39*$AE39</f>
        <v>0</v>
      </c>
      <c r="HA39" s="49">
        <f t="shared" ref="HA39" si="1330">Q39*$AE39</f>
        <v>0</v>
      </c>
      <c r="HB39" s="49">
        <f t="shared" ref="HB39" si="1331">R39*$AE39</f>
        <v>0</v>
      </c>
      <c r="HC39" s="49">
        <f t="shared" ref="HC39" si="1332">S39*$AE39</f>
        <v>0</v>
      </c>
      <c r="HF39" s="148" t="s">
        <v>577</v>
      </c>
      <c r="HG39" s="49">
        <f t="shared" ref="HG39" si="1333">D39*$AF39</f>
        <v>0</v>
      </c>
      <c r="HH39" s="49">
        <f t="shared" ref="HH39" si="1334">E39*$AF39</f>
        <v>0</v>
      </c>
      <c r="HI39" s="49">
        <f t="shared" ref="HI39" si="1335">F39*$AF39</f>
        <v>0</v>
      </c>
      <c r="HJ39" s="49">
        <f t="shared" ref="HJ39" si="1336">G39*$AF39</f>
        <v>0</v>
      </c>
      <c r="HK39" s="49">
        <f t="shared" ref="HK39" si="1337">H39*$AF39</f>
        <v>0</v>
      </c>
      <c r="HL39" s="49">
        <f t="shared" ref="HL39" si="1338">I39*$AF39</f>
        <v>0</v>
      </c>
      <c r="HM39" s="49">
        <f t="shared" ref="HM39" si="1339">J39*$AF39</f>
        <v>0</v>
      </c>
      <c r="HN39" s="49">
        <f t="shared" ref="HN39" si="1340">K39*$AF39</f>
        <v>0</v>
      </c>
      <c r="HO39" s="49">
        <f t="shared" ref="HO39" si="1341">L39*$AF39</f>
        <v>0</v>
      </c>
      <c r="HP39" s="49">
        <f t="shared" ref="HP39" si="1342">M39*$AF39</f>
        <v>0</v>
      </c>
      <c r="HQ39" s="49">
        <f t="shared" ref="HQ39" si="1343">N39*$AF39</f>
        <v>0</v>
      </c>
      <c r="HR39" s="49">
        <f t="shared" ref="HR39" si="1344">O39*$AF39</f>
        <v>0</v>
      </c>
      <c r="HS39" s="49">
        <f t="shared" ref="HS39" si="1345">P39*$AF39</f>
        <v>0</v>
      </c>
      <c r="HT39" s="49">
        <f t="shared" ref="HT39" si="1346">Q39*$AF39</f>
        <v>0</v>
      </c>
      <c r="HU39" s="49">
        <f t="shared" ref="HU39" si="1347">R39*$AF39</f>
        <v>0</v>
      </c>
      <c r="HV39" s="49">
        <f t="shared" ref="HV39" si="1348">S39*$AF39</f>
        <v>0</v>
      </c>
      <c r="HY39" s="341" t="s">
        <v>712</v>
      </c>
      <c r="HZ39" s="338">
        <f t="shared" ref="HZ39" si="1349">D39*$AG39</f>
        <v>0</v>
      </c>
      <c r="IA39" s="338">
        <f t="shared" ref="IA39" si="1350">E39*$AG39</f>
        <v>0</v>
      </c>
      <c r="IB39" s="338">
        <f t="shared" ref="IB39" si="1351">F39*$AG39</f>
        <v>0</v>
      </c>
      <c r="IC39" s="338">
        <f t="shared" ref="IC39" si="1352">G39*$AG39</f>
        <v>0</v>
      </c>
      <c r="ID39" s="338">
        <f t="shared" ref="ID39" si="1353">H39*$AG39</f>
        <v>0</v>
      </c>
      <c r="IE39" s="338">
        <f t="shared" ref="IE39" si="1354">I39*$AG39</f>
        <v>0</v>
      </c>
      <c r="IF39" s="338">
        <f t="shared" ref="IF39" si="1355">J39*$AG39</f>
        <v>0</v>
      </c>
      <c r="IG39" s="338">
        <f t="shared" ref="IG39" si="1356">K39*$AG39</f>
        <v>0</v>
      </c>
      <c r="IH39" s="338">
        <f t="shared" ref="IH39" si="1357">L39*$AG39</f>
        <v>0</v>
      </c>
      <c r="II39" s="338">
        <f t="shared" ref="II39" si="1358">M39*$AG39</f>
        <v>0</v>
      </c>
      <c r="IJ39" s="338">
        <f t="shared" ref="IJ39" si="1359">N39*$AG39</f>
        <v>0</v>
      </c>
      <c r="IK39" s="338">
        <f t="shared" ref="IK39" si="1360">O39*$AG39</f>
        <v>0</v>
      </c>
      <c r="IL39" s="338">
        <f t="shared" ref="IL39" si="1361">P39*$AG39</f>
        <v>0</v>
      </c>
      <c r="IM39" s="338">
        <f t="shared" ref="IM39" si="1362">Q39*$AG39</f>
        <v>0</v>
      </c>
      <c r="IN39" s="338">
        <f t="shared" ref="IN39" si="1363">R39*$AG39</f>
        <v>0</v>
      </c>
      <c r="IO39" s="338">
        <f t="shared" ref="IO39" si="1364">S39*$AG39</f>
        <v>0</v>
      </c>
      <c r="IR39" s="341" t="s">
        <v>712</v>
      </c>
      <c r="IS39" s="338">
        <f t="shared" ref="IS39" si="1365">D39*$AH39</f>
        <v>0</v>
      </c>
      <c r="IT39" s="338">
        <f t="shared" ref="IT39" si="1366">E39*$AH39</f>
        <v>0</v>
      </c>
      <c r="IU39" s="338">
        <f t="shared" ref="IU39" si="1367">F39*$AH39</f>
        <v>0</v>
      </c>
      <c r="IV39" s="338">
        <f t="shared" ref="IV39" si="1368">G39*$AH39</f>
        <v>0</v>
      </c>
      <c r="IW39" s="338">
        <f t="shared" ref="IW39" si="1369">H39*$AH39</f>
        <v>0</v>
      </c>
      <c r="IX39" s="338">
        <f t="shared" ref="IX39" si="1370">I39*$AH39</f>
        <v>0</v>
      </c>
      <c r="IY39" s="338">
        <f t="shared" ref="IY39" si="1371">J39*$AH39</f>
        <v>0</v>
      </c>
      <c r="IZ39" s="338">
        <f t="shared" ref="IZ39" si="1372">K39*$AH39</f>
        <v>0</v>
      </c>
      <c r="JA39" s="338">
        <f t="shared" ref="JA39" si="1373">L39*$AH39</f>
        <v>0</v>
      </c>
      <c r="JB39" s="338">
        <f t="shared" ref="JB39" si="1374">M39*$AH39</f>
        <v>0</v>
      </c>
      <c r="JC39" s="338">
        <f t="shared" ref="JC39" si="1375">N39*$AH39</f>
        <v>0</v>
      </c>
      <c r="JD39" s="338">
        <f t="shared" ref="JD39" si="1376">O39*$AH39</f>
        <v>0</v>
      </c>
      <c r="JE39" s="338">
        <f t="shared" ref="JE39" si="1377">P39*$AH39</f>
        <v>0</v>
      </c>
      <c r="JF39" s="338">
        <f t="shared" ref="JF39" si="1378">Q39*$AH39</f>
        <v>0</v>
      </c>
      <c r="JG39" s="338">
        <f t="shared" ref="JG39" si="1379">R39*$AH39</f>
        <v>0</v>
      </c>
      <c r="JH39" s="338">
        <f t="shared" ref="JH39" si="1380">S39*$AH39</f>
        <v>0</v>
      </c>
      <c r="JK39" s="341" t="s">
        <v>712</v>
      </c>
      <c r="JL39" s="338">
        <f t="shared" ref="JL39" si="1381">D39*$AI39</f>
        <v>0</v>
      </c>
      <c r="JM39" s="338">
        <f t="shared" ref="JM39" si="1382">E39*$AI39</f>
        <v>0</v>
      </c>
      <c r="JN39" s="338">
        <f t="shared" ref="JN39" si="1383">F39*$AI39</f>
        <v>0</v>
      </c>
      <c r="JO39" s="338">
        <f t="shared" ref="JO39" si="1384">G39*$AI39</f>
        <v>0</v>
      </c>
      <c r="JP39" s="338">
        <f t="shared" ref="JP39" si="1385">H39*$AI39</f>
        <v>0</v>
      </c>
      <c r="JQ39" s="338">
        <f t="shared" ref="JQ39" si="1386">I39*$AI39</f>
        <v>0</v>
      </c>
      <c r="JR39" s="338">
        <f t="shared" ref="JR39" si="1387">J39*$AI39</f>
        <v>0</v>
      </c>
      <c r="JS39" s="338">
        <f t="shared" ref="JS39" si="1388">K39*$AI39</f>
        <v>0</v>
      </c>
      <c r="JT39" s="338">
        <f t="shared" ref="JT39" si="1389">L39*$AI39</f>
        <v>0</v>
      </c>
      <c r="JU39" s="338">
        <f t="shared" ref="JU39" si="1390">M39*$AI39</f>
        <v>0</v>
      </c>
      <c r="JV39" s="338">
        <f t="shared" ref="JV39" si="1391">N39*$AI39</f>
        <v>0</v>
      </c>
      <c r="JW39" s="338">
        <f t="shared" ref="JW39" si="1392">O39*$AI39</f>
        <v>0</v>
      </c>
      <c r="JX39" s="338">
        <f t="shared" ref="JX39" si="1393">P39*$AI39</f>
        <v>0</v>
      </c>
      <c r="JY39" s="338">
        <f t="shared" ref="JY39" si="1394">Q39*$AI39</f>
        <v>0</v>
      </c>
      <c r="JZ39" s="338">
        <f t="shared" ref="JZ39" si="1395">R39*$AI39</f>
        <v>0</v>
      </c>
      <c r="KA39" s="338">
        <f t="shared" ref="KA39" si="1396">S39*$AI39</f>
        <v>0</v>
      </c>
      <c r="KD39" s="341" t="s">
        <v>712</v>
      </c>
      <c r="KE39" s="338">
        <f t="shared" ref="KE39" si="1397">D39*$AJ39</f>
        <v>0</v>
      </c>
      <c r="KF39" s="338">
        <f t="shared" ref="KF39" si="1398">E39*$AJ39</f>
        <v>0</v>
      </c>
      <c r="KG39" s="338">
        <f t="shared" ref="KG39" si="1399">F39*$AJ39</f>
        <v>0</v>
      </c>
      <c r="KH39" s="338">
        <f t="shared" ref="KH39" si="1400">G39*$AJ39</f>
        <v>0</v>
      </c>
      <c r="KI39" s="338">
        <f t="shared" ref="KI39" si="1401">H39*$AJ39</f>
        <v>0</v>
      </c>
      <c r="KJ39" s="338">
        <f t="shared" ref="KJ39" si="1402">I39*$AJ39</f>
        <v>0</v>
      </c>
      <c r="KK39" s="338">
        <f t="shared" ref="KK39" si="1403">J39*$AJ39</f>
        <v>0</v>
      </c>
      <c r="KL39" s="338">
        <f t="shared" ref="KL39" si="1404">K39*$AJ39</f>
        <v>0</v>
      </c>
      <c r="KM39" s="338">
        <f t="shared" ref="KM39" si="1405">L39*$AJ39</f>
        <v>0</v>
      </c>
      <c r="KN39" s="338">
        <f t="shared" ref="KN39" si="1406">M39*$AJ39</f>
        <v>0</v>
      </c>
      <c r="KO39" s="338">
        <f t="shared" ref="KO39" si="1407">N39*$AJ39</f>
        <v>0</v>
      </c>
      <c r="KP39" s="338">
        <f t="shared" ref="KP39" si="1408">O39*$AJ39</f>
        <v>0</v>
      </c>
      <c r="KQ39" s="338">
        <f t="shared" ref="KQ39" si="1409">P39*$AJ39</f>
        <v>0</v>
      </c>
      <c r="KR39" s="338">
        <f t="shared" ref="KR39" si="1410">Q39*$AJ39</f>
        <v>0</v>
      </c>
      <c r="KS39" s="338">
        <f t="shared" ref="KS39" si="1411">R39*$AJ39</f>
        <v>0</v>
      </c>
      <c r="KT39" s="338">
        <f t="shared" ref="KT39" si="1412">S39*$AJ39</f>
        <v>0</v>
      </c>
      <c r="KW39" s="341" t="s">
        <v>712</v>
      </c>
      <c r="KX39" s="338">
        <f t="shared" ref="KX39" si="1413">D39*$AK39</f>
        <v>0</v>
      </c>
      <c r="KY39" s="338">
        <f t="shared" ref="KY39" si="1414">E39*$AK39</f>
        <v>0</v>
      </c>
      <c r="KZ39" s="338">
        <f t="shared" ref="KZ39" si="1415">F39*$AK39</f>
        <v>0</v>
      </c>
      <c r="LA39" s="338">
        <f t="shared" ref="LA39" si="1416">G39*$AK39</f>
        <v>0</v>
      </c>
      <c r="LB39" s="338">
        <f t="shared" ref="LB39" si="1417">H39*$AK39</f>
        <v>0</v>
      </c>
      <c r="LC39" s="338">
        <f t="shared" ref="LC39" si="1418">I39*$AK39</f>
        <v>0</v>
      </c>
      <c r="LD39" s="338">
        <f t="shared" ref="LD39" si="1419">J39*$AK39</f>
        <v>0</v>
      </c>
      <c r="LE39" s="338">
        <f t="shared" ref="LE39" si="1420">K39*$AK39</f>
        <v>0</v>
      </c>
      <c r="LF39" s="338">
        <f t="shared" ref="LF39" si="1421">L39*$AK39</f>
        <v>0</v>
      </c>
      <c r="LG39" s="338">
        <f t="shared" ref="LG39" si="1422">M39*$AK39</f>
        <v>0</v>
      </c>
      <c r="LH39" s="338">
        <f t="shared" ref="LH39" si="1423">N39*$AK39</f>
        <v>0</v>
      </c>
      <c r="LI39" s="338">
        <f t="shared" ref="LI39" si="1424">O39*$AK39</f>
        <v>0</v>
      </c>
      <c r="LJ39" s="338">
        <f t="shared" ref="LJ39" si="1425">P39*$AK39</f>
        <v>0</v>
      </c>
      <c r="LK39" s="338">
        <f t="shared" ref="LK39" si="1426">Q39*$AK39</f>
        <v>0</v>
      </c>
      <c r="LL39" s="338">
        <f t="shared" ref="LL39" si="1427">R39*$AK39</f>
        <v>0</v>
      </c>
      <c r="LM39" s="338">
        <f t="shared" ref="LM39" si="1428">S39*$AK39</f>
        <v>0</v>
      </c>
      <c r="LP39" s="341" t="s">
        <v>712</v>
      </c>
      <c r="LQ39" s="338">
        <f t="shared" ref="LQ39" si="1429">D39*$AL39</f>
        <v>0</v>
      </c>
      <c r="LR39" s="338">
        <f t="shared" ref="LR39" si="1430">E39*$AL39</f>
        <v>0</v>
      </c>
      <c r="LS39" s="338">
        <f t="shared" ref="LS39" si="1431">F39*$AL39</f>
        <v>0</v>
      </c>
      <c r="LT39" s="338">
        <f t="shared" ref="LT39" si="1432">G39*$AL39</f>
        <v>0</v>
      </c>
      <c r="LU39" s="338">
        <f t="shared" ref="LU39" si="1433">H39*$AL39</f>
        <v>0</v>
      </c>
      <c r="LV39" s="338">
        <f t="shared" ref="LV39" si="1434">I39*$AL39</f>
        <v>0</v>
      </c>
      <c r="LW39" s="338">
        <f t="shared" ref="LW39" si="1435">J39*$AL39</f>
        <v>0</v>
      </c>
      <c r="LX39" s="338">
        <f t="shared" ref="LX39" si="1436">K39*$AL39</f>
        <v>0</v>
      </c>
      <c r="LY39" s="338">
        <f t="shared" ref="LY39" si="1437">L39*$AL39</f>
        <v>0</v>
      </c>
      <c r="LZ39" s="338">
        <f t="shared" ref="LZ39" si="1438">M39*$AL39</f>
        <v>0</v>
      </c>
      <c r="MA39" s="338">
        <f t="shared" ref="MA39" si="1439">N39*$AL39</f>
        <v>0</v>
      </c>
      <c r="MB39" s="338">
        <f t="shared" ref="MB39" si="1440">O39*$AL39</f>
        <v>0</v>
      </c>
      <c r="MC39" s="338">
        <f t="shared" ref="MC39" si="1441">P39*$AL39</f>
        <v>0</v>
      </c>
      <c r="MD39" s="338">
        <f t="shared" ref="MD39" si="1442">Q39*$AL39</f>
        <v>0</v>
      </c>
      <c r="ME39" s="338">
        <f t="shared" ref="ME39" si="1443">R39*$AL39</f>
        <v>0</v>
      </c>
      <c r="MF39" s="338">
        <f t="shared" ref="MF39" si="1444">S39*$AL39</f>
        <v>0</v>
      </c>
      <c r="MI39" s="341" t="s">
        <v>712</v>
      </c>
      <c r="MJ39" s="338">
        <f t="shared" ref="MJ39" si="1445">D39*$AM39</f>
        <v>0</v>
      </c>
      <c r="MK39" s="338">
        <f t="shared" ref="MK39" si="1446">E39*$AM39</f>
        <v>0</v>
      </c>
      <c r="ML39" s="338">
        <f t="shared" ref="ML39" si="1447">F39*$AM39</f>
        <v>0</v>
      </c>
      <c r="MM39" s="338">
        <f t="shared" ref="MM39" si="1448">G39*$AM39</f>
        <v>0</v>
      </c>
      <c r="MN39" s="338">
        <f t="shared" ref="MN39" si="1449">H39*$AM39</f>
        <v>0</v>
      </c>
      <c r="MO39" s="338">
        <f t="shared" ref="MO39" si="1450">I39*$AM39</f>
        <v>0</v>
      </c>
      <c r="MP39" s="338">
        <f t="shared" ref="MP39" si="1451">J39*$AM39</f>
        <v>0</v>
      </c>
      <c r="MQ39" s="338">
        <f t="shared" ref="MQ39" si="1452">K39*$AM39</f>
        <v>0</v>
      </c>
      <c r="MR39" s="338">
        <f t="shared" ref="MR39" si="1453">L39*$AM39</f>
        <v>0</v>
      </c>
      <c r="MS39" s="338">
        <f t="shared" ref="MS39" si="1454">M39*$AM39</f>
        <v>0</v>
      </c>
      <c r="MT39" s="338">
        <f t="shared" ref="MT39" si="1455">N39*$AM39</f>
        <v>0</v>
      </c>
      <c r="MU39" s="338">
        <f t="shared" ref="MU39" si="1456">O39*$AM39</f>
        <v>0</v>
      </c>
      <c r="MV39" s="338">
        <f t="shared" ref="MV39" si="1457">P39*$AM39</f>
        <v>0</v>
      </c>
      <c r="MW39" s="338">
        <f t="shared" ref="MW39" si="1458">Q39*$AM39</f>
        <v>0</v>
      </c>
      <c r="MX39" s="338">
        <f t="shared" ref="MX39" si="1459">R39*$AM39</f>
        <v>0</v>
      </c>
      <c r="MY39" s="338">
        <f t="shared" ref="MY39" si="1460">S39*$AM39</f>
        <v>0</v>
      </c>
      <c r="NB39" s="341" t="s">
        <v>712</v>
      </c>
      <c r="NC39" s="338">
        <f t="shared" ref="NC39" si="1461">D39*$AN39</f>
        <v>0</v>
      </c>
      <c r="ND39" s="338">
        <f t="shared" ref="ND39" si="1462">E39*$AN39</f>
        <v>0</v>
      </c>
      <c r="NE39" s="338">
        <f t="shared" ref="NE39" si="1463">F39*$AN39</f>
        <v>0</v>
      </c>
      <c r="NF39" s="338">
        <f t="shared" ref="NF39" si="1464">G39*$AN39</f>
        <v>0</v>
      </c>
      <c r="NG39" s="338">
        <f t="shared" ref="NG39" si="1465">H39*$AN39</f>
        <v>0</v>
      </c>
      <c r="NH39" s="338">
        <f t="shared" ref="NH39" si="1466">I39*$AN39</f>
        <v>0</v>
      </c>
      <c r="NI39" s="338">
        <f t="shared" ref="NI39" si="1467">J39*$AN39</f>
        <v>0</v>
      </c>
      <c r="NJ39" s="338">
        <f t="shared" ref="NJ39" si="1468">K39*$AN39</f>
        <v>0</v>
      </c>
      <c r="NK39" s="338">
        <f t="shared" ref="NK39" si="1469">L39*$AN39</f>
        <v>0</v>
      </c>
      <c r="NL39" s="338">
        <f t="shared" ref="NL39" si="1470">M39*$AN39</f>
        <v>0</v>
      </c>
      <c r="NM39" s="338">
        <f t="shared" ref="NM39" si="1471">N39*$AN39</f>
        <v>0</v>
      </c>
      <c r="NN39" s="338">
        <f t="shared" ref="NN39" si="1472">O39*$AN39</f>
        <v>0</v>
      </c>
      <c r="NO39" s="338">
        <f t="shared" ref="NO39" si="1473">P39*$AN39</f>
        <v>0</v>
      </c>
      <c r="NP39" s="338">
        <f t="shared" ref="NP39" si="1474">Q39*$AN39</f>
        <v>0</v>
      </c>
      <c r="NQ39" s="338">
        <f t="shared" ref="NQ39" si="1475">R39*$AN39</f>
        <v>0</v>
      </c>
      <c r="NR39" s="338">
        <f t="shared" ref="NR39" si="1476">S39*$AN39</f>
        <v>0</v>
      </c>
    </row>
    <row r="40" spans="2:382" ht="14.25" customHeight="1" x14ac:dyDescent="0.25">
      <c r="B40" s="734"/>
      <c r="C40" s="148" t="s">
        <v>379</v>
      </c>
      <c r="D40" s="143"/>
      <c r="E40" s="127"/>
      <c r="F40" s="143"/>
      <c r="G40" s="127"/>
      <c r="H40" s="143"/>
      <c r="I40" s="127"/>
      <c r="J40" s="143"/>
      <c r="K40" s="127"/>
      <c r="L40" s="143"/>
      <c r="M40" s="127"/>
      <c r="N40" s="126">
        <f>'CAM Characteristics'!H115/1000</f>
        <v>1.634944232495585</v>
      </c>
      <c r="O40" s="127">
        <f>'CAM Characteristics'!H115/1000</f>
        <v>1.634944232495585</v>
      </c>
      <c r="P40" s="143"/>
      <c r="Q40" s="143"/>
      <c r="R40" s="143"/>
      <c r="S40" s="143"/>
      <c r="T40" s="143"/>
      <c r="U40" s="121"/>
      <c r="V40" s="148" t="s">
        <v>379</v>
      </c>
      <c r="W40" s="100">
        <f>'Ecoinvent 3.10'!M19</f>
        <v>7.2524663634240554</v>
      </c>
      <c r="X40" s="100">
        <f>'Ecoinvent 3.10'!N19</f>
        <v>1.6167</v>
      </c>
      <c r="Y40" s="100">
        <f>'Ecoinvent 3.10'!O19</f>
        <v>27.39</v>
      </c>
      <c r="Z40" s="100">
        <f>'Ecoinvent 3.10'!P19</f>
        <v>5.0809E-2</v>
      </c>
      <c r="AA40" s="100">
        <f>'Ecoinvent 3.10'!Q19</f>
        <v>5.6105000000000002E-2</v>
      </c>
      <c r="AB40" s="100">
        <f>'Ecoinvent 3.10'!R19</f>
        <v>6.4343999999999998E-2</v>
      </c>
      <c r="AC40" s="100">
        <f>'Ecoinvent 3.10'!S19</f>
        <v>3.4665999999999999E-4</v>
      </c>
      <c r="AD40" s="100">
        <f>'Ecoinvent 3.10'!T19</f>
        <v>0.10946</v>
      </c>
      <c r="AE40" s="100">
        <f>'Ecoinvent 3.10'!U19</f>
        <v>0.31963000000000003</v>
      </c>
      <c r="AF40" s="100">
        <f>'Ecoinvent 3.10'!V19</f>
        <v>2.2107999999999999</v>
      </c>
      <c r="AG40" s="328">
        <f>'Ecoinvent 3.10'!W19</f>
        <v>1.4992999999999999E-2</v>
      </c>
      <c r="AH40" s="328">
        <f>'Ecoinvent 3.10'!X19</f>
        <v>0.48515999999999998</v>
      </c>
      <c r="AI40" s="328">
        <f>'Ecoinvent 3.10'!Y19</f>
        <v>9.5512E-2</v>
      </c>
      <c r="AJ40" s="328">
        <f>'Ecoinvent 3.10'!Z19</f>
        <v>0.22259999999999999</v>
      </c>
      <c r="AK40" s="328">
        <f>'Ecoinvent 3.10'!AA19</f>
        <v>0.16916</v>
      </c>
      <c r="AL40" s="328">
        <f>'Ecoinvent 3.10'!AB19</f>
        <v>9.3715999999999995E-5</v>
      </c>
      <c r="AM40" s="328">
        <f>'Ecoinvent 3.10'!AC19</f>
        <v>3.0435000000000002E-3</v>
      </c>
      <c r="AN40" s="328">
        <f>'Ecoinvent 3.10'!AD19</f>
        <v>2.8191000000000002E-3</v>
      </c>
      <c r="AO40" s="121"/>
      <c r="AP40" s="8"/>
      <c r="AQ40" s="148" t="s">
        <v>379</v>
      </c>
      <c r="AR40" s="49">
        <f t="shared" ref="AR40:BC44" si="1477">D40*$W40</f>
        <v>0</v>
      </c>
      <c r="AS40" s="50">
        <f t="shared" si="1477"/>
        <v>0</v>
      </c>
      <c r="AT40" s="49">
        <f t="shared" si="1477"/>
        <v>0</v>
      </c>
      <c r="AU40" s="50">
        <f t="shared" si="1477"/>
        <v>0</v>
      </c>
      <c r="AV40" s="49">
        <f t="shared" si="1477"/>
        <v>0</v>
      </c>
      <c r="AW40" s="50">
        <f t="shared" si="1477"/>
        <v>0</v>
      </c>
      <c r="AX40" s="49">
        <f t="shared" si="1477"/>
        <v>0</v>
      </c>
      <c r="AY40" s="50">
        <f t="shared" si="1477"/>
        <v>0</v>
      </c>
      <c r="AZ40" s="49">
        <f t="shared" si="1477"/>
        <v>0</v>
      </c>
      <c r="BA40" s="50">
        <f t="shared" si="1477"/>
        <v>0</v>
      </c>
      <c r="BB40" s="49">
        <f t="shared" si="1477"/>
        <v>11.857378052248388</v>
      </c>
      <c r="BC40" s="50">
        <f t="shared" si="1477"/>
        <v>11.857378052248388</v>
      </c>
      <c r="BD40" s="49">
        <f t="shared" ref="BD40:BD44" si="1478">P40*$W40</f>
        <v>0</v>
      </c>
      <c r="BE40" s="50">
        <f t="shared" ref="BE40:BE44" si="1479">Q40*$W40</f>
        <v>0</v>
      </c>
      <c r="BF40" s="49">
        <f t="shared" ref="BF40:BF44" si="1480">R40*$W40</f>
        <v>0</v>
      </c>
      <c r="BG40" s="50">
        <f t="shared" ref="BG40:BG44" si="1481">S40*$W40</f>
        <v>0</v>
      </c>
      <c r="BI40" s="156"/>
      <c r="BJ40" s="148" t="s">
        <v>379</v>
      </c>
      <c r="BK40" s="49">
        <f t="shared" si="1169"/>
        <v>0</v>
      </c>
      <c r="BL40" s="49">
        <f t="shared" si="1170"/>
        <v>0</v>
      </c>
      <c r="BM40" s="49">
        <f t="shared" si="1171"/>
        <v>0</v>
      </c>
      <c r="BN40" s="49">
        <f t="shared" si="1172"/>
        <v>0</v>
      </c>
      <c r="BO40" s="49">
        <f t="shared" si="1173"/>
        <v>0</v>
      </c>
      <c r="BP40" s="49">
        <f t="shared" si="1174"/>
        <v>0</v>
      </c>
      <c r="BQ40" s="49">
        <f t="shared" si="1175"/>
        <v>0</v>
      </c>
      <c r="BR40" s="49">
        <f t="shared" si="1176"/>
        <v>0</v>
      </c>
      <c r="BS40" s="49">
        <f t="shared" si="1177"/>
        <v>0</v>
      </c>
      <c r="BT40" s="49">
        <f t="shared" si="1178"/>
        <v>0</v>
      </c>
      <c r="BU40" s="49">
        <f t="shared" si="1179"/>
        <v>2.6432143406756121</v>
      </c>
      <c r="BV40" s="49">
        <f t="shared" si="1180"/>
        <v>2.6432143406756121</v>
      </c>
      <c r="BW40" s="49">
        <f t="shared" si="1181"/>
        <v>0</v>
      </c>
      <c r="BX40" s="49">
        <f t="shared" si="1182"/>
        <v>0</v>
      </c>
      <c r="BY40" s="49">
        <f t="shared" si="1183"/>
        <v>0</v>
      </c>
      <c r="BZ40" s="49">
        <f t="shared" si="1184"/>
        <v>0</v>
      </c>
      <c r="CA40" s="156"/>
      <c r="CB40" s="156"/>
      <c r="CC40" s="148" t="s">
        <v>379</v>
      </c>
      <c r="CD40" s="49">
        <f t="shared" si="1185"/>
        <v>0</v>
      </c>
      <c r="CE40" s="49">
        <f t="shared" si="1185"/>
        <v>0</v>
      </c>
      <c r="CF40" s="49">
        <f t="shared" si="1185"/>
        <v>0</v>
      </c>
      <c r="CG40" s="49">
        <f t="shared" si="1185"/>
        <v>0</v>
      </c>
      <c r="CH40" s="49">
        <f t="shared" si="1185"/>
        <v>0</v>
      </c>
      <c r="CI40" s="49">
        <f t="shared" si="1185"/>
        <v>0</v>
      </c>
      <c r="CJ40" s="49">
        <f t="shared" si="1185"/>
        <v>0</v>
      </c>
      <c r="CK40" s="49">
        <f t="shared" si="1185"/>
        <v>0</v>
      </c>
      <c r="CL40" s="49">
        <f t="shared" si="1185"/>
        <v>0</v>
      </c>
      <c r="CM40" s="49">
        <f t="shared" si="1185"/>
        <v>0</v>
      </c>
      <c r="CN40" s="49">
        <f t="shared" si="1185"/>
        <v>44.78112252805407</v>
      </c>
      <c r="CO40" s="220">
        <f t="shared" si="1185"/>
        <v>44.78112252805407</v>
      </c>
      <c r="CP40" s="49">
        <f t="shared" si="1185"/>
        <v>0</v>
      </c>
      <c r="CQ40" s="49">
        <f t="shared" si="1185"/>
        <v>0</v>
      </c>
      <c r="CR40" s="49">
        <f t="shared" si="1185"/>
        <v>0</v>
      </c>
      <c r="CS40" s="220">
        <f t="shared" si="1185"/>
        <v>0</v>
      </c>
      <c r="CV40" s="148" t="s">
        <v>379</v>
      </c>
      <c r="CW40" s="49">
        <f t="shared" si="1186"/>
        <v>0</v>
      </c>
      <c r="CX40" s="49">
        <f t="shared" si="1186"/>
        <v>0</v>
      </c>
      <c r="CY40" s="49">
        <f t="shared" si="1186"/>
        <v>0</v>
      </c>
      <c r="CZ40" s="49">
        <f t="shared" si="1186"/>
        <v>0</v>
      </c>
      <c r="DA40" s="49">
        <f t="shared" si="1186"/>
        <v>0</v>
      </c>
      <c r="DB40" s="49">
        <f t="shared" si="1186"/>
        <v>0</v>
      </c>
      <c r="DC40" s="49">
        <f t="shared" si="1186"/>
        <v>0</v>
      </c>
      <c r="DD40" s="49">
        <f t="shared" si="1186"/>
        <v>0</v>
      </c>
      <c r="DE40" s="49">
        <f t="shared" si="1186"/>
        <v>0</v>
      </c>
      <c r="DF40" s="49">
        <f t="shared" si="1186"/>
        <v>0</v>
      </c>
      <c r="DG40" s="49">
        <f t="shared" si="1186"/>
        <v>8.3069881508868182E-2</v>
      </c>
      <c r="DH40" s="49">
        <f t="shared" si="1186"/>
        <v>8.3069881508868182E-2</v>
      </c>
      <c r="DI40" s="49">
        <f t="shared" si="1186"/>
        <v>0</v>
      </c>
      <c r="DJ40" s="49">
        <f t="shared" si="1186"/>
        <v>0</v>
      </c>
      <c r="DK40" s="49">
        <f t="shared" si="1186"/>
        <v>0</v>
      </c>
      <c r="DL40" s="49">
        <f t="shared" si="1186"/>
        <v>0</v>
      </c>
      <c r="DO40" s="148" t="s">
        <v>379</v>
      </c>
      <c r="DP40" s="49">
        <f t="shared" si="1187"/>
        <v>0</v>
      </c>
      <c r="DQ40" s="49">
        <f t="shared" si="1187"/>
        <v>0</v>
      </c>
      <c r="DR40" s="49">
        <f t="shared" si="1187"/>
        <v>0</v>
      </c>
      <c r="DS40" s="49">
        <f t="shared" si="1187"/>
        <v>0</v>
      </c>
      <c r="DT40" s="49">
        <f t="shared" si="1187"/>
        <v>0</v>
      </c>
      <c r="DU40" s="49">
        <f t="shared" si="1187"/>
        <v>0</v>
      </c>
      <c r="DV40" s="49">
        <f t="shared" si="1187"/>
        <v>0</v>
      </c>
      <c r="DW40" s="49">
        <f t="shared" si="1187"/>
        <v>0</v>
      </c>
      <c r="DX40" s="49">
        <f t="shared" si="1187"/>
        <v>0</v>
      </c>
      <c r="DY40" s="49">
        <f t="shared" si="1187"/>
        <v>0</v>
      </c>
      <c r="DZ40" s="49">
        <f t="shared" si="1187"/>
        <v>9.1728546164164801E-2</v>
      </c>
      <c r="EA40" s="49">
        <f t="shared" si="1187"/>
        <v>9.1728546164164801E-2</v>
      </c>
      <c r="EB40" s="49">
        <f t="shared" si="1187"/>
        <v>0</v>
      </c>
      <c r="EC40" s="49">
        <f t="shared" si="1187"/>
        <v>0</v>
      </c>
      <c r="ED40" s="49">
        <f t="shared" si="1187"/>
        <v>0</v>
      </c>
      <c r="EE40" s="49">
        <f t="shared" si="1187"/>
        <v>0</v>
      </c>
      <c r="EH40" s="148" t="s">
        <v>379</v>
      </c>
      <c r="EI40" s="49">
        <f t="shared" ref="EI40:ET44" si="1482">D40*$AB40</f>
        <v>0</v>
      </c>
      <c r="EJ40" s="49">
        <f t="shared" si="1482"/>
        <v>0</v>
      </c>
      <c r="EK40" s="49">
        <f t="shared" si="1482"/>
        <v>0</v>
      </c>
      <c r="EL40" s="49">
        <f t="shared" si="1482"/>
        <v>0</v>
      </c>
      <c r="EM40" s="49">
        <f t="shared" si="1482"/>
        <v>0</v>
      </c>
      <c r="EN40" s="49">
        <f t="shared" si="1482"/>
        <v>0</v>
      </c>
      <c r="EO40" s="49">
        <f t="shared" si="1482"/>
        <v>0</v>
      </c>
      <c r="EP40" s="49">
        <f t="shared" si="1482"/>
        <v>0</v>
      </c>
      <c r="EQ40" s="49">
        <f t="shared" si="1482"/>
        <v>0</v>
      </c>
      <c r="ER40" s="49">
        <f t="shared" si="1482"/>
        <v>0</v>
      </c>
      <c r="ES40" s="49">
        <f t="shared" si="1482"/>
        <v>0.10519885169569591</v>
      </c>
      <c r="ET40" s="49">
        <f t="shared" si="1482"/>
        <v>0.10519885169569591</v>
      </c>
      <c r="EU40" s="49">
        <f t="shared" ref="EU40:EU44" si="1483">P40*$AB40</f>
        <v>0</v>
      </c>
      <c r="EV40" s="49">
        <f t="shared" ref="EV40:EV44" si="1484">Q40*$AB40</f>
        <v>0</v>
      </c>
      <c r="EW40" s="49">
        <f t="shared" ref="EW40:EW44" si="1485">R40*$AB40</f>
        <v>0</v>
      </c>
      <c r="EX40" s="49">
        <f t="shared" ref="EX40:EX44" si="1486">S40*$AB40</f>
        <v>0</v>
      </c>
      <c r="FA40" s="148" t="s">
        <v>379</v>
      </c>
      <c r="FB40" s="53">
        <f t="shared" ref="FB40:FM45" si="1487">D40*$AC40</f>
        <v>0</v>
      </c>
      <c r="FC40" s="53">
        <f t="shared" si="1487"/>
        <v>0</v>
      </c>
      <c r="FD40" s="53">
        <f t="shared" si="1487"/>
        <v>0</v>
      </c>
      <c r="FE40" s="53">
        <f t="shared" si="1487"/>
        <v>0</v>
      </c>
      <c r="FF40" s="53">
        <f t="shared" si="1487"/>
        <v>0</v>
      </c>
      <c r="FG40" s="53">
        <f t="shared" si="1487"/>
        <v>0</v>
      </c>
      <c r="FH40" s="53">
        <f t="shared" si="1487"/>
        <v>0</v>
      </c>
      <c r="FI40" s="53">
        <f t="shared" si="1487"/>
        <v>0</v>
      </c>
      <c r="FJ40" s="53">
        <f t="shared" si="1487"/>
        <v>0</v>
      </c>
      <c r="FK40" s="53">
        <f t="shared" si="1487"/>
        <v>0</v>
      </c>
      <c r="FL40" s="53">
        <f t="shared" si="1487"/>
        <v>5.6676976763691948E-4</v>
      </c>
      <c r="FM40" s="53">
        <f t="shared" si="1487"/>
        <v>5.6676976763691948E-4</v>
      </c>
      <c r="FN40" s="53">
        <f t="shared" ref="FN40:FN45" si="1488">P40*$AC40</f>
        <v>0</v>
      </c>
      <c r="FO40" s="53">
        <f t="shared" ref="FO40:FO45" si="1489">Q40*$AC40</f>
        <v>0</v>
      </c>
      <c r="FP40" s="53">
        <f t="shared" ref="FP40:FP45" si="1490">R40*$AC40</f>
        <v>0</v>
      </c>
      <c r="FQ40" s="53">
        <f t="shared" ref="FQ40:FQ45" si="1491">S40*$AC40</f>
        <v>0</v>
      </c>
      <c r="FT40" s="148" t="s">
        <v>379</v>
      </c>
      <c r="FU40" s="49">
        <f t="shared" ref="FU40:GF45" si="1492">D40*$AD40</f>
        <v>0</v>
      </c>
      <c r="FV40" s="49">
        <f t="shared" si="1492"/>
        <v>0</v>
      </c>
      <c r="FW40" s="49">
        <f t="shared" si="1492"/>
        <v>0</v>
      </c>
      <c r="FX40" s="49">
        <f t="shared" si="1492"/>
        <v>0</v>
      </c>
      <c r="FY40" s="49">
        <f t="shared" si="1492"/>
        <v>0</v>
      </c>
      <c r="FZ40" s="49">
        <f t="shared" si="1492"/>
        <v>0</v>
      </c>
      <c r="GA40" s="49">
        <f t="shared" si="1492"/>
        <v>0</v>
      </c>
      <c r="GB40" s="49">
        <f t="shared" si="1492"/>
        <v>0</v>
      </c>
      <c r="GC40" s="49">
        <f t="shared" si="1492"/>
        <v>0</v>
      </c>
      <c r="GD40" s="49">
        <f t="shared" si="1492"/>
        <v>0</v>
      </c>
      <c r="GE40" s="49">
        <f t="shared" si="1492"/>
        <v>0.17896099568896673</v>
      </c>
      <c r="GF40" s="49">
        <f t="shared" si="1492"/>
        <v>0.17896099568896673</v>
      </c>
      <c r="GG40" s="49">
        <f t="shared" ref="GG40:GG45" si="1493">P40*$AD40</f>
        <v>0</v>
      </c>
      <c r="GH40" s="49">
        <f t="shared" ref="GH40:GH45" si="1494">Q40*$AD40</f>
        <v>0</v>
      </c>
      <c r="GI40" s="49">
        <f t="shared" ref="GI40:GI45" si="1495">R40*$AD40</f>
        <v>0</v>
      </c>
      <c r="GJ40" s="49">
        <f t="shared" ref="GJ40:GJ45" si="1496">S40*$AD40</f>
        <v>0</v>
      </c>
      <c r="GM40" s="148" t="s">
        <v>379</v>
      </c>
      <c r="GN40" s="49">
        <f t="shared" ref="GN40:GY45" si="1497">D40*$AE40</f>
        <v>0</v>
      </c>
      <c r="GO40" s="49">
        <f t="shared" si="1497"/>
        <v>0</v>
      </c>
      <c r="GP40" s="49">
        <f t="shared" si="1497"/>
        <v>0</v>
      </c>
      <c r="GQ40" s="49">
        <f t="shared" si="1497"/>
        <v>0</v>
      </c>
      <c r="GR40" s="49">
        <f t="shared" si="1497"/>
        <v>0</v>
      </c>
      <c r="GS40" s="49">
        <f t="shared" si="1497"/>
        <v>0</v>
      </c>
      <c r="GT40" s="49">
        <f t="shared" si="1497"/>
        <v>0</v>
      </c>
      <c r="GU40" s="49">
        <f t="shared" si="1497"/>
        <v>0</v>
      </c>
      <c r="GV40" s="49">
        <f t="shared" si="1497"/>
        <v>0</v>
      </c>
      <c r="GW40" s="49">
        <f t="shared" si="1497"/>
        <v>0</v>
      </c>
      <c r="GX40" s="49">
        <f t="shared" si="1497"/>
        <v>0.52257722503256387</v>
      </c>
      <c r="GY40" s="49">
        <f t="shared" si="1497"/>
        <v>0.52257722503256387</v>
      </c>
      <c r="GZ40" s="49">
        <f t="shared" ref="GZ40:GZ45" si="1498">P40*$AE40</f>
        <v>0</v>
      </c>
      <c r="HA40" s="49">
        <f t="shared" ref="HA40:HA45" si="1499">Q40*$AE40</f>
        <v>0</v>
      </c>
      <c r="HB40" s="49">
        <f t="shared" ref="HB40:HB45" si="1500">R40*$AE40</f>
        <v>0</v>
      </c>
      <c r="HC40" s="49">
        <f t="shared" ref="HC40:HC45" si="1501">S40*$AE40</f>
        <v>0</v>
      </c>
      <c r="HF40" s="148" t="s">
        <v>379</v>
      </c>
      <c r="HG40" s="49">
        <f t="shared" ref="HG40:HR45" si="1502">D40*$AF40</f>
        <v>0</v>
      </c>
      <c r="HH40" s="49">
        <f t="shared" si="1502"/>
        <v>0</v>
      </c>
      <c r="HI40" s="49">
        <f t="shared" si="1502"/>
        <v>0</v>
      </c>
      <c r="HJ40" s="49">
        <f t="shared" si="1502"/>
        <v>0</v>
      </c>
      <c r="HK40" s="49">
        <f t="shared" si="1502"/>
        <v>0</v>
      </c>
      <c r="HL40" s="49">
        <f t="shared" si="1502"/>
        <v>0</v>
      </c>
      <c r="HM40" s="49">
        <f t="shared" si="1502"/>
        <v>0</v>
      </c>
      <c r="HN40" s="49">
        <f t="shared" si="1502"/>
        <v>0</v>
      </c>
      <c r="HO40" s="49">
        <f t="shared" si="1502"/>
        <v>0</v>
      </c>
      <c r="HP40" s="49">
        <f t="shared" si="1502"/>
        <v>0</v>
      </c>
      <c r="HQ40" s="49">
        <f t="shared" si="1502"/>
        <v>3.614534709201239</v>
      </c>
      <c r="HR40" s="49">
        <f t="shared" si="1502"/>
        <v>3.614534709201239</v>
      </c>
      <c r="HS40" s="49">
        <f t="shared" ref="HS40:HS45" si="1503">P40*$AF40</f>
        <v>0</v>
      </c>
      <c r="HT40" s="49">
        <f t="shared" ref="HT40:HT45" si="1504">Q40*$AF40</f>
        <v>0</v>
      </c>
      <c r="HU40" s="49">
        <f t="shared" ref="HU40:HU45" si="1505">R40*$AF40</f>
        <v>0</v>
      </c>
      <c r="HV40" s="49">
        <f t="shared" ref="HV40:HV45" si="1506">S40*$AF40</f>
        <v>0</v>
      </c>
      <c r="HY40" s="341" t="s">
        <v>545</v>
      </c>
      <c r="HZ40" s="338">
        <f t="shared" ref="HZ40:IK45" si="1507">D40*$AG40</f>
        <v>0</v>
      </c>
      <c r="IA40" s="338">
        <f t="shared" si="1507"/>
        <v>0</v>
      </c>
      <c r="IB40" s="338">
        <f t="shared" si="1507"/>
        <v>0</v>
      </c>
      <c r="IC40" s="338">
        <f t="shared" si="1507"/>
        <v>0</v>
      </c>
      <c r="ID40" s="338">
        <f t="shared" si="1507"/>
        <v>0</v>
      </c>
      <c r="IE40" s="338">
        <f t="shared" si="1507"/>
        <v>0</v>
      </c>
      <c r="IF40" s="338">
        <f t="shared" si="1507"/>
        <v>0</v>
      </c>
      <c r="IG40" s="338">
        <f t="shared" si="1507"/>
        <v>0</v>
      </c>
      <c r="IH40" s="338">
        <f t="shared" si="1507"/>
        <v>0</v>
      </c>
      <c r="II40" s="338">
        <f t="shared" si="1507"/>
        <v>0</v>
      </c>
      <c r="IJ40" s="338">
        <f t="shared" si="1507"/>
        <v>2.4512718877806303E-2</v>
      </c>
      <c r="IK40" s="338">
        <f t="shared" si="1507"/>
        <v>2.4512718877806303E-2</v>
      </c>
      <c r="IL40" s="338">
        <f t="shared" ref="IL40:IL45" si="1508">P40*$AG40</f>
        <v>0</v>
      </c>
      <c r="IM40" s="338">
        <f t="shared" ref="IM40:IM45" si="1509">Q40*$AG40</f>
        <v>0</v>
      </c>
      <c r="IN40" s="338">
        <f t="shared" ref="IN40:IN45" si="1510">R40*$AG40</f>
        <v>0</v>
      </c>
      <c r="IO40" s="338">
        <f t="shared" ref="IO40:IO45" si="1511">S40*$AG40</f>
        <v>0</v>
      </c>
      <c r="IR40" s="341" t="s">
        <v>545</v>
      </c>
      <c r="IS40" s="338">
        <f t="shared" ref="IS40:JD45" si="1512">D40*$AH40</f>
        <v>0</v>
      </c>
      <c r="IT40" s="338">
        <f t="shared" si="1512"/>
        <v>0</v>
      </c>
      <c r="IU40" s="338">
        <f t="shared" si="1512"/>
        <v>0</v>
      </c>
      <c r="IV40" s="338">
        <f t="shared" si="1512"/>
        <v>0</v>
      </c>
      <c r="IW40" s="338">
        <f t="shared" si="1512"/>
        <v>0</v>
      </c>
      <c r="IX40" s="338">
        <f t="shared" si="1512"/>
        <v>0</v>
      </c>
      <c r="IY40" s="338">
        <f t="shared" si="1512"/>
        <v>0</v>
      </c>
      <c r="IZ40" s="338">
        <f t="shared" si="1512"/>
        <v>0</v>
      </c>
      <c r="JA40" s="338">
        <f t="shared" si="1512"/>
        <v>0</v>
      </c>
      <c r="JB40" s="338">
        <f t="shared" si="1512"/>
        <v>0</v>
      </c>
      <c r="JC40" s="338">
        <f t="shared" si="1512"/>
        <v>0.79320954383755793</v>
      </c>
      <c r="JD40" s="338">
        <f t="shared" si="1512"/>
        <v>0.79320954383755793</v>
      </c>
      <c r="JE40" s="338">
        <f t="shared" ref="JE40:JE45" si="1513">P40*$AH40</f>
        <v>0</v>
      </c>
      <c r="JF40" s="338">
        <f t="shared" ref="JF40:JF45" si="1514">Q40*$AH40</f>
        <v>0</v>
      </c>
      <c r="JG40" s="338">
        <f t="shared" ref="JG40:JG45" si="1515">R40*$AH40</f>
        <v>0</v>
      </c>
      <c r="JH40" s="338">
        <f t="shared" ref="JH40:JH45" si="1516">S40*$AH40</f>
        <v>0</v>
      </c>
      <c r="JK40" s="341" t="s">
        <v>545</v>
      </c>
      <c r="JL40" s="338">
        <f t="shared" ref="JL40:JW45" si="1517">D40*$AI40</f>
        <v>0</v>
      </c>
      <c r="JM40" s="338">
        <f t="shared" si="1517"/>
        <v>0</v>
      </c>
      <c r="JN40" s="338">
        <f t="shared" si="1517"/>
        <v>0</v>
      </c>
      <c r="JO40" s="338">
        <f t="shared" si="1517"/>
        <v>0</v>
      </c>
      <c r="JP40" s="338">
        <f t="shared" si="1517"/>
        <v>0</v>
      </c>
      <c r="JQ40" s="338">
        <f t="shared" si="1517"/>
        <v>0</v>
      </c>
      <c r="JR40" s="338">
        <f t="shared" si="1517"/>
        <v>0</v>
      </c>
      <c r="JS40" s="338">
        <f t="shared" si="1517"/>
        <v>0</v>
      </c>
      <c r="JT40" s="338">
        <f t="shared" si="1517"/>
        <v>0</v>
      </c>
      <c r="JU40" s="338">
        <f t="shared" si="1517"/>
        <v>0</v>
      </c>
      <c r="JV40" s="338">
        <f t="shared" si="1517"/>
        <v>0.15615679353411832</v>
      </c>
      <c r="JW40" s="338">
        <f t="shared" si="1517"/>
        <v>0.15615679353411832</v>
      </c>
      <c r="JX40" s="338">
        <f t="shared" ref="JX40:JX45" si="1518">P40*$AI40</f>
        <v>0</v>
      </c>
      <c r="JY40" s="338">
        <f t="shared" ref="JY40:JY45" si="1519">Q40*$AI40</f>
        <v>0</v>
      </c>
      <c r="JZ40" s="338">
        <f t="shared" ref="JZ40:JZ45" si="1520">R40*$AI40</f>
        <v>0</v>
      </c>
      <c r="KA40" s="338">
        <f t="shared" ref="KA40:KA45" si="1521">S40*$AI40</f>
        <v>0</v>
      </c>
      <c r="KD40" s="341" t="s">
        <v>545</v>
      </c>
      <c r="KE40" s="338">
        <f t="shared" ref="KE40:KP45" si="1522">D40*$AJ40</f>
        <v>0</v>
      </c>
      <c r="KF40" s="338">
        <f t="shared" si="1522"/>
        <v>0</v>
      </c>
      <c r="KG40" s="338">
        <f t="shared" si="1522"/>
        <v>0</v>
      </c>
      <c r="KH40" s="338">
        <f t="shared" si="1522"/>
        <v>0</v>
      </c>
      <c r="KI40" s="338">
        <f t="shared" si="1522"/>
        <v>0</v>
      </c>
      <c r="KJ40" s="338">
        <f t="shared" si="1522"/>
        <v>0</v>
      </c>
      <c r="KK40" s="338">
        <f t="shared" si="1522"/>
        <v>0</v>
      </c>
      <c r="KL40" s="338">
        <f t="shared" si="1522"/>
        <v>0</v>
      </c>
      <c r="KM40" s="338">
        <f t="shared" si="1522"/>
        <v>0</v>
      </c>
      <c r="KN40" s="338">
        <f t="shared" si="1522"/>
        <v>0</v>
      </c>
      <c r="KO40" s="338">
        <f t="shared" si="1522"/>
        <v>0.36393858615351721</v>
      </c>
      <c r="KP40" s="338">
        <f t="shared" si="1522"/>
        <v>0.36393858615351721</v>
      </c>
      <c r="KQ40" s="338">
        <f t="shared" ref="KQ40:KQ45" si="1523">P40*$AJ40</f>
        <v>0</v>
      </c>
      <c r="KR40" s="338">
        <f t="shared" ref="KR40:KR45" si="1524">Q40*$AJ40</f>
        <v>0</v>
      </c>
      <c r="KS40" s="338">
        <f t="shared" ref="KS40:KS45" si="1525">R40*$AJ40</f>
        <v>0</v>
      </c>
      <c r="KT40" s="338">
        <f t="shared" ref="KT40:KT45" si="1526">S40*$AJ40</f>
        <v>0</v>
      </c>
      <c r="KW40" s="341" t="s">
        <v>545</v>
      </c>
      <c r="KX40" s="338">
        <f t="shared" ref="KX40:LI45" si="1527">D40*$AK40</f>
        <v>0</v>
      </c>
      <c r="KY40" s="338">
        <f t="shared" si="1527"/>
        <v>0</v>
      </c>
      <c r="KZ40" s="338">
        <f t="shared" si="1527"/>
        <v>0</v>
      </c>
      <c r="LA40" s="338">
        <f t="shared" si="1527"/>
        <v>0</v>
      </c>
      <c r="LB40" s="338">
        <f t="shared" si="1527"/>
        <v>0</v>
      </c>
      <c r="LC40" s="338">
        <f t="shared" si="1527"/>
        <v>0</v>
      </c>
      <c r="LD40" s="338">
        <f t="shared" si="1527"/>
        <v>0</v>
      </c>
      <c r="LE40" s="338">
        <f t="shared" si="1527"/>
        <v>0</v>
      </c>
      <c r="LF40" s="338">
        <f t="shared" si="1527"/>
        <v>0</v>
      </c>
      <c r="LG40" s="338">
        <f t="shared" si="1527"/>
        <v>0</v>
      </c>
      <c r="LH40" s="338">
        <f t="shared" si="1527"/>
        <v>0.27656716636895318</v>
      </c>
      <c r="LI40" s="338">
        <f t="shared" si="1527"/>
        <v>0.27656716636895318</v>
      </c>
      <c r="LJ40" s="338">
        <f t="shared" ref="LJ40:LJ45" si="1528">P40*$AK40</f>
        <v>0</v>
      </c>
      <c r="LK40" s="338">
        <f t="shared" ref="LK40:LK45" si="1529">Q40*$AK40</f>
        <v>0</v>
      </c>
      <c r="LL40" s="338">
        <f t="shared" ref="LL40:LL45" si="1530">R40*$AK40</f>
        <v>0</v>
      </c>
      <c r="LM40" s="338">
        <f t="shared" ref="LM40:LM45" si="1531">S40*$AK40</f>
        <v>0</v>
      </c>
      <c r="LP40" s="341" t="s">
        <v>545</v>
      </c>
      <c r="LQ40" s="338">
        <f t="shared" ref="LQ40:MB45" si="1532">D40*$AL40</f>
        <v>0</v>
      </c>
      <c r="LR40" s="338">
        <f t="shared" si="1532"/>
        <v>0</v>
      </c>
      <c r="LS40" s="338">
        <f t="shared" si="1532"/>
        <v>0</v>
      </c>
      <c r="LT40" s="338">
        <f t="shared" si="1532"/>
        <v>0</v>
      </c>
      <c r="LU40" s="338">
        <f t="shared" si="1532"/>
        <v>0</v>
      </c>
      <c r="LV40" s="338">
        <f t="shared" si="1532"/>
        <v>0</v>
      </c>
      <c r="LW40" s="338">
        <f t="shared" si="1532"/>
        <v>0</v>
      </c>
      <c r="LX40" s="338">
        <f t="shared" si="1532"/>
        <v>0</v>
      </c>
      <c r="LY40" s="338">
        <f t="shared" si="1532"/>
        <v>0</v>
      </c>
      <c r="LZ40" s="338">
        <f t="shared" si="1532"/>
        <v>0</v>
      </c>
      <c r="MA40" s="338">
        <f t="shared" si="1532"/>
        <v>1.5322043369255623E-4</v>
      </c>
      <c r="MB40" s="338">
        <f t="shared" si="1532"/>
        <v>1.5322043369255623E-4</v>
      </c>
      <c r="MC40" s="338">
        <f t="shared" ref="MC40:MC45" si="1533">P40*$AL40</f>
        <v>0</v>
      </c>
      <c r="MD40" s="338">
        <f t="shared" ref="MD40:MD45" si="1534">Q40*$AL40</f>
        <v>0</v>
      </c>
      <c r="ME40" s="338">
        <f t="shared" ref="ME40:ME45" si="1535">R40*$AL40</f>
        <v>0</v>
      </c>
      <c r="MF40" s="338">
        <f t="shared" ref="MF40:MF45" si="1536">S40*$AL40</f>
        <v>0</v>
      </c>
      <c r="MI40" s="341" t="s">
        <v>545</v>
      </c>
      <c r="MJ40" s="338">
        <f t="shared" ref="MJ40:MU45" si="1537">D40*$AM40</f>
        <v>0</v>
      </c>
      <c r="MK40" s="338">
        <f t="shared" si="1537"/>
        <v>0</v>
      </c>
      <c r="ML40" s="338">
        <f t="shared" si="1537"/>
        <v>0</v>
      </c>
      <c r="MM40" s="338">
        <f t="shared" si="1537"/>
        <v>0</v>
      </c>
      <c r="MN40" s="338">
        <f t="shared" si="1537"/>
        <v>0</v>
      </c>
      <c r="MO40" s="338">
        <f t="shared" si="1537"/>
        <v>0</v>
      </c>
      <c r="MP40" s="338">
        <f t="shared" si="1537"/>
        <v>0</v>
      </c>
      <c r="MQ40" s="338">
        <f t="shared" si="1537"/>
        <v>0</v>
      </c>
      <c r="MR40" s="338">
        <f t="shared" si="1537"/>
        <v>0</v>
      </c>
      <c r="MS40" s="338">
        <f t="shared" si="1537"/>
        <v>0</v>
      </c>
      <c r="MT40" s="338">
        <f t="shared" si="1537"/>
        <v>4.9759527716003128E-3</v>
      </c>
      <c r="MU40" s="338">
        <f t="shared" si="1537"/>
        <v>4.9759527716003128E-3</v>
      </c>
      <c r="MV40" s="338">
        <f t="shared" ref="MV40:MV45" si="1538">P40*$AM40</f>
        <v>0</v>
      </c>
      <c r="MW40" s="338">
        <f t="shared" ref="MW40:MW45" si="1539">Q40*$AM40</f>
        <v>0</v>
      </c>
      <c r="MX40" s="338">
        <f t="shared" ref="MX40:MX45" si="1540">R40*$AM40</f>
        <v>0</v>
      </c>
      <c r="MY40" s="338">
        <f t="shared" ref="MY40:MY45" si="1541">S40*$AM40</f>
        <v>0</v>
      </c>
      <c r="NB40" s="341" t="s">
        <v>545</v>
      </c>
      <c r="NC40" s="338">
        <f t="shared" ref="NC40:NN45" si="1542">D40*$AN40</f>
        <v>0</v>
      </c>
      <c r="ND40" s="338">
        <f t="shared" si="1542"/>
        <v>0</v>
      </c>
      <c r="NE40" s="338">
        <f t="shared" si="1542"/>
        <v>0</v>
      </c>
      <c r="NF40" s="338">
        <f t="shared" si="1542"/>
        <v>0</v>
      </c>
      <c r="NG40" s="338">
        <f t="shared" si="1542"/>
        <v>0</v>
      </c>
      <c r="NH40" s="338">
        <f t="shared" si="1542"/>
        <v>0</v>
      </c>
      <c r="NI40" s="338">
        <f t="shared" si="1542"/>
        <v>0</v>
      </c>
      <c r="NJ40" s="338">
        <f t="shared" si="1542"/>
        <v>0</v>
      </c>
      <c r="NK40" s="338">
        <f t="shared" si="1542"/>
        <v>0</v>
      </c>
      <c r="NL40" s="338">
        <f t="shared" si="1542"/>
        <v>0</v>
      </c>
      <c r="NM40" s="338">
        <f t="shared" si="1542"/>
        <v>4.6090712858283039E-3</v>
      </c>
      <c r="NN40" s="338">
        <f t="shared" si="1542"/>
        <v>4.6090712858283039E-3</v>
      </c>
      <c r="NO40" s="338">
        <f t="shared" ref="NO40:NO45" si="1543">P40*$AN40</f>
        <v>0</v>
      </c>
      <c r="NP40" s="338">
        <f t="shared" ref="NP40:NP45" si="1544">Q40*$AN40</f>
        <v>0</v>
      </c>
      <c r="NQ40" s="338">
        <f t="shared" ref="NQ40:NQ45" si="1545">R40*$AN40</f>
        <v>0</v>
      </c>
      <c r="NR40" s="338">
        <f t="shared" ref="NR40:NR45" si="1546">S40*$AN40</f>
        <v>0</v>
      </c>
    </row>
    <row r="41" spans="2:382" ht="14.25" customHeight="1" x14ac:dyDescent="0.25">
      <c r="B41" s="734"/>
      <c r="C41" s="148" t="s">
        <v>377</v>
      </c>
      <c r="D41" s="143"/>
      <c r="E41" s="127"/>
      <c r="F41" s="143"/>
      <c r="G41" s="127"/>
      <c r="H41" s="143"/>
      <c r="I41" s="127"/>
      <c r="J41" s="143"/>
      <c r="K41" s="127"/>
      <c r="L41" s="143"/>
      <c r="M41" s="127"/>
      <c r="N41" s="126">
        <f>'CAM Characteristics'!H112/1000</f>
        <v>0.95551047851671844</v>
      </c>
      <c r="O41" s="127">
        <f>'CAM Characteristics'!H112/1000</f>
        <v>0.95551047851671844</v>
      </c>
      <c r="P41" s="143"/>
      <c r="Q41" s="143"/>
      <c r="R41" s="143"/>
      <c r="S41" s="143"/>
      <c r="T41" s="143"/>
      <c r="U41" s="121"/>
      <c r="V41" s="148" t="s">
        <v>377</v>
      </c>
      <c r="W41" s="100">
        <f>'Ecoinvent 3.10'!M20</f>
        <v>4.2014968765146392</v>
      </c>
      <c r="X41" s="100">
        <f>'Ecoinvent 3.10'!N20</f>
        <v>1.0038</v>
      </c>
      <c r="Y41" s="100">
        <f>'Ecoinvent 3.10'!O20</f>
        <v>10.98</v>
      </c>
      <c r="Z41" s="100">
        <f>'Ecoinvent 3.10'!P20</f>
        <v>3.6633E-3</v>
      </c>
      <c r="AA41" s="100">
        <f>'Ecoinvent 3.10'!Q20</f>
        <v>7.1797E-2</v>
      </c>
      <c r="AB41" s="100">
        <f>'Ecoinvent 3.10'!R20</f>
        <v>7.7667999999999999E-3</v>
      </c>
      <c r="AC41" s="100">
        <f>'Ecoinvent 3.10'!S20</f>
        <v>4.0458999999999997E-4</v>
      </c>
      <c r="AD41" s="100">
        <f>'Ecoinvent 3.10'!T20</f>
        <v>7.9260999999999998E-2</v>
      </c>
      <c r="AE41" s="100">
        <f>'Ecoinvent 3.10'!U20</f>
        <v>0.26479999999999998</v>
      </c>
      <c r="AF41" s="100">
        <f>'Ecoinvent 3.10'!V20</f>
        <v>1.6207</v>
      </c>
      <c r="AG41" s="328">
        <f>'Ecoinvent 3.10'!W20</f>
        <v>1.8859E-3</v>
      </c>
      <c r="AH41" s="328">
        <f>'Ecoinvent 3.10'!X20</f>
        <v>0.26025999999999999</v>
      </c>
      <c r="AI41" s="328">
        <f>'Ecoinvent 3.10'!Y20</f>
        <v>9.0987999999999999E-2</v>
      </c>
      <c r="AJ41" s="328">
        <f>'Ecoinvent 3.10'!Z20</f>
        <v>2.6634999999999999E-2</v>
      </c>
      <c r="AK41" s="328">
        <f>'Ecoinvent 3.10'!AA20</f>
        <v>0.11101999999999999</v>
      </c>
      <c r="AL41" s="328">
        <f>'Ecoinvent 3.10'!AB20</f>
        <v>4.4048999999999998E-5</v>
      </c>
      <c r="AM41" s="328">
        <f>'Ecoinvent 3.10'!AC20</f>
        <v>2.9293000000000001E-3</v>
      </c>
      <c r="AN41" s="328">
        <f>'Ecoinvent 3.10'!AD20</f>
        <v>2.8468999999999999E-3</v>
      </c>
      <c r="AO41" s="121"/>
      <c r="AP41" s="8"/>
      <c r="AQ41" s="148" t="s">
        <v>377</v>
      </c>
      <c r="AR41" s="49">
        <f t="shared" si="1477"/>
        <v>0</v>
      </c>
      <c r="AS41" s="50">
        <f t="shared" si="1477"/>
        <v>0</v>
      </c>
      <c r="AT41" s="49">
        <f t="shared" si="1477"/>
        <v>0</v>
      </c>
      <c r="AU41" s="50">
        <f t="shared" si="1477"/>
        <v>0</v>
      </c>
      <c r="AV41" s="49">
        <f t="shared" si="1477"/>
        <v>0</v>
      </c>
      <c r="AW41" s="50">
        <f t="shared" si="1477"/>
        <v>0</v>
      </c>
      <c r="AX41" s="49">
        <f t="shared" si="1477"/>
        <v>0</v>
      </c>
      <c r="AY41" s="50">
        <f t="shared" si="1477"/>
        <v>0</v>
      </c>
      <c r="AZ41" s="49">
        <f t="shared" si="1477"/>
        <v>0</v>
      </c>
      <c r="BA41" s="50">
        <f t="shared" si="1477"/>
        <v>0</v>
      </c>
      <c r="BB41" s="49">
        <f t="shared" si="1477"/>
        <v>4.0145742909650011</v>
      </c>
      <c r="BC41" s="50">
        <f t="shared" si="1477"/>
        <v>4.0145742909650011</v>
      </c>
      <c r="BD41" s="49">
        <f t="shared" si="1478"/>
        <v>0</v>
      </c>
      <c r="BE41" s="50">
        <f t="shared" si="1479"/>
        <v>0</v>
      </c>
      <c r="BF41" s="49">
        <f t="shared" si="1480"/>
        <v>0</v>
      </c>
      <c r="BG41" s="50">
        <f t="shared" si="1481"/>
        <v>0</v>
      </c>
      <c r="BI41" s="156"/>
      <c r="BJ41" s="148" t="s">
        <v>377</v>
      </c>
      <c r="BK41" s="49">
        <f t="shared" si="1169"/>
        <v>0</v>
      </c>
      <c r="BL41" s="49">
        <f t="shared" si="1170"/>
        <v>0</v>
      </c>
      <c r="BM41" s="49">
        <f t="shared" si="1171"/>
        <v>0</v>
      </c>
      <c r="BN41" s="49">
        <f t="shared" si="1172"/>
        <v>0</v>
      </c>
      <c r="BO41" s="49">
        <f t="shared" si="1173"/>
        <v>0</v>
      </c>
      <c r="BP41" s="49">
        <f t="shared" si="1174"/>
        <v>0</v>
      </c>
      <c r="BQ41" s="49">
        <f t="shared" si="1175"/>
        <v>0</v>
      </c>
      <c r="BR41" s="49">
        <f t="shared" si="1176"/>
        <v>0</v>
      </c>
      <c r="BS41" s="49">
        <f t="shared" si="1177"/>
        <v>0</v>
      </c>
      <c r="BT41" s="49">
        <f t="shared" si="1178"/>
        <v>0</v>
      </c>
      <c r="BU41" s="49">
        <f t="shared" si="1179"/>
        <v>0.95914141833508204</v>
      </c>
      <c r="BV41" s="49">
        <f t="shared" si="1180"/>
        <v>0.95914141833508204</v>
      </c>
      <c r="BW41" s="49">
        <f t="shared" si="1181"/>
        <v>0</v>
      </c>
      <c r="BX41" s="49">
        <f t="shared" si="1182"/>
        <v>0</v>
      </c>
      <c r="BY41" s="49">
        <f t="shared" si="1183"/>
        <v>0</v>
      </c>
      <c r="BZ41" s="49">
        <f t="shared" si="1184"/>
        <v>0</v>
      </c>
      <c r="CA41" s="156"/>
      <c r="CB41" s="156"/>
      <c r="CC41" s="148" t="s">
        <v>377</v>
      </c>
      <c r="CD41" s="49">
        <f t="shared" si="1185"/>
        <v>0</v>
      </c>
      <c r="CE41" s="49">
        <f t="shared" si="1185"/>
        <v>0</v>
      </c>
      <c r="CF41" s="49">
        <f t="shared" si="1185"/>
        <v>0</v>
      </c>
      <c r="CG41" s="49">
        <f t="shared" si="1185"/>
        <v>0</v>
      </c>
      <c r="CH41" s="49">
        <f t="shared" si="1185"/>
        <v>0</v>
      </c>
      <c r="CI41" s="49">
        <f t="shared" si="1185"/>
        <v>0</v>
      </c>
      <c r="CJ41" s="49">
        <f t="shared" si="1185"/>
        <v>0</v>
      </c>
      <c r="CK41" s="49">
        <f t="shared" si="1185"/>
        <v>0</v>
      </c>
      <c r="CL41" s="49">
        <f t="shared" si="1185"/>
        <v>0</v>
      </c>
      <c r="CM41" s="49">
        <f t="shared" si="1185"/>
        <v>0</v>
      </c>
      <c r="CN41" s="49">
        <f t="shared" si="1185"/>
        <v>10.491505054113569</v>
      </c>
      <c r="CO41" s="220">
        <f t="shared" si="1185"/>
        <v>10.491505054113569</v>
      </c>
      <c r="CP41" s="49">
        <f t="shared" si="1185"/>
        <v>0</v>
      </c>
      <c r="CQ41" s="49">
        <f t="shared" si="1185"/>
        <v>0</v>
      </c>
      <c r="CR41" s="49">
        <f t="shared" si="1185"/>
        <v>0</v>
      </c>
      <c r="CS41" s="220">
        <f t="shared" si="1185"/>
        <v>0</v>
      </c>
      <c r="CV41" s="148" t="s">
        <v>377</v>
      </c>
      <c r="CW41" s="49">
        <f t="shared" si="1186"/>
        <v>0</v>
      </c>
      <c r="CX41" s="49">
        <f t="shared" si="1186"/>
        <v>0</v>
      </c>
      <c r="CY41" s="49">
        <f t="shared" si="1186"/>
        <v>0</v>
      </c>
      <c r="CZ41" s="49">
        <f t="shared" si="1186"/>
        <v>0</v>
      </c>
      <c r="DA41" s="49">
        <f t="shared" si="1186"/>
        <v>0</v>
      </c>
      <c r="DB41" s="49">
        <f t="shared" si="1186"/>
        <v>0</v>
      </c>
      <c r="DC41" s="49">
        <f t="shared" si="1186"/>
        <v>0</v>
      </c>
      <c r="DD41" s="49">
        <f t="shared" si="1186"/>
        <v>0</v>
      </c>
      <c r="DE41" s="49">
        <f t="shared" si="1186"/>
        <v>0</v>
      </c>
      <c r="DF41" s="49">
        <f t="shared" si="1186"/>
        <v>0</v>
      </c>
      <c r="DG41" s="49">
        <f t="shared" si="1186"/>
        <v>3.5003215359502948E-3</v>
      </c>
      <c r="DH41" s="49">
        <f t="shared" si="1186"/>
        <v>3.5003215359502948E-3</v>
      </c>
      <c r="DI41" s="49">
        <f t="shared" si="1186"/>
        <v>0</v>
      </c>
      <c r="DJ41" s="49">
        <f t="shared" si="1186"/>
        <v>0</v>
      </c>
      <c r="DK41" s="49">
        <f t="shared" si="1186"/>
        <v>0</v>
      </c>
      <c r="DL41" s="49">
        <f t="shared" si="1186"/>
        <v>0</v>
      </c>
      <c r="DO41" s="148" t="s">
        <v>377</v>
      </c>
      <c r="DP41" s="49">
        <f t="shared" si="1187"/>
        <v>0</v>
      </c>
      <c r="DQ41" s="49">
        <f t="shared" si="1187"/>
        <v>0</v>
      </c>
      <c r="DR41" s="49">
        <f t="shared" si="1187"/>
        <v>0</v>
      </c>
      <c r="DS41" s="49">
        <f t="shared" si="1187"/>
        <v>0</v>
      </c>
      <c r="DT41" s="49">
        <f t="shared" si="1187"/>
        <v>0</v>
      </c>
      <c r="DU41" s="49">
        <f t="shared" si="1187"/>
        <v>0</v>
      </c>
      <c r="DV41" s="49">
        <f t="shared" si="1187"/>
        <v>0</v>
      </c>
      <c r="DW41" s="49">
        <f t="shared" si="1187"/>
        <v>0</v>
      </c>
      <c r="DX41" s="49">
        <f t="shared" si="1187"/>
        <v>0</v>
      </c>
      <c r="DY41" s="49">
        <f t="shared" si="1187"/>
        <v>0</v>
      </c>
      <c r="DZ41" s="49">
        <f t="shared" si="1187"/>
        <v>6.8602785826064827E-2</v>
      </c>
      <c r="EA41" s="49">
        <f t="shared" si="1187"/>
        <v>6.8602785826064827E-2</v>
      </c>
      <c r="EB41" s="49">
        <f t="shared" si="1187"/>
        <v>0</v>
      </c>
      <c r="EC41" s="49">
        <f t="shared" si="1187"/>
        <v>0</v>
      </c>
      <c r="ED41" s="49">
        <f t="shared" si="1187"/>
        <v>0</v>
      </c>
      <c r="EE41" s="49">
        <f t="shared" si="1187"/>
        <v>0</v>
      </c>
      <c r="EH41" s="148" t="s">
        <v>377</v>
      </c>
      <c r="EI41" s="49">
        <f t="shared" si="1482"/>
        <v>0</v>
      </c>
      <c r="EJ41" s="49">
        <f t="shared" si="1482"/>
        <v>0</v>
      </c>
      <c r="EK41" s="49">
        <f t="shared" si="1482"/>
        <v>0</v>
      </c>
      <c r="EL41" s="49">
        <f t="shared" si="1482"/>
        <v>0</v>
      </c>
      <c r="EM41" s="49">
        <f t="shared" si="1482"/>
        <v>0</v>
      </c>
      <c r="EN41" s="49">
        <f t="shared" si="1482"/>
        <v>0</v>
      </c>
      <c r="EO41" s="49">
        <f t="shared" si="1482"/>
        <v>0</v>
      </c>
      <c r="EP41" s="49">
        <f t="shared" si="1482"/>
        <v>0</v>
      </c>
      <c r="EQ41" s="49">
        <f t="shared" si="1482"/>
        <v>0</v>
      </c>
      <c r="ER41" s="49">
        <f t="shared" si="1482"/>
        <v>0</v>
      </c>
      <c r="ES41" s="49">
        <f t="shared" si="1482"/>
        <v>7.4212587845436488E-3</v>
      </c>
      <c r="ET41" s="49">
        <f t="shared" si="1482"/>
        <v>7.4212587845436488E-3</v>
      </c>
      <c r="EU41" s="49">
        <f t="shared" si="1483"/>
        <v>0</v>
      </c>
      <c r="EV41" s="49">
        <f t="shared" si="1484"/>
        <v>0</v>
      </c>
      <c r="EW41" s="49">
        <f t="shared" si="1485"/>
        <v>0</v>
      </c>
      <c r="EX41" s="49">
        <f t="shared" si="1486"/>
        <v>0</v>
      </c>
      <c r="FA41" s="148" t="s">
        <v>377</v>
      </c>
      <c r="FB41" s="53">
        <f t="shared" si="1487"/>
        <v>0</v>
      </c>
      <c r="FC41" s="53">
        <f t="shared" si="1487"/>
        <v>0</v>
      </c>
      <c r="FD41" s="53">
        <f t="shared" si="1487"/>
        <v>0</v>
      </c>
      <c r="FE41" s="53">
        <f t="shared" si="1487"/>
        <v>0</v>
      </c>
      <c r="FF41" s="53">
        <f t="shared" si="1487"/>
        <v>0</v>
      </c>
      <c r="FG41" s="53">
        <f t="shared" si="1487"/>
        <v>0</v>
      </c>
      <c r="FH41" s="53">
        <f t="shared" si="1487"/>
        <v>0</v>
      </c>
      <c r="FI41" s="53">
        <f t="shared" si="1487"/>
        <v>0</v>
      </c>
      <c r="FJ41" s="53">
        <f t="shared" si="1487"/>
        <v>0</v>
      </c>
      <c r="FK41" s="53">
        <f t="shared" si="1487"/>
        <v>0</v>
      </c>
      <c r="FL41" s="53">
        <f t="shared" si="1487"/>
        <v>3.8658998450307911E-4</v>
      </c>
      <c r="FM41" s="53">
        <f t="shared" si="1487"/>
        <v>3.8658998450307911E-4</v>
      </c>
      <c r="FN41" s="53">
        <f t="shared" si="1488"/>
        <v>0</v>
      </c>
      <c r="FO41" s="53">
        <f t="shared" si="1489"/>
        <v>0</v>
      </c>
      <c r="FP41" s="53">
        <f t="shared" si="1490"/>
        <v>0</v>
      </c>
      <c r="FQ41" s="53">
        <f t="shared" si="1491"/>
        <v>0</v>
      </c>
      <c r="FT41" s="148" t="s">
        <v>377</v>
      </c>
      <c r="FU41" s="49">
        <f t="shared" si="1492"/>
        <v>0</v>
      </c>
      <c r="FV41" s="49">
        <f t="shared" si="1492"/>
        <v>0</v>
      </c>
      <c r="FW41" s="49">
        <f t="shared" si="1492"/>
        <v>0</v>
      </c>
      <c r="FX41" s="49">
        <f t="shared" si="1492"/>
        <v>0</v>
      </c>
      <c r="FY41" s="49">
        <f t="shared" si="1492"/>
        <v>0</v>
      </c>
      <c r="FZ41" s="49">
        <f t="shared" si="1492"/>
        <v>0</v>
      </c>
      <c r="GA41" s="49">
        <f t="shared" si="1492"/>
        <v>0</v>
      </c>
      <c r="GB41" s="49">
        <f t="shared" si="1492"/>
        <v>0</v>
      </c>
      <c r="GC41" s="49">
        <f t="shared" si="1492"/>
        <v>0</v>
      </c>
      <c r="GD41" s="49">
        <f t="shared" si="1492"/>
        <v>0</v>
      </c>
      <c r="GE41" s="49">
        <f t="shared" si="1492"/>
        <v>7.5734716037713617E-2</v>
      </c>
      <c r="GF41" s="49">
        <f t="shared" si="1492"/>
        <v>7.5734716037713617E-2</v>
      </c>
      <c r="GG41" s="49">
        <f t="shared" si="1493"/>
        <v>0</v>
      </c>
      <c r="GH41" s="49">
        <f t="shared" si="1494"/>
        <v>0</v>
      </c>
      <c r="GI41" s="49">
        <f t="shared" si="1495"/>
        <v>0</v>
      </c>
      <c r="GJ41" s="49">
        <f t="shared" si="1496"/>
        <v>0</v>
      </c>
      <c r="GM41" s="148" t="s">
        <v>377</v>
      </c>
      <c r="GN41" s="49">
        <f t="shared" si="1497"/>
        <v>0</v>
      </c>
      <c r="GO41" s="49">
        <f t="shared" si="1497"/>
        <v>0</v>
      </c>
      <c r="GP41" s="49">
        <f t="shared" si="1497"/>
        <v>0</v>
      </c>
      <c r="GQ41" s="49">
        <f t="shared" si="1497"/>
        <v>0</v>
      </c>
      <c r="GR41" s="49">
        <f t="shared" si="1497"/>
        <v>0</v>
      </c>
      <c r="GS41" s="49">
        <f t="shared" si="1497"/>
        <v>0</v>
      </c>
      <c r="GT41" s="49">
        <f t="shared" si="1497"/>
        <v>0</v>
      </c>
      <c r="GU41" s="49">
        <f t="shared" si="1497"/>
        <v>0</v>
      </c>
      <c r="GV41" s="49">
        <f t="shared" si="1497"/>
        <v>0</v>
      </c>
      <c r="GW41" s="49">
        <f t="shared" si="1497"/>
        <v>0</v>
      </c>
      <c r="GX41" s="49">
        <f t="shared" si="1497"/>
        <v>0.25301917471122704</v>
      </c>
      <c r="GY41" s="49">
        <f t="shared" si="1497"/>
        <v>0.25301917471122704</v>
      </c>
      <c r="GZ41" s="49">
        <f t="shared" si="1498"/>
        <v>0</v>
      </c>
      <c r="HA41" s="49">
        <f t="shared" si="1499"/>
        <v>0</v>
      </c>
      <c r="HB41" s="49">
        <f t="shared" si="1500"/>
        <v>0</v>
      </c>
      <c r="HC41" s="49">
        <f t="shared" si="1501"/>
        <v>0</v>
      </c>
      <c r="HF41" s="148" t="s">
        <v>377</v>
      </c>
      <c r="HG41" s="49">
        <f t="shared" si="1502"/>
        <v>0</v>
      </c>
      <c r="HH41" s="49">
        <f t="shared" si="1502"/>
        <v>0</v>
      </c>
      <c r="HI41" s="49">
        <f t="shared" si="1502"/>
        <v>0</v>
      </c>
      <c r="HJ41" s="49">
        <f t="shared" si="1502"/>
        <v>0</v>
      </c>
      <c r="HK41" s="49">
        <f t="shared" si="1502"/>
        <v>0</v>
      </c>
      <c r="HL41" s="49">
        <f t="shared" si="1502"/>
        <v>0</v>
      </c>
      <c r="HM41" s="49">
        <f t="shared" si="1502"/>
        <v>0</v>
      </c>
      <c r="HN41" s="49">
        <f t="shared" si="1502"/>
        <v>0</v>
      </c>
      <c r="HO41" s="49">
        <f t="shared" si="1502"/>
        <v>0</v>
      </c>
      <c r="HP41" s="49">
        <f t="shared" si="1502"/>
        <v>0</v>
      </c>
      <c r="HQ41" s="49">
        <f t="shared" si="1502"/>
        <v>1.5485958325320457</v>
      </c>
      <c r="HR41" s="49">
        <f t="shared" si="1502"/>
        <v>1.5485958325320457</v>
      </c>
      <c r="HS41" s="49">
        <f t="shared" si="1503"/>
        <v>0</v>
      </c>
      <c r="HT41" s="49">
        <f t="shared" si="1504"/>
        <v>0</v>
      </c>
      <c r="HU41" s="49">
        <f t="shared" si="1505"/>
        <v>0</v>
      </c>
      <c r="HV41" s="49">
        <f t="shared" si="1506"/>
        <v>0</v>
      </c>
      <c r="HY41" s="341" t="s">
        <v>546</v>
      </c>
      <c r="HZ41" s="338">
        <f t="shared" si="1507"/>
        <v>0</v>
      </c>
      <c r="IA41" s="338">
        <f t="shared" si="1507"/>
        <v>0</v>
      </c>
      <c r="IB41" s="338">
        <f t="shared" si="1507"/>
        <v>0</v>
      </c>
      <c r="IC41" s="338">
        <f t="shared" si="1507"/>
        <v>0</v>
      </c>
      <c r="ID41" s="338">
        <f t="shared" si="1507"/>
        <v>0</v>
      </c>
      <c r="IE41" s="338">
        <f t="shared" si="1507"/>
        <v>0</v>
      </c>
      <c r="IF41" s="338">
        <f t="shared" si="1507"/>
        <v>0</v>
      </c>
      <c r="IG41" s="338">
        <f t="shared" si="1507"/>
        <v>0</v>
      </c>
      <c r="IH41" s="338">
        <f t="shared" si="1507"/>
        <v>0</v>
      </c>
      <c r="II41" s="338">
        <f t="shared" si="1507"/>
        <v>0</v>
      </c>
      <c r="IJ41" s="338">
        <f t="shared" si="1507"/>
        <v>1.8019972114346793E-3</v>
      </c>
      <c r="IK41" s="338">
        <f t="shared" si="1507"/>
        <v>1.8019972114346793E-3</v>
      </c>
      <c r="IL41" s="338">
        <f t="shared" si="1508"/>
        <v>0</v>
      </c>
      <c r="IM41" s="338">
        <f t="shared" si="1509"/>
        <v>0</v>
      </c>
      <c r="IN41" s="338">
        <f t="shared" si="1510"/>
        <v>0</v>
      </c>
      <c r="IO41" s="338">
        <f t="shared" si="1511"/>
        <v>0</v>
      </c>
      <c r="IR41" s="341" t="s">
        <v>546</v>
      </c>
      <c r="IS41" s="338">
        <f t="shared" si="1512"/>
        <v>0</v>
      </c>
      <c r="IT41" s="338">
        <f t="shared" si="1512"/>
        <v>0</v>
      </c>
      <c r="IU41" s="338">
        <f t="shared" si="1512"/>
        <v>0</v>
      </c>
      <c r="IV41" s="338">
        <f t="shared" si="1512"/>
        <v>0</v>
      </c>
      <c r="IW41" s="338">
        <f t="shared" si="1512"/>
        <v>0</v>
      </c>
      <c r="IX41" s="338">
        <f t="shared" si="1512"/>
        <v>0</v>
      </c>
      <c r="IY41" s="338">
        <f t="shared" si="1512"/>
        <v>0</v>
      </c>
      <c r="IZ41" s="338">
        <f t="shared" si="1512"/>
        <v>0</v>
      </c>
      <c r="JA41" s="338">
        <f t="shared" si="1512"/>
        <v>0</v>
      </c>
      <c r="JB41" s="338">
        <f t="shared" si="1512"/>
        <v>0</v>
      </c>
      <c r="JC41" s="338">
        <f t="shared" si="1512"/>
        <v>0.24868115713876113</v>
      </c>
      <c r="JD41" s="338">
        <f t="shared" si="1512"/>
        <v>0.24868115713876113</v>
      </c>
      <c r="JE41" s="338">
        <f t="shared" si="1513"/>
        <v>0</v>
      </c>
      <c r="JF41" s="338">
        <f t="shared" si="1514"/>
        <v>0</v>
      </c>
      <c r="JG41" s="338">
        <f t="shared" si="1515"/>
        <v>0</v>
      </c>
      <c r="JH41" s="338">
        <f t="shared" si="1516"/>
        <v>0</v>
      </c>
      <c r="JK41" s="341" t="s">
        <v>546</v>
      </c>
      <c r="JL41" s="338">
        <f t="shared" si="1517"/>
        <v>0</v>
      </c>
      <c r="JM41" s="338">
        <f t="shared" si="1517"/>
        <v>0</v>
      </c>
      <c r="JN41" s="338">
        <f t="shared" si="1517"/>
        <v>0</v>
      </c>
      <c r="JO41" s="338">
        <f t="shared" si="1517"/>
        <v>0</v>
      </c>
      <c r="JP41" s="338">
        <f t="shared" si="1517"/>
        <v>0</v>
      </c>
      <c r="JQ41" s="338">
        <f t="shared" si="1517"/>
        <v>0</v>
      </c>
      <c r="JR41" s="338">
        <f t="shared" si="1517"/>
        <v>0</v>
      </c>
      <c r="JS41" s="338">
        <f t="shared" si="1517"/>
        <v>0</v>
      </c>
      <c r="JT41" s="338">
        <f t="shared" si="1517"/>
        <v>0</v>
      </c>
      <c r="JU41" s="338">
        <f t="shared" si="1517"/>
        <v>0</v>
      </c>
      <c r="JV41" s="338">
        <f t="shared" si="1517"/>
        <v>8.6939987419279177E-2</v>
      </c>
      <c r="JW41" s="338">
        <f t="shared" si="1517"/>
        <v>8.6939987419279177E-2</v>
      </c>
      <c r="JX41" s="338">
        <f t="shared" si="1518"/>
        <v>0</v>
      </c>
      <c r="JY41" s="338">
        <f t="shared" si="1519"/>
        <v>0</v>
      </c>
      <c r="JZ41" s="338">
        <f t="shared" si="1520"/>
        <v>0</v>
      </c>
      <c r="KA41" s="338">
        <f t="shared" si="1521"/>
        <v>0</v>
      </c>
      <c r="KD41" s="341" t="s">
        <v>546</v>
      </c>
      <c r="KE41" s="338">
        <f t="shared" si="1522"/>
        <v>0</v>
      </c>
      <c r="KF41" s="338">
        <f t="shared" si="1522"/>
        <v>0</v>
      </c>
      <c r="KG41" s="338">
        <f t="shared" si="1522"/>
        <v>0</v>
      </c>
      <c r="KH41" s="338">
        <f t="shared" si="1522"/>
        <v>0</v>
      </c>
      <c r="KI41" s="338">
        <f t="shared" si="1522"/>
        <v>0</v>
      </c>
      <c r="KJ41" s="338">
        <f t="shared" si="1522"/>
        <v>0</v>
      </c>
      <c r="KK41" s="338">
        <f t="shared" si="1522"/>
        <v>0</v>
      </c>
      <c r="KL41" s="338">
        <f t="shared" si="1522"/>
        <v>0</v>
      </c>
      <c r="KM41" s="338">
        <f t="shared" si="1522"/>
        <v>0</v>
      </c>
      <c r="KN41" s="338">
        <f t="shared" si="1522"/>
        <v>0</v>
      </c>
      <c r="KO41" s="338">
        <f t="shared" si="1522"/>
        <v>2.5450021595292794E-2</v>
      </c>
      <c r="KP41" s="338">
        <f t="shared" si="1522"/>
        <v>2.5450021595292794E-2</v>
      </c>
      <c r="KQ41" s="338">
        <f t="shared" si="1523"/>
        <v>0</v>
      </c>
      <c r="KR41" s="338">
        <f t="shared" si="1524"/>
        <v>0</v>
      </c>
      <c r="KS41" s="338">
        <f t="shared" si="1525"/>
        <v>0</v>
      </c>
      <c r="KT41" s="338">
        <f t="shared" si="1526"/>
        <v>0</v>
      </c>
      <c r="KW41" s="341" t="s">
        <v>546</v>
      </c>
      <c r="KX41" s="338">
        <f t="shared" si="1527"/>
        <v>0</v>
      </c>
      <c r="KY41" s="338">
        <f t="shared" si="1527"/>
        <v>0</v>
      </c>
      <c r="KZ41" s="338">
        <f t="shared" si="1527"/>
        <v>0</v>
      </c>
      <c r="LA41" s="338">
        <f t="shared" si="1527"/>
        <v>0</v>
      </c>
      <c r="LB41" s="338">
        <f t="shared" si="1527"/>
        <v>0</v>
      </c>
      <c r="LC41" s="338">
        <f t="shared" si="1527"/>
        <v>0</v>
      </c>
      <c r="LD41" s="338">
        <f t="shared" si="1527"/>
        <v>0</v>
      </c>
      <c r="LE41" s="338">
        <f t="shared" si="1527"/>
        <v>0</v>
      </c>
      <c r="LF41" s="338">
        <f t="shared" si="1527"/>
        <v>0</v>
      </c>
      <c r="LG41" s="338">
        <f t="shared" si="1527"/>
        <v>0</v>
      </c>
      <c r="LH41" s="338">
        <f t="shared" si="1527"/>
        <v>0.10608077332492608</v>
      </c>
      <c r="LI41" s="338">
        <f t="shared" si="1527"/>
        <v>0.10608077332492608</v>
      </c>
      <c r="LJ41" s="338">
        <f t="shared" si="1528"/>
        <v>0</v>
      </c>
      <c r="LK41" s="338">
        <f t="shared" si="1529"/>
        <v>0</v>
      </c>
      <c r="LL41" s="338">
        <f t="shared" si="1530"/>
        <v>0</v>
      </c>
      <c r="LM41" s="338">
        <f t="shared" si="1531"/>
        <v>0</v>
      </c>
      <c r="LP41" s="341" t="s">
        <v>546</v>
      </c>
      <c r="LQ41" s="338">
        <f t="shared" si="1532"/>
        <v>0</v>
      </c>
      <c r="LR41" s="338">
        <f t="shared" si="1532"/>
        <v>0</v>
      </c>
      <c r="LS41" s="338">
        <f t="shared" si="1532"/>
        <v>0</v>
      </c>
      <c r="LT41" s="338">
        <f t="shared" si="1532"/>
        <v>0</v>
      </c>
      <c r="LU41" s="338">
        <f t="shared" si="1532"/>
        <v>0</v>
      </c>
      <c r="LV41" s="338">
        <f t="shared" si="1532"/>
        <v>0</v>
      </c>
      <c r="LW41" s="338">
        <f t="shared" si="1532"/>
        <v>0</v>
      </c>
      <c r="LX41" s="338">
        <f t="shared" si="1532"/>
        <v>0</v>
      </c>
      <c r="LY41" s="338">
        <f t="shared" si="1532"/>
        <v>0</v>
      </c>
      <c r="LZ41" s="338">
        <f t="shared" si="1532"/>
        <v>0</v>
      </c>
      <c r="MA41" s="338">
        <f t="shared" si="1532"/>
        <v>4.2089281068182932E-5</v>
      </c>
      <c r="MB41" s="338">
        <f t="shared" si="1532"/>
        <v>4.2089281068182932E-5</v>
      </c>
      <c r="MC41" s="338">
        <f t="shared" si="1533"/>
        <v>0</v>
      </c>
      <c r="MD41" s="338">
        <f t="shared" si="1534"/>
        <v>0</v>
      </c>
      <c r="ME41" s="338">
        <f t="shared" si="1535"/>
        <v>0</v>
      </c>
      <c r="MF41" s="338">
        <f t="shared" si="1536"/>
        <v>0</v>
      </c>
      <c r="MI41" s="341" t="s">
        <v>546</v>
      </c>
      <c r="MJ41" s="338">
        <f t="shared" si="1537"/>
        <v>0</v>
      </c>
      <c r="MK41" s="338">
        <f t="shared" si="1537"/>
        <v>0</v>
      </c>
      <c r="ML41" s="338">
        <f t="shared" si="1537"/>
        <v>0</v>
      </c>
      <c r="MM41" s="338">
        <f t="shared" si="1537"/>
        <v>0</v>
      </c>
      <c r="MN41" s="338">
        <f t="shared" si="1537"/>
        <v>0</v>
      </c>
      <c r="MO41" s="338">
        <f t="shared" si="1537"/>
        <v>0</v>
      </c>
      <c r="MP41" s="338">
        <f t="shared" si="1537"/>
        <v>0</v>
      </c>
      <c r="MQ41" s="338">
        <f t="shared" si="1537"/>
        <v>0</v>
      </c>
      <c r="MR41" s="338">
        <f t="shared" si="1537"/>
        <v>0</v>
      </c>
      <c r="MS41" s="338">
        <f t="shared" si="1537"/>
        <v>0</v>
      </c>
      <c r="MT41" s="338">
        <f t="shared" si="1537"/>
        <v>2.7989768447190234E-3</v>
      </c>
      <c r="MU41" s="338">
        <f t="shared" si="1537"/>
        <v>2.7989768447190234E-3</v>
      </c>
      <c r="MV41" s="338">
        <f t="shared" si="1538"/>
        <v>0</v>
      </c>
      <c r="MW41" s="338">
        <f t="shared" si="1539"/>
        <v>0</v>
      </c>
      <c r="MX41" s="338">
        <f t="shared" si="1540"/>
        <v>0</v>
      </c>
      <c r="MY41" s="338">
        <f t="shared" si="1541"/>
        <v>0</v>
      </c>
      <c r="NB41" s="341" t="s">
        <v>546</v>
      </c>
      <c r="NC41" s="338">
        <f t="shared" si="1542"/>
        <v>0</v>
      </c>
      <c r="ND41" s="338">
        <f t="shared" si="1542"/>
        <v>0</v>
      </c>
      <c r="NE41" s="338">
        <f t="shared" si="1542"/>
        <v>0</v>
      </c>
      <c r="NF41" s="338">
        <f t="shared" si="1542"/>
        <v>0</v>
      </c>
      <c r="NG41" s="338">
        <f t="shared" si="1542"/>
        <v>0</v>
      </c>
      <c r="NH41" s="338">
        <f t="shared" si="1542"/>
        <v>0</v>
      </c>
      <c r="NI41" s="338">
        <f t="shared" si="1542"/>
        <v>0</v>
      </c>
      <c r="NJ41" s="338">
        <f t="shared" si="1542"/>
        <v>0</v>
      </c>
      <c r="NK41" s="338">
        <f t="shared" si="1542"/>
        <v>0</v>
      </c>
      <c r="NL41" s="338">
        <f t="shared" si="1542"/>
        <v>0</v>
      </c>
      <c r="NM41" s="338">
        <f t="shared" si="1542"/>
        <v>2.7202427812892454E-3</v>
      </c>
      <c r="NN41" s="338">
        <f t="shared" si="1542"/>
        <v>2.7202427812892454E-3</v>
      </c>
      <c r="NO41" s="338">
        <f t="shared" si="1543"/>
        <v>0</v>
      </c>
      <c r="NP41" s="338">
        <f t="shared" si="1544"/>
        <v>0</v>
      </c>
      <c r="NQ41" s="338">
        <f t="shared" si="1545"/>
        <v>0</v>
      </c>
      <c r="NR41" s="338">
        <f t="shared" si="1546"/>
        <v>0</v>
      </c>
    </row>
    <row r="42" spans="2:382" ht="12.75" customHeight="1" x14ac:dyDescent="0.2">
      <c r="B42" s="734"/>
      <c r="C42" s="148" t="s">
        <v>364</v>
      </c>
      <c r="D42" s="143"/>
      <c r="E42" s="127"/>
      <c r="F42" s="143"/>
      <c r="G42" s="127"/>
      <c r="H42" s="143"/>
      <c r="I42" s="127"/>
      <c r="J42" s="143"/>
      <c r="K42" s="127"/>
      <c r="L42" s="143"/>
      <c r="M42" s="127"/>
      <c r="N42" s="193"/>
      <c r="O42" s="194"/>
      <c r="P42" s="142"/>
      <c r="Q42" s="142"/>
      <c r="R42" s="142"/>
      <c r="S42" s="142"/>
      <c r="T42" s="318"/>
      <c r="U42" s="119"/>
      <c r="V42" s="148" t="s">
        <v>364</v>
      </c>
      <c r="W42" s="100">
        <f>'Ecoinvent 3.10'!M26</f>
        <v>1.7398570160580278E-3</v>
      </c>
      <c r="X42" s="100">
        <f>'Ecoinvent 3.10'!N26</f>
        <v>4.2383999999999998E-4</v>
      </c>
      <c r="Y42" s="100">
        <f>'Ecoinvent 3.10'!O26</f>
        <v>5.8237000000000002E-3</v>
      </c>
      <c r="Z42" s="100">
        <f>'Ecoinvent 3.10'!P26</f>
        <v>3.1441000000000001E-6</v>
      </c>
      <c r="AA42" s="100">
        <f>'Ecoinvent 3.10'!Q26</f>
        <v>6.2706999999999994E-5</v>
      </c>
      <c r="AB42" s="100">
        <f>'Ecoinvent 3.10'!R26</f>
        <v>2.0772999999999999E-5</v>
      </c>
      <c r="AC42" s="100">
        <f>'Ecoinvent 3.10'!S26</f>
        <v>1.5632000000000001E-7</v>
      </c>
      <c r="AD42" s="100">
        <f>'Ecoinvent 3.10'!T26</f>
        <v>3.2746000000000001E-5</v>
      </c>
      <c r="AE42" s="100">
        <f>'Ecoinvent 3.10'!U26</f>
        <v>1.5087E-4</v>
      </c>
      <c r="AF42" s="100">
        <f>'Ecoinvent 3.10'!V26</f>
        <v>6.8725000000000004E-4</v>
      </c>
      <c r="AG42" s="328">
        <f>'Ecoinvent 3.10'!W26</f>
        <v>1.1093999999999999E-6</v>
      </c>
      <c r="AH42" s="328">
        <f>'Ecoinvent 3.10'!X26</f>
        <v>1.0284E-4</v>
      </c>
      <c r="AI42" s="328">
        <f>'Ecoinvent 3.10'!Y26</f>
        <v>4.5904E-5</v>
      </c>
      <c r="AJ42" s="328">
        <f>'Ecoinvent 3.10'!Z26</f>
        <v>9.8532000000000008E-6</v>
      </c>
      <c r="AK42" s="328">
        <f>'Ecoinvent 3.10'!AA26</f>
        <v>4.7926999999999997E-5</v>
      </c>
      <c r="AL42" s="328">
        <f>'Ecoinvent 3.10'!AB26</f>
        <v>2.1497000000000001E-8</v>
      </c>
      <c r="AM42" s="328">
        <f>'Ecoinvent 3.10'!AC26</f>
        <v>8.2900000000000002E-7</v>
      </c>
      <c r="AN42" s="328">
        <f>'Ecoinvent 3.10'!AD26</f>
        <v>7.9370999999999998E-7</v>
      </c>
      <c r="AO42" s="119"/>
      <c r="AP42" s="8"/>
      <c r="AQ42" s="148" t="s">
        <v>364</v>
      </c>
      <c r="AR42" s="49">
        <f t="shared" si="1477"/>
        <v>0</v>
      </c>
      <c r="AS42" s="50">
        <f t="shared" si="1477"/>
        <v>0</v>
      </c>
      <c r="AT42" s="49">
        <f t="shared" si="1477"/>
        <v>0</v>
      </c>
      <c r="AU42" s="50">
        <f t="shared" si="1477"/>
        <v>0</v>
      </c>
      <c r="AV42" s="49">
        <f t="shared" si="1477"/>
        <v>0</v>
      </c>
      <c r="AW42" s="50">
        <f t="shared" si="1477"/>
        <v>0</v>
      </c>
      <c r="AX42" s="49">
        <f t="shared" si="1477"/>
        <v>0</v>
      </c>
      <c r="AY42" s="50">
        <f t="shared" si="1477"/>
        <v>0</v>
      </c>
      <c r="AZ42" s="49">
        <f t="shared" si="1477"/>
        <v>0</v>
      </c>
      <c r="BA42" s="50">
        <f t="shared" si="1477"/>
        <v>0</v>
      </c>
      <c r="BB42" s="49">
        <f t="shared" si="1477"/>
        <v>0</v>
      </c>
      <c r="BC42" s="50">
        <f t="shared" si="1477"/>
        <v>0</v>
      </c>
      <c r="BD42" s="49">
        <f t="shared" si="1478"/>
        <v>0</v>
      </c>
      <c r="BE42" s="50">
        <f t="shared" si="1479"/>
        <v>0</v>
      </c>
      <c r="BF42" s="49">
        <f t="shared" si="1480"/>
        <v>0</v>
      </c>
      <c r="BG42" s="50">
        <f t="shared" si="1481"/>
        <v>0</v>
      </c>
      <c r="BI42" s="156"/>
      <c r="BJ42" s="148" t="s">
        <v>364</v>
      </c>
      <c r="BK42" s="49">
        <f t="shared" si="1169"/>
        <v>0</v>
      </c>
      <c r="BL42" s="49">
        <f t="shared" si="1170"/>
        <v>0</v>
      </c>
      <c r="BM42" s="49">
        <f t="shared" si="1171"/>
        <v>0</v>
      </c>
      <c r="BN42" s="49">
        <f t="shared" si="1172"/>
        <v>0</v>
      </c>
      <c r="BO42" s="49">
        <f t="shared" si="1173"/>
        <v>0</v>
      </c>
      <c r="BP42" s="49">
        <f t="shared" si="1174"/>
        <v>0</v>
      </c>
      <c r="BQ42" s="49">
        <f t="shared" si="1175"/>
        <v>0</v>
      </c>
      <c r="BR42" s="49">
        <f t="shared" si="1176"/>
        <v>0</v>
      </c>
      <c r="BS42" s="49">
        <f t="shared" si="1177"/>
        <v>0</v>
      </c>
      <c r="BT42" s="49">
        <f t="shared" si="1178"/>
        <v>0</v>
      </c>
      <c r="BU42" s="49">
        <f t="shared" si="1179"/>
        <v>0</v>
      </c>
      <c r="BV42" s="49">
        <f t="shared" si="1180"/>
        <v>0</v>
      </c>
      <c r="BW42" s="49">
        <f t="shared" si="1181"/>
        <v>0</v>
      </c>
      <c r="BX42" s="49">
        <f t="shared" si="1182"/>
        <v>0</v>
      </c>
      <c r="BY42" s="49">
        <f t="shared" si="1183"/>
        <v>0</v>
      </c>
      <c r="BZ42" s="49">
        <f t="shared" si="1184"/>
        <v>0</v>
      </c>
      <c r="CA42" s="156"/>
      <c r="CB42" s="156"/>
      <c r="CC42" s="148" t="s">
        <v>364</v>
      </c>
      <c r="CD42" s="49">
        <f t="shared" si="1185"/>
        <v>0</v>
      </c>
      <c r="CE42" s="49">
        <f t="shared" si="1185"/>
        <v>0</v>
      </c>
      <c r="CF42" s="49">
        <f t="shared" si="1185"/>
        <v>0</v>
      </c>
      <c r="CG42" s="49">
        <f t="shared" si="1185"/>
        <v>0</v>
      </c>
      <c r="CH42" s="49">
        <f t="shared" si="1185"/>
        <v>0</v>
      </c>
      <c r="CI42" s="49">
        <f t="shared" si="1185"/>
        <v>0</v>
      </c>
      <c r="CJ42" s="49">
        <f t="shared" si="1185"/>
        <v>0</v>
      </c>
      <c r="CK42" s="49">
        <f t="shared" si="1185"/>
        <v>0</v>
      </c>
      <c r="CL42" s="49">
        <f t="shared" si="1185"/>
        <v>0</v>
      </c>
      <c r="CM42" s="49">
        <f t="shared" si="1185"/>
        <v>0</v>
      </c>
      <c r="CN42" s="49">
        <f t="shared" si="1185"/>
        <v>0</v>
      </c>
      <c r="CO42" s="220">
        <f t="shared" si="1185"/>
        <v>0</v>
      </c>
      <c r="CP42" s="49">
        <f t="shared" si="1185"/>
        <v>0</v>
      </c>
      <c r="CQ42" s="49">
        <f t="shared" si="1185"/>
        <v>0</v>
      </c>
      <c r="CR42" s="49">
        <f t="shared" si="1185"/>
        <v>0</v>
      </c>
      <c r="CS42" s="220">
        <f t="shared" si="1185"/>
        <v>0</v>
      </c>
      <c r="CV42" s="148" t="s">
        <v>364</v>
      </c>
      <c r="CW42" s="49">
        <f t="shared" si="1186"/>
        <v>0</v>
      </c>
      <c r="CX42" s="49">
        <f t="shared" si="1186"/>
        <v>0</v>
      </c>
      <c r="CY42" s="49">
        <f t="shared" si="1186"/>
        <v>0</v>
      </c>
      <c r="CZ42" s="49">
        <f t="shared" si="1186"/>
        <v>0</v>
      </c>
      <c r="DA42" s="49">
        <f t="shared" si="1186"/>
        <v>0</v>
      </c>
      <c r="DB42" s="49">
        <f t="shared" si="1186"/>
        <v>0</v>
      </c>
      <c r="DC42" s="49">
        <f t="shared" si="1186"/>
        <v>0</v>
      </c>
      <c r="DD42" s="49">
        <f t="shared" si="1186"/>
        <v>0</v>
      </c>
      <c r="DE42" s="49">
        <f t="shared" si="1186"/>
        <v>0</v>
      </c>
      <c r="DF42" s="49">
        <f t="shared" si="1186"/>
        <v>0</v>
      </c>
      <c r="DG42" s="49">
        <f t="shared" si="1186"/>
        <v>0</v>
      </c>
      <c r="DH42" s="49">
        <f t="shared" si="1186"/>
        <v>0</v>
      </c>
      <c r="DI42" s="49">
        <f t="shared" si="1186"/>
        <v>0</v>
      </c>
      <c r="DJ42" s="49">
        <f t="shared" si="1186"/>
        <v>0</v>
      </c>
      <c r="DK42" s="49">
        <f t="shared" si="1186"/>
        <v>0</v>
      </c>
      <c r="DL42" s="49">
        <f t="shared" si="1186"/>
        <v>0</v>
      </c>
      <c r="DO42" s="148" t="s">
        <v>364</v>
      </c>
      <c r="DP42" s="49">
        <f t="shared" si="1187"/>
        <v>0</v>
      </c>
      <c r="DQ42" s="49">
        <f t="shared" si="1187"/>
        <v>0</v>
      </c>
      <c r="DR42" s="49">
        <f t="shared" si="1187"/>
        <v>0</v>
      </c>
      <c r="DS42" s="49">
        <f t="shared" si="1187"/>
        <v>0</v>
      </c>
      <c r="DT42" s="49">
        <f t="shared" si="1187"/>
        <v>0</v>
      </c>
      <c r="DU42" s="49">
        <f t="shared" si="1187"/>
        <v>0</v>
      </c>
      <c r="DV42" s="49">
        <f t="shared" si="1187"/>
        <v>0</v>
      </c>
      <c r="DW42" s="49">
        <f t="shared" si="1187"/>
        <v>0</v>
      </c>
      <c r="DX42" s="49">
        <f t="shared" si="1187"/>
        <v>0</v>
      </c>
      <c r="DY42" s="49">
        <f t="shared" si="1187"/>
        <v>0</v>
      </c>
      <c r="DZ42" s="49">
        <f t="shared" si="1187"/>
        <v>0</v>
      </c>
      <c r="EA42" s="49">
        <f t="shared" si="1187"/>
        <v>0</v>
      </c>
      <c r="EB42" s="49">
        <f t="shared" si="1187"/>
        <v>0</v>
      </c>
      <c r="EC42" s="49">
        <f t="shared" si="1187"/>
        <v>0</v>
      </c>
      <c r="ED42" s="49">
        <f t="shared" si="1187"/>
        <v>0</v>
      </c>
      <c r="EE42" s="49">
        <f t="shared" si="1187"/>
        <v>0</v>
      </c>
      <c r="EH42" s="148" t="s">
        <v>364</v>
      </c>
      <c r="EI42" s="49">
        <f t="shared" si="1482"/>
        <v>0</v>
      </c>
      <c r="EJ42" s="49">
        <f t="shared" si="1482"/>
        <v>0</v>
      </c>
      <c r="EK42" s="49">
        <f t="shared" si="1482"/>
        <v>0</v>
      </c>
      <c r="EL42" s="49">
        <f t="shared" si="1482"/>
        <v>0</v>
      </c>
      <c r="EM42" s="49">
        <f t="shared" si="1482"/>
        <v>0</v>
      </c>
      <c r="EN42" s="49">
        <f t="shared" si="1482"/>
        <v>0</v>
      </c>
      <c r="EO42" s="49">
        <f t="shared" si="1482"/>
        <v>0</v>
      </c>
      <c r="EP42" s="49">
        <f t="shared" si="1482"/>
        <v>0</v>
      </c>
      <c r="EQ42" s="49">
        <f t="shared" si="1482"/>
        <v>0</v>
      </c>
      <c r="ER42" s="49">
        <f t="shared" si="1482"/>
        <v>0</v>
      </c>
      <c r="ES42" s="49">
        <f t="shared" si="1482"/>
        <v>0</v>
      </c>
      <c r="ET42" s="49">
        <f t="shared" si="1482"/>
        <v>0</v>
      </c>
      <c r="EU42" s="49">
        <f t="shared" si="1483"/>
        <v>0</v>
      </c>
      <c r="EV42" s="49">
        <f t="shared" si="1484"/>
        <v>0</v>
      </c>
      <c r="EW42" s="49">
        <f t="shared" si="1485"/>
        <v>0</v>
      </c>
      <c r="EX42" s="49">
        <f t="shared" si="1486"/>
        <v>0</v>
      </c>
      <c r="FA42" s="148" t="s">
        <v>364</v>
      </c>
      <c r="FB42" s="53">
        <f t="shared" si="1487"/>
        <v>0</v>
      </c>
      <c r="FC42" s="53">
        <f t="shared" si="1487"/>
        <v>0</v>
      </c>
      <c r="FD42" s="53">
        <f t="shared" si="1487"/>
        <v>0</v>
      </c>
      <c r="FE42" s="53">
        <f t="shared" si="1487"/>
        <v>0</v>
      </c>
      <c r="FF42" s="53">
        <f t="shared" si="1487"/>
        <v>0</v>
      </c>
      <c r="FG42" s="53">
        <f t="shared" si="1487"/>
        <v>0</v>
      </c>
      <c r="FH42" s="53">
        <f t="shared" si="1487"/>
        <v>0</v>
      </c>
      <c r="FI42" s="53">
        <f t="shared" si="1487"/>
        <v>0</v>
      </c>
      <c r="FJ42" s="53">
        <f t="shared" si="1487"/>
        <v>0</v>
      </c>
      <c r="FK42" s="53">
        <f t="shared" si="1487"/>
        <v>0</v>
      </c>
      <c r="FL42" s="53">
        <f t="shared" si="1487"/>
        <v>0</v>
      </c>
      <c r="FM42" s="53">
        <f t="shared" si="1487"/>
        <v>0</v>
      </c>
      <c r="FN42" s="53">
        <f t="shared" si="1488"/>
        <v>0</v>
      </c>
      <c r="FO42" s="53">
        <f t="shared" si="1489"/>
        <v>0</v>
      </c>
      <c r="FP42" s="53">
        <f t="shared" si="1490"/>
        <v>0</v>
      </c>
      <c r="FQ42" s="53">
        <f t="shared" si="1491"/>
        <v>0</v>
      </c>
      <c r="FT42" s="148" t="s">
        <v>364</v>
      </c>
      <c r="FU42" s="49">
        <f t="shared" si="1492"/>
        <v>0</v>
      </c>
      <c r="FV42" s="49">
        <f t="shared" si="1492"/>
        <v>0</v>
      </c>
      <c r="FW42" s="49">
        <f t="shared" si="1492"/>
        <v>0</v>
      </c>
      <c r="FX42" s="49">
        <f t="shared" si="1492"/>
        <v>0</v>
      </c>
      <c r="FY42" s="49">
        <f t="shared" si="1492"/>
        <v>0</v>
      </c>
      <c r="FZ42" s="49">
        <f t="shared" si="1492"/>
        <v>0</v>
      </c>
      <c r="GA42" s="49">
        <f t="shared" si="1492"/>
        <v>0</v>
      </c>
      <c r="GB42" s="49">
        <f t="shared" si="1492"/>
        <v>0</v>
      </c>
      <c r="GC42" s="49">
        <f t="shared" si="1492"/>
        <v>0</v>
      </c>
      <c r="GD42" s="49">
        <f t="shared" si="1492"/>
        <v>0</v>
      </c>
      <c r="GE42" s="49">
        <f t="shared" si="1492"/>
        <v>0</v>
      </c>
      <c r="GF42" s="49">
        <f t="shared" si="1492"/>
        <v>0</v>
      </c>
      <c r="GG42" s="49">
        <f t="shared" si="1493"/>
        <v>0</v>
      </c>
      <c r="GH42" s="49">
        <f t="shared" si="1494"/>
        <v>0</v>
      </c>
      <c r="GI42" s="49">
        <f t="shared" si="1495"/>
        <v>0</v>
      </c>
      <c r="GJ42" s="49">
        <f t="shared" si="1496"/>
        <v>0</v>
      </c>
      <c r="GM42" s="148" t="s">
        <v>364</v>
      </c>
      <c r="GN42" s="49">
        <f t="shared" si="1497"/>
        <v>0</v>
      </c>
      <c r="GO42" s="49">
        <f t="shared" si="1497"/>
        <v>0</v>
      </c>
      <c r="GP42" s="49">
        <f t="shared" si="1497"/>
        <v>0</v>
      </c>
      <c r="GQ42" s="49">
        <f t="shared" si="1497"/>
        <v>0</v>
      </c>
      <c r="GR42" s="49">
        <f t="shared" si="1497"/>
        <v>0</v>
      </c>
      <c r="GS42" s="49">
        <f t="shared" si="1497"/>
        <v>0</v>
      </c>
      <c r="GT42" s="49">
        <f t="shared" si="1497"/>
        <v>0</v>
      </c>
      <c r="GU42" s="49">
        <f t="shared" si="1497"/>
        <v>0</v>
      </c>
      <c r="GV42" s="49">
        <f t="shared" si="1497"/>
        <v>0</v>
      </c>
      <c r="GW42" s="49">
        <f t="shared" si="1497"/>
        <v>0</v>
      </c>
      <c r="GX42" s="49">
        <f t="shared" si="1497"/>
        <v>0</v>
      </c>
      <c r="GY42" s="49">
        <f t="shared" si="1497"/>
        <v>0</v>
      </c>
      <c r="GZ42" s="49">
        <f t="shared" si="1498"/>
        <v>0</v>
      </c>
      <c r="HA42" s="49">
        <f t="shared" si="1499"/>
        <v>0</v>
      </c>
      <c r="HB42" s="49">
        <f t="shared" si="1500"/>
        <v>0</v>
      </c>
      <c r="HC42" s="49">
        <f t="shared" si="1501"/>
        <v>0</v>
      </c>
      <c r="HF42" s="148" t="s">
        <v>364</v>
      </c>
      <c r="HG42" s="49">
        <f t="shared" si="1502"/>
        <v>0</v>
      </c>
      <c r="HH42" s="49">
        <f t="shared" si="1502"/>
        <v>0</v>
      </c>
      <c r="HI42" s="49">
        <f t="shared" si="1502"/>
        <v>0</v>
      </c>
      <c r="HJ42" s="49">
        <f t="shared" si="1502"/>
        <v>0</v>
      </c>
      <c r="HK42" s="49">
        <f t="shared" si="1502"/>
        <v>0</v>
      </c>
      <c r="HL42" s="49">
        <f t="shared" si="1502"/>
        <v>0</v>
      </c>
      <c r="HM42" s="49">
        <f t="shared" si="1502"/>
        <v>0</v>
      </c>
      <c r="HN42" s="49">
        <f t="shared" si="1502"/>
        <v>0</v>
      </c>
      <c r="HO42" s="49">
        <f t="shared" si="1502"/>
        <v>0</v>
      </c>
      <c r="HP42" s="49">
        <f t="shared" si="1502"/>
        <v>0</v>
      </c>
      <c r="HQ42" s="49">
        <f t="shared" si="1502"/>
        <v>0</v>
      </c>
      <c r="HR42" s="49">
        <f t="shared" si="1502"/>
        <v>0</v>
      </c>
      <c r="HS42" s="49">
        <f t="shared" si="1503"/>
        <v>0</v>
      </c>
      <c r="HT42" s="49">
        <f t="shared" si="1504"/>
        <v>0</v>
      </c>
      <c r="HU42" s="49">
        <f t="shared" si="1505"/>
        <v>0</v>
      </c>
      <c r="HV42" s="49">
        <f t="shared" si="1506"/>
        <v>0</v>
      </c>
      <c r="HY42" s="341" t="s">
        <v>364</v>
      </c>
      <c r="HZ42" s="338">
        <f t="shared" si="1507"/>
        <v>0</v>
      </c>
      <c r="IA42" s="338">
        <f t="shared" si="1507"/>
        <v>0</v>
      </c>
      <c r="IB42" s="338">
        <f t="shared" si="1507"/>
        <v>0</v>
      </c>
      <c r="IC42" s="338">
        <f t="shared" si="1507"/>
        <v>0</v>
      </c>
      <c r="ID42" s="338">
        <f t="shared" si="1507"/>
        <v>0</v>
      </c>
      <c r="IE42" s="338">
        <f t="shared" si="1507"/>
        <v>0</v>
      </c>
      <c r="IF42" s="338">
        <f t="shared" si="1507"/>
        <v>0</v>
      </c>
      <c r="IG42" s="338">
        <f t="shared" si="1507"/>
        <v>0</v>
      </c>
      <c r="IH42" s="338">
        <f t="shared" si="1507"/>
        <v>0</v>
      </c>
      <c r="II42" s="338">
        <f t="shared" si="1507"/>
        <v>0</v>
      </c>
      <c r="IJ42" s="338">
        <f t="shared" si="1507"/>
        <v>0</v>
      </c>
      <c r="IK42" s="338">
        <f t="shared" si="1507"/>
        <v>0</v>
      </c>
      <c r="IL42" s="338">
        <f t="shared" si="1508"/>
        <v>0</v>
      </c>
      <c r="IM42" s="338">
        <f t="shared" si="1509"/>
        <v>0</v>
      </c>
      <c r="IN42" s="338">
        <f t="shared" si="1510"/>
        <v>0</v>
      </c>
      <c r="IO42" s="338">
        <f t="shared" si="1511"/>
        <v>0</v>
      </c>
      <c r="IR42" s="341" t="s">
        <v>364</v>
      </c>
      <c r="IS42" s="338">
        <f t="shared" si="1512"/>
        <v>0</v>
      </c>
      <c r="IT42" s="338">
        <f t="shared" si="1512"/>
        <v>0</v>
      </c>
      <c r="IU42" s="338">
        <f t="shared" si="1512"/>
        <v>0</v>
      </c>
      <c r="IV42" s="338">
        <f t="shared" si="1512"/>
        <v>0</v>
      </c>
      <c r="IW42" s="338">
        <f t="shared" si="1512"/>
        <v>0</v>
      </c>
      <c r="IX42" s="338">
        <f t="shared" si="1512"/>
        <v>0</v>
      </c>
      <c r="IY42" s="338">
        <f t="shared" si="1512"/>
        <v>0</v>
      </c>
      <c r="IZ42" s="338">
        <f t="shared" si="1512"/>
        <v>0</v>
      </c>
      <c r="JA42" s="338">
        <f t="shared" si="1512"/>
        <v>0</v>
      </c>
      <c r="JB42" s="338">
        <f t="shared" si="1512"/>
        <v>0</v>
      </c>
      <c r="JC42" s="338">
        <f t="shared" si="1512"/>
        <v>0</v>
      </c>
      <c r="JD42" s="338">
        <f t="shared" si="1512"/>
        <v>0</v>
      </c>
      <c r="JE42" s="338">
        <f t="shared" si="1513"/>
        <v>0</v>
      </c>
      <c r="JF42" s="338">
        <f t="shared" si="1514"/>
        <v>0</v>
      </c>
      <c r="JG42" s="338">
        <f t="shared" si="1515"/>
        <v>0</v>
      </c>
      <c r="JH42" s="338">
        <f t="shared" si="1516"/>
        <v>0</v>
      </c>
      <c r="JK42" s="341" t="s">
        <v>364</v>
      </c>
      <c r="JL42" s="338">
        <f t="shared" si="1517"/>
        <v>0</v>
      </c>
      <c r="JM42" s="338">
        <f t="shared" si="1517"/>
        <v>0</v>
      </c>
      <c r="JN42" s="338">
        <f t="shared" si="1517"/>
        <v>0</v>
      </c>
      <c r="JO42" s="338">
        <f t="shared" si="1517"/>
        <v>0</v>
      </c>
      <c r="JP42" s="338">
        <f t="shared" si="1517"/>
        <v>0</v>
      </c>
      <c r="JQ42" s="338">
        <f t="shared" si="1517"/>
        <v>0</v>
      </c>
      <c r="JR42" s="338">
        <f t="shared" si="1517"/>
        <v>0</v>
      </c>
      <c r="JS42" s="338">
        <f t="shared" si="1517"/>
        <v>0</v>
      </c>
      <c r="JT42" s="338">
        <f t="shared" si="1517"/>
        <v>0</v>
      </c>
      <c r="JU42" s="338">
        <f t="shared" si="1517"/>
        <v>0</v>
      </c>
      <c r="JV42" s="338">
        <f t="shared" si="1517"/>
        <v>0</v>
      </c>
      <c r="JW42" s="338">
        <f t="shared" si="1517"/>
        <v>0</v>
      </c>
      <c r="JX42" s="338">
        <f t="shared" si="1518"/>
        <v>0</v>
      </c>
      <c r="JY42" s="338">
        <f t="shared" si="1519"/>
        <v>0</v>
      </c>
      <c r="JZ42" s="338">
        <f t="shared" si="1520"/>
        <v>0</v>
      </c>
      <c r="KA42" s="338">
        <f t="shared" si="1521"/>
        <v>0</v>
      </c>
      <c r="KD42" s="341" t="s">
        <v>364</v>
      </c>
      <c r="KE42" s="338">
        <f t="shared" si="1522"/>
        <v>0</v>
      </c>
      <c r="KF42" s="338">
        <f t="shared" si="1522"/>
        <v>0</v>
      </c>
      <c r="KG42" s="338">
        <f t="shared" si="1522"/>
        <v>0</v>
      </c>
      <c r="KH42" s="338">
        <f t="shared" si="1522"/>
        <v>0</v>
      </c>
      <c r="KI42" s="338">
        <f t="shared" si="1522"/>
        <v>0</v>
      </c>
      <c r="KJ42" s="338">
        <f t="shared" si="1522"/>
        <v>0</v>
      </c>
      <c r="KK42" s="338">
        <f t="shared" si="1522"/>
        <v>0</v>
      </c>
      <c r="KL42" s="338">
        <f t="shared" si="1522"/>
        <v>0</v>
      </c>
      <c r="KM42" s="338">
        <f t="shared" si="1522"/>
        <v>0</v>
      </c>
      <c r="KN42" s="338">
        <f t="shared" si="1522"/>
        <v>0</v>
      </c>
      <c r="KO42" s="338">
        <f t="shared" si="1522"/>
        <v>0</v>
      </c>
      <c r="KP42" s="338">
        <f t="shared" si="1522"/>
        <v>0</v>
      </c>
      <c r="KQ42" s="338">
        <f t="shared" si="1523"/>
        <v>0</v>
      </c>
      <c r="KR42" s="338">
        <f t="shared" si="1524"/>
        <v>0</v>
      </c>
      <c r="KS42" s="338">
        <f t="shared" si="1525"/>
        <v>0</v>
      </c>
      <c r="KT42" s="338">
        <f t="shared" si="1526"/>
        <v>0</v>
      </c>
      <c r="KW42" s="341" t="s">
        <v>364</v>
      </c>
      <c r="KX42" s="338">
        <f t="shared" si="1527"/>
        <v>0</v>
      </c>
      <c r="KY42" s="338">
        <f t="shared" si="1527"/>
        <v>0</v>
      </c>
      <c r="KZ42" s="338">
        <f t="shared" si="1527"/>
        <v>0</v>
      </c>
      <c r="LA42" s="338">
        <f t="shared" si="1527"/>
        <v>0</v>
      </c>
      <c r="LB42" s="338">
        <f t="shared" si="1527"/>
        <v>0</v>
      </c>
      <c r="LC42" s="338">
        <f t="shared" si="1527"/>
        <v>0</v>
      </c>
      <c r="LD42" s="338">
        <f t="shared" si="1527"/>
        <v>0</v>
      </c>
      <c r="LE42" s="338">
        <f t="shared" si="1527"/>
        <v>0</v>
      </c>
      <c r="LF42" s="338">
        <f t="shared" si="1527"/>
        <v>0</v>
      </c>
      <c r="LG42" s="338">
        <f t="shared" si="1527"/>
        <v>0</v>
      </c>
      <c r="LH42" s="338">
        <f t="shared" si="1527"/>
        <v>0</v>
      </c>
      <c r="LI42" s="338">
        <f t="shared" si="1527"/>
        <v>0</v>
      </c>
      <c r="LJ42" s="338">
        <f t="shared" si="1528"/>
        <v>0</v>
      </c>
      <c r="LK42" s="338">
        <f t="shared" si="1529"/>
        <v>0</v>
      </c>
      <c r="LL42" s="338">
        <f t="shared" si="1530"/>
        <v>0</v>
      </c>
      <c r="LM42" s="338">
        <f t="shared" si="1531"/>
        <v>0</v>
      </c>
      <c r="LP42" s="341" t="s">
        <v>364</v>
      </c>
      <c r="LQ42" s="338">
        <f t="shared" si="1532"/>
        <v>0</v>
      </c>
      <c r="LR42" s="338">
        <f t="shared" si="1532"/>
        <v>0</v>
      </c>
      <c r="LS42" s="338">
        <f t="shared" si="1532"/>
        <v>0</v>
      </c>
      <c r="LT42" s="338">
        <f t="shared" si="1532"/>
        <v>0</v>
      </c>
      <c r="LU42" s="338">
        <f t="shared" si="1532"/>
        <v>0</v>
      </c>
      <c r="LV42" s="338">
        <f t="shared" si="1532"/>
        <v>0</v>
      </c>
      <c r="LW42" s="338">
        <f t="shared" si="1532"/>
        <v>0</v>
      </c>
      <c r="LX42" s="338">
        <f t="shared" si="1532"/>
        <v>0</v>
      </c>
      <c r="LY42" s="338">
        <f t="shared" si="1532"/>
        <v>0</v>
      </c>
      <c r="LZ42" s="338">
        <f t="shared" si="1532"/>
        <v>0</v>
      </c>
      <c r="MA42" s="338">
        <f t="shared" si="1532"/>
        <v>0</v>
      </c>
      <c r="MB42" s="338">
        <f t="shared" si="1532"/>
        <v>0</v>
      </c>
      <c r="MC42" s="338">
        <f t="shared" si="1533"/>
        <v>0</v>
      </c>
      <c r="MD42" s="338">
        <f t="shared" si="1534"/>
        <v>0</v>
      </c>
      <c r="ME42" s="338">
        <f t="shared" si="1535"/>
        <v>0</v>
      </c>
      <c r="MF42" s="338">
        <f t="shared" si="1536"/>
        <v>0</v>
      </c>
      <c r="MI42" s="341" t="s">
        <v>364</v>
      </c>
      <c r="MJ42" s="338">
        <f t="shared" si="1537"/>
        <v>0</v>
      </c>
      <c r="MK42" s="338">
        <f t="shared" si="1537"/>
        <v>0</v>
      </c>
      <c r="ML42" s="338">
        <f t="shared" si="1537"/>
        <v>0</v>
      </c>
      <c r="MM42" s="338">
        <f t="shared" si="1537"/>
        <v>0</v>
      </c>
      <c r="MN42" s="338">
        <f t="shared" si="1537"/>
        <v>0</v>
      </c>
      <c r="MO42" s="338">
        <f t="shared" si="1537"/>
        <v>0</v>
      </c>
      <c r="MP42" s="338">
        <f t="shared" si="1537"/>
        <v>0</v>
      </c>
      <c r="MQ42" s="338">
        <f t="shared" si="1537"/>
        <v>0</v>
      </c>
      <c r="MR42" s="338">
        <f t="shared" si="1537"/>
        <v>0</v>
      </c>
      <c r="MS42" s="338">
        <f t="shared" si="1537"/>
        <v>0</v>
      </c>
      <c r="MT42" s="338">
        <f t="shared" si="1537"/>
        <v>0</v>
      </c>
      <c r="MU42" s="338">
        <f t="shared" si="1537"/>
        <v>0</v>
      </c>
      <c r="MV42" s="338">
        <f t="shared" si="1538"/>
        <v>0</v>
      </c>
      <c r="MW42" s="338">
        <f t="shared" si="1539"/>
        <v>0</v>
      </c>
      <c r="MX42" s="338">
        <f t="shared" si="1540"/>
        <v>0</v>
      </c>
      <c r="MY42" s="338">
        <f t="shared" si="1541"/>
        <v>0</v>
      </c>
      <c r="NB42" s="341" t="s">
        <v>364</v>
      </c>
      <c r="NC42" s="338">
        <f t="shared" si="1542"/>
        <v>0</v>
      </c>
      <c r="ND42" s="338">
        <f t="shared" si="1542"/>
        <v>0</v>
      </c>
      <c r="NE42" s="338">
        <f t="shared" si="1542"/>
        <v>0</v>
      </c>
      <c r="NF42" s="338">
        <f t="shared" si="1542"/>
        <v>0</v>
      </c>
      <c r="NG42" s="338">
        <f t="shared" si="1542"/>
        <v>0</v>
      </c>
      <c r="NH42" s="338">
        <f t="shared" si="1542"/>
        <v>0</v>
      </c>
      <c r="NI42" s="338">
        <f t="shared" si="1542"/>
        <v>0</v>
      </c>
      <c r="NJ42" s="338">
        <f t="shared" si="1542"/>
        <v>0</v>
      </c>
      <c r="NK42" s="338">
        <f t="shared" si="1542"/>
        <v>0</v>
      </c>
      <c r="NL42" s="338">
        <f t="shared" si="1542"/>
        <v>0</v>
      </c>
      <c r="NM42" s="338">
        <f t="shared" si="1542"/>
        <v>0</v>
      </c>
      <c r="NN42" s="338">
        <f t="shared" si="1542"/>
        <v>0</v>
      </c>
      <c r="NO42" s="338">
        <f t="shared" si="1543"/>
        <v>0</v>
      </c>
      <c r="NP42" s="338">
        <f t="shared" si="1544"/>
        <v>0</v>
      </c>
      <c r="NQ42" s="338">
        <f t="shared" si="1545"/>
        <v>0</v>
      </c>
      <c r="NR42" s="338">
        <f t="shared" si="1546"/>
        <v>0</v>
      </c>
    </row>
    <row r="43" spans="2:382" ht="12.75" customHeight="1" x14ac:dyDescent="0.2">
      <c r="B43" s="734"/>
      <c r="C43" s="148" t="s">
        <v>333</v>
      </c>
      <c r="D43" s="143"/>
      <c r="E43" s="127"/>
      <c r="F43" s="143"/>
      <c r="G43" s="127"/>
      <c r="H43" s="143"/>
      <c r="I43" s="127"/>
      <c r="J43" s="143"/>
      <c r="K43" s="127"/>
      <c r="L43" s="143"/>
      <c r="M43" s="127"/>
      <c r="N43" s="126">
        <f>GREET!L24</f>
        <v>12.404004075976564</v>
      </c>
      <c r="O43" s="127">
        <f>GREET!L24</f>
        <v>12.404004075976564</v>
      </c>
      <c r="P43" s="143"/>
      <c r="Q43" s="143"/>
      <c r="R43" s="143"/>
      <c r="S43" s="143"/>
      <c r="T43" s="318"/>
      <c r="U43" s="119"/>
      <c r="V43" s="148" t="s">
        <v>333</v>
      </c>
      <c r="W43" s="100">
        <f>'Ecoinvent 3.10'!M34</f>
        <v>2.6855664780405388</v>
      </c>
      <c r="X43" s="100">
        <f>'Ecoinvent 3.10'!N34</f>
        <v>0.32044</v>
      </c>
      <c r="Y43" s="100">
        <f>'Ecoinvent 3.10'!O34</f>
        <v>1.4854000000000001</v>
      </c>
      <c r="Z43" s="100">
        <f>'Ecoinvent 3.10'!P34</f>
        <v>1.0951999999999999E-3</v>
      </c>
      <c r="AA43" s="100">
        <f>'Ecoinvent 3.10'!Q34</f>
        <v>1.9797999999999999E-3</v>
      </c>
      <c r="AB43" s="100">
        <f>'Ecoinvent 3.10'!R34</f>
        <v>4.7102999999999997E-3</v>
      </c>
      <c r="AC43" s="100">
        <f>'Ecoinvent 3.10'!S34</f>
        <v>2.8058E-4</v>
      </c>
      <c r="AD43" s="100">
        <f>'Ecoinvent 3.10'!T34</f>
        <v>1.0652E-2</v>
      </c>
      <c r="AE43" s="100">
        <f>'Ecoinvent 3.10'!U34</f>
        <v>4.0864999999999999E-2</v>
      </c>
      <c r="AF43" s="100">
        <f>'Ecoinvent 3.10'!V34</f>
        <v>0.37636999999999998</v>
      </c>
      <c r="AG43" s="328">
        <f>'Ecoinvent 3.10'!W34</f>
        <v>4.5020999999999999E-4</v>
      </c>
      <c r="AH43" s="328">
        <f>'Ecoinvent 3.10'!X34</f>
        <v>8.8775000000000007E-2</v>
      </c>
      <c r="AI43" s="328">
        <f>'Ecoinvent 3.10'!Y34</f>
        <v>0.19803999999999999</v>
      </c>
      <c r="AJ43" s="328">
        <f>'Ecoinvent 3.10'!Z34</f>
        <v>1.1283E-2</v>
      </c>
      <c r="AK43" s="328">
        <f>'Ecoinvent 3.10'!AA34</f>
        <v>1.5778E-2</v>
      </c>
      <c r="AL43" s="328">
        <f>'Ecoinvent 3.10'!AB34</f>
        <v>2.2657999999999999E-5</v>
      </c>
      <c r="AM43" s="328">
        <f>'Ecoinvent 3.10'!AC34</f>
        <v>5.8116999999999999E-4</v>
      </c>
      <c r="AN43" s="328">
        <f>'Ecoinvent 3.10'!AD34</f>
        <v>5.6205000000000003E-4</v>
      </c>
      <c r="AO43" s="119"/>
      <c r="AP43" s="8"/>
      <c r="AQ43" s="148" t="s">
        <v>333</v>
      </c>
      <c r="AR43" s="49">
        <f t="shared" si="1477"/>
        <v>0</v>
      </c>
      <c r="AS43" s="50">
        <f t="shared" si="1477"/>
        <v>0</v>
      </c>
      <c r="AT43" s="49">
        <f t="shared" si="1477"/>
        <v>0</v>
      </c>
      <c r="AU43" s="50">
        <f t="shared" si="1477"/>
        <v>0</v>
      </c>
      <c r="AV43" s="49">
        <f t="shared" si="1477"/>
        <v>0</v>
      </c>
      <c r="AW43" s="50">
        <f t="shared" si="1477"/>
        <v>0</v>
      </c>
      <c r="AX43" s="49">
        <f t="shared" si="1477"/>
        <v>0</v>
      </c>
      <c r="AY43" s="50">
        <f t="shared" si="1477"/>
        <v>0</v>
      </c>
      <c r="AZ43" s="49">
        <f t="shared" si="1477"/>
        <v>0</v>
      </c>
      <c r="BA43" s="50">
        <f t="shared" si="1477"/>
        <v>0</v>
      </c>
      <c r="BB43" s="49">
        <f t="shared" si="1477"/>
        <v>33.311777539920868</v>
      </c>
      <c r="BC43" s="50">
        <f t="shared" si="1477"/>
        <v>33.311777539920868</v>
      </c>
      <c r="BD43" s="49">
        <f t="shared" si="1478"/>
        <v>0</v>
      </c>
      <c r="BE43" s="50">
        <f t="shared" si="1479"/>
        <v>0</v>
      </c>
      <c r="BF43" s="49">
        <f t="shared" si="1480"/>
        <v>0</v>
      </c>
      <c r="BG43" s="50">
        <f t="shared" si="1481"/>
        <v>0</v>
      </c>
      <c r="BI43" s="156"/>
      <c r="BJ43" s="148" t="s">
        <v>333</v>
      </c>
      <c r="BK43" s="49">
        <f t="shared" si="1169"/>
        <v>0</v>
      </c>
      <c r="BL43" s="49">
        <f t="shared" si="1170"/>
        <v>0</v>
      </c>
      <c r="BM43" s="49">
        <f t="shared" si="1171"/>
        <v>0</v>
      </c>
      <c r="BN43" s="49">
        <f t="shared" si="1172"/>
        <v>0</v>
      </c>
      <c r="BO43" s="49">
        <f t="shared" si="1173"/>
        <v>0</v>
      </c>
      <c r="BP43" s="49">
        <f t="shared" si="1174"/>
        <v>0</v>
      </c>
      <c r="BQ43" s="49">
        <f t="shared" si="1175"/>
        <v>0</v>
      </c>
      <c r="BR43" s="49">
        <f t="shared" si="1176"/>
        <v>0</v>
      </c>
      <c r="BS43" s="49">
        <f t="shared" si="1177"/>
        <v>0</v>
      </c>
      <c r="BT43" s="49">
        <f t="shared" si="1178"/>
        <v>0</v>
      </c>
      <c r="BU43" s="49">
        <f t="shared" si="1179"/>
        <v>3.9747390661059301</v>
      </c>
      <c r="BV43" s="49">
        <f t="shared" si="1180"/>
        <v>3.9747390661059301</v>
      </c>
      <c r="BW43" s="49">
        <f t="shared" si="1181"/>
        <v>0</v>
      </c>
      <c r="BX43" s="49">
        <f t="shared" si="1182"/>
        <v>0</v>
      </c>
      <c r="BY43" s="49">
        <f t="shared" si="1183"/>
        <v>0</v>
      </c>
      <c r="BZ43" s="49">
        <f t="shared" si="1184"/>
        <v>0</v>
      </c>
      <c r="CA43" s="156"/>
      <c r="CB43" s="156"/>
      <c r="CC43" s="148" t="s">
        <v>333</v>
      </c>
      <c r="CD43" s="49">
        <f t="shared" si="1185"/>
        <v>0</v>
      </c>
      <c r="CE43" s="49">
        <f t="shared" si="1185"/>
        <v>0</v>
      </c>
      <c r="CF43" s="49">
        <f t="shared" si="1185"/>
        <v>0</v>
      </c>
      <c r="CG43" s="49">
        <f t="shared" si="1185"/>
        <v>0</v>
      </c>
      <c r="CH43" s="49">
        <f t="shared" si="1185"/>
        <v>0</v>
      </c>
      <c r="CI43" s="49">
        <f t="shared" si="1185"/>
        <v>0</v>
      </c>
      <c r="CJ43" s="49">
        <f t="shared" si="1185"/>
        <v>0</v>
      </c>
      <c r="CK43" s="49">
        <f t="shared" si="1185"/>
        <v>0</v>
      </c>
      <c r="CL43" s="49">
        <f t="shared" si="1185"/>
        <v>0</v>
      </c>
      <c r="CM43" s="49">
        <f t="shared" si="1185"/>
        <v>0</v>
      </c>
      <c r="CN43" s="49">
        <f t="shared" si="1185"/>
        <v>18.424907654455588</v>
      </c>
      <c r="CO43" s="220">
        <f t="shared" si="1185"/>
        <v>18.424907654455588</v>
      </c>
      <c r="CP43" s="49">
        <f t="shared" si="1185"/>
        <v>0</v>
      </c>
      <c r="CQ43" s="49">
        <f t="shared" si="1185"/>
        <v>0</v>
      </c>
      <c r="CR43" s="49">
        <f t="shared" si="1185"/>
        <v>0</v>
      </c>
      <c r="CS43" s="220">
        <f t="shared" si="1185"/>
        <v>0</v>
      </c>
      <c r="CV43" s="148" t="s">
        <v>333</v>
      </c>
      <c r="CW43" s="49">
        <f t="shared" si="1186"/>
        <v>0</v>
      </c>
      <c r="CX43" s="49">
        <f t="shared" si="1186"/>
        <v>0</v>
      </c>
      <c r="CY43" s="49">
        <f t="shared" si="1186"/>
        <v>0</v>
      </c>
      <c r="CZ43" s="49">
        <f t="shared" si="1186"/>
        <v>0</v>
      </c>
      <c r="DA43" s="49">
        <f t="shared" si="1186"/>
        <v>0</v>
      </c>
      <c r="DB43" s="49">
        <f t="shared" si="1186"/>
        <v>0</v>
      </c>
      <c r="DC43" s="49">
        <f t="shared" si="1186"/>
        <v>0</v>
      </c>
      <c r="DD43" s="49">
        <f t="shared" si="1186"/>
        <v>0</v>
      </c>
      <c r="DE43" s="49">
        <f t="shared" si="1186"/>
        <v>0</v>
      </c>
      <c r="DF43" s="49">
        <f t="shared" si="1186"/>
        <v>0</v>
      </c>
      <c r="DG43" s="49">
        <f t="shared" si="1186"/>
        <v>1.3584865264009533E-2</v>
      </c>
      <c r="DH43" s="49">
        <f t="shared" si="1186"/>
        <v>1.3584865264009533E-2</v>
      </c>
      <c r="DI43" s="49">
        <f t="shared" si="1186"/>
        <v>0</v>
      </c>
      <c r="DJ43" s="49">
        <f t="shared" si="1186"/>
        <v>0</v>
      </c>
      <c r="DK43" s="49">
        <f t="shared" si="1186"/>
        <v>0</v>
      </c>
      <c r="DL43" s="49">
        <f t="shared" si="1186"/>
        <v>0</v>
      </c>
      <c r="DO43" s="148" t="s">
        <v>333</v>
      </c>
      <c r="DP43" s="49">
        <f t="shared" si="1187"/>
        <v>0</v>
      </c>
      <c r="DQ43" s="49">
        <f t="shared" si="1187"/>
        <v>0</v>
      </c>
      <c r="DR43" s="49">
        <f t="shared" si="1187"/>
        <v>0</v>
      </c>
      <c r="DS43" s="49">
        <f t="shared" si="1187"/>
        <v>0</v>
      </c>
      <c r="DT43" s="49">
        <f t="shared" si="1187"/>
        <v>0</v>
      </c>
      <c r="DU43" s="49">
        <f t="shared" si="1187"/>
        <v>0</v>
      </c>
      <c r="DV43" s="49">
        <f t="shared" si="1187"/>
        <v>0</v>
      </c>
      <c r="DW43" s="49">
        <f t="shared" si="1187"/>
        <v>0</v>
      </c>
      <c r="DX43" s="49">
        <f t="shared" si="1187"/>
        <v>0</v>
      </c>
      <c r="DY43" s="49">
        <f t="shared" si="1187"/>
        <v>0</v>
      </c>
      <c r="DZ43" s="49">
        <f t="shared" si="1187"/>
        <v>2.45574472696184E-2</v>
      </c>
      <c r="EA43" s="49">
        <f t="shared" si="1187"/>
        <v>2.45574472696184E-2</v>
      </c>
      <c r="EB43" s="49">
        <f t="shared" si="1187"/>
        <v>0</v>
      </c>
      <c r="EC43" s="49">
        <f t="shared" si="1187"/>
        <v>0</v>
      </c>
      <c r="ED43" s="49">
        <f t="shared" si="1187"/>
        <v>0</v>
      </c>
      <c r="EE43" s="49">
        <f t="shared" si="1187"/>
        <v>0</v>
      </c>
      <c r="EH43" s="148" t="s">
        <v>333</v>
      </c>
      <c r="EI43" s="49">
        <f t="shared" si="1482"/>
        <v>0</v>
      </c>
      <c r="EJ43" s="49">
        <f t="shared" si="1482"/>
        <v>0</v>
      </c>
      <c r="EK43" s="49">
        <f t="shared" si="1482"/>
        <v>0</v>
      </c>
      <c r="EL43" s="49">
        <f t="shared" si="1482"/>
        <v>0</v>
      </c>
      <c r="EM43" s="49">
        <f t="shared" si="1482"/>
        <v>0</v>
      </c>
      <c r="EN43" s="49">
        <f t="shared" si="1482"/>
        <v>0</v>
      </c>
      <c r="EO43" s="49">
        <f t="shared" si="1482"/>
        <v>0</v>
      </c>
      <c r="EP43" s="49">
        <f t="shared" si="1482"/>
        <v>0</v>
      </c>
      <c r="EQ43" s="49">
        <f t="shared" si="1482"/>
        <v>0</v>
      </c>
      <c r="ER43" s="49">
        <f t="shared" si="1482"/>
        <v>0</v>
      </c>
      <c r="ES43" s="49">
        <f t="shared" si="1482"/>
        <v>5.8426580399072406E-2</v>
      </c>
      <c r="ET43" s="49">
        <f t="shared" si="1482"/>
        <v>5.8426580399072406E-2</v>
      </c>
      <c r="EU43" s="49">
        <f t="shared" si="1483"/>
        <v>0</v>
      </c>
      <c r="EV43" s="49">
        <f t="shared" si="1484"/>
        <v>0</v>
      </c>
      <c r="EW43" s="49">
        <f t="shared" si="1485"/>
        <v>0</v>
      </c>
      <c r="EX43" s="49">
        <f t="shared" si="1486"/>
        <v>0</v>
      </c>
      <c r="FA43" s="148" t="s">
        <v>333</v>
      </c>
      <c r="FB43" s="53">
        <f t="shared" si="1487"/>
        <v>0</v>
      </c>
      <c r="FC43" s="53">
        <f t="shared" si="1487"/>
        <v>0</v>
      </c>
      <c r="FD43" s="53">
        <f t="shared" si="1487"/>
        <v>0</v>
      </c>
      <c r="FE43" s="53">
        <f t="shared" si="1487"/>
        <v>0</v>
      </c>
      <c r="FF43" s="53">
        <f t="shared" si="1487"/>
        <v>0</v>
      </c>
      <c r="FG43" s="53">
        <f t="shared" si="1487"/>
        <v>0</v>
      </c>
      <c r="FH43" s="53">
        <f t="shared" si="1487"/>
        <v>0</v>
      </c>
      <c r="FI43" s="53">
        <f t="shared" si="1487"/>
        <v>0</v>
      </c>
      <c r="FJ43" s="53">
        <f t="shared" si="1487"/>
        <v>0</v>
      </c>
      <c r="FK43" s="53">
        <f t="shared" si="1487"/>
        <v>0</v>
      </c>
      <c r="FL43" s="53">
        <f t="shared" si="1487"/>
        <v>3.4803154636375046E-3</v>
      </c>
      <c r="FM43" s="53">
        <f t="shared" si="1487"/>
        <v>3.4803154636375046E-3</v>
      </c>
      <c r="FN43" s="53">
        <f t="shared" si="1488"/>
        <v>0</v>
      </c>
      <c r="FO43" s="53">
        <f t="shared" si="1489"/>
        <v>0</v>
      </c>
      <c r="FP43" s="53">
        <f t="shared" si="1490"/>
        <v>0</v>
      </c>
      <c r="FQ43" s="53">
        <f t="shared" si="1491"/>
        <v>0</v>
      </c>
      <c r="FT43" s="148" t="s">
        <v>333</v>
      </c>
      <c r="FU43" s="49">
        <f t="shared" si="1492"/>
        <v>0</v>
      </c>
      <c r="FV43" s="49">
        <f t="shared" si="1492"/>
        <v>0</v>
      </c>
      <c r="FW43" s="49">
        <f t="shared" si="1492"/>
        <v>0</v>
      </c>
      <c r="FX43" s="49">
        <f t="shared" si="1492"/>
        <v>0</v>
      </c>
      <c r="FY43" s="49">
        <f t="shared" si="1492"/>
        <v>0</v>
      </c>
      <c r="FZ43" s="49">
        <f t="shared" si="1492"/>
        <v>0</v>
      </c>
      <c r="GA43" s="49">
        <f t="shared" si="1492"/>
        <v>0</v>
      </c>
      <c r="GB43" s="49">
        <f t="shared" si="1492"/>
        <v>0</v>
      </c>
      <c r="GC43" s="49">
        <f t="shared" si="1492"/>
        <v>0</v>
      </c>
      <c r="GD43" s="49">
        <f t="shared" si="1492"/>
        <v>0</v>
      </c>
      <c r="GE43" s="49">
        <f t="shared" si="1492"/>
        <v>0.13212745141730237</v>
      </c>
      <c r="GF43" s="49">
        <f t="shared" si="1492"/>
        <v>0.13212745141730237</v>
      </c>
      <c r="GG43" s="49">
        <f t="shared" si="1493"/>
        <v>0</v>
      </c>
      <c r="GH43" s="49">
        <f t="shared" si="1494"/>
        <v>0</v>
      </c>
      <c r="GI43" s="49">
        <f t="shared" si="1495"/>
        <v>0</v>
      </c>
      <c r="GJ43" s="49">
        <f t="shared" si="1496"/>
        <v>0</v>
      </c>
      <c r="GM43" s="148" t="s">
        <v>333</v>
      </c>
      <c r="GN43" s="49">
        <f t="shared" si="1497"/>
        <v>0</v>
      </c>
      <c r="GO43" s="49">
        <f t="shared" si="1497"/>
        <v>0</v>
      </c>
      <c r="GP43" s="49">
        <f t="shared" si="1497"/>
        <v>0</v>
      </c>
      <c r="GQ43" s="49">
        <f t="shared" si="1497"/>
        <v>0</v>
      </c>
      <c r="GR43" s="49">
        <f t="shared" si="1497"/>
        <v>0</v>
      </c>
      <c r="GS43" s="49">
        <f t="shared" si="1497"/>
        <v>0</v>
      </c>
      <c r="GT43" s="49">
        <f t="shared" si="1497"/>
        <v>0</v>
      </c>
      <c r="GU43" s="49">
        <f t="shared" si="1497"/>
        <v>0</v>
      </c>
      <c r="GV43" s="49">
        <f t="shared" si="1497"/>
        <v>0</v>
      </c>
      <c r="GW43" s="49">
        <f t="shared" si="1497"/>
        <v>0</v>
      </c>
      <c r="GX43" s="49">
        <f t="shared" si="1497"/>
        <v>0.50688962656478231</v>
      </c>
      <c r="GY43" s="49">
        <f t="shared" si="1497"/>
        <v>0.50688962656478231</v>
      </c>
      <c r="GZ43" s="49">
        <f t="shared" si="1498"/>
        <v>0</v>
      </c>
      <c r="HA43" s="49">
        <f t="shared" si="1499"/>
        <v>0</v>
      </c>
      <c r="HB43" s="49">
        <f t="shared" si="1500"/>
        <v>0</v>
      </c>
      <c r="HC43" s="49">
        <f t="shared" si="1501"/>
        <v>0</v>
      </c>
      <c r="HF43" s="148" t="s">
        <v>333</v>
      </c>
      <c r="HG43" s="49">
        <f t="shared" si="1502"/>
        <v>0</v>
      </c>
      <c r="HH43" s="49">
        <f t="shared" si="1502"/>
        <v>0</v>
      </c>
      <c r="HI43" s="49">
        <f t="shared" si="1502"/>
        <v>0</v>
      </c>
      <c r="HJ43" s="49">
        <f t="shared" si="1502"/>
        <v>0</v>
      </c>
      <c r="HK43" s="49">
        <f t="shared" si="1502"/>
        <v>0</v>
      </c>
      <c r="HL43" s="49">
        <f t="shared" si="1502"/>
        <v>0</v>
      </c>
      <c r="HM43" s="49">
        <f t="shared" si="1502"/>
        <v>0</v>
      </c>
      <c r="HN43" s="49">
        <f t="shared" si="1502"/>
        <v>0</v>
      </c>
      <c r="HO43" s="49">
        <f t="shared" si="1502"/>
        <v>0</v>
      </c>
      <c r="HP43" s="49">
        <f t="shared" si="1502"/>
        <v>0</v>
      </c>
      <c r="HQ43" s="49">
        <f t="shared" si="1502"/>
        <v>4.6684950140752992</v>
      </c>
      <c r="HR43" s="49">
        <f t="shared" si="1502"/>
        <v>4.6684950140752992</v>
      </c>
      <c r="HS43" s="49">
        <f t="shared" si="1503"/>
        <v>0</v>
      </c>
      <c r="HT43" s="49">
        <f t="shared" si="1504"/>
        <v>0</v>
      </c>
      <c r="HU43" s="49">
        <f t="shared" si="1505"/>
        <v>0</v>
      </c>
      <c r="HV43" s="49">
        <f t="shared" si="1506"/>
        <v>0</v>
      </c>
      <c r="HY43" s="341" t="s">
        <v>333</v>
      </c>
      <c r="HZ43" s="338">
        <f t="shared" si="1507"/>
        <v>0</v>
      </c>
      <c r="IA43" s="338">
        <f t="shared" si="1507"/>
        <v>0</v>
      </c>
      <c r="IB43" s="338">
        <f t="shared" si="1507"/>
        <v>0</v>
      </c>
      <c r="IC43" s="338">
        <f t="shared" si="1507"/>
        <v>0</v>
      </c>
      <c r="ID43" s="338">
        <f t="shared" si="1507"/>
        <v>0</v>
      </c>
      <c r="IE43" s="338">
        <f t="shared" si="1507"/>
        <v>0</v>
      </c>
      <c r="IF43" s="338">
        <f t="shared" si="1507"/>
        <v>0</v>
      </c>
      <c r="IG43" s="338">
        <f t="shared" si="1507"/>
        <v>0</v>
      </c>
      <c r="IH43" s="338">
        <f t="shared" si="1507"/>
        <v>0</v>
      </c>
      <c r="II43" s="338">
        <f t="shared" si="1507"/>
        <v>0</v>
      </c>
      <c r="IJ43" s="338">
        <f t="shared" si="1507"/>
        <v>5.5844066750454086E-3</v>
      </c>
      <c r="IK43" s="338">
        <f t="shared" si="1507"/>
        <v>5.5844066750454086E-3</v>
      </c>
      <c r="IL43" s="338">
        <f t="shared" si="1508"/>
        <v>0</v>
      </c>
      <c r="IM43" s="338">
        <f t="shared" si="1509"/>
        <v>0</v>
      </c>
      <c r="IN43" s="338">
        <f t="shared" si="1510"/>
        <v>0</v>
      </c>
      <c r="IO43" s="338">
        <f t="shared" si="1511"/>
        <v>0</v>
      </c>
      <c r="IR43" s="341" t="s">
        <v>333</v>
      </c>
      <c r="IS43" s="338">
        <f t="shared" si="1512"/>
        <v>0</v>
      </c>
      <c r="IT43" s="338">
        <f t="shared" si="1512"/>
        <v>0</v>
      </c>
      <c r="IU43" s="338">
        <f t="shared" si="1512"/>
        <v>0</v>
      </c>
      <c r="IV43" s="338">
        <f t="shared" si="1512"/>
        <v>0</v>
      </c>
      <c r="IW43" s="338">
        <f t="shared" si="1512"/>
        <v>0</v>
      </c>
      <c r="IX43" s="338">
        <f t="shared" si="1512"/>
        <v>0</v>
      </c>
      <c r="IY43" s="338">
        <f t="shared" si="1512"/>
        <v>0</v>
      </c>
      <c r="IZ43" s="338">
        <f t="shared" si="1512"/>
        <v>0</v>
      </c>
      <c r="JA43" s="338">
        <f t="shared" si="1512"/>
        <v>0</v>
      </c>
      <c r="JB43" s="338">
        <f t="shared" si="1512"/>
        <v>0</v>
      </c>
      <c r="JC43" s="338">
        <f t="shared" si="1512"/>
        <v>1.1011654618448197</v>
      </c>
      <c r="JD43" s="338">
        <f t="shared" si="1512"/>
        <v>1.1011654618448197</v>
      </c>
      <c r="JE43" s="338">
        <f t="shared" si="1513"/>
        <v>0</v>
      </c>
      <c r="JF43" s="338">
        <f t="shared" si="1514"/>
        <v>0</v>
      </c>
      <c r="JG43" s="338">
        <f t="shared" si="1515"/>
        <v>0</v>
      </c>
      <c r="JH43" s="338">
        <f t="shared" si="1516"/>
        <v>0</v>
      </c>
      <c r="JK43" s="341" t="s">
        <v>333</v>
      </c>
      <c r="JL43" s="338">
        <f t="shared" si="1517"/>
        <v>0</v>
      </c>
      <c r="JM43" s="338">
        <f t="shared" si="1517"/>
        <v>0</v>
      </c>
      <c r="JN43" s="338">
        <f t="shared" si="1517"/>
        <v>0</v>
      </c>
      <c r="JO43" s="338">
        <f t="shared" si="1517"/>
        <v>0</v>
      </c>
      <c r="JP43" s="338">
        <f t="shared" si="1517"/>
        <v>0</v>
      </c>
      <c r="JQ43" s="338">
        <f t="shared" si="1517"/>
        <v>0</v>
      </c>
      <c r="JR43" s="338">
        <f t="shared" si="1517"/>
        <v>0</v>
      </c>
      <c r="JS43" s="338">
        <f t="shared" si="1517"/>
        <v>0</v>
      </c>
      <c r="JT43" s="338">
        <f t="shared" si="1517"/>
        <v>0</v>
      </c>
      <c r="JU43" s="338">
        <f t="shared" si="1517"/>
        <v>0</v>
      </c>
      <c r="JV43" s="338">
        <f t="shared" si="1517"/>
        <v>2.4564889672063988</v>
      </c>
      <c r="JW43" s="338">
        <f t="shared" si="1517"/>
        <v>2.4564889672063988</v>
      </c>
      <c r="JX43" s="338">
        <f t="shared" si="1518"/>
        <v>0</v>
      </c>
      <c r="JY43" s="338">
        <f t="shared" si="1519"/>
        <v>0</v>
      </c>
      <c r="JZ43" s="338">
        <f t="shared" si="1520"/>
        <v>0</v>
      </c>
      <c r="KA43" s="338">
        <f t="shared" si="1521"/>
        <v>0</v>
      </c>
      <c r="KD43" s="341" t="s">
        <v>333</v>
      </c>
      <c r="KE43" s="338">
        <f t="shared" si="1522"/>
        <v>0</v>
      </c>
      <c r="KF43" s="338">
        <f t="shared" si="1522"/>
        <v>0</v>
      </c>
      <c r="KG43" s="338">
        <f t="shared" si="1522"/>
        <v>0</v>
      </c>
      <c r="KH43" s="338">
        <f t="shared" si="1522"/>
        <v>0</v>
      </c>
      <c r="KI43" s="338">
        <f t="shared" si="1522"/>
        <v>0</v>
      </c>
      <c r="KJ43" s="338">
        <f t="shared" si="1522"/>
        <v>0</v>
      </c>
      <c r="KK43" s="338">
        <f t="shared" si="1522"/>
        <v>0</v>
      </c>
      <c r="KL43" s="338">
        <f t="shared" si="1522"/>
        <v>0</v>
      </c>
      <c r="KM43" s="338">
        <f t="shared" si="1522"/>
        <v>0</v>
      </c>
      <c r="KN43" s="338">
        <f t="shared" si="1522"/>
        <v>0</v>
      </c>
      <c r="KO43" s="338">
        <f t="shared" si="1522"/>
        <v>0.13995437798924357</v>
      </c>
      <c r="KP43" s="338">
        <f t="shared" si="1522"/>
        <v>0.13995437798924357</v>
      </c>
      <c r="KQ43" s="338">
        <f t="shared" si="1523"/>
        <v>0</v>
      </c>
      <c r="KR43" s="338">
        <f t="shared" si="1524"/>
        <v>0</v>
      </c>
      <c r="KS43" s="338">
        <f t="shared" si="1525"/>
        <v>0</v>
      </c>
      <c r="KT43" s="338">
        <f t="shared" si="1526"/>
        <v>0</v>
      </c>
      <c r="KW43" s="341" t="s">
        <v>333</v>
      </c>
      <c r="KX43" s="338">
        <f t="shared" si="1527"/>
        <v>0</v>
      </c>
      <c r="KY43" s="338">
        <f t="shared" si="1527"/>
        <v>0</v>
      </c>
      <c r="KZ43" s="338">
        <f t="shared" si="1527"/>
        <v>0</v>
      </c>
      <c r="LA43" s="338">
        <f t="shared" si="1527"/>
        <v>0</v>
      </c>
      <c r="LB43" s="338">
        <f t="shared" si="1527"/>
        <v>0</v>
      </c>
      <c r="LC43" s="338">
        <f t="shared" si="1527"/>
        <v>0</v>
      </c>
      <c r="LD43" s="338">
        <f t="shared" si="1527"/>
        <v>0</v>
      </c>
      <c r="LE43" s="338">
        <f t="shared" si="1527"/>
        <v>0</v>
      </c>
      <c r="LF43" s="338">
        <f t="shared" si="1527"/>
        <v>0</v>
      </c>
      <c r="LG43" s="338">
        <f t="shared" si="1527"/>
        <v>0</v>
      </c>
      <c r="LH43" s="338">
        <f t="shared" si="1527"/>
        <v>0.19571037631075824</v>
      </c>
      <c r="LI43" s="338">
        <f t="shared" si="1527"/>
        <v>0.19571037631075824</v>
      </c>
      <c r="LJ43" s="338">
        <f t="shared" si="1528"/>
        <v>0</v>
      </c>
      <c r="LK43" s="338">
        <f t="shared" si="1529"/>
        <v>0</v>
      </c>
      <c r="LL43" s="338">
        <f t="shared" si="1530"/>
        <v>0</v>
      </c>
      <c r="LM43" s="338">
        <f t="shared" si="1531"/>
        <v>0</v>
      </c>
      <c r="LP43" s="341" t="s">
        <v>333</v>
      </c>
      <c r="LQ43" s="338">
        <f t="shared" si="1532"/>
        <v>0</v>
      </c>
      <c r="LR43" s="338">
        <f t="shared" si="1532"/>
        <v>0</v>
      </c>
      <c r="LS43" s="338">
        <f t="shared" si="1532"/>
        <v>0</v>
      </c>
      <c r="LT43" s="338">
        <f t="shared" si="1532"/>
        <v>0</v>
      </c>
      <c r="LU43" s="338">
        <f t="shared" si="1532"/>
        <v>0</v>
      </c>
      <c r="LV43" s="338">
        <f t="shared" si="1532"/>
        <v>0</v>
      </c>
      <c r="LW43" s="338">
        <f t="shared" si="1532"/>
        <v>0</v>
      </c>
      <c r="LX43" s="338">
        <f t="shared" si="1532"/>
        <v>0</v>
      </c>
      <c r="LY43" s="338">
        <f t="shared" si="1532"/>
        <v>0</v>
      </c>
      <c r="LZ43" s="338">
        <f t="shared" si="1532"/>
        <v>0</v>
      </c>
      <c r="MA43" s="338">
        <f t="shared" si="1532"/>
        <v>2.8104992435347697E-4</v>
      </c>
      <c r="MB43" s="338">
        <f t="shared" si="1532"/>
        <v>2.8104992435347697E-4</v>
      </c>
      <c r="MC43" s="338">
        <f t="shared" si="1533"/>
        <v>0</v>
      </c>
      <c r="MD43" s="338">
        <f t="shared" si="1534"/>
        <v>0</v>
      </c>
      <c r="ME43" s="338">
        <f t="shared" si="1535"/>
        <v>0</v>
      </c>
      <c r="MF43" s="338">
        <f t="shared" si="1536"/>
        <v>0</v>
      </c>
      <c r="MI43" s="341" t="s">
        <v>333</v>
      </c>
      <c r="MJ43" s="338">
        <f t="shared" si="1537"/>
        <v>0</v>
      </c>
      <c r="MK43" s="338">
        <f t="shared" si="1537"/>
        <v>0</v>
      </c>
      <c r="ML43" s="338">
        <f t="shared" si="1537"/>
        <v>0</v>
      </c>
      <c r="MM43" s="338">
        <f t="shared" si="1537"/>
        <v>0</v>
      </c>
      <c r="MN43" s="338">
        <f t="shared" si="1537"/>
        <v>0</v>
      </c>
      <c r="MO43" s="338">
        <f t="shared" si="1537"/>
        <v>0</v>
      </c>
      <c r="MP43" s="338">
        <f t="shared" si="1537"/>
        <v>0</v>
      </c>
      <c r="MQ43" s="338">
        <f t="shared" si="1537"/>
        <v>0</v>
      </c>
      <c r="MR43" s="338">
        <f t="shared" si="1537"/>
        <v>0</v>
      </c>
      <c r="MS43" s="338">
        <f t="shared" si="1537"/>
        <v>0</v>
      </c>
      <c r="MT43" s="338">
        <f t="shared" si="1537"/>
        <v>7.2088350488352998E-3</v>
      </c>
      <c r="MU43" s="338">
        <f t="shared" si="1537"/>
        <v>7.2088350488352998E-3</v>
      </c>
      <c r="MV43" s="338">
        <f t="shared" si="1538"/>
        <v>0</v>
      </c>
      <c r="MW43" s="338">
        <f t="shared" si="1539"/>
        <v>0</v>
      </c>
      <c r="MX43" s="338">
        <f t="shared" si="1540"/>
        <v>0</v>
      </c>
      <c r="MY43" s="338">
        <f t="shared" si="1541"/>
        <v>0</v>
      </c>
      <c r="NB43" s="341" t="s">
        <v>333</v>
      </c>
      <c r="NC43" s="338">
        <f t="shared" si="1542"/>
        <v>0</v>
      </c>
      <c r="ND43" s="338">
        <f t="shared" si="1542"/>
        <v>0</v>
      </c>
      <c r="NE43" s="338">
        <f t="shared" si="1542"/>
        <v>0</v>
      </c>
      <c r="NF43" s="338">
        <f t="shared" si="1542"/>
        <v>0</v>
      </c>
      <c r="NG43" s="338">
        <f t="shared" si="1542"/>
        <v>0</v>
      </c>
      <c r="NH43" s="338">
        <f t="shared" si="1542"/>
        <v>0</v>
      </c>
      <c r="NI43" s="338">
        <f t="shared" si="1542"/>
        <v>0</v>
      </c>
      <c r="NJ43" s="338">
        <f t="shared" si="1542"/>
        <v>0</v>
      </c>
      <c r="NK43" s="338">
        <f t="shared" si="1542"/>
        <v>0</v>
      </c>
      <c r="NL43" s="338">
        <f t="shared" si="1542"/>
        <v>0</v>
      </c>
      <c r="NM43" s="338">
        <f t="shared" si="1542"/>
        <v>6.9716704909026286E-3</v>
      </c>
      <c r="NN43" s="338">
        <f t="shared" si="1542"/>
        <v>6.9716704909026286E-3</v>
      </c>
      <c r="NO43" s="338">
        <f t="shared" si="1543"/>
        <v>0</v>
      </c>
      <c r="NP43" s="338">
        <f t="shared" si="1544"/>
        <v>0</v>
      </c>
      <c r="NQ43" s="338">
        <f t="shared" si="1545"/>
        <v>0</v>
      </c>
      <c r="NR43" s="338">
        <f t="shared" si="1546"/>
        <v>0</v>
      </c>
    </row>
    <row r="44" spans="2:382" ht="12.75" customHeight="1" x14ac:dyDescent="0.2">
      <c r="B44" s="734"/>
      <c r="C44" s="148" t="s">
        <v>365</v>
      </c>
      <c r="D44" s="143"/>
      <c r="E44" s="127"/>
      <c r="F44" s="143"/>
      <c r="G44" s="127"/>
      <c r="H44" s="143"/>
      <c r="I44" s="127"/>
      <c r="J44" s="143"/>
      <c r="K44" s="127"/>
      <c r="L44" s="143"/>
      <c r="M44" s="127"/>
      <c r="N44" s="193"/>
      <c r="O44" s="194"/>
      <c r="P44" s="142"/>
      <c r="Q44" s="142"/>
      <c r="R44" s="142"/>
      <c r="S44" s="142"/>
      <c r="T44" s="318"/>
      <c r="U44" s="119"/>
      <c r="V44" s="148" t="s">
        <v>365</v>
      </c>
      <c r="W44" s="100">
        <f>'Ecoinvent 3.10'!M35</f>
        <v>0.99828727057226196</v>
      </c>
      <c r="X44" s="100">
        <f>'Ecoinvent 3.10'!N35</f>
        <v>0.20746439999999999</v>
      </c>
      <c r="Y44" s="100">
        <f>'Ecoinvent 3.10'!O35</f>
        <v>0.67435199999999995</v>
      </c>
      <c r="Z44" s="100">
        <f>'Ecoinvent 3.10'!P35</f>
        <v>8.8869600000000007E-5</v>
      </c>
      <c r="AA44" s="100">
        <f>'Ecoinvent 3.10'!Q35</f>
        <v>1.2027959999999999E-3</v>
      </c>
      <c r="AB44" s="100">
        <f>'Ecoinvent 3.10'!R35</f>
        <v>1.562112E-4</v>
      </c>
      <c r="AC44" s="100">
        <f>'Ecoinvent 3.10'!S35</f>
        <v>3.419712E-6</v>
      </c>
      <c r="AD44" s="100">
        <f>'Ecoinvent 3.10'!T35</f>
        <v>7.4714400000000004E-4</v>
      </c>
      <c r="AE44" s="100">
        <f>'Ecoinvent 3.10'!U35</f>
        <v>1.096452E-2</v>
      </c>
      <c r="AF44" s="100">
        <f>'Ecoinvent 3.10'!V35</f>
        <v>1.102932E-2</v>
      </c>
      <c r="AG44" s="328">
        <f>'Ecoinvent 3.10'!W35</f>
        <v>3.5511120000000001E-5</v>
      </c>
      <c r="AH44" s="328">
        <f>'Ecoinvent 3.10'!X35</f>
        <v>7.4872800000000003E-2</v>
      </c>
      <c r="AI44" s="328">
        <f>'Ecoinvent 3.10'!Y35</f>
        <v>9.8971200000000001E-4</v>
      </c>
      <c r="AJ44" s="328">
        <f>'Ecoinvent 3.10'!Z35</f>
        <v>2.4006240000000001E-4</v>
      </c>
      <c r="AK44" s="328">
        <f>'Ecoinvent 3.10'!AA35</f>
        <v>1.7943480000000001E-3</v>
      </c>
      <c r="AL44" s="328">
        <f>'Ecoinvent 3.10'!AB35</f>
        <v>2.5094880000000004E-6</v>
      </c>
      <c r="AM44" s="328">
        <f>'Ecoinvent 3.10'!AC35</f>
        <v>2.0774880000000001E-4</v>
      </c>
      <c r="AN44" s="328">
        <f>'Ecoinvent 3.10'!AD35</f>
        <v>1.8267479999999999E-4</v>
      </c>
      <c r="AO44" s="119"/>
      <c r="AP44" s="8"/>
      <c r="AQ44" s="148" t="s">
        <v>365</v>
      </c>
      <c r="AR44" s="49">
        <f t="shared" si="1477"/>
        <v>0</v>
      </c>
      <c r="AS44" s="50">
        <f t="shared" si="1477"/>
        <v>0</v>
      </c>
      <c r="AT44" s="49">
        <f t="shared" si="1477"/>
        <v>0</v>
      </c>
      <c r="AU44" s="50">
        <f t="shared" si="1477"/>
        <v>0</v>
      </c>
      <c r="AV44" s="49">
        <f t="shared" si="1477"/>
        <v>0</v>
      </c>
      <c r="AW44" s="50">
        <f t="shared" si="1477"/>
        <v>0</v>
      </c>
      <c r="AX44" s="49">
        <f t="shared" si="1477"/>
        <v>0</v>
      </c>
      <c r="AY44" s="50">
        <f t="shared" si="1477"/>
        <v>0</v>
      </c>
      <c r="AZ44" s="49">
        <f t="shared" si="1477"/>
        <v>0</v>
      </c>
      <c r="BA44" s="50">
        <f t="shared" si="1477"/>
        <v>0</v>
      </c>
      <c r="BB44" s="49">
        <f>N44*$W44</f>
        <v>0</v>
      </c>
      <c r="BC44" s="50">
        <f t="shared" si="1477"/>
        <v>0</v>
      </c>
      <c r="BD44" s="49">
        <f t="shared" si="1478"/>
        <v>0</v>
      </c>
      <c r="BE44" s="50">
        <f t="shared" si="1479"/>
        <v>0</v>
      </c>
      <c r="BF44" s="49">
        <f t="shared" si="1480"/>
        <v>0</v>
      </c>
      <c r="BG44" s="50">
        <f t="shared" si="1481"/>
        <v>0</v>
      </c>
      <c r="BI44" s="156"/>
      <c r="BJ44" s="148" t="s">
        <v>365</v>
      </c>
      <c r="BK44" s="49">
        <f t="shared" si="1169"/>
        <v>0</v>
      </c>
      <c r="BL44" s="49">
        <f t="shared" si="1170"/>
        <v>0</v>
      </c>
      <c r="BM44" s="49">
        <f t="shared" si="1171"/>
        <v>0</v>
      </c>
      <c r="BN44" s="49">
        <f t="shared" si="1172"/>
        <v>0</v>
      </c>
      <c r="BO44" s="49">
        <f t="shared" si="1173"/>
        <v>0</v>
      </c>
      <c r="BP44" s="49">
        <f t="shared" si="1174"/>
        <v>0</v>
      </c>
      <c r="BQ44" s="49">
        <f t="shared" si="1175"/>
        <v>0</v>
      </c>
      <c r="BR44" s="49">
        <f t="shared" si="1176"/>
        <v>0</v>
      </c>
      <c r="BS44" s="49">
        <f t="shared" si="1177"/>
        <v>0</v>
      </c>
      <c r="BT44" s="49">
        <f t="shared" si="1178"/>
        <v>0</v>
      </c>
      <c r="BU44" s="49">
        <f t="shared" si="1179"/>
        <v>0</v>
      </c>
      <c r="BV44" s="49">
        <f t="shared" si="1180"/>
        <v>0</v>
      </c>
      <c r="BW44" s="49">
        <f t="shared" si="1181"/>
        <v>0</v>
      </c>
      <c r="BX44" s="49">
        <f t="shared" si="1182"/>
        <v>0</v>
      </c>
      <c r="BY44" s="49">
        <f t="shared" si="1183"/>
        <v>0</v>
      </c>
      <c r="BZ44" s="49">
        <f t="shared" si="1184"/>
        <v>0</v>
      </c>
      <c r="CA44" s="156"/>
      <c r="CB44" s="156"/>
      <c r="CC44" s="148" t="s">
        <v>365</v>
      </c>
      <c r="CD44" s="49">
        <f t="shared" si="1185"/>
        <v>0</v>
      </c>
      <c r="CE44" s="49">
        <f t="shared" si="1185"/>
        <v>0</v>
      </c>
      <c r="CF44" s="49">
        <f t="shared" si="1185"/>
        <v>0</v>
      </c>
      <c r="CG44" s="49">
        <f t="shared" si="1185"/>
        <v>0</v>
      </c>
      <c r="CH44" s="49">
        <f t="shared" si="1185"/>
        <v>0</v>
      </c>
      <c r="CI44" s="49">
        <f t="shared" si="1185"/>
        <v>0</v>
      </c>
      <c r="CJ44" s="49">
        <f t="shared" si="1185"/>
        <v>0</v>
      </c>
      <c r="CK44" s="49">
        <f t="shared" si="1185"/>
        <v>0</v>
      </c>
      <c r="CL44" s="49">
        <f t="shared" si="1185"/>
        <v>0</v>
      </c>
      <c r="CM44" s="49">
        <f t="shared" si="1185"/>
        <v>0</v>
      </c>
      <c r="CN44" s="49">
        <f t="shared" si="1185"/>
        <v>0</v>
      </c>
      <c r="CO44" s="220">
        <f t="shared" si="1185"/>
        <v>0</v>
      </c>
      <c r="CP44" s="49">
        <f t="shared" si="1185"/>
        <v>0</v>
      </c>
      <c r="CQ44" s="49">
        <f t="shared" si="1185"/>
        <v>0</v>
      </c>
      <c r="CR44" s="49">
        <f t="shared" si="1185"/>
        <v>0</v>
      </c>
      <c r="CS44" s="220">
        <f t="shared" si="1185"/>
        <v>0</v>
      </c>
      <c r="CV44" s="148" t="s">
        <v>365</v>
      </c>
      <c r="CW44" s="49">
        <f t="shared" si="1186"/>
        <v>0</v>
      </c>
      <c r="CX44" s="49">
        <f t="shared" si="1186"/>
        <v>0</v>
      </c>
      <c r="CY44" s="49">
        <f t="shared" si="1186"/>
        <v>0</v>
      </c>
      <c r="CZ44" s="49">
        <f t="shared" si="1186"/>
        <v>0</v>
      </c>
      <c r="DA44" s="49">
        <f t="shared" si="1186"/>
        <v>0</v>
      </c>
      <c r="DB44" s="49">
        <f t="shared" si="1186"/>
        <v>0</v>
      </c>
      <c r="DC44" s="49">
        <f t="shared" si="1186"/>
        <v>0</v>
      </c>
      <c r="DD44" s="49">
        <f t="shared" si="1186"/>
        <v>0</v>
      </c>
      <c r="DE44" s="49">
        <f t="shared" si="1186"/>
        <v>0</v>
      </c>
      <c r="DF44" s="49">
        <f t="shared" si="1186"/>
        <v>0</v>
      </c>
      <c r="DG44" s="49">
        <f t="shared" si="1186"/>
        <v>0</v>
      </c>
      <c r="DH44" s="49">
        <f t="shared" si="1186"/>
        <v>0</v>
      </c>
      <c r="DI44" s="49">
        <f t="shared" si="1186"/>
        <v>0</v>
      </c>
      <c r="DJ44" s="49">
        <f t="shared" si="1186"/>
        <v>0</v>
      </c>
      <c r="DK44" s="49">
        <f t="shared" si="1186"/>
        <v>0</v>
      </c>
      <c r="DL44" s="49">
        <f t="shared" si="1186"/>
        <v>0</v>
      </c>
      <c r="DO44" s="148" t="s">
        <v>365</v>
      </c>
      <c r="DP44" s="49">
        <f t="shared" si="1187"/>
        <v>0</v>
      </c>
      <c r="DQ44" s="49">
        <f t="shared" si="1187"/>
        <v>0</v>
      </c>
      <c r="DR44" s="49">
        <f t="shared" si="1187"/>
        <v>0</v>
      </c>
      <c r="DS44" s="49">
        <f t="shared" si="1187"/>
        <v>0</v>
      </c>
      <c r="DT44" s="49">
        <f t="shared" si="1187"/>
        <v>0</v>
      </c>
      <c r="DU44" s="49">
        <f t="shared" si="1187"/>
        <v>0</v>
      </c>
      <c r="DV44" s="49">
        <f t="shared" si="1187"/>
        <v>0</v>
      </c>
      <c r="DW44" s="49">
        <f t="shared" si="1187"/>
        <v>0</v>
      </c>
      <c r="DX44" s="49">
        <f t="shared" si="1187"/>
        <v>0</v>
      </c>
      <c r="DY44" s="49">
        <f t="shared" si="1187"/>
        <v>0</v>
      </c>
      <c r="DZ44" s="49">
        <f t="shared" si="1187"/>
        <v>0</v>
      </c>
      <c r="EA44" s="49">
        <f t="shared" si="1187"/>
        <v>0</v>
      </c>
      <c r="EB44" s="49">
        <f t="shared" si="1187"/>
        <v>0</v>
      </c>
      <c r="EC44" s="49">
        <f t="shared" si="1187"/>
        <v>0</v>
      </c>
      <c r="ED44" s="49">
        <f t="shared" si="1187"/>
        <v>0</v>
      </c>
      <c r="EE44" s="49">
        <f t="shared" si="1187"/>
        <v>0</v>
      </c>
      <c r="EH44" s="148" t="s">
        <v>365</v>
      </c>
      <c r="EI44" s="49">
        <f t="shared" si="1482"/>
        <v>0</v>
      </c>
      <c r="EJ44" s="49">
        <f t="shared" si="1482"/>
        <v>0</v>
      </c>
      <c r="EK44" s="49">
        <f t="shared" si="1482"/>
        <v>0</v>
      </c>
      <c r="EL44" s="49">
        <f t="shared" si="1482"/>
        <v>0</v>
      </c>
      <c r="EM44" s="49">
        <f t="shared" si="1482"/>
        <v>0</v>
      </c>
      <c r="EN44" s="49">
        <f t="shared" si="1482"/>
        <v>0</v>
      </c>
      <c r="EO44" s="49">
        <f t="shared" si="1482"/>
        <v>0</v>
      </c>
      <c r="EP44" s="49">
        <f t="shared" si="1482"/>
        <v>0</v>
      </c>
      <c r="EQ44" s="49">
        <f t="shared" si="1482"/>
        <v>0</v>
      </c>
      <c r="ER44" s="49">
        <f t="shared" si="1482"/>
        <v>0</v>
      </c>
      <c r="ES44" s="49">
        <f t="shared" si="1482"/>
        <v>0</v>
      </c>
      <c r="ET44" s="49">
        <f t="shared" si="1482"/>
        <v>0</v>
      </c>
      <c r="EU44" s="49">
        <f t="shared" si="1483"/>
        <v>0</v>
      </c>
      <c r="EV44" s="49">
        <f t="shared" si="1484"/>
        <v>0</v>
      </c>
      <c r="EW44" s="49">
        <f t="shared" si="1485"/>
        <v>0</v>
      </c>
      <c r="EX44" s="49">
        <f t="shared" si="1486"/>
        <v>0</v>
      </c>
      <c r="FA44" s="148" t="s">
        <v>365</v>
      </c>
      <c r="FB44" s="53">
        <f t="shared" si="1487"/>
        <v>0</v>
      </c>
      <c r="FC44" s="53">
        <f t="shared" si="1487"/>
        <v>0</v>
      </c>
      <c r="FD44" s="53">
        <f t="shared" si="1487"/>
        <v>0</v>
      </c>
      <c r="FE44" s="53">
        <f t="shared" si="1487"/>
        <v>0</v>
      </c>
      <c r="FF44" s="53">
        <f t="shared" si="1487"/>
        <v>0</v>
      </c>
      <c r="FG44" s="53">
        <f t="shared" si="1487"/>
        <v>0</v>
      </c>
      <c r="FH44" s="53">
        <f t="shared" si="1487"/>
        <v>0</v>
      </c>
      <c r="FI44" s="53">
        <f t="shared" si="1487"/>
        <v>0</v>
      </c>
      <c r="FJ44" s="53">
        <f t="shared" si="1487"/>
        <v>0</v>
      </c>
      <c r="FK44" s="53">
        <f t="shared" si="1487"/>
        <v>0</v>
      </c>
      <c r="FL44" s="53">
        <f t="shared" si="1487"/>
        <v>0</v>
      </c>
      <c r="FM44" s="53">
        <f t="shared" si="1487"/>
        <v>0</v>
      </c>
      <c r="FN44" s="53">
        <f t="shared" si="1488"/>
        <v>0</v>
      </c>
      <c r="FO44" s="53">
        <f t="shared" si="1489"/>
        <v>0</v>
      </c>
      <c r="FP44" s="53">
        <f t="shared" si="1490"/>
        <v>0</v>
      </c>
      <c r="FQ44" s="53">
        <f t="shared" si="1491"/>
        <v>0</v>
      </c>
      <c r="FT44" s="148" t="s">
        <v>365</v>
      </c>
      <c r="FU44" s="49">
        <f t="shared" si="1492"/>
        <v>0</v>
      </c>
      <c r="FV44" s="49">
        <f t="shared" si="1492"/>
        <v>0</v>
      </c>
      <c r="FW44" s="49">
        <f t="shared" si="1492"/>
        <v>0</v>
      </c>
      <c r="FX44" s="49">
        <f t="shared" si="1492"/>
        <v>0</v>
      </c>
      <c r="FY44" s="49">
        <f t="shared" si="1492"/>
        <v>0</v>
      </c>
      <c r="FZ44" s="49">
        <f t="shared" si="1492"/>
        <v>0</v>
      </c>
      <c r="GA44" s="49">
        <f t="shared" si="1492"/>
        <v>0</v>
      </c>
      <c r="GB44" s="49">
        <f t="shared" si="1492"/>
        <v>0</v>
      </c>
      <c r="GC44" s="49">
        <f t="shared" si="1492"/>
        <v>0</v>
      </c>
      <c r="GD44" s="49">
        <f t="shared" si="1492"/>
        <v>0</v>
      </c>
      <c r="GE44" s="49">
        <f t="shared" si="1492"/>
        <v>0</v>
      </c>
      <c r="GF44" s="49">
        <f t="shared" si="1492"/>
        <v>0</v>
      </c>
      <c r="GG44" s="49">
        <f t="shared" si="1493"/>
        <v>0</v>
      </c>
      <c r="GH44" s="49">
        <f t="shared" si="1494"/>
        <v>0</v>
      </c>
      <c r="GI44" s="49">
        <f t="shared" si="1495"/>
        <v>0</v>
      </c>
      <c r="GJ44" s="49">
        <f t="shared" si="1496"/>
        <v>0</v>
      </c>
      <c r="GM44" s="148" t="s">
        <v>365</v>
      </c>
      <c r="GN44" s="49">
        <f t="shared" si="1497"/>
        <v>0</v>
      </c>
      <c r="GO44" s="49">
        <f t="shared" si="1497"/>
        <v>0</v>
      </c>
      <c r="GP44" s="49">
        <f t="shared" si="1497"/>
        <v>0</v>
      </c>
      <c r="GQ44" s="49">
        <f t="shared" si="1497"/>
        <v>0</v>
      </c>
      <c r="GR44" s="49">
        <f t="shared" si="1497"/>
        <v>0</v>
      </c>
      <c r="GS44" s="49">
        <f t="shared" si="1497"/>
        <v>0</v>
      </c>
      <c r="GT44" s="49">
        <f t="shared" si="1497"/>
        <v>0</v>
      </c>
      <c r="GU44" s="49">
        <f t="shared" si="1497"/>
        <v>0</v>
      </c>
      <c r="GV44" s="49">
        <f t="shared" si="1497"/>
        <v>0</v>
      </c>
      <c r="GW44" s="49">
        <f t="shared" si="1497"/>
        <v>0</v>
      </c>
      <c r="GX44" s="49">
        <f t="shared" si="1497"/>
        <v>0</v>
      </c>
      <c r="GY44" s="49">
        <f t="shared" si="1497"/>
        <v>0</v>
      </c>
      <c r="GZ44" s="49">
        <f t="shared" si="1498"/>
        <v>0</v>
      </c>
      <c r="HA44" s="49">
        <f t="shared" si="1499"/>
        <v>0</v>
      </c>
      <c r="HB44" s="49">
        <f t="shared" si="1500"/>
        <v>0</v>
      </c>
      <c r="HC44" s="49">
        <f t="shared" si="1501"/>
        <v>0</v>
      </c>
      <c r="HF44" s="148" t="s">
        <v>365</v>
      </c>
      <c r="HG44" s="49">
        <f t="shared" si="1502"/>
        <v>0</v>
      </c>
      <c r="HH44" s="49">
        <f t="shared" si="1502"/>
        <v>0</v>
      </c>
      <c r="HI44" s="49">
        <f t="shared" si="1502"/>
        <v>0</v>
      </c>
      <c r="HJ44" s="49">
        <f t="shared" si="1502"/>
        <v>0</v>
      </c>
      <c r="HK44" s="49">
        <f t="shared" si="1502"/>
        <v>0</v>
      </c>
      <c r="HL44" s="49">
        <f t="shared" si="1502"/>
        <v>0</v>
      </c>
      <c r="HM44" s="49">
        <f t="shared" si="1502"/>
        <v>0</v>
      </c>
      <c r="HN44" s="49">
        <f t="shared" si="1502"/>
        <v>0</v>
      </c>
      <c r="HO44" s="49">
        <f t="shared" si="1502"/>
        <v>0</v>
      </c>
      <c r="HP44" s="49">
        <f t="shared" si="1502"/>
        <v>0</v>
      </c>
      <c r="HQ44" s="49">
        <f t="shared" si="1502"/>
        <v>0</v>
      </c>
      <c r="HR44" s="49">
        <f t="shared" si="1502"/>
        <v>0</v>
      </c>
      <c r="HS44" s="49">
        <f t="shared" si="1503"/>
        <v>0</v>
      </c>
      <c r="HT44" s="49">
        <f t="shared" si="1504"/>
        <v>0</v>
      </c>
      <c r="HU44" s="49">
        <f t="shared" si="1505"/>
        <v>0</v>
      </c>
      <c r="HV44" s="49">
        <f t="shared" si="1506"/>
        <v>0</v>
      </c>
      <c r="HY44" s="341" t="s">
        <v>365</v>
      </c>
      <c r="HZ44" s="338">
        <f t="shared" si="1507"/>
        <v>0</v>
      </c>
      <c r="IA44" s="338">
        <f t="shared" si="1507"/>
        <v>0</v>
      </c>
      <c r="IB44" s="338">
        <f t="shared" si="1507"/>
        <v>0</v>
      </c>
      <c r="IC44" s="338">
        <f t="shared" si="1507"/>
        <v>0</v>
      </c>
      <c r="ID44" s="338">
        <f t="shared" si="1507"/>
        <v>0</v>
      </c>
      <c r="IE44" s="338">
        <f t="shared" si="1507"/>
        <v>0</v>
      </c>
      <c r="IF44" s="338">
        <f t="shared" si="1507"/>
        <v>0</v>
      </c>
      <c r="IG44" s="338">
        <f t="shared" si="1507"/>
        <v>0</v>
      </c>
      <c r="IH44" s="338">
        <f t="shared" si="1507"/>
        <v>0</v>
      </c>
      <c r="II44" s="338">
        <f t="shared" si="1507"/>
        <v>0</v>
      </c>
      <c r="IJ44" s="338">
        <f t="shared" si="1507"/>
        <v>0</v>
      </c>
      <c r="IK44" s="338">
        <f t="shared" si="1507"/>
        <v>0</v>
      </c>
      <c r="IL44" s="338">
        <f t="shared" si="1508"/>
        <v>0</v>
      </c>
      <c r="IM44" s="338">
        <f t="shared" si="1509"/>
        <v>0</v>
      </c>
      <c r="IN44" s="338">
        <f t="shared" si="1510"/>
        <v>0</v>
      </c>
      <c r="IO44" s="338">
        <f t="shared" si="1511"/>
        <v>0</v>
      </c>
      <c r="IR44" s="341" t="s">
        <v>365</v>
      </c>
      <c r="IS44" s="338">
        <f t="shared" si="1512"/>
        <v>0</v>
      </c>
      <c r="IT44" s="338">
        <f t="shared" si="1512"/>
        <v>0</v>
      </c>
      <c r="IU44" s="338">
        <f t="shared" si="1512"/>
        <v>0</v>
      </c>
      <c r="IV44" s="338">
        <f t="shared" si="1512"/>
        <v>0</v>
      </c>
      <c r="IW44" s="338">
        <f t="shared" si="1512"/>
        <v>0</v>
      </c>
      <c r="IX44" s="338">
        <f t="shared" si="1512"/>
        <v>0</v>
      </c>
      <c r="IY44" s="338">
        <f t="shared" si="1512"/>
        <v>0</v>
      </c>
      <c r="IZ44" s="338">
        <f t="shared" si="1512"/>
        <v>0</v>
      </c>
      <c r="JA44" s="338">
        <f t="shared" si="1512"/>
        <v>0</v>
      </c>
      <c r="JB44" s="338">
        <f t="shared" si="1512"/>
        <v>0</v>
      </c>
      <c r="JC44" s="338">
        <f t="shared" si="1512"/>
        <v>0</v>
      </c>
      <c r="JD44" s="338">
        <f t="shared" si="1512"/>
        <v>0</v>
      </c>
      <c r="JE44" s="338">
        <f t="shared" si="1513"/>
        <v>0</v>
      </c>
      <c r="JF44" s="338">
        <f t="shared" si="1514"/>
        <v>0</v>
      </c>
      <c r="JG44" s="338">
        <f t="shared" si="1515"/>
        <v>0</v>
      </c>
      <c r="JH44" s="338">
        <f t="shared" si="1516"/>
        <v>0</v>
      </c>
      <c r="JK44" s="341" t="s">
        <v>365</v>
      </c>
      <c r="JL44" s="338">
        <f t="shared" si="1517"/>
        <v>0</v>
      </c>
      <c r="JM44" s="338">
        <f t="shared" si="1517"/>
        <v>0</v>
      </c>
      <c r="JN44" s="338">
        <f t="shared" si="1517"/>
        <v>0</v>
      </c>
      <c r="JO44" s="338">
        <f t="shared" si="1517"/>
        <v>0</v>
      </c>
      <c r="JP44" s="338">
        <f t="shared" si="1517"/>
        <v>0</v>
      </c>
      <c r="JQ44" s="338">
        <f t="shared" si="1517"/>
        <v>0</v>
      </c>
      <c r="JR44" s="338">
        <f t="shared" si="1517"/>
        <v>0</v>
      </c>
      <c r="JS44" s="338">
        <f t="shared" si="1517"/>
        <v>0</v>
      </c>
      <c r="JT44" s="338">
        <f t="shared" si="1517"/>
        <v>0</v>
      </c>
      <c r="JU44" s="338">
        <f t="shared" si="1517"/>
        <v>0</v>
      </c>
      <c r="JV44" s="338">
        <f t="shared" si="1517"/>
        <v>0</v>
      </c>
      <c r="JW44" s="338">
        <f t="shared" si="1517"/>
        <v>0</v>
      </c>
      <c r="JX44" s="338">
        <f t="shared" si="1518"/>
        <v>0</v>
      </c>
      <c r="JY44" s="338">
        <f t="shared" si="1519"/>
        <v>0</v>
      </c>
      <c r="JZ44" s="338">
        <f t="shared" si="1520"/>
        <v>0</v>
      </c>
      <c r="KA44" s="338">
        <f t="shared" si="1521"/>
        <v>0</v>
      </c>
      <c r="KD44" s="341" t="s">
        <v>365</v>
      </c>
      <c r="KE44" s="338">
        <f t="shared" si="1522"/>
        <v>0</v>
      </c>
      <c r="KF44" s="338">
        <f t="shared" si="1522"/>
        <v>0</v>
      </c>
      <c r="KG44" s="338">
        <f t="shared" si="1522"/>
        <v>0</v>
      </c>
      <c r="KH44" s="338">
        <f t="shared" si="1522"/>
        <v>0</v>
      </c>
      <c r="KI44" s="338">
        <f t="shared" si="1522"/>
        <v>0</v>
      </c>
      <c r="KJ44" s="338">
        <f t="shared" si="1522"/>
        <v>0</v>
      </c>
      <c r="KK44" s="338">
        <f t="shared" si="1522"/>
        <v>0</v>
      </c>
      <c r="KL44" s="338">
        <f t="shared" si="1522"/>
        <v>0</v>
      </c>
      <c r="KM44" s="338">
        <f t="shared" si="1522"/>
        <v>0</v>
      </c>
      <c r="KN44" s="338">
        <f t="shared" si="1522"/>
        <v>0</v>
      </c>
      <c r="KO44" s="338">
        <f t="shared" si="1522"/>
        <v>0</v>
      </c>
      <c r="KP44" s="338">
        <f t="shared" si="1522"/>
        <v>0</v>
      </c>
      <c r="KQ44" s="338">
        <f t="shared" si="1523"/>
        <v>0</v>
      </c>
      <c r="KR44" s="338">
        <f t="shared" si="1524"/>
        <v>0</v>
      </c>
      <c r="KS44" s="338">
        <f t="shared" si="1525"/>
        <v>0</v>
      </c>
      <c r="KT44" s="338">
        <f t="shared" si="1526"/>
        <v>0</v>
      </c>
      <c r="KW44" s="341" t="s">
        <v>365</v>
      </c>
      <c r="KX44" s="338">
        <f t="shared" si="1527"/>
        <v>0</v>
      </c>
      <c r="KY44" s="338">
        <f t="shared" si="1527"/>
        <v>0</v>
      </c>
      <c r="KZ44" s="338">
        <f t="shared" si="1527"/>
        <v>0</v>
      </c>
      <c r="LA44" s="338">
        <f t="shared" si="1527"/>
        <v>0</v>
      </c>
      <c r="LB44" s="338">
        <f t="shared" si="1527"/>
        <v>0</v>
      </c>
      <c r="LC44" s="338">
        <f t="shared" si="1527"/>
        <v>0</v>
      </c>
      <c r="LD44" s="338">
        <f t="shared" si="1527"/>
        <v>0</v>
      </c>
      <c r="LE44" s="338">
        <f t="shared" si="1527"/>
        <v>0</v>
      </c>
      <c r="LF44" s="338">
        <f t="shared" si="1527"/>
        <v>0</v>
      </c>
      <c r="LG44" s="338">
        <f t="shared" si="1527"/>
        <v>0</v>
      </c>
      <c r="LH44" s="338">
        <f t="shared" si="1527"/>
        <v>0</v>
      </c>
      <c r="LI44" s="338">
        <f t="shared" si="1527"/>
        <v>0</v>
      </c>
      <c r="LJ44" s="338">
        <f t="shared" si="1528"/>
        <v>0</v>
      </c>
      <c r="LK44" s="338">
        <f t="shared" si="1529"/>
        <v>0</v>
      </c>
      <c r="LL44" s="338">
        <f t="shared" si="1530"/>
        <v>0</v>
      </c>
      <c r="LM44" s="338">
        <f t="shared" si="1531"/>
        <v>0</v>
      </c>
      <c r="LP44" s="341" t="s">
        <v>365</v>
      </c>
      <c r="LQ44" s="338">
        <f t="shared" si="1532"/>
        <v>0</v>
      </c>
      <c r="LR44" s="338">
        <f t="shared" si="1532"/>
        <v>0</v>
      </c>
      <c r="LS44" s="338">
        <f t="shared" si="1532"/>
        <v>0</v>
      </c>
      <c r="LT44" s="338">
        <f t="shared" si="1532"/>
        <v>0</v>
      </c>
      <c r="LU44" s="338">
        <f t="shared" si="1532"/>
        <v>0</v>
      </c>
      <c r="LV44" s="338">
        <f t="shared" si="1532"/>
        <v>0</v>
      </c>
      <c r="LW44" s="338">
        <f t="shared" si="1532"/>
        <v>0</v>
      </c>
      <c r="LX44" s="338">
        <f t="shared" si="1532"/>
        <v>0</v>
      </c>
      <c r="LY44" s="338">
        <f t="shared" si="1532"/>
        <v>0</v>
      </c>
      <c r="LZ44" s="338">
        <f t="shared" si="1532"/>
        <v>0</v>
      </c>
      <c r="MA44" s="338">
        <f t="shared" si="1532"/>
        <v>0</v>
      </c>
      <c r="MB44" s="338">
        <f t="shared" si="1532"/>
        <v>0</v>
      </c>
      <c r="MC44" s="338">
        <f t="shared" si="1533"/>
        <v>0</v>
      </c>
      <c r="MD44" s="338">
        <f t="shared" si="1534"/>
        <v>0</v>
      </c>
      <c r="ME44" s="338">
        <f t="shared" si="1535"/>
        <v>0</v>
      </c>
      <c r="MF44" s="338">
        <f t="shared" si="1536"/>
        <v>0</v>
      </c>
      <c r="MI44" s="341" t="s">
        <v>365</v>
      </c>
      <c r="MJ44" s="338">
        <f t="shared" si="1537"/>
        <v>0</v>
      </c>
      <c r="MK44" s="338">
        <f t="shared" si="1537"/>
        <v>0</v>
      </c>
      <c r="ML44" s="338">
        <f t="shared" si="1537"/>
        <v>0</v>
      </c>
      <c r="MM44" s="338">
        <f t="shared" si="1537"/>
        <v>0</v>
      </c>
      <c r="MN44" s="338">
        <f t="shared" si="1537"/>
        <v>0</v>
      </c>
      <c r="MO44" s="338">
        <f t="shared" si="1537"/>
        <v>0</v>
      </c>
      <c r="MP44" s="338">
        <f t="shared" si="1537"/>
        <v>0</v>
      </c>
      <c r="MQ44" s="338">
        <f t="shared" si="1537"/>
        <v>0</v>
      </c>
      <c r="MR44" s="338">
        <f t="shared" si="1537"/>
        <v>0</v>
      </c>
      <c r="MS44" s="338">
        <f t="shared" si="1537"/>
        <v>0</v>
      </c>
      <c r="MT44" s="338">
        <f t="shared" si="1537"/>
        <v>0</v>
      </c>
      <c r="MU44" s="338">
        <f t="shared" si="1537"/>
        <v>0</v>
      </c>
      <c r="MV44" s="338">
        <f t="shared" si="1538"/>
        <v>0</v>
      </c>
      <c r="MW44" s="338">
        <f t="shared" si="1539"/>
        <v>0</v>
      </c>
      <c r="MX44" s="338">
        <f t="shared" si="1540"/>
        <v>0</v>
      </c>
      <c r="MY44" s="338">
        <f t="shared" si="1541"/>
        <v>0</v>
      </c>
      <c r="NB44" s="341" t="s">
        <v>365</v>
      </c>
      <c r="NC44" s="338">
        <f t="shared" si="1542"/>
        <v>0</v>
      </c>
      <c r="ND44" s="338">
        <f t="shared" si="1542"/>
        <v>0</v>
      </c>
      <c r="NE44" s="338">
        <f t="shared" si="1542"/>
        <v>0</v>
      </c>
      <c r="NF44" s="338">
        <f t="shared" si="1542"/>
        <v>0</v>
      </c>
      <c r="NG44" s="338">
        <f t="shared" si="1542"/>
        <v>0</v>
      </c>
      <c r="NH44" s="338">
        <f t="shared" si="1542"/>
        <v>0</v>
      </c>
      <c r="NI44" s="338">
        <f t="shared" si="1542"/>
        <v>0</v>
      </c>
      <c r="NJ44" s="338">
        <f t="shared" si="1542"/>
        <v>0</v>
      </c>
      <c r="NK44" s="338">
        <f t="shared" si="1542"/>
        <v>0</v>
      </c>
      <c r="NL44" s="338">
        <f t="shared" si="1542"/>
        <v>0</v>
      </c>
      <c r="NM44" s="338">
        <f t="shared" si="1542"/>
        <v>0</v>
      </c>
      <c r="NN44" s="338">
        <f t="shared" si="1542"/>
        <v>0</v>
      </c>
      <c r="NO44" s="338">
        <f t="shared" si="1543"/>
        <v>0</v>
      </c>
      <c r="NP44" s="338">
        <f t="shared" si="1544"/>
        <v>0</v>
      </c>
      <c r="NQ44" s="338">
        <f t="shared" si="1545"/>
        <v>0</v>
      </c>
      <c r="NR44" s="338">
        <f t="shared" si="1546"/>
        <v>0</v>
      </c>
    </row>
    <row r="45" spans="2:382" ht="14.25" customHeight="1" x14ac:dyDescent="0.25">
      <c r="B45" s="734"/>
      <c r="C45" s="148" t="s">
        <v>374</v>
      </c>
      <c r="D45" s="143"/>
      <c r="E45" s="127"/>
      <c r="F45" s="143"/>
      <c r="G45" s="127"/>
      <c r="H45" s="143"/>
      <c r="I45" s="127"/>
      <c r="J45" s="143"/>
      <c r="K45" s="127"/>
      <c r="L45" s="143"/>
      <c r="M45" s="127"/>
      <c r="N45" s="143">
        <f>'CAM Characteristics'!H118/1000</f>
        <v>0.27243259422523713</v>
      </c>
      <c r="O45" s="127">
        <f>'CAM Characteristics'!H118/1000</f>
        <v>0.27243259422523713</v>
      </c>
      <c r="P45" s="143"/>
      <c r="Q45" s="143"/>
      <c r="R45" s="143"/>
      <c r="S45" s="143"/>
      <c r="T45" s="318"/>
      <c r="U45" s="119"/>
      <c r="V45" s="148" t="s">
        <v>374</v>
      </c>
      <c r="W45" s="96"/>
      <c r="X45" s="96">
        <v>1</v>
      </c>
      <c r="Y45" s="96"/>
      <c r="Z45" s="96"/>
      <c r="AA45" s="96"/>
      <c r="AB45" s="96"/>
      <c r="AC45" s="96"/>
      <c r="AD45" s="96"/>
      <c r="AE45" s="96"/>
      <c r="AF45" s="96"/>
      <c r="AG45" s="327"/>
      <c r="AH45" s="327"/>
      <c r="AI45" s="327"/>
      <c r="AJ45" s="327"/>
      <c r="AK45" s="327"/>
      <c r="AL45" s="327"/>
      <c r="AM45" s="327"/>
      <c r="AN45" s="327"/>
      <c r="AO45" s="119"/>
      <c r="AP45" s="8"/>
      <c r="AQ45" s="148" t="s">
        <v>374</v>
      </c>
      <c r="AR45" s="49"/>
      <c r="AS45" s="50"/>
      <c r="AT45" s="49"/>
      <c r="AU45" s="50"/>
      <c r="AV45" s="49"/>
      <c r="AW45" s="50"/>
      <c r="AX45" s="49"/>
      <c r="AY45" s="50"/>
      <c r="AZ45" s="49"/>
      <c r="BA45" s="50"/>
      <c r="BB45" s="49"/>
      <c r="BC45" s="50"/>
      <c r="BD45" s="49"/>
      <c r="BE45" s="50"/>
      <c r="BF45" s="49"/>
      <c r="BG45" s="50"/>
      <c r="BI45" s="156"/>
      <c r="BJ45" s="148" t="s">
        <v>374</v>
      </c>
      <c r="BK45" s="49">
        <f t="shared" si="1169"/>
        <v>0</v>
      </c>
      <c r="BL45" s="49">
        <f t="shared" si="1170"/>
        <v>0</v>
      </c>
      <c r="BM45" s="49">
        <f t="shared" si="1171"/>
        <v>0</v>
      </c>
      <c r="BN45" s="49">
        <f t="shared" si="1172"/>
        <v>0</v>
      </c>
      <c r="BO45" s="49">
        <f t="shared" si="1173"/>
        <v>0</v>
      </c>
      <c r="BP45" s="49">
        <f t="shared" si="1174"/>
        <v>0</v>
      </c>
      <c r="BQ45" s="49">
        <f t="shared" si="1175"/>
        <v>0</v>
      </c>
      <c r="BR45" s="49">
        <f t="shared" si="1176"/>
        <v>0</v>
      </c>
      <c r="BS45" s="49">
        <f t="shared" si="1177"/>
        <v>0</v>
      </c>
      <c r="BT45" s="49">
        <f t="shared" si="1178"/>
        <v>0</v>
      </c>
      <c r="BU45" s="49">
        <f t="shared" si="1179"/>
        <v>0.27243259422523713</v>
      </c>
      <c r="BV45" s="49">
        <f t="shared" si="1180"/>
        <v>0.27243259422523713</v>
      </c>
      <c r="BW45" s="49">
        <f t="shared" si="1181"/>
        <v>0</v>
      </c>
      <c r="BX45" s="49">
        <f t="shared" si="1182"/>
        <v>0</v>
      </c>
      <c r="BY45" s="49">
        <f t="shared" si="1183"/>
        <v>0</v>
      </c>
      <c r="BZ45" s="49">
        <f t="shared" si="1184"/>
        <v>0</v>
      </c>
      <c r="CA45" s="156"/>
      <c r="CB45" s="156"/>
      <c r="CC45" s="148" t="s">
        <v>374</v>
      </c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220"/>
      <c r="CP45" s="49"/>
      <c r="CQ45" s="49"/>
      <c r="CR45" s="49"/>
      <c r="CS45" s="220"/>
      <c r="CV45" s="148" t="s">
        <v>374</v>
      </c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O45" s="148" t="s">
        <v>374</v>
      </c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H45" s="148" t="s">
        <v>374</v>
      </c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FA45" s="148" t="s">
        <v>374</v>
      </c>
      <c r="FB45" s="53">
        <f t="shared" si="1487"/>
        <v>0</v>
      </c>
      <c r="FC45" s="53">
        <f t="shared" si="1487"/>
        <v>0</v>
      </c>
      <c r="FD45" s="53">
        <f t="shared" si="1487"/>
        <v>0</v>
      </c>
      <c r="FE45" s="53">
        <f t="shared" si="1487"/>
        <v>0</v>
      </c>
      <c r="FF45" s="53">
        <f t="shared" si="1487"/>
        <v>0</v>
      </c>
      <c r="FG45" s="53">
        <f t="shared" si="1487"/>
        <v>0</v>
      </c>
      <c r="FH45" s="53">
        <f t="shared" si="1487"/>
        <v>0</v>
      </c>
      <c r="FI45" s="53">
        <f t="shared" si="1487"/>
        <v>0</v>
      </c>
      <c r="FJ45" s="53">
        <f t="shared" si="1487"/>
        <v>0</v>
      </c>
      <c r="FK45" s="53">
        <f t="shared" si="1487"/>
        <v>0</v>
      </c>
      <c r="FL45" s="53">
        <f t="shared" si="1487"/>
        <v>0</v>
      </c>
      <c r="FM45" s="53">
        <f t="shared" si="1487"/>
        <v>0</v>
      </c>
      <c r="FN45" s="53">
        <f t="shared" si="1488"/>
        <v>0</v>
      </c>
      <c r="FO45" s="53">
        <f t="shared" si="1489"/>
        <v>0</v>
      </c>
      <c r="FP45" s="53">
        <f t="shared" si="1490"/>
        <v>0</v>
      </c>
      <c r="FQ45" s="53">
        <f t="shared" si="1491"/>
        <v>0</v>
      </c>
      <c r="FT45" s="148" t="s">
        <v>374</v>
      </c>
      <c r="FU45" s="49">
        <f t="shared" si="1492"/>
        <v>0</v>
      </c>
      <c r="FV45" s="49">
        <f t="shared" si="1492"/>
        <v>0</v>
      </c>
      <c r="FW45" s="49">
        <f t="shared" si="1492"/>
        <v>0</v>
      </c>
      <c r="FX45" s="49">
        <f t="shared" si="1492"/>
        <v>0</v>
      </c>
      <c r="FY45" s="49">
        <f t="shared" si="1492"/>
        <v>0</v>
      </c>
      <c r="FZ45" s="49">
        <f t="shared" si="1492"/>
        <v>0</v>
      </c>
      <c r="GA45" s="49">
        <f t="shared" si="1492"/>
        <v>0</v>
      </c>
      <c r="GB45" s="49">
        <f t="shared" si="1492"/>
        <v>0</v>
      </c>
      <c r="GC45" s="49">
        <f t="shared" si="1492"/>
        <v>0</v>
      </c>
      <c r="GD45" s="49">
        <f t="shared" si="1492"/>
        <v>0</v>
      </c>
      <c r="GE45" s="49">
        <f t="shared" si="1492"/>
        <v>0</v>
      </c>
      <c r="GF45" s="49">
        <f t="shared" si="1492"/>
        <v>0</v>
      </c>
      <c r="GG45" s="49">
        <f t="shared" si="1493"/>
        <v>0</v>
      </c>
      <c r="GH45" s="49">
        <f t="shared" si="1494"/>
        <v>0</v>
      </c>
      <c r="GI45" s="49">
        <f t="shared" si="1495"/>
        <v>0</v>
      </c>
      <c r="GJ45" s="49">
        <f t="shared" si="1496"/>
        <v>0</v>
      </c>
      <c r="GM45" s="148" t="s">
        <v>374</v>
      </c>
      <c r="GN45" s="49">
        <f t="shared" si="1497"/>
        <v>0</v>
      </c>
      <c r="GO45" s="49">
        <f t="shared" si="1497"/>
        <v>0</v>
      </c>
      <c r="GP45" s="49">
        <f t="shared" si="1497"/>
        <v>0</v>
      </c>
      <c r="GQ45" s="49">
        <f t="shared" si="1497"/>
        <v>0</v>
      </c>
      <c r="GR45" s="49">
        <f t="shared" si="1497"/>
        <v>0</v>
      </c>
      <c r="GS45" s="49">
        <f t="shared" si="1497"/>
        <v>0</v>
      </c>
      <c r="GT45" s="49">
        <f t="shared" si="1497"/>
        <v>0</v>
      </c>
      <c r="GU45" s="49">
        <f t="shared" si="1497"/>
        <v>0</v>
      </c>
      <c r="GV45" s="49">
        <f t="shared" si="1497"/>
        <v>0</v>
      </c>
      <c r="GW45" s="49">
        <f t="shared" si="1497"/>
        <v>0</v>
      </c>
      <c r="GX45" s="49">
        <f t="shared" si="1497"/>
        <v>0</v>
      </c>
      <c r="GY45" s="49">
        <f t="shared" si="1497"/>
        <v>0</v>
      </c>
      <c r="GZ45" s="49">
        <f t="shared" si="1498"/>
        <v>0</v>
      </c>
      <c r="HA45" s="49">
        <f t="shared" si="1499"/>
        <v>0</v>
      </c>
      <c r="HB45" s="49">
        <f t="shared" si="1500"/>
        <v>0</v>
      </c>
      <c r="HC45" s="49">
        <f t="shared" si="1501"/>
        <v>0</v>
      </c>
      <c r="HF45" s="148" t="s">
        <v>374</v>
      </c>
      <c r="HG45" s="49">
        <f t="shared" si="1502"/>
        <v>0</v>
      </c>
      <c r="HH45" s="49">
        <f t="shared" si="1502"/>
        <v>0</v>
      </c>
      <c r="HI45" s="49">
        <f t="shared" si="1502"/>
        <v>0</v>
      </c>
      <c r="HJ45" s="49">
        <f t="shared" si="1502"/>
        <v>0</v>
      </c>
      <c r="HK45" s="49">
        <f t="shared" si="1502"/>
        <v>0</v>
      </c>
      <c r="HL45" s="49">
        <f t="shared" si="1502"/>
        <v>0</v>
      </c>
      <c r="HM45" s="49">
        <f t="shared" si="1502"/>
        <v>0</v>
      </c>
      <c r="HN45" s="49">
        <f t="shared" si="1502"/>
        <v>0</v>
      </c>
      <c r="HO45" s="49">
        <f t="shared" si="1502"/>
        <v>0</v>
      </c>
      <c r="HP45" s="49">
        <f t="shared" si="1502"/>
        <v>0</v>
      </c>
      <c r="HQ45" s="49">
        <f t="shared" si="1502"/>
        <v>0</v>
      </c>
      <c r="HR45" s="49">
        <f t="shared" si="1502"/>
        <v>0</v>
      </c>
      <c r="HS45" s="49">
        <f t="shared" si="1503"/>
        <v>0</v>
      </c>
      <c r="HT45" s="49">
        <f t="shared" si="1504"/>
        <v>0</v>
      </c>
      <c r="HU45" s="49">
        <f t="shared" si="1505"/>
        <v>0</v>
      </c>
      <c r="HV45" s="49">
        <f t="shared" si="1506"/>
        <v>0</v>
      </c>
      <c r="HY45" s="341" t="s">
        <v>537</v>
      </c>
      <c r="HZ45" s="338">
        <f t="shared" si="1507"/>
        <v>0</v>
      </c>
      <c r="IA45" s="338">
        <f t="shared" si="1507"/>
        <v>0</v>
      </c>
      <c r="IB45" s="338">
        <f t="shared" si="1507"/>
        <v>0</v>
      </c>
      <c r="IC45" s="338">
        <f t="shared" si="1507"/>
        <v>0</v>
      </c>
      <c r="ID45" s="338">
        <f t="shared" si="1507"/>
        <v>0</v>
      </c>
      <c r="IE45" s="338">
        <f t="shared" si="1507"/>
        <v>0</v>
      </c>
      <c r="IF45" s="338">
        <f t="shared" si="1507"/>
        <v>0</v>
      </c>
      <c r="IG45" s="338">
        <f t="shared" si="1507"/>
        <v>0</v>
      </c>
      <c r="IH45" s="338">
        <f t="shared" si="1507"/>
        <v>0</v>
      </c>
      <c r="II45" s="338">
        <f t="shared" si="1507"/>
        <v>0</v>
      </c>
      <c r="IJ45" s="338">
        <f t="shared" si="1507"/>
        <v>0</v>
      </c>
      <c r="IK45" s="338">
        <f t="shared" si="1507"/>
        <v>0</v>
      </c>
      <c r="IL45" s="338">
        <f t="shared" si="1508"/>
        <v>0</v>
      </c>
      <c r="IM45" s="338">
        <f t="shared" si="1509"/>
        <v>0</v>
      </c>
      <c r="IN45" s="338">
        <f t="shared" si="1510"/>
        <v>0</v>
      </c>
      <c r="IO45" s="338">
        <f t="shared" si="1511"/>
        <v>0</v>
      </c>
      <c r="IR45" s="341" t="s">
        <v>537</v>
      </c>
      <c r="IS45" s="338">
        <f t="shared" si="1512"/>
        <v>0</v>
      </c>
      <c r="IT45" s="338">
        <f t="shared" si="1512"/>
        <v>0</v>
      </c>
      <c r="IU45" s="338">
        <f t="shared" si="1512"/>
        <v>0</v>
      </c>
      <c r="IV45" s="338">
        <f t="shared" si="1512"/>
        <v>0</v>
      </c>
      <c r="IW45" s="338">
        <f t="shared" si="1512"/>
        <v>0</v>
      </c>
      <c r="IX45" s="338">
        <f t="shared" si="1512"/>
        <v>0</v>
      </c>
      <c r="IY45" s="338">
        <f t="shared" si="1512"/>
        <v>0</v>
      </c>
      <c r="IZ45" s="338">
        <f t="shared" si="1512"/>
        <v>0</v>
      </c>
      <c r="JA45" s="338">
        <f t="shared" si="1512"/>
        <v>0</v>
      </c>
      <c r="JB45" s="338">
        <f t="shared" si="1512"/>
        <v>0</v>
      </c>
      <c r="JC45" s="338">
        <f t="shared" si="1512"/>
        <v>0</v>
      </c>
      <c r="JD45" s="338">
        <f t="shared" si="1512"/>
        <v>0</v>
      </c>
      <c r="JE45" s="338">
        <f t="shared" si="1513"/>
        <v>0</v>
      </c>
      <c r="JF45" s="338">
        <f t="shared" si="1514"/>
        <v>0</v>
      </c>
      <c r="JG45" s="338">
        <f t="shared" si="1515"/>
        <v>0</v>
      </c>
      <c r="JH45" s="338">
        <f t="shared" si="1516"/>
        <v>0</v>
      </c>
      <c r="JK45" s="341" t="s">
        <v>537</v>
      </c>
      <c r="JL45" s="338">
        <f t="shared" si="1517"/>
        <v>0</v>
      </c>
      <c r="JM45" s="338">
        <f t="shared" si="1517"/>
        <v>0</v>
      </c>
      <c r="JN45" s="338">
        <f t="shared" si="1517"/>
        <v>0</v>
      </c>
      <c r="JO45" s="338">
        <f t="shared" si="1517"/>
        <v>0</v>
      </c>
      <c r="JP45" s="338">
        <f t="shared" si="1517"/>
        <v>0</v>
      </c>
      <c r="JQ45" s="338">
        <f t="shared" si="1517"/>
        <v>0</v>
      </c>
      <c r="JR45" s="338">
        <f t="shared" si="1517"/>
        <v>0</v>
      </c>
      <c r="JS45" s="338">
        <f t="shared" si="1517"/>
        <v>0</v>
      </c>
      <c r="JT45" s="338">
        <f t="shared" si="1517"/>
        <v>0</v>
      </c>
      <c r="JU45" s="338">
        <f t="shared" si="1517"/>
        <v>0</v>
      </c>
      <c r="JV45" s="338">
        <f t="shared" si="1517"/>
        <v>0</v>
      </c>
      <c r="JW45" s="338">
        <f t="shared" si="1517"/>
        <v>0</v>
      </c>
      <c r="JX45" s="338">
        <f t="shared" si="1518"/>
        <v>0</v>
      </c>
      <c r="JY45" s="338">
        <f t="shared" si="1519"/>
        <v>0</v>
      </c>
      <c r="JZ45" s="338">
        <f t="shared" si="1520"/>
        <v>0</v>
      </c>
      <c r="KA45" s="338">
        <f t="shared" si="1521"/>
        <v>0</v>
      </c>
      <c r="KD45" s="341" t="s">
        <v>537</v>
      </c>
      <c r="KE45" s="338">
        <f t="shared" si="1522"/>
        <v>0</v>
      </c>
      <c r="KF45" s="338">
        <f t="shared" si="1522"/>
        <v>0</v>
      </c>
      <c r="KG45" s="338">
        <f t="shared" si="1522"/>
        <v>0</v>
      </c>
      <c r="KH45" s="338">
        <f t="shared" si="1522"/>
        <v>0</v>
      </c>
      <c r="KI45" s="338">
        <f t="shared" si="1522"/>
        <v>0</v>
      </c>
      <c r="KJ45" s="338">
        <f t="shared" si="1522"/>
        <v>0</v>
      </c>
      <c r="KK45" s="338">
        <f t="shared" si="1522"/>
        <v>0</v>
      </c>
      <c r="KL45" s="338">
        <f t="shared" si="1522"/>
        <v>0</v>
      </c>
      <c r="KM45" s="338">
        <f t="shared" si="1522"/>
        <v>0</v>
      </c>
      <c r="KN45" s="338">
        <f t="shared" si="1522"/>
        <v>0</v>
      </c>
      <c r="KO45" s="338">
        <f t="shared" si="1522"/>
        <v>0</v>
      </c>
      <c r="KP45" s="338">
        <f t="shared" si="1522"/>
        <v>0</v>
      </c>
      <c r="KQ45" s="338">
        <f t="shared" si="1523"/>
        <v>0</v>
      </c>
      <c r="KR45" s="338">
        <f t="shared" si="1524"/>
        <v>0</v>
      </c>
      <c r="KS45" s="338">
        <f t="shared" si="1525"/>
        <v>0</v>
      </c>
      <c r="KT45" s="338">
        <f t="shared" si="1526"/>
        <v>0</v>
      </c>
      <c r="KW45" s="341" t="s">
        <v>537</v>
      </c>
      <c r="KX45" s="338">
        <f t="shared" si="1527"/>
        <v>0</v>
      </c>
      <c r="KY45" s="338">
        <f t="shared" si="1527"/>
        <v>0</v>
      </c>
      <c r="KZ45" s="338">
        <f t="shared" si="1527"/>
        <v>0</v>
      </c>
      <c r="LA45" s="338">
        <f t="shared" si="1527"/>
        <v>0</v>
      </c>
      <c r="LB45" s="338">
        <f t="shared" si="1527"/>
        <v>0</v>
      </c>
      <c r="LC45" s="338">
        <f t="shared" si="1527"/>
        <v>0</v>
      </c>
      <c r="LD45" s="338">
        <f t="shared" si="1527"/>
        <v>0</v>
      </c>
      <c r="LE45" s="338">
        <f t="shared" si="1527"/>
        <v>0</v>
      </c>
      <c r="LF45" s="338">
        <f t="shared" si="1527"/>
        <v>0</v>
      </c>
      <c r="LG45" s="338">
        <f t="shared" si="1527"/>
        <v>0</v>
      </c>
      <c r="LH45" s="338">
        <f t="shared" si="1527"/>
        <v>0</v>
      </c>
      <c r="LI45" s="338">
        <f t="shared" si="1527"/>
        <v>0</v>
      </c>
      <c r="LJ45" s="338">
        <f t="shared" si="1528"/>
        <v>0</v>
      </c>
      <c r="LK45" s="338">
        <f t="shared" si="1529"/>
        <v>0</v>
      </c>
      <c r="LL45" s="338">
        <f t="shared" si="1530"/>
        <v>0</v>
      </c>
      <c r="LM45" s="338">
        <f t="shared" si="1531"/>
        <v>0</v>
      </c>
      <c r="LP45" s="341" t="s">
        <v>537</v>
      </c>
      <c r="LQ45" s="338">
        <f t="shared" si="1532"/>
        <v>0</v>
      </c>
      <c r="LR45" s="338">
        <f t="shared" si="1532"/>
        <v>0</v>
      </c>
      <c r="LS45" s="338">
        <f t="shared" si="1532"/>
        <v>0</v>
      </c>
      <c r="LT45" s="338">
        <f t="shared" si="1532"/>
        <v>0</v>
      </c>
      <c r="LU45" s="338">
        <f t="shared" si="1532"/>
        <v>0</v>
      </c>
      <c r="LV45" s="338">
        <f t="shared" si="1532"/>
        <v>0</v>
      </c>
      <c r="LW45" s="338">
        <f t="shared" si="1532"/>
        <v>0</v>
      </c>
      <c r="LX45" s="338">
        <f t="shared" si="1532"/>
        <v>0</v>
      </c>
      <c r="LY45" s="338">
        <f t="shared" si="1532"/>
        <v>0</v>
      </c>
      <c r="LZ45" s="338">
        <f t="shared" si="1532"/>
        <v>0</v>
      </c>
      <c r="MA45" s="338">
        <f t="shared" si="1532"/>
        <v>0</v>
      </c>
      <c r="MB45" s="338">
        <f t="shared" si="1532"/>
        <v>0</v>
      </c>
      <c r="MC45" s="338">
        <f t="shared" si="1533"/>
        <v>0</v>
      </c>
      <c r="MD45" s="338">
        <f t="shared" si="1534"/>
        <v>0</v>
      </c>
      <c r="ME45" s="338">
        <f t="shared" si="1535"/>
        <v>0</v>
      </c>
      <c r="MF45" s="338">
        <f t="shared" si="1536"/>
        <v>0</v>
      </c>
      <c r="MI45" s="341" t="s">
        <v>537</v>
      </c>
      <c r="MJ45" s="338">
        <f t="shared" si="1537"/>
        <v>0</v>
      </c>
      <c r="MK45" s="338">
        <f t="shared" si="1537"/>
        <v>0</v>
      </c>
      <c r="ML45" s="338">
        <f t="shared" si="1537"/>
        <v>0</v>
      </c>
      <c r="MM45" s="338">
        <f t="shared" si="1537"/>
        <v>0</v>
      </c>
      <c r="MN45" s="338">
        <f t="shared" si="1537"/>
        <v>0</v>
      </c>
      <c r="MO45" s="338">
        <f t="shared" si="1537"/>
        <v>0</v>
      </c>
      <c r="MP45" s="338">
        <f t="shared" si="1537"/>
        <v>0</v>
      </c>
      <c r="MQ45" s="338">
        <f t="shared" si="1537"/>
        <v>0</v>
      </c>
      <c r="MR45" s="338">
        <f t="shared" si="1537"/>
        <v>0</v>
      </c>
      <c r="MS45" s="338">
        <f t="shared" si="1537"/>
        <v>0</v>
      </c>
      <c r="MT45" s="338">
        <f t="shared" si="1537"/>
        <v>0</v>
      </c>
      <c r="MU45" s="338">
        <f t="shared" si="1537"/>
        <v>0</v>
      </c>
      <c r="MV45" s="338">
        <f t="shared" si="1538"/>
        <v>0</v>
      </c>
      <c r="MW45" s="338">
        <f t="shared" si="1539"/>
        <v>0</v>
      </c>
      <c r="MX45" s="338">
        <f t="shared" si="1540"/>
        <v>0</v>
      </c>
      <c r="MY45" s="338">
        <f t="shared" si="1541"/>
        <v>0</v>
      </c>
      <c r="NB45" s="341" t="s">
        <v>537</v>
      </c>
      <c r="NC45" s="338">
        <f t="shared" si="1542"/>
        <v>0</v>
      </c>
      <c r="ND45" s="338">
        <f t="shared" si="1542"/>
        <v>0</v>
      </c>
      <c r="NE45" s="338">
        <f t="shared" si="1542"/>
        <v>0</v>
      </c>
      <c r="NF45" s="338">
        <f t="shared" si="1542"/>
        <v>0</v>
      </c>
      <c r="NG45" s="338">
        <f t="shared" si="1542"/>
        <v>0</v>
      </c>
      <c r="NH45" s="338">
        <f t="shared" si="1542"/>
        <v>0</v>
      </c>
      <c r="NI45" s="338">
        <f t="shared" si="1542"/>
        <v>0</v>
      </c>
      <c r="NJ45" s="338">
        <f t="shared" si="1542"/>
        <v>0</v>
      </c>
      <c r="NK45" s="338">
        <f t="shared" si="1542"/>
        <v>0</v>
      </c>
      <c r="NL45" s="338">
        <f t="shared" si="1542"/>
        <v>0</v>
      </c>
      <c r="NM45" s="338">
        <f t="shared" si="1542"/>
        <v>0</v>
      </c>
      <c r="NN45" s="338">
        <f t="shared" si="1542"/>
        <v>0</v>
      </c>
      <c r="NO45" s="338">
        <f t="shared" si="1543"/>
        <v>0</v>
      </c>
      <c r="NP45" s="338">
        <f t="shared" si="1544"/>
        <v>0</v>
      </c>
      <c r="NQ45" s="338">
        <f t="shared" si="1545"/>
        <v>0</v>
      </c>
      <c r="NR45" s="338">
        <f t="shared" si="1546"/>
        <v>0</v>
      </c>
    </row>
    <row r="46" spans="2:382" ht="14.25" customHeight="1" x14ac:dyDescent="0.25">
      <c r="B46" s="734"/>
      <c r="C46" s="148" t="s">
        <v>375</v>
      </c>
      <c r="D46" s="143"/>
      <c r="E46" s="127"/>
      <c r="F46" s="143"/>
      <c r="G46" s="127"/>
      <c r="H46" s="143"/>
      <c r="I46" s="127"/>
      <c r="J46" s="143"/>
      <c r="K46" s="127"/>
      <c r="L46" s="143"/>
      <c r="M46" s="127"/>
      <c r="N46" s="143">
        <f>'CAM Characteristics'!H121/1000</f>
        <v>0.33455928457594913</v>
      </c>
      <c r="O46" s="127">
        <f>'CAM Characteristics'!H121/1000</f>
        <v>0.33455928457594913</v>
      </c>
      <c r="P46" s="143"/>
      <c r="Q46" s="143"/>
      <c r="R46" s="143"/>
      <c r="S46" s="143"/>
      <c r="T46" s="318"/>
      <c r="U46" s="119"/>
      <c r="V46" s="148" t="s">
        <v>375</v>
      </c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327"/>
      <c r="AH46" s="327"/>
      <c r="AI46" s="327"/>
      <c r="AJ46" s="327"/>
      <c r="AK46" s="327"/>
      <c r="AL46" s="327"/>
      <c r="AM46" s="327"/>
      <c r="AN46" s="327"/>
      <c r="AO46" s="119"/>
      <c r="AP46" s="8"/>
      <c r="AQ46" s="148" t="s">
        <v>375</v>
      </c>
      <c r="AR46" s="49"/>
      <c r="AS46" s="50"/>
      <c r="AT46" s="49"/>
      <c r="AU46" s="50"/>
      <c r="AV46" s="49"/>
      <c r="AW46" s="50"/>
      <c r="AX46" s="49"/>
      <c r="AY46" s="50"/>
      <c r="AZ46" s="49"/>
      <c r="BA46" s="50"/>
      <c r="BB46" s="49"/>
      <c r="BC46" s="50"/>
      <c r="BD46" s="49"/>
      <c r="BE46" s="50"/>
      <c r="BF46" s="49"/>
      <c r="BG46" s="50"/>
      <c r="BI46" s="156"/>
      <c r="BJ46" s="148" t="s">
        <v>375</v>
      </c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56"/>
      <c r="CB46" s="156"/>
      <c r="CC46" s="148" t="s">
        <v>375</v>
      </c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220"/>
      <c r="CP46" s="49"/>
      <c r="CQ46" s="49"/>
      <c r="CR46" s="49"/>
      <c r="CS46" s="220"/>
      <c r="CV46" s="148" t="s">
        <v>375</v>
      </c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O46" s="148" t="s">
        <v>375</v>
      </c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H46" s="148" t="s">
        <v>375</v>
      </c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FA46" s="148" t="s">
        <v>375</v>
      </c>
      <c r="FB46" s="53"/>
      <c r="FC46" s="53"/>
      <c r="FD46" s="53"/>
      <c r="FE46" s="53"/>
      <c r="FF46" s="53"/>
      <c r="FG46" s="53"/>
      <c r="FH46" s="53"/>
      <c r="FI46" s="53"/>
      <c r="FJ46" s="53"/>
      <c r="FK46" s="53"/>
      <c r="FL46" s="53"/>
      <c r="FM46" s="53"/>
      <c r="FN46" s="53"/>
      <c r="FO46" s="53"/>
      <c r="FP46" s="53"/>
      <c r="FQ46" s="53"/>
      <c r="FT46" s="148" t="s">
        <v>375</v>
      </c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49"/>
      <c r="GG46" s="49"/>
      <c r="GH46" s="49"/>
      <c r="GI46" s="49"/>
      <c r="GJ46" s="49"/>
      <c r="GM46" s="148" t="s">
        <v>375</v>
      </c>
      <c r="GN46" s="49"/>
      <c r="GO46" s="49"/>
      <c r="GP46" s="49"/>
      <c r="GQ46" s="49"/>
      <c r="GR46" s="49"/>
      <c r="GS46" s="49"/>
      <c r="GT46" s="49"/>
      <c r="GU46" s="49"/>
      <c r="GV46" s="49"/>
      <c r="GW46" s="49"/>
      <c r="GX46" s="49"/>
      <c r="GY46" s="49"/>
      <c r="GZ46" s="49"/>
      <c r="HA46" s="49"/>
      <c r="HB46" s="49"/>
      <c r="HC46" s="49"/>
      <c r="HF46" s="148" t="s">
        <v>375</v>
      </c>
      <c r="HG46" s="49"/>
      <c r="HH46" s="49"/>
      <c r="HI46" s="49"/>
      <c r="HJ46" s="49"/>
      <c r="HK46" s="49"/>
      <c r="HL46" s="49"/>
      <c r="HM46" s="49"/>
      <c r="HN46" s="49"/>
      <c r="HO46" s="49"/>
      <c r="HP46" s="49"/>
      <c r="HQ46" s="49"/>
      <c r="HR46" s="49"/>
      <c r="HS46" s="49"/>
      <c r="HT46" s="49"/>
      <c r="HU46" s="49"/>
      <c r="HV46" s="49"/>
      <c r="HY46" s="341" t="s">
        <v>538</v>
      </c>
      <c r="HZ46" s="338"/>
      <c r="IA46" s="338"/>
      <c r="IB46" s="338"/>
      <c r="IC46" s="338"/>
      <c r="ID46" s="338"/>
      <c r="IE46" s="338"/>
      <c r="IF46" s="338"/>
      <c r="IG46" s="338"/>
      <c r="IH46" s="338"/>
      <c r="II46" s="338"/>
      <c r="IJ46" s="338"/>
      <c r="IK46" s="338"/>
      <c r="IL46" s="338"/>
      <c r="IM46" s="338"/>
      <c r="IN46" s="338"/>
      <c r="IO46" s="338"/>
      <c r="IR46" s="341" t="s">
        <v>538</v>
      </c>
      <c r="IS46" s="338"/>
      <c r="IT46" s="338"/>
      <c r="IU46" s="338"/>
      <c r="IV46" s="338"/>
      <c r="IW46" s="338"/>
      <c r="IX46" s="338"/>
      <c r="IY46" s="338"/>
      <c r="IZ46" s="338"/>
      <c r="JA46" s="338"/>
      <c r="JB46" s="338"/>
      <c r="JC46" s="338"/>
      <c r="JD46" s="338"/>
      <c r="JE46" s="338"/>
      <c r="JF46" s="338"/>
      <c r="JG46" s="338"/>
      <c r="JH46" s="338"/>
      <c r="JK46" s="341" t="s">
        <v>538</v>
      </c>
      <c r="JL46" s="338"/>
      <c r="JM46" s="338"/>
      <c r="JN46" s="338"/>
      <c r="JO46" s="338"/>
      <c r="JP46" s="338"/>
      <c r="JQ46" s="338"/>
      <c r="JR46" s="338"/>
      <c r="JS46" s="338"/>
      <c r="JT46" s="338"/>
      <c r="JU46" s="338"/>
      <c r="JV46" s="338"/>
      <c r="JW46" s="338"/>
      <c r="JX46" s="338"/>
      <c r="JY46" s="338"/>
      <c r="JZ46" s="338"/>
      <c r="KA46" s="338"/>
      <c r="KD46" s="341" t="s">
        <v>538</v>
      </c>
      <c r="KE46" s="338"/>
      <c r="KF46" s="338"/>
      <c r="KG46" s="338"/>
      <c r="KH46" s="338"/>
      <c r="KI46" s="338"/>
      <c r="KJ46" s="338"/>
      <c r="KK46" s="338"/>
      <c r="KL46" s="338"/>
      <c r="KM46" s="338"/>
      <c r="KN46" s="338"/>
      <c r="KO46" s="338"/>
      <c r="KP46" s="338"/>
      <c r="KQ46" s="338"/>
      <c r="KR46" s="338"/>
      <c r="KS46" s="338"/>
      <c r="KT46" s="338"/>
      <c r="KW46" s="341" t="s">
        <v>538</v>
      </c>
      <c r="KX46" s="338"/>
      <c r="KY46" s="338"/>
      <c r="KZ46" s="338"/>
      <c r="LA46" s="338"/>
      <c r="LB46" s="338"/>
      <c r="LC46" s="338"/>
      <c r="LD46" s="338"/>
      <c r="LE46" s="338"/>
      <c r="LF46" s="338"/>
      <c r="LG46" s="338"/>
      <c r="LH46" s="338"/>
      <c r="LI46" s="338"/>
      <c r="LJ46" s="338"/>
      <c r="LK46" s="338"/>
      <c r="LL46" s="338"/>
      <c r="LM46" s="338"/>
      <c r="LP46" s="341" t="s">
        <v>538</v>
      </c>
      <c r="LQ46" s="338"/>
      <c r="LR46" s="338"/>
      <c r="LS46" s="338"/>
      <c r="LT46" s="338"/>
      <c r="LU46" s="338"/>
      <c r="LV46" s="338"/>
      <c r="LW46" s="338"/>
      <c r="LX46" s="338"/>
      <c r="LY46" s="338"/>
      <c r="LZ46" s="338"/>
      <c r="MA46" s="338"/>
      <c r="MB46" s="338"/>
      <c r="MC46" s="338"/>
      <c r="MD46" s="338"/>
      <c r="ME46" s="338"/>
      <c r="MF46" s="338"/>
      <c r="MI46" s="341" t="s">
        <v>538</v>
      </c>
      <c r="MJ46" s="338"/>
      <c r="MK46" s="338"/>
      <c r="ML46" s="338"/>
      <c r="MM46" s="338"/>
      <c r="MN46" s="338"/>
      <c r="MO46" s="338"/>
      <c r="MP46" s="338"/>
      <c r="MQ46" s="338"/>
      <c r="MR46" s="338"/>
      <c r="MS46" s="338"/>
      <c r="MT46" s="338"/>
      <c r="MU46" s="338"/>
      <c r="MV46" s="338"/>
      <c r="MW46" s="338"/>
      <c r="MX46" s="338"/>
      <c r="MY46" s="338"/>
      <c r="NB46" s="341" t="s">
        <v>538</v>
      </c>
      <c r="NC46" s="338"/>
      <c r="ND46" s="338"/>
      <c r="NE46" s="338"/>
      <c r="NF46" s="338"/>
      <c r="NG46" s="338"/>
      <c r="NH46" s="338"/>
      <c r="NI46" s="338"/>
      <c r="NJ46" s="338"/>
      <c r="NK46" s="338"/>
      <c r="NL46" s="338"/>
      <c r="NM46" s="338"/>
      <c r="NN46" s="338"/>
      <c r="NO46" s="338"/>
      <c r="NP46" s="338"/>
      <c r="NQ46" s="338"/>
      <c r="NR46" s="338"/>
    </row>
    <row r="47" spans="2:382" ht="14.25" customHeight="1" x14ac:dyDescent="0.25">
      <c r="B47" s="734"/>
      <c r="C47" s="148" t="s">
        <v>416</v>
      </c>
      <c r="D47" s="143"/>
      <c r="E47" s="127"/>
      <c r="F47" s="143"/>
      <c r="G47" s="127"/>
      <c r="H47" s="143"/>
      <c r="I47" s="127"/>
      <c r="J47" s="143"/>
      <c r="K47" s="127"/>
      <c r="L47" s="143"/>
      <c r="M47" s="127"/>
      <c r="N47" s="143">
        <f>'CAM Characteristics'!H124/1000</f>
        <v>0.4217062675790631</v>
      </c>
      <c r="O47" s="127">
        <f>'CAM Characteristics'!H124/1000</f>
        <v>0.4217062675790631</v>
      </c>
      <c r="P47" s="143"/>
      <c r="Q47" s="143"/>
      <c r="R47" s="143"/>
      <c r="S47" s="143"/>
      <c r="T47" s="318"/>
      <c r="U47" s="119"/>
      <c r="V47" s="148" t="s">
        <v>416</v>
      </c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327"/>
      <c r="AH47" s="327"/>
      <c r="AI47" s="327"/>
      <c r="AJ47" s="327"/>
      <c r="AK47" s="327"/>
      <c r="AL47" s="327"/>
      <c r="AM47" s="327"/>
      <c r="AN47" s="327"/>
      <c r="AO47" s="119"/>
      <c r="AP47" s="8"/>
      <c r="AQ47" s="148" t="s">
        <v>416</v>
      </c>
      <c r="AR47" s="49"/>
      <c r="AS47" s="50"/>
      <c r="AT47" s="49"/>
      <c r="AU47" s="50"/>
      <c r="AV47" s="49"/>
      <c r="AW47" s="50"/>
      <c r="AX47" s="49"/>
      <c r="AY47" s="50"/>
      <c r="AZ47" s="49"/>
      <c r="BA47" s="50"/>
      <c r="BB47" s="49"/>
      <c r="BC47" s="50"/>
      <c r="BD47" s="49"/>
      <c r="BE47" s="50"/>
      <c r="BF47" s="49"/>
      <c r="BG47" s="50"/>
      <c r="BI47" s="156"/>
      <c r="BJ47" s="148" t="s">
        <v>416</v>
      </c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56"/>
      <c r="CB47" s="156"/>
      <c r="CC47" s="148" t="s">
        <v>416</v>
      </c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220"/>
      <c r="CP47" s="49"/>
      <c r="CQ47" s="49"/>
      <c r="CR47" s="49"/>
      <c r="CS47" s="220"/>
      <c r="CV47" s="148" t="s">
        <v>416</v>
      </c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O47" s="148" t="s">
        <v>416</v>
      </c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H47" s="148" t="s">
        <v>416</v>
      </c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FA47" s="148" t="s">
        <v>416</v>
      </c>
      <c r="FB47" s="53"/>
      <c r="FC47" s="53"/>
      <c r="FD47" s="53"/>
      <c r="FE47" s="53"/>
      <c r="FF47" s="53"/>
      <c r="FG47" s="53"/>
      <c r="FH47" s="53"/>
      <c r="FI47" s="53"/>
      <c r="FJ47" s="53"/>
      <c r="FK47" s="53"/>
      <c r="FL47" s="53"/>
      <c r="FM47" s="53"/>
      <c r="FN47" s="53"/>
      <c r="FO47" s="53"/>
      <c r="FP47" s="53"/>
      <c r="FQ47" s="53"/>
      <c r="FT47" s="148" t="s">
        <v>416</v>
      </c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49"/>
      <c r="GG47" s="49"/>
      <c r="GH47" s="49"/>
      <c r="GI47" s="49"/>
      <c r="GJ47" s="49"/>
      <c r="GM47" s="148" t="s">
        <v>416</v>
      </c>
      <c r="GN47" s="49"/>
      <c r="GO47" s="49"/>
      <c r="GP47" s="49"/>
      <c r="GQ47" s="49"/>
      <c r="GR47" s="49"/>
      <c r="GS47" s="49"/>
      <c r="GT47" s="49"/>
      <c r="GU47" s="49"/>
      <c r="GV47" s="49"/>
      <c r="GW47" s="49"/>
      <c r="GX47" s="49"/>
      <c r="GY47" s="49"/>
      <c r="GZ47" s="49"/>
      <c r="HA47" s="49"/>
      <c r="HB47" s="49"/>
      <c r="HC47" s="49"/>
      <c r="HF47" s="148" t="s">
        <v>416</v>
      </c>
      <c r="HG47" s="49"/>
      <c r="HH47" s="49"/>
      <c r="HI47" s="49"/>
      <c r="HJ47" s="49"/>
      <c r="HK47" s="49"/>
      <c r="HL47" s="49"/>
      <c r="HM47" s="49"/>
      <c r="HN47" s="49"/>
      <c r="HO47" s="49"/>
      <c r="HP47" s="49"/>
      <c r="HQ47" s="49"/>
      <c r="HR47" s="49"/>
      <c r="HS47" s="49"/>
      <c r="HT47" s="49"/>
      <c r="HU47" s="49"/>
      <c r="HV47" s="49"/>
      <c r="HY47" s="341" t="s">
        <v>543</v>
      </c>
      <c r="HZ47" s="338"/>
      <c r="IA47" s="338"/>
      <c r="IB47" s="338"/>
      <c r="IC47" s="338"/>
      <c r="ID47" s="338"/>
      <c r="IE47" s="338"/>
      <c r="IF47" s="338"/>
      <c r="IG47" s="338"/>
      <c r="IH47" s="338"/>
      <c r="II47" s="338"/>
      <c r="IJ47" s="338"/>
      <c r="IK47" s="338"/>
      <c r="IL47" s="338"/>
      <c r="IM47" s="338"/>
      <c r="IN47" s="338"/>
      <c r="IO47" s="338"/>
      <c r="IR47" s="341" t="s">
        <v>543</v>
      </c>
      <c r="IS47" s="338"/>
      <c r="IT47" s="338"/>
      <c r="IU47" s="338"/>
      <c r="IV47" s="338"/>
      <c r="IW47" s="338"/>
      <c r="IX47" s="338"/>
      <c r="IY47" s="338"/>
      <c r="IZ47" s="338"/>
      <c r="JA47" s="338"/>
      <c r="JB47" s="338"/>
      <c r="JC47" s="338"/>
      <c r="JD47" s="338"/>
      <c r="JE47" s="338"/>
      <c r="JF47" s="338"/>
      <c r="JG47" s="338"/>
      <c r="JH47" s="338"/>
      <c r="JK47" s="341" t="s">
        <v>543</v>
      </c>
      <c r="JL47" s="338"/>
      <c r="JM47" s="338"/>
      <c r="JN47" s="338"/>
      <c r="JO47" s="338"/>
      <c r="JP47" s="338"/>
      <c r="JQ47" s="338"/>
      <c r="JR47" s="338"/>
      <c r="JS47" s="338"/>
      <c r="JT47" s="338"/>
      <c r="JU47" s="338"/>
      <c r="JV47" s="338"/>
      <c r="JW47" s="338"/>
      <c r="JX47" s="338"/>
      <c r="JY47" s="338"/>
      <c r="JZ47" s="338"/>
      <c r="KA47" s="338"/>
      <c r="KD47" s="341" t="s">
        <v>543</v>
      </c>
      <c r="KE47" s="338"/>
      <c r="KF47" s="338"/>
      <c r="KG47" s="338"/>
      <c r="KH47" s="338"/>
      <c r="KI47" s="338"/>
      <c r="KJ47" s="338"/>
      <c r="KK47" s="338"/>
      <c r="KL47" s="338"/>
      <c r="KM47" s="338"/>
      <c r="KN47" s="338"/>
      <c r="KO47" s="338"/>
      <c r="KP47" s="338"/>
      <c r="KQ47" s="338"/>
      <c r="KR47" s="338"/>
      <c r="KS47" s="338"/>
      <c r="KT47" s="338"/>
      <c r="KW47" s="341" t="s">
        <v>543</v>
      </c>
      <c r="KX47" s="338"/>
      <c r="KY47" s="338"/>
      <c r="KZ47" s="338"/>
      <c r="LA47" s="338"/>
      <c r="LB47" s="338"/>
      <c r="LC47" s="338"/>
      <c r="LD47" s="338"/>
      <c r="LE47" s="338"/>
      <c r="LF47" s="338"/>
      <c r="LG47" s="338"/>
      <c r="LH47" s="338"/>
      <c r="LI47" s="338"/>
      <c r="LJ47" s="338"/>
      <c r="LK47" s="338"/>
      <c r="LL47" s="338"/>
      <c r="LM47" s="338"/>
      <c r="LP47" s="341" t="s">
        <v>543</v>
      </c>
      <c r="LQ47" s="338"/>
      <c r="LR47" s="338"/>
      <c r="LS47" s="338"/>
      <c r="LT47" s="338"/>
      <c r="LU47" s="338"/>
      <c r="LV47" s="338"/>
      <c r="LW47" s="338"/>
      <c r="LX47" s="338"/>
      <c r="LY47" s="338"/>
      <c r="LZ47" s="338"/>
      <c r="MA47" s="338"/>
      <c r="MB47" s="338"/>
      <c r="MC47" s="338"/>
      <c r="MD47" s="338"/>
      <c r="ME47" s="338"/>
      <c r="MF47" s="338"/>
      <c r="MI47" s="341" t="s">
        <v>543</v>
      </c>
      <c r="MJ47" s="338"/>
      <c r="MK47" s="338"/>
      <c r="ML47" s="338"/>
      <c r="MM47" s="338"/>
      <c r="MN47" s="338"/>
      <c r="MO47" s="338"/>
      <c r="MP47" s="338"/>
      <c r="MQ47" s="338"/>
      <c r="MR47" s="338"/>
      <c r="MS47" s="338"/>
      <c r="MT47" s="338"/>
      <c r="MU47" s="338"/>
      <c r="MV47" s="338"/>
      <c r="MW47" s="338"/>
      <c r="MX47" s="338"/>
      <c r="MY47" s="338"/>
      <c r="NB47" s="341" t="s">
        <v>543</v>
      </c>
      <c r="NC47" s="338"/>
      <c r="ND47" s="338"/>
      <c r="NE47" s="338"/>
      <c r="NF47" s="338"/>
      <c r="NG47" s="338"/>
      <c r="NH47" s="338"/>
      <c r="NI47" s="338"/>
      <c r="NJ47" s="338"/>
      <c r="NK47" s="338"/>
      <c r="NL47" s="338"/>
      <c r="NM47" s="338"/>
      <c r="NN47" s="338"/>
      <c r="NO47" s="338"/>
      <c r="NP47" s="338"/>
      <c r="NQ47" s="338"/>
      <c r="NR47" s="338"/>
    </row>
    <row r="48" spans="2:382" ht="14.25" customHeight="1" x14ac:dyDescent="0.25">
      <c r="B48" s="734"/>
      <c r="C48" s="407" t="s">
        <v>417</v>
      </c>
      <c r="D48" s="405"/>
      <c r="E48" s="406"/>
      <c r="F48" s="405"/>
      <c r="G48" s="406"/>
      <c r="H48" s="405"/>
      <c r="I48" s="406"/>
      <c r="J48" s="405"/>
      <c r="K48" s="406"/>
      <c r="L48" s="405"/>
      <c r="M48" s="406"/>
      <c r="N48" s="405">
        <f>'CAM Characteristics'!H127/1000</f>
        <v>6.6026632052679668E-2</v>
      </c>
      <c r="O48" s="406">
        <f>'CAM Characteristics'!H127/1000</f>
        <v>6.6026632052679668E-2</v>
      </c>
      <c r="P48" s="405"/>
      <c r="Q48" s="405"/>
      <c r="R48" s="405"/>
      <c r="S48" s="405"/>
      <c r="T48" s="318"/>
      <c r="U48" s="119"/>
      <c r="V48" s="407" t="s">
        <v>417</v>
      </c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327"/>
      <c r="AH48" s="327"/>
      <c r="AI48" s="327"/>
      <c r="AJ48" s="327"/>
      <c r="AK48" s="327"/>
      <c r="AL48" s="327"/>
      <c r="AM48" s="327"/>
      <c r="AN48" s="327"/>
      <c r="AO48" s="119"/>
      <c r="AP48" s="8"/>
      <c r="AQ48" s="407" t="s">
        <v>417</v>
      </c>
      <c r="AR48" s="49"/>
      <c r="AS48" s="50"/>
      <c r="AT48" s="49"/>
      <c r="AU48" s="50"/>
      <c r="AV48" s="49"/>
      <c r="AW48" s="50"/>
      <c r="AX48" s="49"/>
      <c r="AY48" s="50"/>
      <c r="AZ48" s="49"/>
      <c r="BA48" s="50"/>
      <c r="BB48" s="49"/>
      <c r="BC48" s="50"/>
      <c r="BD48" s="49"/>
      <c r="BE48" s="50"/>
      <c r="BF48" s="49"/>
      <c r="BG48" s="50"/>
      <c r="BI48" s="156"/>
      <c r="BJ48" s="407" t="s">
        <v>417</v>
      </c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56"/>
      <c r="CB48" s="156"/>
      <c r="CC48" s="407" t="s">
        <v>417</v>
      </c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220"/>
      <c r="CP48" s="49"/>
      <c r="CQ48" s="49"/>
      <c r="CR48" s="49"/>
      <c r="CS48" s="220"/>
      <c r="CV48" s="407" t="s">
        <v>417</v>
      </c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O48" s="407" t="s">
        <v>417</v>
      </c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H48" s="407" t="s">
        <v>417</v>
      </c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FA48" s="407" t="s">
        <v>417</v>
      </c>
      <c r="FB48" s="53"/>
      <c r="FC48" s="53"/>
      <c r="FD48" s="53"/>
      <c r="FE48" s="53"/>
      <c r="FF48" s="53"/>
      <c r="FG48" s="53"/>
      <c r="FH48" s="53"/>
      <c r="FI48" s="53"/>
      <c r="FJ48" s="53"/>
      <c r="FK48" s="53"/>
      <c r="FL48" s="53"/>
      <c r="FM48" s="53"/>
      <c r="FN48" s="53"/>
      <c r="FO48" s="53"/>
      <c r="FP48" s="53"/>
      <c r="FQ48" s="53"/>
      <c r="FT48" s="407" t="s">
        <v>417</v>
      </c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49"/>
      <c r="GG48" s="49"/>
      <c r="GH48" s="49"/>
      <c r="GI48" s="49"/>
      <c r="GJ48" s="49"/>
      <c r="GM48" s="407" t="s">
        <v>417</v>
      </c>
      <c r="GN48" s="49"/>
      <c r="GO48" s="49"/>
      <c r="GP48" s="49"/>
      <c r="GQ48" s="49"/>
      <c r="GR48" s="49"/>
      <c r="GS48" s="49"/>
      <c r="GT48" s="49"/>
      <c r="GU48" s="49"/>
      <c r="GV48" s="49"/>
      <c r="GW48" s="49"/>
      <c r="GX48" s="49"/>
      <c r="GY48" s="49"/>
      <c r="GZ48" s="49"/>
      <c r="HA48" s="49"/>
      <c r="HB48" s="49"/>
      <c r="HC48" s="49"/>
      <c r="HF48" s="407" t="s">
        <v>417</v>
      </c>
      <c r="HG48" s="49"/>
      <c r="HH48" s="49"/>
      <c r="HI48" s="49"/>
      <c r="HJ48" s="49"/>
      <c r="HK48" s="49"/>
      <c r="HL48" s="49"/>
      <c r="HM48" s="49"/>
      <c r="HN48" s="49"/>
      <c r="HO48" s="49"/>
      <c r="HP48" s="49"/>
      <c r="HQ48" s="49"/>
      <c r="HR48" s="49"/>
      <c r="HS48" s="49"/>
      <c r="HT48" s="49"/>
      <c r="HU48" s="49"/>
      <c r="HV48" s="49"/>
      <c r="HY48" s="493" t="s">
        <v>547</v>
      </c>
      <c r="HZ48" s="338"/>
      <c r="IA48" s="338"/>
      <c r="IB48" s="338"/>
      <c r="IC48" s="338"/>
      <c r="ID48" s="338"/>
      <c r="IE48" s="338"/>
      <c r="IF48" s="338"/>
      <c r="IG48" s="338"/>
      <c r="IH48" s="338"/>
      <c r="II48" s="338"/>
      <c r="IJ48" s="338"/>
      <c r="IK48" s="338"/>
      <c r="IL48" s="338"/>
      <c r="IM48" s="338"/>
      <c r="IN48" s="338"/>
      <c r="IO48" s="338"/>
      <c r="IR48" s="493" t="s">
        <v>547</v>
      </c>
      <c r="IS48" s="338"/>
      <c r="IT48" s="338"/>
      <c r="IU48" s="338"/>
      <c r="IV48" s="338"/>
      <c r="IW48" s="338"/>
      <c r="IX48" s="338"/>
      <c r="IY48" s="338"/>
      <c r="IZ48" s="338"/>
      <c r="JA48" s="338"/>
      <c r="JB48" s="338"/>
      <c r="JC48" s="338"/>
      <c r="JD48" s="338"/>
      <c r="JE48" s="338"/>
      <c r="JF48" s="338"/>
      <c r="JG48" s="338"/>
      <c r="JH48" s="338"/>
      <c r="JK48" s="493" t="s">
        <v>547</v>
      </c>
      <c r="JL48" s="338"/>
      <c r="JM48" s="338"/>
      <c r="JN48" s="338"/>
      <c r="JO48" s="338"/>
      <c r="JP48" s="338"/>
      <c r="JQ48" s="338"/>
      <c r="JR48" s="338"/>
      <c r="JS48" s="338"/>
      <c r="JT48" s="338"/>
      <c r="JU48" s="338"/>
      <c r="JV48" s="338"/>
      <c r="JW48" s="338"/>
      <c r="JX48" s="338"/>
      <c r="JY48" s="338"/>
      <c r="JZ48" s="338"/>
      <c r="KA48" s="338"/>
      <c r="KD48" s="493" t="s">
        <v>547</v>
      </c>
      <c r="KE48" s="338"/>
      <c r="KF48" s="338"/>
      <c r="KG48" s="338"/>
      <c r="KH48" s="338"/>
      <c r="KI48" s="338"/>
      <c r="KJ48" s="338"/>
      <c r="KK48" s="338"/>
      <c r="KL48" s="338"/>
      <c r="KM48" s="338"/>
      <c r="KN48" s="338"/>
      <c r="KO48" s="338"/>
      <c r="KP48" s="338"/>
      <c r="KQ48" s="338"/>
      <c r="KR48" s="338"/>
      <c r="KS48" s="338"/>
      <c r="KT48" s="338"/>
      <c r="KW48" s="493" t="s">
        <v>547</v>
      </c>
      <c r="KX48" s="338"/>
      <c r="KY48" s="338"/>
      <c r="KZ48" s="338"/>
      <c r="LA48" s="338"/>
      <c r="LB48" s="338"/>
      <c r="LC48" s="338"/>
      <c r="LD48" s="338"/>
      <c r="LE48" s="338"/>
      <c r="LF48" s="338"/>
      <c r="LG48" s="338"/>
      <c r="LH48" s="338"/>
      <c r="LI48" s="338"/>
      <c r="LJ48" s="338"/>
      <c r="LK48" s="338"/>
      <c r="LL48" s="338"/>
      <c r="LM48" s="338"/>
      <c r="LP48" s="493" t="s">
        <v>547</v>
      </c>
      <c r="LQ48" s="338"/>
      <c r="LR48" s="338"/>
      <c r="LS48" s="338"/>
      <c r="LT48" s="338"/>
      <c r="LU48" s="338"/>
      <c r="LV48" s="338"/>
      <c r="LW48" s="338"/>
      <c r="LX48" s="338"/>
      <c r="LY48" s="338"/>
      <c r="LZ48" s="338"/>
      <c r="MA48" s="338"/>
      <c r="MB48" s="338"/>
      <c r="MC48" s="338"/>
      <c r="MD48" s="338"/>
      <c r="ME48" s="338"/>
      <c r="MF48" s="338"/>
      <c r="MI48" s="493" t="s">
        <v>547</v>
      </c>
      <c r="MJ48" s="338"/>
      <c r="MK48" s="338"/>
      <c r="ML48" s="338"/>
      <c r="MM48" s="338"/>
      <c r="MN48" s="338"/>
      <c r="MO48" s="338"/>
      <c r="MP48" s="338"/>
      <c r="MQ48" s="338"/>
      <c r="MR48" s="338"/>
      <c r="MS48" s="338"/>
      <c r="MT48" s="338"/>
      <c r="MU48" s="338"/>
      <c r="MV48" s="338"/>
      <c r="MW48" s="338"/>
      <c r="MX48" s="338"/>
      <c r="MY48" s="338"/>
      <c r="NB48" s="493" t="s">
        <v>547</v>
      </c>
      <c r="NC48" s="338"/>
      <c r="ND48" s="338"/>
      <c r="NE48" s="338"/>
      <c r="NF48" s="338"/>
      <c r="NG48" s="338"/>
      <c r="NH48" s="338"/>
      <c r="NI48" s="338"/>
      <c r="NJ48" s="338"/>
      <c r="NK48" s="338"/>
      <c r="NL48" s="338"/>
      <c r="NM48" s="338"/>
      <c r="NN48" s="338"/>
      <c r="NO48" s="338"/>
      <c r="NP48" s="338"/>
      <c r="NQ48" s="338"/>
      <c r="NR48" s="338"/>
    </row>
    <row r="49" spans="2:382" ht="12.75" customHeight="1" x14ac:dyDescent="0.2">
      <c r="B49" s="734"/>
      <c r="C49" s="117" t="s">
        <v>57</v>
      </c>
      <c r="D49" s="136">
        <f t="shared" ref="D49:O49" si="1547">D50+D52-D59</f>
        <v>1.3138067327812863</v>
      </c>
      <c r="E49" s="120">
        <f t="shared" si="1547"/>
        <v>1.1034348530798701</v>
      </c>
      <c r="F49" s="136">
        <f t="shared" si="1547"/>
        <v>1.4427322827195366</v>
      </c>
      <c r="G49" s="120">
        <f t="shared" si="1547"/>
        <v>1.1693301341594204</v>
      </c>
      <c r="H49" s="136">
        <f t="shared" si="1547"/>
        <v>1.427082952585474</v>
      </c>
      <c r="I49" s="120">
        <f t="shared" si="1547"/>
        <v>1.1613315876464547</v>
      </c>
      <c r="J49" s="136">
        <f t="shared" si="1547"/>
        <v>1.1421915089589574</v>
      </c>
      <c r="K49" s="120">
        <f t="shared" si="1547"/>
        <v>0.92035843418291186</v>
      </c>
      <c r="L49" s="136">
        <f t="shared" si="1547"/>
        <v>0.97247836538007149</v>
      </c>
      <c r="M49" s="120">
        <f t="shared" si="1547"/>
        <v>0.7727468175009905</v>
      </c>
      <c r="N49" s="136">
        <f t="shared" si="1547"/>
        <v>1.7478141583345304</v>
      </c>
      <c r="O49" s="120">
        <f t="shared" si="1547"/>
        <v>1.3792525748477078</v>
      </c>
      <c r="P49" s="136">
        <f>P51+P52-P59</f>
        <v>1.495803951115789</v>
      </c>
      <c r="Q49" s="120">
        <f>Q51+Q52-Q59</f>
        <v>1.2976515335517409</v>
      </c>
      <c r="R49" s="136">
        <f>R50+R56</f>
        <v>1.2496103696880727</v>
      </c>
      <c r="S49" s="136">
        <f>S50+S56</f>
        <v>0.63868974450723726</v>
      </c>
      <c r="T49" s="318"/>
      <c r="U49" s="119"/>
      <c r="V49" s="117" t="s">
        <v>57</v>
      </c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327"/>
      <c r="AH49" s="327"/>
      <c r="AI49" s="327"/>
      <c r="AJ49" s="327"/>
      <c r="AK49" s="327"/>
      <c r="AL49" s="327"/>
      <c r="AM49" s="327"/>
      <c r="AN49" s="327"/>
      <c r="AO49" s="119"/>
      <c r="AP49" s="8"/>
      <c r="AQ49" s="117" t="s">
        <v>57</v>
      </c>
      <c r="AR49" s="56">
        <f>AR50+AR52</f>
        <v>48.202980778210126</v>
      </c>
      <c r="AS49" s="57">
        <f t="shared" ref="AS49" si="1548">AS50+AS52</f>
        <v>40.470769568325473</v>
      </c>
      <c r="AT49" s="56">
        <f>AT50+AT52</f>
        <v>53.022252427701027</v>
      </c>
      <c r="AU49" s="57">
        <f t="shared" ref="AU49" si="1549">AU50+AU52</f>
        <v>42.933952855843046</v>
      </c>
      <c r="AV49" s="56">
        <f>AV50+AV52</f>
        <v>52.437276268322734</v>
      </c>
      <c r="AW49" s="57">
        <f t="shared" ref="AW49" si="1550">AW50+AW52</f>
        <v>42.634965041049696</v>
      </c>
      <c r="AX49" s="56">
        <f>AX50+AX52</f>
        <v>42.357207896502061</v>
      </c>
      <c r="AY49" s="57">
        <f t="shared" ref="AY49" si="1551">AY50+AY52</f>
        <v>34.167531494157508</v>
      </c>
      <c r="AZ49" s="56">
        <f>AZ50+AZ52</f>
        <v>36.376636264605146</v>
      </c>
      <c r="BA49" s="57">
        <f t="shared" ref="BA49" si="1552">BA50+BA52</f>
        <v>28.994583009132079</v>
      </c>
      <c r="BB49" s="56">
        <f>BB50+BB52</f>
        <v>64.312861370485109</v>
      </c>
      <c r="BC49" s="57">
        <f t="shared" ref="BC49" si="1553">BC50+BC52</f>
        <v>50.683919850698842</v>
      </c>
      <c r="BD49" s="56">
        <f>BD50+BD52+BD51</f>
        <v>32.969842364772504</v>
      </c>
      <c r="BE49" s="57">
        <f>BE50+BE52+BE51</f>
        <v>23.623073725405813</v>
      </c>
      <c r="BF49" s="56">
        <f>BF50+BF52</f>
        <v>284.79231365977324</v>
      </c>
      <c r="BG49" s="57">
        <f t="shared" ref="BG49" si="1554">BG50+BG52</f>
        <v>145.5605158705508</v>
      </c>
      <c r="BI49" s="156"/>
      <c r="BJ49" s="117" t="s">
        <v>57</v>
      </c>
      <c r="BK49" s="56">
        <f t="shared" ref="BK49" si="1555">BK50+BK52</f>
        <v>10.929360324058765</v>
      </c>
      <c r="BL49" s="56">
        <f t="shared" ref="BL49:BM49" si="1556">BL50+BL52</f>
        <v>9.0790511268756315</v>
      </c>
      <c r="BM49" s="56">
        <f t="shared" si="1556"/>
        <v>12.101267787887473</v>
      </c>
      <c r="BN49" s="56">
        <f t="shared" ref="BN49:BT49" si="1557">BN50+BN52</f>
        <v>9.678026052832525</v>
      </c>
      <c r="BO49" s="56">
        <f t="shared" si="1557"/>
        <v>11.95901850683487</v>
      </c>
      <c r="BP49" s="56">
        <f t="shared" si="1557"/>
        <v>9.6053208647389745</v>
      </c>
      <c r="BQ49" s="56">
        <f t="shared" si="1557"/>
        <v>9.7071885843717638</v>
      </c>
      <c r="BR49" s="56">
        <f t="shared" si="1557"/>
        <v>7.7390267544621745</v>
      </c>
      <c r="BS49" s="56">
        <f t="shared" si="1557"/>
        <v>8.3801319594087467</v>
      </c>
      <c r="BT49" s="56">
        <f t="shared" si="1557"/>
        <v>6.6041413577911747</v>
      </c>
      <c r="BU49" s="56">
        <f>BU50+BU52</f>
        <v>14.747791006405574</v>
      </c>
      <c r="BV49" s="56">
        <f>BV50+BV52</f>
        <v>11.4673101791197</v>
      </c>
      <c r="BW49" s="56">
        <f>BW50+BW52+BW51</f>
        <v>10.018787377362823</v>
      </c>
      <c r="BX49" s="56">
        <f>BX50+BX52+BX51</f>
        <v>6.9583162823948239</v>
      </c>
      <c r="BY49" s="56">
        <f t="shared" ref="BY49:BZ49" si="1558">BY50+BY52</f>
        <v>76.427631372787175</v>
      </c>
      <c r="BZ49" s="56">
        <f t="shared" si="1558"/>
        <v>39.063011590535666</v>
      </c>
      <c r="CA49" s="156"/>
      <c r="CB49" s="156"/>
      <c r="CC49" s="117" t="s">
        <v>57</v>
      </c>
      <c r="CD49" s="56">
        <f t="shared" ref="CD49:CO49" si="1559">CD50+CD52</f>
        <v>869.20797100893435</v>
      </c>
      <c r="CE49" s="56">
        <f t="shared" si="1559"/>
        <v>651.88521379160613</v>
      </c>
      <c r="CF49" s="56">
        <f t="shared" si="1559"/>
        <v>1008.6022756021707</v>
      </c>
      <c r="CG49" s="56">
        <f t="shared" si="1559"/>
        <v>723.1311916948157</v>
      </c>
      <c r="CH49" s="56">
        <f t="shared" si="1559"/>
        <v>991.68221986122182</v>
      </c>
      <c r="CI49" s="56">
        <f t="shared" si="1559"/>
        <v>714.4831632049976</v>
      </c>
      <c r="CJ49" s="56">
        <f t="shared" si="1559"/>
        <v>826.70834720735252</v>
      </c>
      <c r="CK49" s="56">
        <f t="shared" si="1559"/>
        <v>594.75696113547303</v>
      </c>
      <c r="CL49" s="56">
        <f t="shared" si="1559"/>
        <v>734.52348968589479</v>
      </c>
      <c r="CM49" s="56">
        <f t="shared" si="1559"/>
        <v>525.04053955467668</v>
      </c>
      <c r="CN49" s="56">
        <f t="shared" si="1559"/>
        <v>1269.5468159578279</v>
      </c>
      <c r="CO49" s="221">
        <f t="shared" si="1559"/>
        <v>882.45576589719849</v>
      </c>
      <c r="CP49" s="56">
        <f>CP50+CP52+CP51</f>
        <v>39.912743576087067</v>
      </c>
      <c r="CQ49" s="56">
        <f>CQ50+CQ52+CQ51</f>
        <v>25.940721393749506</v>
      </c>
      <c r="CR49" s="56">
        <f t="shared" ref="CR49:CS49" si="1560">CR50+CR52</f>
        <v>992.43364213257632</v>
      </c>
      <c r="CS49" s="221">
        <f t="shared" si="1560"/>
        <v>507.24386153442788</v>
      </c>
      <c r="CV49" s="117" t="s">
        <v>57</v>
      </c>
      <c r="CW49" s="56">
        <f t="shared" ref="CW49:DH49" si="1561">CW50+CW52</f>
        <v>0.25045845997370242</v>
      </c>
      <c r="CX49" s="56">
        <f t="shared" si="1561"/>
        <v>0.163758303132229</v>
      </c>
      <c r="CY49" s="56">
        <f t="shared" si="1561"/>
        <v>0.30606662817306862</v>
      </c>
      <c r="CZ49" s="56">
        <f t="shared" si="1561"/>
        <v>0.19218025576746056</v>
      </c>
      <c r="DA49" s="56">
        <f t="shared" si="1561"/>
        <v>0.2993167590996445</v>
      </c>
      <c r="DB49" s="56">
        <f t="shared" si="1561"/>
        <v>0.18873032268548834</v>
      </c>
      <c r="DC49" s="56">
        <f t="shared" si="1561"/>
        <v>0.24476161128562754</v>
      </c>
      <c r="DD49" s="56">
        <f t="shared" si="1561"/>
        <v>0.15222662841712573</v>
      </c>
      <c r="DE49" s="56">
        <f t="shared" si="1561"/>
        <v>0.21517214861269626</v>
      </c>
      <c r="DF49" s="56">
        <f t="shared" si="1561"/>
        <v>0.13160102821851746</v>
      </c>
      <c r="DG49" s="56">
        <f t="shared" si="1561"/>
        <v>0.39812796026213743</v>
      </c>
      <c r="DH49" s="56">
        <f t="shared" si="1561"/>
        <v>0.24370210067286011</v>
      </c>
      <c r="DI49" s="56">
        <f>DI50+DI52+DI51</f>
        <v>4.4383494658007117E-2</v>
      </c>
      <c r="DJ49" s="56">
        <f>DJ50+DJ52+DJ51</f>
        <v>3.1154841476536462E-2</v>
      </c>
      <c r="DK49" s="56">
        <f t="shared" ref="DK49:DL49" si="1562">DK50+DK52</f>
        <v>0.52028099831910857</v>
      </c>
      <c r="DL49" s="56">
        <f t="shared" si="1562"/>
        <v>0.2659213991408777</v>
      </c>
      <c r="DO49" s="117" t="s">
        <v>57</v>
      </c>
      <c r="DP49" s="56">
        <f t="shared" ref="DP49:EA49" si="1563">DP50+DP52</f>
        <v>0.8448245417601099</v>
      </c>
      <c r="DQ49" s="56">
        <f t="shared" si="1563"/>
        <v>0.46057422894034683</v>
      </c>
      <c r="DR49" s="56">
        <f t="shared" si="1563"/>
        <v>1.0912528379120821</v>
      </c>
      <c r="DS49" s="56">
        <f t="shared" si="1563"/>
        <v>0.58652646919579898</v>
      </c>
      <c r="DT49" s="56">
        <f t="shared" si="1563"/>
        <v>1.0613407082938338</v>
      </c>
      <c r="DU49" s="56">
        <f t="shared" si="1563"/>
        <v>0.57123804739091699</v>
      </c>
      <c r="DV49" s="56">
        <f t="shared" si="1563"/>
        <v>0.88464290465396134</v>
      </c>
      <c r="DW49" s="56">
        <f t="shared" si="1563"/>
        <v>0.47454376140353871</v>
      </c>
      <c r="DX49" s="56">
        <f t="shared" si="1563"/>
        <v>0.79504705417122501</v>
      </c>
      <c r="DY49" s="56">
        <f t="shared" si="1563"/>
        <v>0.42467666166676021</v>
      </c>
      <c r="DZ49" s="56">
        <f t="shared" si="1563"/>
        <v>1.4660881290528256</v>
      </c>
      <c r="EA49" s="56">
        <f t="shared" si="1563"/>
        <v>0.78170582867282667</v>
      </c>
      <c r="EB49" s="56">
        <f>EB50+EB52+EB51</f>
        <v>0.1381667956029371</v>
      </c>
      <c r="EC49" s="56">
        <f>EC50+EC52+EC51</f>
        <v>8.1640169414319744E-2</v>
      </c>
      <c r="ED49" s="56">
        <f t="shared" ref="ED49:EE49" si="1564">ED50+ED52</f>
        <v>142.56661633433183</v>
      </c>
      <c r="EE49" s="56">
        <f t="shared" si="1564"/>
        <v>72.86738168199183</v>
      </c>
      <c r="EH49" s="117" t="s">
        <v>57</v>
      </c>
      <c r="EI49" s="56">
        <f t="shared" ref="EI49:ET49" si="1565">EI50+EI52</f>
        <v>8.1023286436867875E-2</v>
      </c>
      <c r="EJ49" s="56">
        <f t="shared" si="1565"/>
        <v>5.0303247394983597E-2</v>
      </c>
      <c r="EK49" s="56">
        <f t="shared" si="1565"/>
        <v>0.10071150716793811</v>
      </c>
      <c r="EL49" s="56">
        <f t="shared" si="1565"/>
        <v>6.036611576864169E-2</v>
      </c>
      <c r="EM49" s="56">
        <f t="shared" si="1565"/>
        <v>9.8321697963165353E-2</v>
      </c>
      <c r="EN49" s="56">
        <f t="shared" si="1565"/>
        <v>5.9144657730646755E-2</v>
      </c>
      <c r="EO49" s="56">
        <f t="shared" si="1565"/>
        <v>8.4269842097728975E-2</v>
      </c>
      <c r="EP49" s="56">
        <f t="shared" si="1565"/>
        <v>5.1489181332304138E-2</v>
      </c>
      <c r="EQ49" s="56">
        <f t="shared" si="1565"/>
        <v>7.7153320169947595E-2</v>
      </c>
      <c r="ER49" s="56">
        <f t="shared" si="1565"/>
        <v>4.7549667008643104E-2</v>
      </c>
      <c r="ES49" s="56">
        <f t="shared" si="1565"/>
        <v>0.1323495429273335</v>
      </c>
      <c r="ET49" s="56">
        <f t="shared" si="1565"/>
        <v>7.7648085558794627E-2</v>
      </c>
      <c r="EU49" s="56">
        <f>EU50+EU52+EU51</f>
        <v>4.5647426633819647E-2</v>
      </c>
      <c r="EV49" s="56">
        <f>EV50+EV52+EV51</f>
        <v>2.8411886543323387E-2</v>
      </c>
      <c r="EW49" s="56">
        <f t="shared" ref="EW49:EX49" si="1566">EW50+EW52</f>
        <v>0.70639165823570693</v>
      </c>
      <c r="EX49" s="56">
        <f t="shared" si="1566"/>
        <v>0.36104462532047243</v>
      </c>
      <c r="FA49" s="117" t="s">
        <v>57</v>
      </c>
      <c r="FB49" s="485">
        <f t="shared" ref="FB49:FM49" si="1567">FB50+FB52</f>
        <v>2.0198165626773849E-2</v>
      </c>
      <c r="FC49" s="485">
        <f t="shared" si="1567"/>
        <v>1.0901883411080757E-2</v>
      </c>
      <c r="FD49" s="485">
        <f t="shared" si="1567"/>
        <v>2.6163937599066517E-2</v>
      </c>
      <c r="FE49" s="485">
        <f t="shared" si="1567"/>
        <v>1.3951055752474781E-2</v>
      </c>
      <c r="FF49" s="485">
        <f t="shared" si="1567"/>
        <v>2.5439796145773016E-2</v>
      </c>
      <c r="FG49" s="485">
        <f t="shared" si="1567"/>
        <v>1.3580939009680333E-2</v>
      </c>
      <c r="FH49" s="485">
        <f t="shared" si="1567"/>
        <v>2.128728807061982E-2</v>
      </c>
      <c r="FI49" s="485">
        <f t="shared" si="1567"/>
        <v>1.1363904207012148E-2</v>
      </c>
      <c r="FJ49" s="485">
        <f t="shared" si="1567"/>
        <v>1.919815626445991E-2</v>
      </c>
      <c r="FK49" s="485">
        <f t="shared" si="1567"/>
        <v>1.02357160773643E-2</v>
      </c>
      <c r="FL49" s="485">
        <f t="shared" si="1567"/>
        <v>3.5206539564497291E-2</v>
      </c>
      <c r="FM49" s="485">
        <f t="shared" si="1567"/>
        <v>1.8645127157258391E-2</v>
      </c>
      <c r="FN49" s="485">
        <f>FN50+FN52+FN51</f>
        <v>3.320647840108569E-3</v>
      </c>
      <c r="FO49" s="485">
        <f>FO50+FO52+FO51</f>
        <v>2.4096678279360191E-3</v>
      </c>
      <c r="FP49" s="485">
        <f t="shared" ref="FP49:FQ49" si="1568">FP50+FP52</f>
        <v>5.4051056553804114E-2</v>
      </c>
      <c r="FQ49" s="485">
        <f t="shared" si="1568"/>
        <v>2.7626095571944322E-2</v>
      </c>
      <c r="FT49" s="117" t="s">
        <v>57</v>
      </c>
      <c r="FU49" s="56">
        <f t="shared" ref="FU49:GF49" si="1569">FU50+FU52</f>
        <v>15.920234548437977</v>
      </c>
      <c r="FV49" s="56">
        <f t="shared" si="1569"/>
        <v>8.2181152813627847</v>
      </c>
      <c r="FW49" s="56">
        <f t="shared" si="1569"/>
        <v>20.86349798417038</v>
      </c>
      <c r="FX49" s="56">
        <f t="shared" si="1569"/>
        <v>10.744672148514896</v>
      </c>
      <c r="FY49" s="56">
        <f t="shared" si="1569"/>
        <v>20.26347136817013</v>
      </c>
      <c r="FZ49" s="56">
        <f t="shared" si="1569"/>
        <v>10.437991878114778</v>
      </c>
      <c r="GA49" s="56">
        <f t="shared" si="1569"/>
        <v>16.948091819055293</v>
      </c>
      <c r="GB49" s="56">
        <f t="shared" si="1569"/>
        <v>8.7261727499686277</v>
      </c>
      <c r="GC49" s="56">
        <f t="shared" si="1569"/>
        <v>15.297074839706635</v>
      </c>
      <c r="GD49" s="56">
        <f t="shared" si="1569"/>
        <v>7.8712823060991441</v>
      </c>
      <c r="GE49" s="56">
        <f t="shared" si="1569"/>
        <v>28.254229359017703</v>
      </c>
      <c r="GF49" s="56">
        <f t="shared" si="1569"/>
        <v>14.53229538745701</v>
      </c>
      <c r="GG49" s="56">
        <f>GG50+GG52+GG51</f>
        <v>0.61117021661412385</v>
      </c>
      <c r="GH49" s="56">
        <f>GH50+GH52+GH51</f>
        <v>0.34686280466602348</v>
      </c>
      <c r="GI49" s="56">
        <f t="shared" ref="GI49:GJ49" si="1570">GI50+GI52</f>
        <v>19.801426163445726</v>
      </c>
      <c r="GJ49" s="56">
        <f t="shared" si="1570"/>
        <v>10.12072892798337</v>
      </c>
      <c r="GM49" s="117" t="s">
        <v>57</v>
      </c>
      <c r="GN49" s="56">
        <f t="shared" ref="GN49:GY49" si="1571">GN50+GN52</f>
        <v>4.9360084534364148</v>
      </c>
      <c r="GO49" s="56">
        <f t="shared" si="1571"/>
        <v>2.9402994878255804</v>
      </c>
      <c r="GP49" s="56">
        <f t="shared" si="1571"/>
        <v>6.2152335450337244</v>
      </c>
      <c r="GQ49" s="56">
        <f t="shared" si="1571"/>
        <v>3.5941256457530928</v>
      </c>
      <c r="GR49" s="56">
        <f t="shared" si="1571"/>
        <v>6.0599577615775244</v>
      </c>
      <c r="GS49" s="56">
        <f t="shared" si="1571"/>
        <v>3.5147624675421474</v>
      </c>
      <c r="GT49" s="56">
        <f t="shared" si="1571"/>
        <v>5.01938177796697</v>
      </c>
      <c r="GU49" s="56">
        <f t="shared" si="1571"/>
        <v>2.8897196947195836</v>
      </c>
      <c r="GV49" s="56">
        <f t="shared" si="1571"/>
        <v>4.4755650236892652</v>
      </c>
      <c r="GW49" s="56">
        <f t="shared" si="1571"/>
        <v>2.5522841268740142</v>
      </c>
      <c r="GX49" s="56">
        <f t="shared" si="1571"/>
        <v>8.2298363424400556</v>
      </c>
      <c r="GY49" s="56">
        <f t="shared" si="1571"/>
        <v>4.6759928603249792</v>
      </c>
      <c r="GZ49" s="56">
        <f>GZ50+GZ52+GZ51</f>
        <v>3.9527624220807303</v>
      </c>
      <c r="HA49" s="56">
        <f>HA50+HA52+HA51</f>
        <v>2.1833405427133301</v>
      </c>
      <c r="HB49" s="56">
        <f t="shared" ref="HB49:HC49" si="1572">HB50+HB52</f>
        <v>17.172464757064347</v>
      </c>
      <c r="HC49" s="56">
        <f t="shared" si="1572"/>
        <v>8.7770375424995546</v>
      </c>
      <c r="HF49" s="117" t="s">
        <v>57</v>
      </c>
      <c r="HG49" s="56">
        <f t="shared" ref="HG49:HR49" si="1573">HG50+HG52</f>
        <v>244.98604383644829</v>
      </c>
      <c r="HH49" s="56">
        <f t="shared" si="1573"/>
        <v>127.60695977706841</v>
      </c>
      <c r="HI49" s="56">
        <f t="shared" si="1573"/>
        <v>320.31982117636682</v>
      </c>
      <c r="HJ49" s="56">
        <f t="shared" si="1573"/>
        <v>166.11089041747118</v>
      </c>
      <c r="HK49" s="56">
        <f t="shared" si="1573"/>
        <v>311.17560459243111</v>
      </c>
      <c r="HL49" s="56">
        <f t="shared" si="1573"/>
        <v>161.43717971901523</v>
      </c>
      <c r="HM49" s="56">
        <f t="shared" si="1573"/>
        <v>260.14856785402907</v>
      </c>
      <c r="HN49" s="56">
        <f t="shared" si="1573"/>
        <v>134.84816639654036</v>
      </c>
      <c r="HO49" s="56">
        <f t="shared" si="1573"/>
        <v>234.66735716063786</v>
      </c>
      <c r="HP49" s="56">
        <f t="shared" si="1573"/>
        <v>121.49984422377464</v>
      </c>
      <c r="HQ49" s="56">
        <f t="shared" si="1573"/>
        <v>433.24807445293084</v>
      </c>
      <c r="HR49" s="56">
        <f t="shared" si="1573"/>
        <v>224.12875926363105</v>
      </c>
      <c r="HS49" s="56">
        <f>HS50+HS52+HS51</f>
        <v>10.392680304681264</v>
      </c>
      <c r="HT49" s="56">
        <f>HT50+HT52+HT51</f>
        <v>6.7999278069805937</v>
      </c>
      <c r="HU49" s="56">
        <f t="shared" ref="HU49:HV49" si="1574">HU50+HU52</f>
        <v>341.70424450646499</v>
      </c>
      <c r="HV49" s="56">
        <f t="shared" si="1574"/>
        <v>174.6488360810821</v>
      </c>
      <c r="HY49" s="343" t="s">
        <v>57</v>
      </c>
      <c r="HZ49" s="340">
        <f t="shared" ref="HZ49:IK49" si="1575">HZ50+HZ52</f>
        <v>8.3104700347988031E-2</v>
      </c>
      <c r="IA49" s="340">
        <f t="shared" si="1575"/>
        <v>5.5139052912554401E-2</v>
      </c>
      <c r="IB49" s="340">
        <f t="shared" si="1575"/>
        <v>0.10103437657790051</v>
      </c>
      <c r="IC49" s="340">
        <f t="shared" si="1575"/>
        <v>6.4303109652287443E-2</v>
      </c>
      <c r="ID49" s="340">
        <f t="shared" si="1575"/>
        <v>9.8858024236156375E-2</v>
      </c>
      <c r="IE49" s="340">
        <f t="shared" si="1575"/>
        <v>6.3190751788729349E-2</v>
      </c>
      <c r="IF49" s="340">
        <f t="shared" si="1575"/>
        <v>8.0871390751957914E-2</v>
      </c>
      <c r="IG49" s="340">
        <f t="shared" si="1575"/>
        <v>5.1026859750366679E-2</v>
      </c>
      <c r="IH49" s="340">
        <f t="shared" si="1575"/>
        <v>7.1077821904830155E-2</v>
      </c>
      <c r="II49" s="340">
        <f t="shared" si="1575"/>
        <v>4.412505120595165E-2</v>
      </c>
      <c r="IJ49" s="340">
        <f t="shared" si="1575"/>
        <v>0.1310113127721895</v>
      </c>
      <c r="IK49" s="340">
        <f t="shared" si="1575"/>
        <v>8.1207569465649679E-2</v>
      </c>
      <c r="IL49" s="340">
        <f>IL50+IL52+IL51</f>
        <v>1.8592227369059192E-2</v>
      </c>
      <c r="IM49" s="340">
        <f>IM50+IM52+IM51</f>
        <v>1.2753610769314826E-2</v>
      </c>
      <c r="IN49" s="340">
        <f>IN50+IN52</f>
        <v>0.20709761546208821</v>
      </c>
      <c r="IO49" s="340">
        <f t="shared" ref="IO49" si="1576">IO50+IO52</f>
        <v>0.10584989234728952</v>
      </c>
      <c r="IR49" s="343" t="s">
        <v>57</v>
      </c>
      <c r="IS49" s="340">
        <f t="shared" ref="IS49:JD49" si="1577">IS50+IS52</f>
        <v>3.193497030084417</v>
      </c>
      <c r="IT49" s="340">
        <f t="shared" si="1577"/>
        <v>2.7588416340353978</v>
      </c>
      <c r="IU49" s="340">
        <f t="shared" si="1577"/>
        <v>3.4614945707410576</v>
      </c>
      <c r="IV49" s="340">
        <f t="shared" si="1577"/>
        <v>2.8958181548154585</v>
      </c>
      <c r="IW49" s="340">
        <f t="shared" si="1577"/>
        <v>3.4289643081913814</v>
      </c>
      <c r="IX49" s="340">
        <f t="shared" si="1577"/>
        <v>2.8791915761789579</v>
      </c>
      <c r="IY49" s="340">
        <f t="shared" si="1577"/>
        <v>2.7319280827158758</v>
      </c>
      <c r="IZ49" s="340">
        <f t="shared" si="1577"/>
        <v>2.2728644210513624</v>
      </c>
      <c r="JA49" s="340">
        <f t="shared" si="1577"/>
        <v>2.3122310850249992</v>
      </c>
      <c r="JB49" s="340">
        <f t="shared" si="1577"/>
        <v>1.8987371783336346</v>
      </c>
      <c r="JC49" s="340">
        <f t="shared" si="1577"/>
        <v>4.1534791374134397</v>
      </c>
      <c r="JD49" s="340">
        <f t="shared" si="1577"/>
        <v>3.3903253828914863</v>
      </c>
      <c r="JE49" s="340">
        <f>JE50+JE52+JE51</f>
        <v>2.2929695583256793</v>
      </c>
      <c r="JF49" s="340">
        <f>JF50+JF52+JF51</f>
        <v>1.6478220837619741</v>
      </c>
      <c r="JG49" s="340">
        <f t="shared" ref="JG49:JH49" si="1578">JG50+JG52</f>
        <v>18.397704267806656</v>
      </c>
      <c r="JH49" s="340">
        <f t="shared" si="1578"/>
        <v>9.4032710702122895</v>
      </c>
      <c r="JK49" s="343" t="s">
        <v>57</v>
      </c>
      <c r="JL49" s="340">
        <f t="shared" ref="JL49:JW49" si="1579">JL50+JL52</f>
        <v>0.48493845041793049</v>
      </c>
      <c r="JM49" s="340">
        <f t="shared" si="1579"/>
        <v>0.34988665539052977</v>
      </c>
      <c r="JN49" s="340">
        <f t="shared" si="1579"/>
        <v>0.57143718038250146</v>
      </c>
      <c r="JO49" s="340">
        <f t="shared" si="1579"/>
        <v>0.39409711737242159</v>
      </c>
      <c r="JP49" s="340">
        <f t="shared" si="1579"/>
        <v>0.5609377318089559</v>
      </c>
      <c r="JQ49" s="340">
        <f t="shared" si="1579"/>
        <v>0.38873073254594287</v>
      </c>
      <c r="JR49" s="340">
        <f t="shared" si="1579"/>
        <v>0.47394607613817147</v>
      </c>
      <c r="JS49" s="340">
        <f t="shared" si="1579"/>
        <v>0.32985999051997744</v>
      </c>
      <c r="JT49" s="340">
        <f t="shared" si="1579"/>
        <v>0.42655939662723641</v>
      </c>
      <c r="JU49" s="340">
        <f t="shared" si="1579"/>
        <v>0.29644331918497357</v>
      </c>
      <c r="JV49" s="340">
        <f t="shared" si="1579"/>
        <v>0.72655761702765176</v>
      </c>
      <c r="JW49" s="340">
        <f t="shared" si="1579"/>
        <v>0.48613454924928029</v>
      </c>
      <c r="JX49" s="340">
        <f>JX50+JX52+JX51</f>
        <v>0.2550060702106991</v>
      </c>
      <c r="JY49" s="340">
        <f>JY50+JY52+JY51</f>
        <v>0.19690922768055896</v>
      </c>
      <c r="JZ49" s="340">
        <f t="shared" ref="JZ49:KA49" si="1580">JZ50+JZ52</f>
        <v>4.6288560936007146</v>
      </c>
      <c r="KA49" s="340">
        <f t="shared" si="1580"/>
        <v>2.365859781173699</v>
      </c>
      <c r="KD49" s="343" t="s">
        <v>57</v>
      </c>
      <c r="KE49" s="340">
        <f t="shared" ref="KE49:KP49" si="1581">KE50+KE52</f>
        <v>0.61015901492056623</v>
      </c>
      <c r="KF49" s="340">
        <f t="shared" si="1581"/>
        <v>0.36726635645593886</v>
      </c>
      <c r="KG49" s="340">
        <f t="shared" si="1581"/>
        <v>0.76582372391600995</v>
      </c>
      <c r="KH49" s="340">
        <f t="shared" si="1581"/>
        <v>0.44682831883138763</v>
      </c>
      <c r="KI49" s="340">
        <f t="shared" si="1581"/>
        <v>0.74692872271214217</v>
      </c>
      <c r="KJ49" s="340">
        <f t="shared" si="1581"/>
        <v>0.43717087377163327</v>
      </c>
      <c r="KK49" s="340">
        <f t="shared" si="1581"/>
        <v>0.64299004885591737</v>
      </c>
      <c r="KL49" s="340">
        <f t="shared" si="1581"/>
        <v>0.38380620924419917</v>
      </c>
      <c r="KM49" s="340">
        <f t="shared" si="1581"/>
        <v>0.59129494515734293</v>
      </c>
      <c r="KN49" s="340">
        <f t="shared" si="1581"/>
        <v>0.35723078643124406</v>
      </c>
      <c r="KO49" s="340">
        <f t="shared" si="1581"/>
        <v>1.0121631762536083</v>
      </c>
      <c r="KP49" s="340">
        <f t="shared" si="1581"/>
        <v>0.57966106307433873</v>
      </c>
      <c r="KQ49" s="340">
        <f>KQ50+KQ52+KQ51</f>
        <v>0.13635118844324218</v>
      </c>
      <c r="KR49" s="340">
        <f>KR50+KR52+KR51</f>
        <v>0.10103179667010406</v>
      </c>
      <c r="KS49" s="340">
        <f t="shared" ref="KS49:KT49" si="1582">KS50+KS52</f>
        <v>2.1850037057838665</v>
      </c>
      <c r="KT49" s="340">
        <f t="shared" si="1582"/>
        <v>1.1167796718450875</v>
      </c>
      <c r="KW49" s="343" t="s">
        <v>57</v>
      </c>
      <c r="KX49" s="340">
        <f t="shared" ref="KX49:LI49" si="1583">KX50+KX52</f>
        <v>20.399142787247637</v>
      </c>
      <c r="KY49" s="340">
        <f t="shared" si="1583"/>
        <v>10.726226918715041</v>
      </c>
      <c r="KZ49" s="340">
        <f t="shared" si="1583"/>
        <v>26.607165867874279</v>
      </c>
      <c r="LA49" s="340">
        <f t="shared" si="1583"/>
        <v>13.899216493257539</v>
      </c>
      <c r="LB49" s="340">
        <f t="shared" si="1583"/>
        <v>25.853619323258872</v>
      </c>
      <c r="LC49" s="340">
        <f t="shared" si="1583"/>
        <v>13.514070481565229</v>
      </c>
      <c r="LD49" s="340">
        <f t="shared" si="1583"/>
        <v>21.629445753142715</v>
      </c>
      <c r="LE49" s="340">
        <f t="shared" si="1583"/>
        <v>11.303773990695364</v>
      </c>
      <c r="LF49" s="340">
        <f t="shared" si="1583"/>
        <v>19.5173669039925</v>
      </c>
      <c r="LG49" s="340">
        <f t="shared" si="1583"/>
        <v>10.191538654891321</v>
      </c>
      <c r="LH49" s="340">
        <f t="shared" si="1583"/>
        <v>35.939558466282847</v>
      </c>
      <c r="LI49" s="340">
        <f t="shared" si="1583"/>
        <v>18.706605841431589</v>
      </c>
      <c r="LJ49" s="340">
        <f>LJ50+LJ52+LJ51</f>
        <v>0.82084059466540038</v>
      </c>
      <c r="LK49" s="340">
        <f>LK50+LK52+LK51</f>
        <v>0.47118703615562052</v>
      </c>
      <c r="LL49" s="340">
        <f t="shared" ref="LL49:LM49" si="1584">LL50+LL52</f>
        <v>25.476489312357749</v>
      </c>
      <c r="LM49" s="340">
        <f t="shared" si="1584"/>
        <v>13.021316759649515</v>
      </c>
      <c r="LP49" s="343" t="s">
        <v>57</v>
      </c>
      <c r="LQ49" s="340">
        <f t="shared" ref="LQ49:MB49" si="1585">LQ50+LQ52</f>
        <v>4.751812877417159E-4</v>
      </c>
      <c r="LR49" s="340">
        <f t="shared" si="1585"/>
        <v>2.9912317559079618E-4</v>
      </c>
      <c r="LS49" s="340">
        <f t="shared" si="1585"/>
        <v>5.8792668116271598E-4</v>
      </c>
      <c r="LT49" s="340">
        <f t="shared" si="1585"/>
        <v>3.5674859889486279E-4</v>
      </c>
      <c r="LU49" s="340">
        <f t="shared" si="1585"/>
        <v>5.7424134196047791E-4</v>
      </c>
      <c r="LV49" s="340">
        <f t="shared" si="1585"/>
        <v>3.4975386996927453E-4</v>
      </c>
      <c r="LW49" s="340">
        <f t="shared" si="1585"/>
        <v>4.7846327394856201E-4</v>
      </c>
      <c r="LX49" s="340">
        <f t="shared" si="1585"/>
        <v>2.9063552017220996E-4</v>
      </c>
      <c r="LY49" s="340">
        <f t="shared" si="1585"/>
        <v>4.2793817208423385E-4</v>
      </c>
      <c r="LZ49" s="340">
        <f t="shared" si="1585"/>
        <v>2.5832320792012765E-4</v>
      </c>
      <c r="MA49" s="340">
        <f t="shared" si="1585"/>
        <v>7.7050294387858809E-4</v>
      </c>
      <c r="MB49" s="340">
        <f t="shared" si="1585"/>
        <v>4.5709694784832629E-4</v>
      </c>
      <c r="MC49" s="340">
        <f>MC50+MC52+MC51</f>
        <v>2.5324052253478867E-4</v>
      </c>
      <c r="MD49" s="340">
        <f>MD50+MD52+MD51</f>
        <v>1.791705268712236E-4</v>
      </c>
      <c r="ME49" s="340">
        <f t="shared" ref="ME49:MF49" si="1586">ME50+ME52</f>
        <v>3.3997894393761038E-2</v>
      </c>
      <c r="MF49" s="340">
        <f t="shared" si="1586"/>
        <v>1.737670157903342E-2</v>
      </c>
      <c r="MI49" s="343" t="s">
        <v>57</v>
      </c>
      <c r="MJ49" s="340">
        <f t="shared" ref="MJ49:MU49" si="1587">MJ50+MJ52</f>
        <v>5.4658525546300754E-2</v>
      </c>
      <c r="MK49" s="340">
        <f t="shared" si="1587"/>
        <v>3.9812871596396182E-2</v>
      </c>
      <c r="ML49" s="340">
        <f t="shared" si="1587"/>
        <v>6.4152603043753517E-2</v>
      </c>
      <c r="MM49" s="340">
        <f t="shared" si="1587"/>
        <v>4.4665400095094253E-2</v>
      </c>
      <c r="MN49" s="340">
        <f t="shared" si="1587"/>
        <v>6.3000186372681122E-2</v>
      </c>
      <c r="MO49" s="340">
        <f t="shared" si="1587"/>
        <v>4.4076387129879491E-2</v>
      </c>
      <c r="MP49" s="340">
        <f t="shared" si="1587"/>
        <v>5.133316458397269E-2</v>
      </c>
      <c r="MQ49" s="340">
        <f t="shared" si="1587"/>
        <v>3.5500855870171967E-2</v>
      </c>
      <c r="MR49" s="340">
        <f t="shared" si="1587"/>
        <v>4.4779563661003219E-2</v>
      </c>
      <c r="MS49" s="340">
        <f t="shared" si="1587"/>
        <v>3.0483756690916016E-2</v>
      </c>
      <c r="MT49" s="340">
        <f t="shared" si="1587"/>
        <v>8.1357557082077508E-2</v>
      </c>
      <c r="MU49" s="340">
        <f t="shared" si="1587"/>
        <v>5.4943579754329064E-2</v>
      </c>
      <c r="MV49" s="340">
        <f>MV50+MV52+MV51</f>
        <v>2.509428519312621E-2</v>
      </c>
      <c r="MW49" s="340">
        <f>MW50+MW52+MW51</f>
        <v>1.7244443374215688E-2</v>
      </c>
      <c r="MX49" s="340">
        <f t="shared" ref="MX49:MY49" si="1588">MX50+MX52</f>
        <v>0.24682262541236666</v>
      </c>
      <c r="MY49" s="340">
        <f t="shared" si="1588"/>
        <v>0.12615378632187629</v>
      </c>
      <c r="NB49" s="343" t="s">
        <v>57</v>
      </c>
      <c r="NC49" s="340">
        <f t="shared" ref="NC49:NN49" si="1589">NC50+NC52</f>
        <v>5.3283976970914811E-2</v>
      </c>
      <c r="ND49" s="340">
        <f t="shared" si="1589"/>
        <v>3.8779990338886593E-2</v>
      </c>
      <c r="NE49" s="340">
        <f t="shared" si="1589"/>
        <v>6.2564038055470089E-2</v>
      </c>
      <c r="NF49" s="340">
        <f t="shared" si="1589"/>
        <v>4.3523132670992615E-2</v>
      </c>
      <c r="NG49" s="340">
        <f t="shared" si="1589"/>
        <v>6.1437599272420235E-2</v>
      </c>
      <c r="NH49" s="340">
        <f t="shared" si="1589"/>
        <v>4.2947397292989367E-2</v>
      </c>
      <c r="NI49" s="340">
        <f t="shared" si="1589"/>
        <v>5.0066922433631943E-2</v>
      </c>
      <c r="NJ49" s="340">
        <f t="shared" si="1589"/>
        <v>3.4596973505184397E-2</v>
      </c>
      <c r="NK49" s="340">
        <f t="shared" si="1589"/>
        <v>4.3682337980173729E-2</v>
      </c>
      <c r="NL49" s="340">
        <f t="shared" si="1589"/>
        <v>2.9713266229079834E-2</v>
      </c>
      <c r="NM49" s="340">
        <f t="shared" si="1589"/>
        <v>7.9363352505402052E-2</v>
      </c>
      <c r="NN49" s="340">
        <f t="shared" si="1589"/>
        <v>5.355269365351023E-2</v>
      </c>
      <c r="NO49" s="340">
        <f>NO50+NO52+NO51</f>
        <v>2.4603796245487228E-2</v>
      </c>
      <c r="NP49" s="340">
        <f>NP50+NP52+NP51</f>
        <v>1.6899264980811728E-2</v>
      </c>
      <c r="NQ49" s="340">
        <f t="shared" ref="NQ49:NR49" si="1590">NQ50+NQ52</f>
        <v>0.24052241140492603</v>
      </c>
      <c r="NR49" s="340">
        <f t="shared" si="1590"/>
        <v>0.12293367694029553</v>
      </c>
    </row>
    <row r="50" spans="2:382" ht="12.75" customHeight="1" x14ac:dyDescent="0.2">
      <c r="B50" s="734"/>
      <c r="C50" s="123" t="s">
        <v>219</v>
      </c>
      <c r="D50" s="121">
        <f>'Cell parameters'!D109/1000</f>
        <v>0.41086478374004631</v>
      </c>
      <c r="E50" s="116">
        <f>'Cell parameters'!E109/1000</f>
        <v>0.20999755613380142</v>
      </c>
      <c r="F50" s="121">
        <f>'Cell parameters'!F109/1000</f>
        <v>0.53979033367829687</v>
      </c>
      <c r="G50" s="116">
        <f>'Cell parameters'!G109/1000</f>
        <v>0.27589283721335156</v>
      </c>
      <c r="H50" s="121">
        <f>'Cell parameters'!H109/1000</f>
        <v>0.52414100354423376</v>
      </c>
      <c r="I50" s="116">
        <f>'Cell parameters'!I109/1000</f>
        <v>0.26789429070038617</v>
      </c>
      <c r="J50" s="121">
        <f>'Cell parameters'!J109/1000</f>
        <v>0.4386003798359136</v>
      </c>
      <c r="K50" s="116">
        <f>'Cell parameters'!K109/1000</f>
        <v>0.22417352747168917</v>
      </c>
      <c r="L50" s="121">
        <f>'Cell parameters'!L109/1000</f>
        <v>0.39613244046013096</v>
      </c>
      <c r="M50" s="116">
        <f>'Cell parameters'!M109/1000</f>
        <v>0.20246769179073362</v>
      </c>
      <c r="N50" s="121">
        <f>'Cell parameters'!N109/1000</f>
        <v>0.73200446566313548</v>
      </c>
      <c r="O50" s="116">
        <f>'Cell parameters'!O109/1000</f>
        <v>0.37413561578338028</v>
      </c>
      <c r="P50" s="193"/>
      <c r="Q50" s="194"/>
      <c r="R50" s="121">
        <f>'Cell parameters'!R109/1000</f>
        <v>0.38542615828553284</v>
      </c>
      <c r="S50" s="116">
        <f>'Cell parameters'!S109/1000</f>
        <v>0.19699559201260566</v>
      </c>
      <c r="T50" s="318"/>
      <c r="U50" s="119"/>
      <c r="V50" s="123" t="s">
        <v>219</v>
      </c>
      <c r="W50" s="96">
        <f>'Ecoinvent 3.10'!M32</f>
        <v>37.380268316087218</v>
      </c>
      <c r="X50" s="96">
        <f>'Ecoinvent 3.10'!N32</f>
        <v>9.0898000000000003</v>
      </c>
      <c r="Y50" s="96">
        <f>'Ecoinvent 3.10'!O32</f>
        <v>1081.2</v>
      </c>
      <c r="Z50" s="96">
        <f>'Ecoinvent 3.10'!P32</f>
        <v>0.43131999999999998</v>
      </c>
      <c r="AA50" s="96">
        <f>'Ecoinvent 3.10'!Q32</f>
        <v>1.9114</v>
      </c>
      <c r="AB50" s="96">
        <f>'Ecoinvent 3.10'!R32</f>
        <v>0.15271000000000001</v>
      </c>
      <c r="AC50" s="96">
        <f>'Ecoinvent 3.10'!S32</f>
        <v>4.6273000000000002E-2</v>
      </c>
      <c r="AD50" s="96">
        <f>'Ecoinvent 3.10'!T32</f>
        <v>38.341999999999999</v>
      </c>
      <c r="AE50" s="96">
        <f>'Ecoinvent 3.10'!U32</f>
        <v>9.9222000000000001</v>
      </c>
      <c r="AF50" s="96">
        <f>'Ecoinvent 3.10'!V32</f>
        <v>584.32000000000005</v>
      </c>
      <c r="AG50" s="327">
        <f>'Ecoinvent 3.10'!W32</f>
        <v>0.13907</v>
      </c>
      <c r="AH50" s="327">
        <f>'Ecoinvent 3.10'!X32</f>
        <v>2.0787</v>
      </c>
      <c r="AI50" s="327">
        <f>'Ecoinvent 3.10'!Y32</f>
        <v>0.67091999999999996</v>
      </c>
      <c r="AJ50" s="327">
        <f>'Ecoinvent 3.10'!Z32</f>
        <v>1.2074</v>
      </c>
      <c r="AK50" s="327">
        <f>'Ecoinvent 3.10'!AA32</f>
        <v>48.152000000000001</v>
      </c>
      <c r="AL50" s="327">
        <f>'Ecoinvent 3.10'!AB32</f>
        <v>8.7449999999999995E-4</v>
      </c>
      <c r="AM50" s="327">
        <f>'Ecoinvent 3.10'!AC32</f>
        <v>7.3639999999999997E-2</v>
      </c>
      <c r="AN50" s="327">
        <f>'Ecoinvent 3.10'!AD32</f>
        <v>7.1980000000000002E-2</v>
      </c>
      <c r="AO50" s="119"/>
      <c r="AP50" s="8"/>
      <c r="AQ50" s="123" t="s">
        <v>219</v>
      </c>
      <c r="AR50" s="49">
        <f t="shared" ref="AR50:BC50" si="1591">D50*$W50</f>
        <v>15.35823585783408</v>
      </c>
      <c r="AS50" s="50">
        <f t="shared" si="1591"/>
        <v>7.8497649940040839</v>
      </c>
      <c r="AT50" s="49">
        <f t="shared" si="1591"/>
        <v>20.177507507324989</v>
      </c>
      <c r="AU50" s="50">
        <f t="shared" si="1591"/>
        <v>10.312948281521654</v>
      </c>
      <c r="AV50" s="49">
        <f t="shared" si="1591"/>
        <v>19.592531347946679</v>
      </c>
      <c r="AW50" s="50">
        <f t="shared" si="1591"/>
        <v>10.013960466728303</v>
      </c>
      <c r="AX50" s="49">
        <f t="shared" si="1591"/>
        <v>16.394999881804221</v>
      </c>
      <c r="AY50" s="50">
        <f t="shared" si="1591"/>
        <v>8.3796666062554905</v>
      </c>
      <c r="AZ50" s="49">
        <f t="shared" si="1591"/>
        <v>14.807536913106139</v>
      </c>
      <c r="BA50" s="50">
        <f t="shared" si="1591"/>
        <v>7.5682966444764723</v>
      </c>
      <c r="BB50" s="49">
        <f t="shared" si="1591"/>
        <v>27.362523335062058</v>
      </c>
      <c r="BC50" s="50">
        <f t="shared" si="1591"/>
        <v>13.98528970458727</v>
      </c>
      <c r="BD50" s="49">
        <f t="shared" ref="BD50" si="1592">P50*$W50</f>
        <v>0</v>
      </c>
      <c r="BE50" s="50">
        <f t="shared" ref="BE50" si="1593">Q50*$W50</f>
        <v>0</v>
      </c>
      <c r="BF50" s="49">
        <f t="shared" ref="BF50" si="1594">R50*$W50</f>
        <v>14.40733321275192</v>
      </c>
      <c r="BG50" s="50">
        <f t="shared" ref="BG50" si="1595">S50*$W50</f>
        <v>7.3637480865176475</v>
      </c>
      <c r="BI50" s="156"/>
      <c r="BJ50" s="123" t="s">
        <v>219</v>
      </c>
      <c r="BK50" s="49">
        <f t="shared" ref="BK50:BZ51" si="1596">D50*$X50</f>
        <v>3.7346787112402731</v>
      </c>
      <c r="BL50" s="49">
        <f t="shared" si="1596"/>
        <v>1.9088357857450282</v>
      </c>
      <c r="BM50" s="49">
        <f t="shared" si="1596"/>
        <v>4.9065861750689832</v>
      </c>
      <c r="BN50" s="49">
        <f t="shared" si="1596"/>
        <v>2.5078107117019233</v>
      </c>
      <c r="BO50" s="49">
        <f t="shared" si="1596"/>
        <v>4.7643368940163766</v>
      </c>
      <c r="BP50" s="49">
        <f t="shared" si="1596"/>
        <v>2.4351055236083705</v>
      </c>
      <c r="BQ50" s="49">
        <f t="shared" si="1596"/>
        <v>3.9867897326324875</v>
      </c>
      <c r="BR50" s="49">
        <f t="shared" si="1596"/>
        <v>2.0376925300121602</v>
      </c>
      <c r="BS50" s="49">
        <f t="shared" si="1596"/>
        <v>3.6007646572944987</v>
      </c>
      <c r="BT50" s="49">
        <f t="shared" si="1596"/>
        <v>1.8403908248394105</v>
      </c>
      <c r="BU50" s="49">
        <f t="shared" si="1596"/>
        <v>6.6537741919847688</v>
      </c>
      <c r="BV50" s="49">
        <f t="shared" si="1596"/>
        <v>3.4008179203477704</v>
      </c>
      <c r="BW50" s="49">
        <f t="shared" si="1596"/>
        <v>0</v>
      </c>
      <c r="BX50" s="49">
        <f>Q50*$X50</f>
        <v>0</v>
      </c>
      <c r="BY50" s="49">
        <f t="shared" si="1596"/>
        <v>3.5034466935838364</v>
      </c>
      <c r="BZ50" s="49">
        <f t="shared" si="1596"/>
        <v>1.790650532276183</v>
      </c>
      <c r="CA50" s="156"/>
      <c r="CB50" s="156"/>
      <c r="CC50" s="123" t="s">
        <v>219</v>
      </c>
      <c r="CD50" s="49">
        <f t="shared" ref="CD50:CS51" si="1597">D50*$Y50</f>
        <v>444.22700417973812</v>
      </c>
      <c r="CE50" s="49">
        <f t="shared" si="1597"/>
        <v>227.04935769186611</v>
      </c>
      <c r="CF50" s="49">
        <f t="shared" si="1597"/>
        <v>583.62130877297466</v>
      </c>
      <c r="CG50" s="49">
        <f t="shared" si="1597"/>
        <v>298.2953355950757</v>
      </c>
      <c r="CH50" s="49">
        <f t="shared" si="1597"/>
        <v>566.70125303202553</v>
      </c>
      <c r="CI50" s="49">
        <f t="shared" si="1597"/>
        <v>289.64730710525754</v>
      </c>
      <c r="CJ50" s="49">
        <f t="shared" si="1597"/>
        <v>474.21473067858983</v>
      </c>
      <c r="CK50" s="49">
        <f t="shared" si="1597"/>
        <v>242.37641790239033</v>
      </c>
      <c r="CL50" s="49">
        <f t="shared" si="1597"/>
        <v>428.29839462549364</v>
      </c>
      <c r="CM50" s="49">
        <f t="shared" si="1597"/>
        <v>218.9080683641412</v>
      </c>
      <c r="CN50" s="49">
        <f t="shared" si="1597"/>
        <v>791.44322827498218</v>
      </c>
      <c r="CO50" s="220">
        <f t="shared" si="1597"/>
        <v>404.51542778499078</v>
      </c>
      <c r="CP50" s="49">
        <f t="shared" si="1597"/>
        <v>0</v>
      </c>
      <c r="CQ50" s="49">
        <f t="shared" si="1597"/>
        <v>0</v>
      </c>
      <c r="CR50" s="49">
        <f t="shared" si="1597"/>
        <v>416.72276233831815</v>
      </c>
      <c r="CS50" s="220">
        <f t="shared" si="1597"/>
        <v>212.99163408402924</v>
      </c>
      <c r="CV50" s="123" t="s">
        <v>219</v>
      </c>
      <c r="CW50" s="49">
        <f t="shared" ref="CW50:DL51" si="1598">D50*$Z50</f>
        <v>0.17721419852275677</v>
      </c>
      <c r="CX50" s="49">
        <f t="shared" si="1598"/>
        <v>9.0576145911631226E-2</v>
      </c>
      <c r="CY50" s="49">
        <f t="shared" si="1598"/>
        <v>0.232822366722123</v>
      </c>
      <c r="CZ50" s="49">
        <f t="shared" si="1598"/>
        <v>0.11899809854686279</v>
      </c>
      <c r="DA50" s="49">
        <f t="shared" si="1598"/>
        <v>0.22607249764869888</v>
      </c>
      <c r="DB50" s="49">
        <f t="shared" si="1598"/>
        <v>0.11554816546489056</v>
      </c>
      <c r="DC50" s="49">
        <f t="shared" si="1598"/>
        <v>0.18917711583082625</v>
      </c>
      <c r="DD50" s="49">
        <f t="shared" si="1598"/>
        <v>9.6690525869088967E-2</v>
      </c>
      <c r="DE50" s="49">
        <f t="shared" si="1598"/>
        <v>0.17085984421926367</v>
      </c>
      <c r="DF50" s="49">
        <f t="shared" si="1598"/>
        <v>8.7328364823179225E-2</v>
      </c>
      <c r="DG50" s="49">
        <f t="shared" si="1598"/>
        <v>0.31572816612982357</v>
      </c>
      <c r="DH50" s="49">
        <f t="shared" si="1598"/>
        <v>0.16137217379968757</v>
      </c>
      <c r="DI50" s="49">
        <f t="shared" si="1598"/>
        <v>0</v>
      </c>
      <c r="DJ50" s="49">
        <f t="shared" si="1598"/>
        <v>0</v>
      </c>
      <c r="DK50" s="49">
        <f t="shared" si="1598"/>
        <v>0.16624201059171601</v>
      </c>
      <c r="DL50" s="49">
        <f t="shared" si="1598"/>
        <v>8.4968138746877073E-2</v>
      </c>
      <c r="DO50" s="123" t="s">
        <v>219</v>
      </c>
      <c r="DP50" s="49">
        <f t="shared" ref="DP50:EE51" si="1599">D50*$AA50</f>
        <v>0.78532694764072453</v>
      </c>
      <c r="DQ50" s="49">
        <f t="shared" si="1599"/>
        <v>0.40138932879414801</v>
      </c>
      <c r="DR50" s="49">
        <f t="shared" si="1599"/>
        <v>1.0317552437926967</v>
      </c>
      <c r="DS50" s="49">
        <f t="shared" si="1599"/>
        <v>0.52734156904960017</v>
      </c>
      <c r="DT50" s="49">
        <f t="shared" si="1599"/>
        <v>1.0018431141744484</v>
      </c>
      <c r="DU50" s="49">
        <f t="shared" si="1599"/>
        <v>0.51205314724471818</v>
      </c>
      <c r="DV50" s="49">
        <f t="shared" si="1599"/>
        <v>0.83834076601836527</v>
      </c>
      <c r="DW50" s="49">
        <f t="shared" si="1599"/>
        <v>0.42848528040938666</v>
      </c>
      <c r="DX50" s="49">
        <f t="shared" si="1599"/>
        <v>0.75716754669549435</v>
      </c>
      <c r="DY50" s="49">
        <f t="shared" si="1599"/>
        <v>0.38699674608880824</v>
      </c>
      <c r="DZ50" s="49">
        <f t="shared" si="1599"/>
        <v>1.3991533356685171</v>
      </c>
      <c r="EA50" s="49">
        <f t="shared" si="1599"/>
        <v>0.71512281600835303</v>
      </c>
      <c r="EB50" s="49">
        <f t="shared" si="1599"/>
        <v>0</v>
      </c>
      <c r="EC50" s="49">
        <f t="shared" si="1599"/>
        <v>0</v>
      </c>
      <c r="ED50" s="49">
        <f t="shared" si="1599"/>
        <v>0.73670355894696748</v>
      </c>
      <c r="EE50" s="49">
        <f t="shared" si="1599"/>
        <v>0.37653737457289449</v>
      </c>
      <c r="EH50" s="123" t="s">
        <v>219</v>
      </c>
      <c r="EI50" s="49">
        <f t="shared" ref="EI50:ET50" si="1600">D50*$AB50</f>
        <v>6.2743161124942479E-2</v>
      </c>
      <c r="EJ50" s="49">
        <f t="shared" si="1600"/>
        <v>3.2068726797192817E-2</v>
      </c>
      <c r="EK50" s="49">
        <f t="shared" si="1600"/>
        <v>8.2431381856012717E-2</v>
      </c>
      <c r="EL50" s="49">
        <f t="shared" si="1600"/>
        <v>4.2131595170850918E-2</v>
      </c>
      <c r="EM50" s="49">
        <f t="shared" si="1600"/>
        <v>8.0041572651239942E-2</v>
      </c>
      <c r="EN50" s="49">
        <f t="shared" si="1600"/>
        <v>4.0910137132855975E-2</v>
      </c>
      <c r="EO50" s="49">
        <f t="shared" si="1600"/>
        <v>6.6978664004742366E-2</v>
      </c>
      <c r="EP50" s="49">
        <f t="shared" si="1600"/>
        <v>3.4233539380201655E-2</v>
      </c>
      <c r="EQ50" s="49">
        <f t="shared" si="1600"/>
        <v>6.0493384982666605E-2</v>
      </c>
      <c r="ER50" s="49">
        <f t="shared" si="1600"/>
        <v>3.0918841213362934E-2</v>
      </c>
      <c r="ES50" s="49">
        <f t="shared" si="1600"/>
        <v>0.11178440195141742</v>
      </c>
      <c r="ET50" s="49">
        <f t="shared" si="1600"/>
        <v>5.7134249886280006E-2</v>
      </c>
      <c r="EU50" s="49">
        <f t="shared" ref="EU50" si="1601">P50*$AB50</f>
        <v>0</v>
      </c>
      <c r="EV50" s="49">
        <f t="shared" ref="EV50" si="1602">Q50*$AB50</f>
        <v>0</v>
      </c>
      <c r="EW50" s="49">
        <f t="shared" ref="EW50" si="1603">R50*$AB50</f>
        <v>5.8858428631783727E-2</v>
      </c>
      <c r="EX50" s="49">
        <f t="shared" ref="EX50" si="1604">S50*$AB50</f>
        <v>3.0083196856245012E-2</v>
      </c>
      <c r="FA50" s="123" t="s">
        <v>219</v>
      </c>
      <c r="FB50" s="53">
        <f t="shared" ref="FB50:FM50" si="1605">D50*$AC50</f>
        <v>1.9011946138003163E-2</v>
      </c>
      <c r="FC50" s="53">
        <f t="shared" si="1605"/>
        <v>9.7172169149793933E-3</v>
      </c>
      <c r="FD50" s="53">
        <f t="shared" si="1605"/>
        <v>2.4977718110295831E-2</v>
      </c>
      <c r="FE50" s="53">
        <f t="shared" si="1605"/>
        <v>1.2766389256373417E-2</v>
      </c>
      <c r="FF50" s="53">
        <f t="shared" si="1605"/>
        <v>2.425357665700233E-2</v>
      </c>
      <c r="FG50" s="53">
        <f t="shared" si="1605"/>
        <v>1.2396272513578969E-2</v>
      </c>
      <c r="FH50" s="53">
        <f t="shared" si="1605"/>
        <v>2.0295355376147232E-2</v>
      </c>
      <c r="FI50" s="53">
        <f t="shared" si="1605"/>
        <v>1.0373181636697473E-2</v>
      </c>
      <c r="FJ50" s="53">
        <f t="shared" si="1605"/>
        <v>1.833023641741164E-2</v>
      </c>
      <c r="FK50" s="53">
        <f t="shared" si="1605"/>
        <v>9.3687875022326166E-3</v>
      </c>
      <c r="FL50" s="53">
        <f t="shared" si="1605"/>
        <v>3.387204263963027E-2</v>
      </c>
      <c r="FM50" s="53">
        <f t="shared" si="1605"/>
        <v>1.7312377349144356E-2</v>
      </c>
      <c r="FN50" s="53">
        <f t="shared" ref="FN50" si="1606">P50*$AC50</f>
        <v>0</v>
      </c>
      <c r="FO50" s="53">
        <f t="shared" ref="FO50" si="1607">Q50*$AC50</f>
        <v>0</v>
      </c>
      <c r="FP50" s="53">
        <f t="shared" ref="FP50" si="1608">R50*$AC50</f>
        <v>1.7834824622346462E-2</v>
      </c>
      <c r="FQ50" s="53">
        <f t="shared" ref="FQ50" si="1609">S50*$AC50</f>
        <v>9.1155770291993024E-3</v>
      </c>
      <c r="FT50" s="123" t="s">
        <v>219</v>
      </c>
      <c r="FU50" s="49">
        <f t="shared" ref="FU50:GF50" si="1610">D50*$AD50</f>
        <v>15.753377538160855</v>
      </c>
      <c r="FV50" s="49">
        <f t="shared" si="1610"/>
        <v>8.0517262972822135</v>
      </c>
      <c r="FW50" s="49">
        <f t="shared" si="1610"/>
        <v>20.69664097389326</v>
      </c>
      <c r="FX50" s="49">
        <f t="shared" si="1610"/>
        <v>10.578283164434325</v>
      </c>
      <c r="FY50" s="49">
        <f t="shared" si="1610"/>
        <v>20.09661435789301</v>
      </c>
      <c r="FZ50" s="49">
        <f t="shared" si="1610"/>
        <v>10.271602894034206</v>
      </c>
      <c r="GA50" s="49">
        <f t="shared" si="1610"/>
        <v>16.8168157636686</v>
      </c>
      <c r="GB50" s="49">
        <f t="shared" si="1610"/>
        <v>8.5952613903195054</v>
      </c>
      <c r="GC50" s="49">
        <f t="shared" si="1610"/>
        <v>15.188510032122341</v>
      </c>
      <c r="GD50" s="49">
        <f t="shared" si="1610"/>
        <v>7.7630162386403079</v>
      </c>
      <c r="GE50" s="49">
        <f t="shared" si="1610"/>
        <v>28.066515222455941</v>
      </c>
      <c r="GF50" s="49">
        <f t="shared" si="1610"/>
        <v>14.345107780366366</v>
      </c>
      <c r="GG50" s="49">
        <f t="shared" ref="GG50" si="1611">P50*$AD50</f>
        <v>0</v>
      </c>
      <c r="GH50" s="49">
        <f t="shared" ref="GH50" si="1612">Q50*$AD50</f>
        <v>0</v>
      </c>
      <c r="GI50" s="49">
        <f t="shared" ref="GI50" si="1613">R50*$AD50</f>
        <v>14.778009760983899</v>
      </c>
      <c r="GJ50" s="49">
        <f t="shared" ref="GJ50" si="1614">S50*$AD50</f>
        <v>7.5532049889473258</v>
      </c>
      <c r="GM50" s="123" t="s">
        <v>219</v>
      </c>
      <c r="GN50" s="49">
        <f t="shared" ref="GN50:GY50" si="1615">D50*$AE50</f>
        <v>4.0766825572254879</v>
      </c>
      <c r="GO50" s="49">
        <f t="shared" si="1615"/>
        <v>2.0836377514708047</v>
      </c>
      <c r="GP50" s="49">
        <f t="shared" si="1615"/>
        <v>5.3559076488227975</v>
      </c>
      <c r="GQ50" s="49">
        <f t="shared" si="1615"/>
        <v>2.7374639093983171</v>
      </c>
      <c r="GR50" s="49">
        <f t="shared" si="1615"/>
        <v>5.2006318653665966</v>
      </c>
      <c r="GS50" s="49">
        <f t="shared" si="1615"/>
        <v>2.6581007311873717</v>
      </c>
      <c r="GT50" s="49">
        <f t="shared" si="1615"/>
        <v>4.3518806888079018</v>
      </c>
      <c r="GU50" s="49">
        <f t="shared" si="1615"/>
        <v>2.2242945742795945</v>
      </c>
      <c r="GV50" s="49">
        <f t="shared" si="1615"/>
        <v>3.9305053007335116</v>
      </c>
      <c r="GW50" s="49">
        <f t="shared" si="1615"/>
        <v>2.0089249314860171</v>
      </c>
      <c r="GX50" s="49">
        <f t="shared" si="1615"/>
        <v>7.2630947092027629</v>
      </c>
      <c r="GY50" s="49">
        <f t="shared" si="1615"/>
        <v>3.7122484069258559</v>
      </c>
      <c r="GZ50" s="49">
        <f t="shared" ref="GZ50" si="1616">P50*$AE50</f>
        <v>0</v>
      </c>
      <c r="HA50" s="49">
        <f t="shared" ref="HA50" si="1617">Q50*$AE50</f>
        <v>0</v>
      </c>
      <c r="HB50" s="49">
        <f t="shared" ref="HB50" si="1618">R50*$AE50</f>
        <v>3.8242754277407141</v>
      </c>
      <c r="HC50" s="49">
        <f t="shared" ref="HC50" si="1619">S50*$AE50</f>
        <v>1.954629663067476</v>
      </c>
      <c r="HF50" s="123" t="s">
        <v>219</v>
      </c>
      <c r="HG50" s="49">
        <f t="shared" ref="HG50:HR50" si="1620">D50*$AF50</f>
        <v>240.07651043498387</v>
      </c>
      <c r="HH50" s="49">
        <f t="shared" si="1620"/>
        <v>122.70577200010285</v>
      </c>
      <c r="HI50" s="49">
        <f t="shared" si="1620"/>
        <v>315.41028777490243</v>
      </c>
      <c r="HJ50" s="49">
        <f t="shared" si="1620"/>
        <v>161.20970264050561</v>
      </c>
      <c r="HK50" s="49">
        <f t="shared" si="1620"/>
        <v>306.26607119096673</v>
      </c>
      <c r="HL50" s="49">
        <f t="shared" si="1620"/>
        <v>156.53599194204966</v>
      </c>
      <c r="HM50" s="49">
        <f t="shared" si="1620"/>
        <v>256.28297394572104</v>
      </c>
      <c r="HN50" s="49">
        <f t="shared" si="1620"/>
        <v>130.98907557225743</v>
      </c>
      <c r="HO50" s="49">
        <f t="shared" si="1620"/>
        <v>231.46810760966375</v>
      </c>
      <c r="HP50" s="49">
        <f t="shared" si="1620"/>
        <v>118.30592166716148</v>
      </c>
      <c r="HQ50" s="49">
        <f t="shared" si="1620"/>
        <v>427.72484937628337</v>
      </c>
      <c r="HR50" s="49">
        <f t="shared" si="1620"/>
        <v>218.61492301454479</v>
      </c>
      <c r="HS50" s="49">
        <f t="shared" ref="HS50" si="1621">P50*$AF50</f>
        <v>0</v>
      </c>
      <c r="HT50" s="49">
        <f t="shared" ref="HT50" si="1622">Q50*$AF50</f>
        <v>0</v>
      </c>
      <c r="HU50" s="49">
        <f t="shared" ref="HU50" si="1623">R50*$AF50</f>
        <v>225.21221280940256</v>
      </c>
      <c r="HV50" s="49">
        <f t="shared" ref="HV50" si="1624">S50*$AF50</f>
        <v>115.10846432480575</v>
      </c>
      <c r="HY50" s="337" t="s">
        <v>219</v>
      </c>
      <c r="HZ50" s="338">
        <f t="shared" ref="HZ50:IK50" si="1625">D50*$AG50</f>
        <v>5.7138965474728243E-2</v>
      </c>
      <c r="IA50" s="338">
        <f t="shared" si="1625"/>
        <v>2.9204360131527763E-2</v>
      </c>
      <c r="IB50" s="338">
        <f t="shared" si="1625"/>
        <v>7.506864170464074E-2</v>
      </c>
      <c r="IC50" s="338">
        <f t="shared" si="1625"/>
        <v>3.8368416871260802E-2</v>
      </c>
      <c r="ID50" s="338">
        <f t="shared" si="1625"/>
        <v>7.2892289362896587E-2</v>
      </c>
      <c r="IE50" s="338">
        <f t="shared" si="1625"/>
        <v>3.7256059007702708E-2</v>
      </c>
      <c r="IF50" s="338">
        <f t="shared" si="1625"/>
        <v>6.0996154823780506E-2</v>
      </c>
      <c r="IG50" s="338">
        <f t="shared" si="1625"/>
        <v>3.1175812465487812E-2</v>
      </c>
      <c r="IH50" s="338">
        <f t="shared" si="1625"/>
        <v>5.5090138494790414E-2</v>
      </c>
      <c r="II50" s="338">
        <f t="shared" si="1625"/>
        <v>2.8157181897337326E-2</v>
      </c>
      <c r="IJ50" s="338">
        <f t="shared" si="1625"/>
        <v>0.10179986103977225</v>
      </c>
      <c r="IK50" s="338">
        <f t="shared" si="1625"/>
        <v>5.2031040086994697E-2</v>
      </c>
      <c r="IL50" s="338">
        <f t="shared" ref="IL50" si="1626">P50*$AG50</f>
        <v>0</v>
      </c>
      <c r="IM50" s="338">
        <f t="shared" ref="IM50" si="1627">Q50*$AG50</f>
        <v>0</v>
      </c>
      <c r="IN50" s="338">
        <f t="shared" ref="IN50" si="1628">R50*$AG50</f>
        <v>5.3601215832769049E-2</v>
      </c>
      <c r="IO50" s="338">
        <f t="shared" ref="IO50" si="1629">S50*$AG50</f>
        <v>2.7396176981193069E-2</v>
      </c>
      <c r="IR50" s="337" t="s">
        <v>219</v>
      </c>
      <c r="IS50" s="338">
        <f t="shared" ref="IS50:JD50" si="1630">D50*$AH50</f>
        <v>0.85406462596043431</v>
      </c>
      <c r="IT50" s="338">
        <f t="shared" si="1630"/>
        <v>0.43652191993533301</v>
      </c>
      <c r="IU50" s="338">
        <f t="shared" si="1630"/>
        <v>1.1220621666170758</v>
      </c>
      <c r="IV50" s="338">
        <f t="shared" si="1630"/>
        <v>0.57349844071539391</v>
      </c>
      <c r="IW50" s="338">
        <f t="shared" si="1630"/>
        <v>1.0895319040673987</v>
      </c>
      <c r="IX50" s="338">
        <f t="shared" si="1630"/>
        <v>0.55687186207889272</v>
      </c>
      <c r="IY50" s="338">
        <f t="shared" si="1630"/>
        <v>0.91171860956491357</v>
      </c>
      <c r="IZ50" s="338">
        <f t="shared" si="1630"/>
        <v>0.4659895115554003</v>
      </c>
      <c r="JA50" s="338">
        <f t="shared" si="1630"/>
        <v>0.82344050398447421</v>
      </c>
      <c r="JB50" s="338">
        <f t="shared" si="1630"/>
        <v>0.420869590925398</v>
      </c>
      <c r="JC50" s="338">
        <f t="shared" si="1630"/>
        <v>1.5216176827739598</v>
      </c>
      <c r="JD50" s="338">
        <f t="shared" si="1630"/>
        <v>0.77771570452891259</v>
      </c>
      <c r="JE50" s="338">
        <f t="shared" ref="JE50" si="1631">P50*$AH50</f>
        <v>0</v>
      </c>
      <c r="JF50" s="338">
        <f t="shared" ref="JF50" si="1632">Q50*$AH50</f>
        <v>0</v>
      </c>
      <c r="JG50" s="338">
        <f t="shared" ref="JG50" si="1633">R50*$AH50</f>
        <v>0.80118535522813705</v>
      </c>
      <c r="JH50" s="338">
        <f t="shared" ref="JH50" si="1634">S50*$AH50</f>
        <v>0.40949473711660339</v>
      </c>
      <c r="JK50" s="337" t="s">
        <v>219</v>
      </c>
      <c r="JL50" s="338">
        <f t="shared" ref="JL50:JW50" si="1635">D50*$AI50</f>
        <v>0.27565740070687184</v>
      </c>
      <c r="JM50" s="338">
        <f t="shared" si="1635"/>
        <v>0.14089156036129002</v>
      </c>
      <c r="JN50" s="338">
        <f t="shared" si="1635"/>
        <v>0.36215613067144292</v>
      </c>
      <c r="JO50" s="338">
        <f t="shared" si="1635"/>
        <v>0.18510202234318182</v>
      </c>
      <c r="JP50" s="338">
        <f t="shared" si="1635"/>
        <v>0.3516566820978973</v>
      </c>
      <c r="JQ50" s="338">
        <f t="shared" si="1635"/>
        <v>0.17973563751670307</v>
      </c>
      <c r="JR50" s="338">
        <f t="shared" si="1635"/>
        <v>0.29426576683951111</v>
      </c>
      <c r="JS50" s="338">
        <f t="shared" si="1635"/>
        <v>0.1504025030513057</v>
      </c>
      <c r="JT50" s="338">
        <f t="shared" si="1635"/>
        <v>0.26577317695351105</v>
      </c>
      <c r="JU50" s="338">
        <f t="shared" si="1635"/>
        <v>0.13583962377623898</v>
      </c>
      <c r="JV50" s="338">
        <f t="shared" si="1635"/>
        <v>0.49111643610271083</v>
      </c>
      <c r="JW50" s="338">
        <f t="shared" si="1635"/>
        <v>0.25101506734138551</v>
      </c>
      <c r="JX50" s="338">
        <f t="shared" ref="JX50" si="1636">P50*$AI50</f>
        <v>0</v>
      </c>
      <c r="JY50" s="338">
        <f t="shared" ref="JY50" si="1637">Q50*$AI50</f>
        <v>0</v>
      </c>
      <c r="JZ50" s="338">
        <f t="shared" ref="JZ50" si="1638">R50*$AI50</f>
        <v>0.25859011811692967</v>
      </c>
      <c r="KA50" s="338">
        <f t="shared" ref="KA50" si="1639">S50*$AI50</f>
        <v>0.13216828259309737</v>
      </c>
      <c r="KD50" s="337" t="s">
        <v>219</v>
      </c>
      <c r="KE50" s="338">
        <f t="shared" ref="KE50:KP50" si="1640">D50*$AJ50</f>
        <v>0.49607813988773192</v>
      </c>
      <c r="KF50" s="338">
        <f t="shared" si="1640"/>
        <v>0.25355104927595185</v>
      </c>
      <c r="KG50" s="338">
        <f t="shared" si="1640"/>
        <v>0.65174284888317568</v>
      </c>
      <c r="KH50" s="338">
        <f t="shared" si="1640"/>
        <v>0.33311301165140067</v>
      </c>
      <c r="KI50" s="338">
        <f t="shared" si="1640"/>
        <v>0.63284784767930791</v>
      </c>
      <c r="KJ50" s="338">
        <f t="shared" si="1640"/>
        <v>0.32345556659164626</v>
      </c>
      <c r="KK50" s="338">
        <f t="shared" si="1640"/>
        <v>0.52956609861388204</v>
      </c>
      <c r="KL50" s="338">
        <f t="shared" si="1640"/>
        <v>0.27066711706931751</v>
      </c>
      <c r="KM50" s="338">
        <f t="shared" si="1640"/>
        <v>0.47829030861156213</v>
      </c>
      <c r="KN50" s="338">
        <f t="shared" si="1640"/>
        <v>0.24445949106813178</v>
      </c>
      <c r="KO50" s="338">
        <f t="shared" si="1640"/>
        <v>0.88382219184166977</v>
      </c>
      <c r="KP50" s="338">
        <f t="shared" si="1640"/>
        <v>0.45173134249685337</v>
      </c>
      <c r="KQ50" s="338">
        <f t="shared" ref="KQ50" si="1641">P50*$AJ50</f>
        <v>0</v>
      </c>
      <c r="KR50" s="338">
        <f t="shared" ref="KR50" si="1642">Q50*$AJ50</f>
        <v>0</v>
      </c>
      <c r="KS50" s="338">
        <f t="shared" ref="KS50" si="1643">R50*$AJ50</f>
        <v>0.46536354351395237</v>
      </c>
      <c r="KT50" s="338">
        <f t="shared" ref="KT50" si="1644">S50*$AJ50</f>
        <v>0.23785247779602009</v>
      </c>
      <c r="KW50" s="337" t="s">
        <v>219</v>
      </c>
      <c r="KX50" s="338">
        <f t="shared" ref="KX50:LI50" si="1645">D50*$AK50</f>
        <v>19.783961066650711</v>
      </c>
      <c r="KY50" s="338">
        <f t="shared" si="1645"/>
        <v>10.111802322954807</v>
      </c>
      <c r="KZ50" s="338">
        <f t="shared" si="1645"/>
        <v>25.991984147277353</v>
      </c>
      <c r="LA50" s="338">
        <f t="shared" si="1645"/>
        <v>13.284791897497305</v>
      </c>
      <c r="LB50" s="338">
        <f t="shared" si="1645"/>
        <v>25.238437602661946</v>
      </c>
      <c r="LC50" s="338">
        <f t="shared" si="1645"/>
        <v>12.899645885804995</v>
      </c>
      <c r="LD50" s="338">
        <f t="shared" si="1645"/>
        <v>21.119485489858913</v>
      </c>
      <c r="LE50" s="338">
        <f t="shared" si="1645"/>
        <v>10.794403694816777</v>
      </c>
      <c r="LF50" s="338">
        <f t="shared" si="1645"/>
        <v>19.074569273036225</v>
      </c>
      <c r="LG50" s="338">
        <f t="shared" si="1645"/>
        <v>9.7492242951074051</v>
      </c>
      <c r="LH50" s="338">
        <f t="shared" si="1645"/>
        <v>35.247479030611302</v>
      </c>
      <c r="LI50" s="338">
        <f t="shared" si="1645"/>
        <v>18.015378171201327</v>
      </c>
      <c r="LJ50" s="338">
        <f t="shared" ref="LJ50" si="1646">P50*$AK50</f>
        <v>0</v>
      </c>
      <c r="LK50" s="338">
        <f t="shared" ref="LK50" si="1647">Q50*$AK50</f>
        <v>0</v>
      </c>
      <c r="LL50" s="338">
        <f t="shared" ref="LL50" si="1648">R50*$AK50</f>
        <v>18.559040373764979</v>
      </c>
      <c r="LM50" s="338">
        <f t="shared" ref="LM50" si="1649">S50*$AK50</f>
        <v>9.4857317465909876</v>
      </c>
      <c r="LP50" s="337" t="s">
        <v>219</v>
      </c>
      <c r="LQ50" s="338">
        <f t="shared" ref="LQ50:MB50" si="1650">D50*$AL50</f>
        <v>3.5930125338067047E-4</v>
      </c>
      <c r="LR50" s="338">
        <f t="shared" si="1650"/>
        <v>1.8364286283900934E-4</v>
      </c>
      <c r="LS50" s="338">
        <f t="shared" si="1650"/>
        <v>4.720466468016706E-4</v>
      </c>
      <c r="LT50" s="338">
        <f t="shared" si="1650"/>
        <v>2.4126828614307592E-4</v>
      </c>
      <c r="LU50" s="338">
        <f t="shared" si="1650"/>
        <v>4.5836130759943243E-4</v>
      </c>
      <c r="LV50" s="338">
        <f t="shared" si="1650"/>
        <v>2.3427355721748768E-4</v>
      </c>
      <c r="LW50" s="338">
        <f t="shared" si="1650"/>
        <v>3.8355603216650645E-4</v>
      </c>
      <c r="LX50" s="338">
        <f t="shared" si="1650"/>
        <v>1.9603974977399217E-4</v>
      </c>
      <c r="LY50" s="338">
        <f t="shared" si="1650"/>
        <v>3.4641781918238448E-4</v>
      </c>
      <c r="LZ50" s="338">
        <f t="shared" si="1650"/>
        <v>1.7705799647099653E-4</v>
      </c>
      <c r="MA50" s="338">
        <f t="shared" si="1650"/>
        <v>6.4013790522241194E-4</v>
      </c>
      <c r="MB50" s="338">
        <f t="shared" si="1650"/>
        <v>3.2718159600256605E-4</v>
      </c>
      <c r="MC50" s="338">
        <f t="shared" ref="MC50" si="1651">P50*$AL50</f>
        <v>0</v>
      </c>
      <c r="MD50" s="338">
        <f t="shared" ref="MD50" si="1652">Q50*$AL50</f>
        <v>0</v>
      </c>
      <c r="ME50" s="338">
        <f t="shared" ref="ME50" si="1653">R50*$AL50</f>
        <v>3.3705517542069843E-4</v>
      </c>
      <c r="MF50" s="338">
        <f t="shared" ref="MF50" si="1654">S50*$AL50</f>
        <v>1.7227264521502364E-4</v>
      </c>
      <c r="MI50" s="337" t="s">
        <v>219</v>
      </c>
      <c r="MJ50" s="338">
        <f t="shared" ref="MJ50:MU50" si="1655">D50*$AM50</f>
        <v>3.0256082674617008E-2</v>
      </c>
      <c r="MK50" s="338">
        <f t="shared" si="1655"/>
        <v>1.5464220033693136E-2</v>
      </c>
      <c r="ML50" s="338">
        <f t="shared" si="1655"/>
        <v>3.9750160172069782E-2</v>
      </c>
      <c r="MM50" s="338">
        <f t="shared" si="1655"/>
        <v>2.0316748532391207E-2</v>
      </c>
      <c r="MN50" s="338">
        <f t="shared" si="1655"/>
        <v>3.8597743500997372E-2</v>
      </c>
      <c r="MO50" s="338">
        <f t="shared" si="1655"/>
        <v>1.9727735567176437E-2</v>
      </c>
      <c r="MP50" s="338">
        <f t="shared" si="1655"/>
        <v>3.2298531971116679E-2</v>
      </c>
      <c r="MQ50" s="338">
        <f t="shared" si="1655"/>
        <v>1.6508138563015189E-2</v>
      </c>
      <c r="MR50" s="338">
        <f t="shared" si="1655"/>
        <v>2.9171192915484041E-2</v>
      </c>
      <c r="MS50" s="338">
        <f t="shared" si="1655"/>
        <v>1.4909720823469624E-2</v>
      </c>
      <c r="MT50" s="338">
        <f t="shared" si="1655"/>
        <v>5.3904808851433297E-2</v>
      </c>
      <c r="MU50" s="338">
        <f t="shared" si="1655"/>
        <v>2.7551346746288122E-2</v>
      </c>
      <c r="MV50" s="338">
        <f t="shared" ref="MV50" si="1656">P50*$AM50</f>
        <v>0</v>
      </c>
      <c r="MW50" s="338">
        <f t="shared" ref="MW50" si="1657">Q50*$AM50</f>
        <v>0</v>
      </c>
      <c r="MX50" s="338">
        <f t="shared" ref="MX50" si="1658">R50*$AM50</f>
        <v>2.8382782296146637E-2</v>
      </c>
      <c r="MY50" s="338">
        <f t="shared" ref="MY50" si="1659">S50*$AM50</f>
        <v>1.450675539580828E-2</v>
      </c>
      <c r="NB50" s="337" t="s">
        <v>219</v>
      </c>
      <c r="NC50" s="338">
        <f t="shared" ref="NC50:NN50" si="1660">D50*$AN50</f>
        <v>2.9574047133608533E-2</v>
      </c>
      <c r="ND50" s="338">
        <f t="shared" si="1660"/>
        <v>1.5115624090511027E-2</v>
      </c>
      <c r="NE50" s="338">
        <f t="shared" si="1660"/>
        <v>3.8854108218163812E-2</v>
      </c>
      <c r="NF50" s="338">
        <f t="shared" si="1660"/>
        <v>1.9858766422617045E-2</v>
      </c>
      <c r="NG50" s="338">
        <f t="shared" si="1660"/>
        <v>3.772766943511395E-2</v>
      </c>
      <c r="NH50" s="338">
        <f t="shared" si="1660"/>
        <v>1.9283031044613798E-2</v>
      </c>
      <c r="NI50" s="338">
        <f t="shared" si="1660"/>
        <v>3.1570455340589061E-2</v>
      </c>
      <c r="NJ50" s="338">
        <f t="shared" si="1660"/>
        <v>1.6136010507412188E-2</v>
      </c>
      <c r="NK50" s="338">
        <f t="shared" si="1660"/>
        <v>2.8513613064320226E-2</v>
      </c>
      <c r="NL50" s="338">
        <f t="shared" si="1660"/>
        <v>1.4573624455097007E-2</v>
      </c>
      <c r="NM50" s="338">
        <f t="shared" si="1660"/>
        <v>5.2689681438432494E-2</v>
      </c>
      <c r="NN50" s="338">
        <f t="shared" si="1660"/>
        <v>2.6930281624087712E-2</v>
      </c>
      <c r="NO50" s="338">
        <f t="shared" ref="NO50" si="1661">P50*$AN50</f>
        <v>0</v>
      </c>
      <c r="NP50" s="338">
        <f t="shared" ref="NP50" si="1662">Q50*$AN50</f>
        <v>0</v>
      </c>
      <c r="NQ50" s="338">
        <f t="shared" ref="NQ50" si="1663">R50*$AN50</f>
        <v>2.7742974873392653E-2</v>
      </c>
      <c r="NR50" s="338">
        <f t="shared" ref="NR50" si="1664">S50*$AN50</f>
        <v>1.4179742713067356E-2</v>
      </c>
    </row>
    <row r="51" spans="2:382" ht="12.75" customHeight="1" x14ac:dyDescent="0.2">
      <c r="B51" s="734"/>
      <c r="C51" s="123" t="s">
        <v>198</v>
      </c>
      <c r="D51" s="193"/>
      <c r="E51" s="194"/>
      <c r="F51" s="193"/>
      <c r="G51" s="194"/>
      <c r="H51" s="193"/>
      <c r="I51" s="194"/>
      <c r="J51" s="193"/>
      <c r="K51" s="194"/>
      <c r="L51" s="193"/>
      <c r="M51" s="194"/>
      <c r="N51" s="193"/>
      <c r="O51" s="194"/>
      <c r="P51" s="121">
        <f>'Cell parameters'!P110/1000</f>
        <v>0.38131560258488661</v>
      </c>
      <c r="Q51" s="121">
        <f>'Cell parameters'!Q110/1000</f>
        <v>0.19489464132116427</v>
      </c>
      <c r="R51" s="193"/>
      <c r="S51" s="194"/>
      <c r="T51" s="318"/>
      <c r="U51" s="119"/>
      <c r="V51" s="123" t="s">
        <v>198</v>
      </c>
      <c r="W51" s="96">
        <f>'Ecoinvent 3.10'!M5</f>
        <v>48.656594542983051</v>
      </c>
      <c r="X51" s="96">
        <f>'Ecoinvent 3.10'!N5</f>
        <v>16.254999999999999</v>
      </c>
      <c r="Y51" s="96">
        <f>'Ecoinvent 3.10'!O5</f>
        <v>73.988</v>
      </c>
      <c r="Z51" s="96">
        <f>'Ecoinvent 3.10'!P5</f>
        <v>7.0550000000000002E-2</v>
      </c>
      <c r="AA51" s="96">
        <f>'Ecoinvent 3.10'!Q5</f>
        <v>0.30114999999999997</v>
      </c>
      <c r="AB51" s="96">
        <f>'Ecoinvent 3.10'!R5</f>
        <v>9.2152999999999999E-2</v>
      </c>
      <c r="AC51" s="96">
        <f>'Ecoinvent 3.10'!S5</f>
        <v>4.8764000000000004E-3</v>
      </c>
      <c r="AD51" s="96">
        <f>'Ecoinvent 3.10'!T5</f>
        <v>1.4147000000000001</v>
      </c>
      <c r="AE51" s="96">
        <f>'Ecoinvent 3.10'!U5</f>
        <v>9.4739000000000004</v>
      </c>
      <c r="AF51" s="96">
        <f>'Ecoinvent 3.10'!V5</f>
        <v>19.216999999999999</v>
      </c>
      <c r="AG51" s="327">
        <f>'Ecoinvent 3.10'!W5</f>
        <v>3.1113999999999999E-2</v>
      </c>
      <c r="AH51" s="327">
        <f>'Ecoinvent 3.10'!X5</f>
        <v>3.3473999999999999</v>
      </c>
      <c r="AI51" s="327">
        <f>'Ecoinvent 3.10'!Y5</f>
        <v>0.30975000000000003</v>
      </c>
      <c r="AJ51" s="327">
        <f>'Ecoinvent 3.10'!Z5</f>
        <v>0.18704000000000001</v>
      </c>
      <c r="AK51" s="327">
        <f>'Ecoinvent 3.10'!AA5</f>
        <v>1.8706</v>
      </c>
      <c r="AL51" s="327">
        <f>'Ecoinvent 3.10'!AB5</f>
        <v>3.9468000000000001E-4</v>
      </c>
      <c r="AM51" s="327">
        <f>'Ecoinvent 3.10'!AC5</f>
        <v>4.1751999999999997E-2</v>
      </c>
      <c r="AN51" s="327">
        <f>'Ecoinvent 3.10'!AD5</f>
        <v>4.1027000000000001E-2</v>
      </c>
      <c r="AO51" s="119"/>
      <c r="AP51" s="8"/>
      <c r="AQ51" s="123" t="s">
        <v>198</v>
      </c>
      <c r="AR51" s="49">
        <f t="shared" ref="AR51" si="1665">D51*$W51</f>
        <v>0</v>
      </c>
      <c r="AS51" s="50">
        <f t="shared" ref="AS51" si="1666">E51*$W51</f>
        <v>0</v>
      </c>
      <c r="AT51" s="49">
        <f t="shared" ref="AT51" si="1667">F51*$W51</f>
        <v>0</v>
      </c>
      <c r="AU51" s="50">
        <f t="shared" ref="AU51" si="1668">G51*$W51</f>
        <v>0</v>
      </c>
      <c r="AV51" s="49">
        <f t="shared" ref="AV51" si="1669">H51*$W51</f>
        <v>0</v>
      </c>
      <c r="AW51" s="50">
        <f t="shared" ref="AW51" si="1670">I51*$W51</f>
        <v>0</v>
      </c>
      <c r="AX51" s="49">
        <f t="shared" ref="AX51" si="1671">J51*$W51</f>
        <v>0</v>
      </c>
      <c r="AY51" s="50">
        <f t="shared" ref="AY51" si="1672">K51*$W51</f>
        <v>0</v>
      </c>
      <c r="AZ51" s="49">
        <f t="shared" ref="AZ51" si="1673">L51*$W51</f>
        <v>0</v>
      </c>
      <c r="BA51" s="50">
        <f t="shared" ref="BA51" si="1674">M51*$W51</f>
        <v>0</v>
      </c>
      <c r="BB51" s="49">
        <f t="shared" ref="BB51" si="1675">N51*$W51</f>
        <v>0</v>
      </c>
      <c r="BC51" s="50">
        <f t="shared" ref="BC51" si="1676">O51*$W51</f>
        <v>0</v>
      </c>
      <c r="BD51" s="49">
        <f t="shared" ref="BD51" si="1677">P51*$W51</f>
        <v>18.553518667886088</v>
      </c>
      <c r="BE51" s="50">
        <f t="shared" ref="BE51" si="1678">Q51*$W51</f>
        <v>9.4829095413640001</v>
      </c>
      <c r="BF51" s="49">
        <f t="shared" ref="BF51" si="1679">R51*$W51</f>
        <v>0</v>
      </c>
      <c r="BG51" s="50">
        <f t="shared" ref="BG51" si="1680">S51*$W51</f>
        <v>0</v>
      </c>
      <c r="BI51" s="156"/>
      <c r="BJ51" s="123" t="s">
        <v>198</v>
      </c>
      <c r="BK51" s="49">
        <f t="shared" si="1596"/>
        <v>0</v>
      </c>
      <c r="BL51" s="49">
        <f t="shared" si="1596"/>
        <v>0</v>
      </c>
      <c r="BM51" s="49">
        <f t="shared" si="1596"/>
        <v>0</v>
      </c>
      <c r="BN51" s="49">
        <f t="shared" si="1596"/>
        <v>0</v>
      </c>
      <c r="BO51" s="49">
        <f t="shared" si="1596"/>
        <v>0</v>
      </c>
      <c r="BP51" s="49">
        <f t="shared" si="1596"/>
        <v>0</v>
      </c>
      <c r="BQ51" s="49">
        <f t="shared" si="1596"/>
        <v>0</v>
      </c>
      <c r="BR51" s="49">
        <f t="shared" si="1596"/>
        <v>0</v>
      </c>
      <c r="BS51" s="49">
        <f t="shared" si="1596"/>
        <v>0</v>
      </c>
      <c r="BT51" s="49">
        <f t="shared" si="1596"/>
        <v>0</v>
      </c>
      <c r="BU51" s="49">
        <f t="shared" si="1596"/>
        <v>0</v>
      </c>
      <c r="BV51" s="49">
        <f t="shared" si="1596"/>
        <v>0</v>
      </c>
      <c r="BW51" s="49">
        <f t="shared" si="1596"/>
        <v>6.1982851200173315</v>
      </c>
      <c r="BX51" s="49">
        <f t="shared" si="1596"/>
        <v>3.1680123946755252</v>
      </c>
      <c r="BY51" s="49">
        <f t="shared" si="1596"/>
        <v>0</v>
      </c>
      <c r="BZ51" s="49">
        <f t="shared" si="1596"/>
        <v>0</v>
      </c>
      <c r="CA51" s="156"/>
      <c r="CB51" s="156"/>
      <c r="CC51" s="123" t="s">
        <v>198</v>
      </c>
      <c r="CD51" s="49">
        <f t="shared" si="1597"/>
        <v>0</v>
      </c>
      <c r="CE51" s="49">
        <f t="shared" si="1597"/>
        <v>0</v>
      </c>
      <c r="CF51" s="49">
        <f t="shared" si="1597"/>
        <v>0</v>
      </c>
      <c r="CG51" s="49">
        <f t="shared" si="1597"/>
        <v>0</v>
      </c>
      <c r="CH51" s="49">
        <f t="shared" si="1597"/>
        <v>0</v>
      </c>
      <c r="CI51" s="49">
        <f t="shared" si="1597"/>
        <v>0</v>
      </c>
      <c r="CJ51" s="49">
        <f t="shared" si="1597"/>
        <v>0</v>
      </c>
      <c r="CK51" s="49">
        <f t="shared" si="1597"/>
        <v>0</v>
      </c>
      <c r="CL51" s="49">
        <f t="shared" si="1597"/>
        <v>0</v>
      </c>
      <c r="CM51" s="49">
        <f t="shared" si="1597"/>
        <v>0</v>
      </c>
      <c r="CN51" s="49">
        <f t="shared" si="1597"/>
        <v>0</v>
      </c>
      <c r="CO51" s="220">
        <f t="shared" si="1597"/>
        <v>0</v>
      </c>
      <c r="CP51" s="49">
        <f t="shared" si="1597"/>
        <v>28.21277880405059</v>
      </c>
      <c r="CQ51" s="49">
        <f t="shared" si="1597"/>
        <v>14.419864722070303</v>
      </c>
      <c r="CR51" s="49">
        <f t="shared" si="1597"/>
        <v>0</v>
      </c>
      <c r="CS51" s="220">
        <f t="shared" si="1597"/>
        <v>0</v>
      </c>
      <c r="CV51" s="123" t="s">
        <v>198</v>
      </c>
      <c r="CW51" s="49">
        <f t="shared" si="1598"/>
        <v>0</v>
      </c>
      <c r="CX51" s="49">
        <f t="shared" si="1598"/>
        <v>0</v>
      </c>
      <c r="CY51" s="49">
        <f t="shared" si="1598"/>
        <v>0</v>
      </c>
      <c r="CZ51" s="49">
        <f t="shared" si="1598"/>
        <v>0</v>
      </c>
      <c r="DA51" s="49">
        <f t="shared" si="1598"/>
        <v>0</v>
      </c>
      <c r="DB51" s="49">
        <f t="shared" si="1598"/>
        <v>0</v>
      </c>
      <c r="DC51" s="49">
        <f t="shared" si="1598"/>
        <v>0</v>
      </c>
      <c r="DD51" s="49">
        <f t="shared" si="1598"/>
        <v>0</v>
      </c>
      <c r="DE51" s="49">
        <f t="shared" si="1598"/>
        <v>0</v>
      </c>
      <c r="DF51" s="49">
        <f t="shared" si="1598"/>
        <v>0</v>
      </c>
      <c r="DG51" s="49">
        <f t="shared" si="1598"/>
        <v>0</v>
      </c>
      <c r="DH51" s="49">
        <f t="shared" si="1598"/>
        <v>0</v>
      </c>
      <c r="DI51" s="49">
        <f t="shared" si="1598"/>
        <v>2.6901815762363751E-2</v>
      </c>
      <c r="DJ51" s="49">
        <f t="shared" si="1598"/>
        <v>1.3749816945208139E-2</v>
      </c>
      <c r="DK51" s="49">
        <f t="shared" si="1598"/>
        <v>0</v>
      </c>
      <c r="DL51" s="49">
        <f t="shared" si="1598"/>
        <v>0</v>
      </c>
      <c r="DO51" s="123" t="s">
        <v>198</v>
      </c>
      <c r="DP51" s="49">
        <f t="shared" si="1599"/>
        <v>0</v>
      </c>
      <c r="DQ51" s="49">
        <f t="shared" si="1599"/>
        <v>0</v>
      </c>
      <c r="DR51" s="49">
        <f t="shared" si="1599"/>
        <v>0</v>
      </c>
      <c r="DS51" s="49">
        <f t="shared" si="1599"/>
        <v>0</v>
      </c>
      <c r="DT51" s="49">
        <f t="shared" si="1599"/>
        <v>0</v>
      </c>
      <c r="DU51" s="49">
        <f t="shared" si="1599"/>
        <v>0</v>
      </c>
      <c r="DV51" s="49">
        <f t="shared" si="1599"/>
        <v>0</v>
      </c>
      <c r="DW51" s="49">
        <f t="shared" si="1599"/>
        <v>0</v>
      </c>
      <c r="DX51" s="49">
        <f t="shared" si="1599"/>
        <v>0</v>
      </c>
      <c r="DY51" s="49">
        <f t="shared" si="1599"/>
        <v>0</v>
      </c>
      <c r="DZ51" s="49">
        <f t="shared" si="1599"/>
        <v>0</v>
      </c>
      <c r="EA51" s="49">
        <f t="shared" si="1599"/>
        <v>0</v>
      </c>
      <c r="EB51" s="49">
        <f t="shared" si="1599"/>
        <v>0.1148331937184386</v>
      </c>
      <c r="EC51" s="49">
        <f t="shared" si="1599"/>
        <v>5.8692521233868616E-2</v>
      </c>
      <c r="ED51" s="49">
        <f t="shared" si="1599"/>
        <v>0</v>
      </c>
      <c r="EE51" s="49">
        <f t="shared" si="1599"/>
        <v>0</v>
      </c>
      <c r="EH51" s="123" t="s">
        <v>198</v>
      </c>
      <c r="EI51" s="49">
        <f t="shared" ref="EI51" si="1681">D51*$AB51</f>
        <v>0</v>
      </c>
      <c r="EJ51" s="49">
        <f t="shared" ref="EJ51" si="1682">E51*$AB51</f>
        <v>0</v>
      </c>
      <c r="EK51" s="49">
        <f t="shared" ref="EK51" si="1683">F51*$AB51</f>
        <v>0</v>
      </c>
      <c r="EL51" s="49">
        <f t="shared" ref="EL51" si="1684">G51*$AB51</f>
        <v>0</v>
      </c>
      <c r="EM51" s="49">
        <f t="shared" ref="EM51" si="1685">H51*$AB51</f>
        <v>0</v>
      </c>
      <c r="EN51" s="49">
        <f t="shared" ref="EN51" si="1686">I51*$AB51</f>
        <v>0</v>
      </c>
      <c r="EO51" s="49">
        <f t="shared" ref="EO51" si="1687">J51*$AB51</f>
        <v>0</v>
      </c>
      <c r="EP51" s="49">
        <f t="shared" ref="EP51" si="1688">K51*$AB51</f>
        <v>0</v>
      </c>
      <c r="EQ51" s="49">
        <f t="shared" ref="EQ51" si="1689">L51*$AB51</f>
        <v>0</v>
      </c>
      <c r="ER51" s="49">
        <f t="shared" ref="ER51" si="1690">M51*$AB51</f>
        <v>0</v>
      </c>
      <c r="ES51" s="49">
        <f t="shared" ref="ES51" si="1691">N51*$AB51</f>
        <v>0</v>
      </c>
      <c r="ET51" s="49">
        <f t="shared" ref="ET51" si="1692">O51*$AB51</f>
        <v>0</v>
      </c>
      <c r="EU51" s="49">
        <f t="shared" ref="EU51" si="1693">P51*$AB51</f>
        <v>3.5139376725005056E-2</v>
      </c>
      <c r="EV51" s="49">
        <f t="shared" ref="EV51" si="1694">Q51*$AB51</f>
        <v>1.7960125881669252E-2</v>
      </c>
      <c r="EW51" s="49">
        <f t="shared" ref="EW51" si="1695">R51*$AB51</f>
        <v>0</v>
      </c>
      <c r="EX51" s="49">
        <f t="shared" ref="EX51" si="1696">S51*$AB51</f>
        <v>0</v>
      </c>
      <c r="FA51" s="123" t="s">
        <v>198</v>
      </c>
      <c r="FB51" s="53">
        <f t="shared" ref="FB51" si="1697">D51*$AC51</f>
        <v>0</v>
      </c>
      <c r="FC51" s="53">
        <f t="shared" ref="FC51" si="1698">E51*$AC51</f>
        <v>0</v>
      </c>
      <c r="FD51" s="53">
        <f t="shared" ref="FD51" si="1699">F51*$AC51</f>
        <v>0</v>
      </c>
      <c r="FE51" s="53">
        <f t="shared" ref="FE51" si="1700">G51*$AC51</f>
        <v>0</v>
      </c>
      <c r="FF51" s="53">
        <f t="shared" ref="FF51" si="1701">H51*$AC51</f>
        <v>0</v>
      </c>
      <c r="FG51" s="53">
        <f t="shared" ref="FG51" si="1702">I51*$AC51</f>
        <v>0</v>
      </c>
      <c r="FH51" s="53">
        <f t="shared" ref="FH51" si="1703">J51*$AC51</f>
        <v>0</v>
      </c>
      <c r="FI51" s="53">
        <f t="shared" ref="FI51" si="1704">K51*$AC51</f>
        <v>0</v>
      </c>
      <c r="FJ51" s="53">
        <f t="shared" ref="FJ51" si="1705">L51*$AC51</f>
        <v>0</v>
      </c>
      <c r="FK51" s="53">
        <f t="shared" ref="FK51" si="1706">M51*$AC51</f>
        <v>0</v>
      </c>
      <c r="FL51" s="53">
        <f t="shared" ref="FL51" si="1707">N51*$AC51</f>
        <v>0</v>
      </c>
      <c r="FM51" s="53">
        <f t="shared" ref="FM51" si="1708">O51*$AC51</f>
        <v>0</v>
      </c>
      <c r="FN51" s="53">
        <f t="shared" ref="FN51" si="1709">P51*$AC51</f>
        <v>1.8594474044449413E-3</v>
      </c>
      <c r="FO51" s="53">
        <f t="shared" ref="FO51" si="1710">Q51*$AC51</f>
        <v>9.5038422893852555E-4</v>
      </c>
      <c r="FP51" s="53">
        <f t="shared" ref="FP51" si="1711">R51*$AC51</f>
        <v>0</v>
      </c>
      <c r="FQ51" s="53">
        <f t="shared" ref="FQ51" si="1712">S51*$AC51</f>
        <v>0</v>
      </c>
      <c r="FT51" s="123" t="s">
        <v>198</v>
      </c>
      <c r="FU51" s="49">
        <f t="shared" ref="FU51" si="1713">D51*$AD51</f>
        <v>0</v>
      </c>
      <c r="FV51" s="49">
        <f t="shared" ref="FV51" si="1714">E51*$AD51</f>
        <v>0</v>
      </c>
      <c r="FW51" s="49">
        <f t="shared" ref="FW51" si="1715">F51*$AD51</f>
        <v>0</v>
      </c>
      <c r="FX51" s="49">
        <f t="shared" ref="FX51" si="1716">G51*$AD51</f>
        <v>0</v>
      </c>
      <c r="FY51" s="49">
        <f t="shared" ref="FY51" si="1717">H51*$AD51</f>
        <v>0</v>
      </c>
      <c r="FZ51" s="49">
        <f t="shared" ref="FZ51" si="1718">I51*$AD51</f>
        <v>0</v>
      </c>
      <c r="GA51" s="49">
        <f t="shared" ref="GA51" si="1719">J51*$AD51</f>
        <v>0</v>
      </c>
      <c r="GB51" s="49">
        <f t="shared" ref="GB51" si="1720">K51*$AD51</f>
        <v>0</v>
      </c>
      <c r="GC51" s="49">
        <f t="shared" ref="GC51" si="1721">L51*$AD51</f>
        <v>0</v>
      </c>
      <c r="GD51" s="49">
        <f t="shared" ref="GD51" si="1722">M51*$AD51</f>
        <v>0</v>
      </c>
      <c r="GE51" s="49">
        <f t="shared" ref="GE51" si="1723">N51*$AD51</f>
        <v>0</v>
      </c>
      <c r="GF51" s="49">
        <f t="shared" ref="GF51" si="1724">O51*$AD51</f>
        <v>0</v>
      </c>
      <c r="GG51" s="49">
        <f t="shared" ref="GG51" si="1725">P51*$AD51</f>
        <v>0.53944718297683913</v>
      </c>
      <c r="GH51" s="49">
        <f t="shared" ref="GH51" si="1726">Q51*$AD51</f>
        <v>0.27571744907705109</v>
      </c>
      <c r="GI51" s="49">
        <f t="shared" ref="GI51" si="1727">R51*$AD51</f>
        <v>0</v>
      </c>
      <c r="GJ51" s="49">
        <f t="shared" ref="GJ51" si="1728">S51*$AD51</f>
        <v>0</v>
      </c>
      <c r="GM51" s="123" t="s">
        <v>198</v>
      </c>
      <c r="GN51" s="49">
        <f t="shared" ref="GN51" si="1729">D51*$AE51</f>
        <v>0</v>
      </c>
      <c r="GO51" s="49">
        <f t="shared" ref="GO51" si="1730">E51*$AE51</f>
        <v>0</v>
      </c>
      <c r="GP51" s="49">
        <f t="shared" ref="GP51" si="1731">F51*$AE51</f>
        <v>0</v>
      </c>
      <c r="GQ51" s="49">
        <f t="shared" ref="GQ51" si="1732">G51*$AE51</f>
        <v>0</v>
      </c>
      <c r="GR51" s="49">
        <f t="shared" ref="GR51" si="1733">H51*$AE51</f>
        <v>0</v>
      </c>
      <c r="GS51" s="49">
        <f t="shared" ref="GS51" si="1734">I51*$AE51</f>
        <v>0</v>
      </c>
      <c r="GT51" s="49">
        <f t="shared" ref="GT51" si="1735">J51*$AE51</f>
        <v>0</v>
      </c>
      <c r="GU51" s="49">
        <f t="shared" ref="GU51" si="1736">K51*$AE51</f>
        <v>0</v>
      </c>
      <c r="GV51" s="49">
        <f t="shared" ref="GV51" si="1737">L51*$AE51</f>
        <v>0</v>
      </c>
      <c r="GW51" s="49">
        <f t="shared" ref="GW51" si="1738">M51*$AE51</f>
        <v>0</v>
      </c>
      <c r="GX51" s="49">
        <f t="shared" ref="GX51" si="1739">N51*$AE51</f>
        <v>0</v>
      </c>
      <c r="GY51" s="49">
        <f t="shared" ref="GY51" si="1740">O51*$AE51</f>
        <v>0</v>
      </c>
      <c r="GZ51" s="49">
        <f t="shared" ref="GZ51" si="1741">P51*$AE51</f>
        <v>3.6125458873289573</v>
      </c>
      <c r="HA51" s="49">
        <f t="shared" ref="HA51" si="1742">Q51*$AE51</f>
        <v>1.8464123424125782</v>
      </c>
      <c r="HB51" s="49">
        <f t="shared" ref="HB51" si="1743">R51*$AE51</f>
        <v>0</v>
      </c>
      <c r="HC51" s="49">
        <f t="shared" ref="HC51" si="1744">S51*$AE51</f>
        <v>0</v>
      </c>
      <c r="HF51" s="123" t="s">
        <v>198</v>
      </c>
      <c r="HG51" s="49">
        <f t="shared" ref="HG51" si="1745">D51*$AF51</f>
        <v>0</v>
      </c>
      <c r="HH51" s="49">
        <f t="shared" ref="HH51" si="1746">E51*$AF51</f>
        <v>0</v>
      </c>
      <c r="HI51" s="49">
        <f t="shared" ref="HI51" si="1747">F51*$AF51</f>
        <v>0</v>
      </c>
      <c r="HJ51" s="49">
        <f t="shared" ref="HJ51" si="1748">G51*$AF51</f>
        <v>0</v>
      </c>
      <c r="HK51" s="49">
        <f t="shared" ref="HK51" si="1749">H51*$AF51</f>
        <v>0</v>
      </c>
      <c r="HL51" s="49">
        <f t="shared" ref="HL51" si="1750">I51*$AF51</f>
        <v>0</v>
      </c>
      <c r="HM51" s="49">
        <f t="shared" ref="HM51" si="1751">J51*$AF51</f>
        <v>0</v>
      </c>
      <c r="HN51" s="49">
        <f t="shared" ref="HN51" si="1752">K51*$AF51</f>
        <v>0</v>
      </c>
      <c r="HO51" s="49">
        <f t="shared" ref="HO51" si="1753">L51*$AF51</f>
        <v>0</v>
      </c>
      <c r="HP51" s="49">
        <f t="shared" ref="HP51" si="1754">M51*$AF51</f>
        <v>0</v>
      </c>
      <c r="HQ51" s="49">
        <f t="shared" ref="HQ51" si="1755">N51*$AF51</f>
        <v>0</v>
      </c>
      <c r="HR51" s="49">
        <f t="shared" ref="HR51" si="1756">O51*$AF51</f>
        <v>0</v>
      </c>
      <c r="HS51" s="49">
        <f t="shared" ref="HS51" si="1757">P51*$AF51</f>
        <v>7.3277419348737656</v>
      </c>
      <c r="HT51" s="49">
        <f t="shared" ref="HT51" si="1758">Q51*$AF51</f>
        <v>3.7452903222688136</v>
      </c>
      <c r="HU51" s="49">
        <f t="shared" ref="HU51" si="1759">R51*$AF51</f>
        <v>0</v>
      </c>
      <c r="HV51" s="49">
        <f t="shared" ref="HV51" si="1760">S51*$AF51</f>
        <v>0</v>
      </c>
      <c r="HY51" s="337" t="s">
        <v>198</v>
      </c>
      <c r="HZ51" s="338">
        <f t="shared" ref="HZ51" si="1761">D51*$AG51</f>
        <v>0</v>
      </c>
      <c r="IA51" s="338">
        <f t="shared" ref="IA51" si="1762">E51*$AG51</f>
        <v>0</v>
      </c>
      <c r="IB51" s="338">
        <f t="shared" ref="IB51" si="1763">F51*$AG51</f>
        <v>0</v>
      </c>
      <c r="IC51" s="338">
        <f t="shared" ref="IC51" si="1764">G51*$AG51</f>
        <v>0</v>
      </c>
      <c r="ID51" s="338">
        <f t="shared" ref="ID51" si="1765">H51*$AG51</f>
        <v>0</v>
      </c>
      <c r="IE51" s="338">
        <f t="shared" ref="IE51" si="1766">I51*$AG51</f>
        <v>0</v>
      </c>
      <c r="IF51" s="338">
        <f t="shared" ref="IF51" si="1767">J51*$AG51</f>
        <v>0</v>
      </c>
      <c r="IG51" s="338">
        <f t="shared" ref="IG51" si="1768">K51*$AG51</f>
        <v>0</v>
      </c>
      <c r="IH51" s="338">
        <f t="shared" ref="IH51" si="1769">L51*$AG51</f>
        <v>0</v>
      </c>
      <c r="II51" s="338">
        <f t="shared" ref="II51" si="1770">M51*$AG51</f>
        <v>0</v>
      </c>
      <c r="IJ51" s="338">
        <f t="shared" ref="IJ51" si="1771">N51*$AG51</f>
        <v>0</v>
      </c>
      <c r="IK51" s="338">
        <f t="shared" ref="IK51" si="1772">O51*$AG51</f>
        <v>0</v>
      </c>
      <c r="IL51" s="338">
        <f t="shared" ref="IL51" si="1773">P51*$AG51</f>
        <v>1.1864253658826162E-2</v>
      </c>
      <c r="IM51" s="338">
        <f t="shared" ref="IM51" si="1774">Q51*$AG51</f>
        <v>6.063951870066705E-3</v>
      </c>
      <c r="IN51" s="338">
        <f t="shared" ref="IN51" si="1775">R51*$AG51</f>
        <v>0</v>
      </c>
      <c r="IO51" s="338">
        <f t="shared" ref="IO51" si="1776">S51*$AG51</f>
        <v>0</v>
      </c>
      <c r="IR51" s="337" t="s">
        <v>198</v>
      </c>
      <c r="IS51" s="338">
        <f t="shared" ref="IS51" si="1777">D51*$AH51</f>
        <v>0</v>
      </c>
      <c r="IT51" s="338">
        <f t="shared" ref="IT51" si="1778">E51*$AH51</f>
        <v>0</v>
      </c>
      <c r="IU51" s="338">
        <f t="shared" ref="IU51" si="1779">F51*$AH51</f>
        <v>0</v>
      </c>
      <c r="IV51" s="338">
        <f t="shared" ref="IV51" si="1780">G51*$AH51</f>
        <v>0</v>
      </c>
      <c r="IW51" s="338">
        <f t="shared" ref="IW51" si="1781">H51*$AH51</f>
        <v>0</v>
      </c>
      <c r="IX51" s="338">
        <f t="shared" ref="IX51" si="1782">I51*$AH51</f>
        <v>0</v>
      </c>
      <c r="IY51" s="338">
        <f t="shared" ref="IY51" si="1783">J51*$AH51</f>
        <v>0</v>
      </c>
      <c r="IZ51" s="338">
        <f t="shared" ref="IZ51" si="1784">K51*$AH51</f>
        <v>0</v>
      </c>
      <c r="JA51" s="338">
        <f t="shared" ref="JA51" si="1785">L51*$AH51</f>
        <v>0</v>
      </c>
      <c r="JB51" s="338">
        <f t="shared" ref="JB51" si="1786">M51*$AH51</f>
        <v>0</v>
      </c>
      <c r="JC51" s="338">
        <f t="shared" ref="JC51" si="1787">N51*$AH51</f>
        <v>0</v>
      </c>
      <c r="JD51" s="338">
        <f t="shared" ref="JD51" si="1788">O51*$AH51</f>
        <v>0</v>
      </c>
      <c r="JE51" s="338">
        <f t="shared" ref="JE51" si="1789">P51*$AH51</f>
        <v>1.2764158480926495</v>
      </c>
      <c r="JF51" s="338">
        <f t="shared" ref="JF51" si="1790">Q51*$AH51</f>
        <v>0.65239032235846528</v>
      </c>
      <c r="JG51" s="338">
        <f t="shared" ref="JG51" si="1791">R51*$AH51</f>
        <v>0</v>
      </c>
      <c r="JH51" s="338">
        <f t="shared" ref="JH51" si="1792">S51*$AH51</f>
        <v>0</v>
      </c>
      <c r="JK51" s="337" t="s">
        <v>198</v>
      </c>
      <c r="JL51" s="338">
        <f t="shared" ref="JL51" si="1793">D51*$AI51</f>
        <v>0</v>
      </c>
      <c r="JM51" s="338">
        <f t="shared" ref="JM51" si="1794">E51*$AI51</f>
        <v>0</v>
      </c>
      <c r="JN51" s="338">
        <f t="shared" ref="JN51" si="1795">F51*$AI51</f>
        <v>0</v>
      </c>
      <c r="JO51" s="338">
        <f t="shared" ref="JO51" si="1796">G51*$AI51</f>
        <v>0</v>
      </c>
      <c r="JP51" s="338">
        <f t="shared" ref="JP51" si="1797">H51*$AI51</f>
        <v>0</v>
      </c>
      <c r="JQ51" s="338">
        <f t="shared" ref="JQ51" si="1798">I51*$AI51</f>
        <v>0</v>
      </c>
      <c r="JR51" s="338">
        <f t="shared" ref="JR51" si="1799">J51*$AI51</f>
        <v>0</v>
      </c>
      <c r="JS51" s="338">
        <f t="shared" ref="JS51" si="1800">K51*$AI51</f>
        <v>0</v>
      </c>
      <c r="JT51" s="338">
        <f t="shared" ref="JT51" si="1801">L51*$AI51</f>
        <v>0</v>
      </c>
      <c r="JU51" s="338">
        <f t="shared" ref="JU51" si="1802">M51*$AI51</f>
        <v>0</v>
      </c>
      <c r="JV51" s="338">
        <f t="shared" ref="JV51" si="1803">N51*$AI51</f>
        <v>0</v>
      </c>
      <c r="JW51" s="338">
        <f t="shared" ref="JW51" si="1804">O51*$AI51</f>
        <v>0</v>
      </c>
      <c r="JX51" s="338">
        <f t="shared" ref="JX51" si="1805">P51*$AI51</f>
        <v>0.11811250790066864</v>
      </c>
      <c r="JY51" s="338">
        <f t="shared" ref="JY51" si="1806">Q51*$AI51</f>
        <v>6.0368615149230635E-2</v>
      </c>
      <c r="JZ51" s="338">
        <f t="shared" ref="JZ51" si="1807">R51*$AI51</f>
        <v>0</v>
      </c>
      <c r="KA51" s="338">
        <f t="shared" ref="KA51" si="1808">S51*$AI51</f>
        <v>0</v>
      </c>
      <c r="KD51" s="337" t="s">
        <v>198</v>
      </c>
      <c r="KE51" s="338">
        <f t="shared" ref="KE51" si="1809">D51*$AJ51</f>
        <v>0</v>
      </c>
      <c r="KF51" s="338">
        <f t="shared" ref="KF51" si="1810">E51*$AJ51</f>
        <v>0</v>
      </c>
      <c r="KG51" s="338">
        <f t="shared" ref="KG51" si="1811">F51*$AJ51</f>
        <v>0</v>
      </c>
      <c r="KH51" s="338">
        <f t="shared" ref="KH51" si="1812">G51*$AJ51</f>
        <v>0</v>
      </c>
      <c r="KI51" s="338">
        <f t="shared" ref="KI51" si="1813">H51*$AJ51</f>
        <v>0</v>
      </c>
      <c r="KJ51" s="338">
        <f t="shared" ref="KJ51" si="1814">I51*$AJ51</f>
        <v>0</v>
      </c>
      <c r="KK51" s="338">
        <f t="shared" ref="KK51" si="1815">J51*$AJ51</f>
        <v>0</v>
      </c>
      <c r="KL51" s="338">
        <f t="shared" ref="KL51" si="1816">K51*$AJ51</f>
        <v>0</v>
      </c>
      <c r="KM51" s="338">
        <f t="shared" ref="KM51" si="1817">L51*$AJ51</f>
        <v>0</v>
      </c>
      <c r="KN51" s="338">
        <f t="shared" ref="KN51" si="1818">M51*$AJ51</f>
        <v>0</v>
      </c>
      <c r="KO51" s="338">
        <f t="shared" ref="KO51" si="1819">N51*$AJ51</f>
        <v>0</v>
      </c>
      <c r="KP51" s="338">
        <f t="shared" ref="KP51" si="1820">O51*$AJ51</f>
        <v>0</v>
      </c>
      <c r="KQ51" s="338">
        <f t="shared" ref="KQ51" si="1821">P51*$AJ51</f>
        <v>7.1321270307477203E-2</v>
      </c>
      <c r="KR51" s="338">
        <f t="shared" ref="KR51" si="1822">Q51*$AJ51</f>
        <v>3.645309371271057E-2</v>
      </c>
      <c r="KS51" s="338">
        <f t="shared" ref="KS51" si="1823">R51*$AJ51</f>
        <v>0</v>
      </c>
      <c r="KT51" s="338">
        <f t="shared" ref="KT51" si="1824">S51*$AJ51</f>
        <v>0</v>
      </c>
      <c r="KW51" s="337" t="s">
        <v>198</v>
      </c>
      <c r="KX51" s="338">
        <f t="shared" ref="KX51" si="1825">D51*$AK51</f>
        <v>0</v>
      </c>
      <c r="KY51" s="338">
        <f t="shared" ref="KY51" si="1826">E51*$AK51</f>
        <v>0</v>
      </c>
      <c r="KZ51" s="338">
        <f t="shared" ref="KZ51" si="1827">F51*$AK51</f>
        <v>0</v>
      </c>
      <c r="LA51" s="338">
        <f t="shared" ref="LA51" si="1828">G51*$AK51</f>
        <v>0</v>
      </c>
      <c r="LB51" s="338">
        <f t="shared" ref="LB51" si="1829">H51*$AK51</f>
        <v>0</v>
      </c>
      <c r="LC51" s="338">
        <f t="shared" ref="LC51" si="1830">I51*$AK51</f>
        <v>0</v>
      </c>
      <c r="LD51" s="338">
        <f t="shared" ref="LD51" si="1831">J51*$AK51</f>
        <v>0</v>
      </c>
      <c r="LE51" s="338">
        <f t="shared" ref="LE51" si="1832">K51*$AK51</f>
        <v>0</v>
      </c>
      <c r="LF51" s="338">
        <f t="shared" ref="LF51" si="1833">L51*$AK51</f>
        <v>0</v>
      </c>
      <c r="LG51" s="338">
        <f t="shared" ref="LG51" si="1834">M51*$AK51</f>
        <v>0</v>
      </c>
      <c r="LH51" s="338">
        <f t="shared" ref="LH51" si="1835">N51*$AK51</f>
        <v>0</v>
      </c>
      <c r="LI51" s="338">
        <f t="shared" ref="LI51" si="1836">O51*$AK51</f>
        <v>0</v>
      </c>
      <c r="LJ51" s="338">
        <f t="shared" ref="LJ51" si="1837">P51*$AK51</f>
        <v>0.71328896619528892</v>
      </c>
      <c r="LK51" s="338">
        <f t="shared" ref="LK51" si="1838">Q51*$AK51</f>
        <v>0.36456991605536987</v>
      </c>
      <c r="LL51" s="338">
        <f t="shared" ref="LL51" si="1839">R51*$AK51</f>
        <v>0</v>
      </c>
      <c r="LM51" s="338">
        <f t="shared" ref="LM51" si="1840">S51*$AK51</f>
        <v>0</v>
      </c>
      <c r="LP51" s="337" t="s">
        <v>198</v>
      </c>
      <c r="LQ51" s="338">
        <f t="shared" ref="LQ51" si="1841">D51*$AL51</f>
        <v>0</v>
      </c>
      <c r="LR51" s="338">
        <f t="shared" ref="LR51" si="1842">E51*$AL51</f>
        <v>0</v>
      </c>
      <c r="LS51" s="338">
        <f t="shared" ref="LS51" si="1843">F51*$AL51</f>
        <v>0</v>
      </c>
      <c r="LT51" s="338">
        <f t="shared" ref="LT51" si="1844">G51*$AL51</f>
        <v>0</v>
      </c>
      <c r="LU51" s="338">
        <f t="shared" ref="LU51" si="1845">H51*$AL51</f>
        <v>0</v>
      </c>
      <c r="LV51" s="338">
        <f t="shared" ref="LV51" si="1846">I51*$AL51</f>
        <v>0</v>
      </c>
      <c r="LW51" s="338">
        <f t="shared" ref="LW51" si="1847">J51*$AL51</f>
        <v>0</v>
      </c>
      <c r="LX51" s="338">
        <f t="shared" ref="LX51" si="1848">K51*$AL51</f>
        <v>0</v>
      </c>
      <c r="LY51" s="338">
        <f t="shared" ref="LY51" si="1849">L51*$AL51</f>
        <v>0</v>
      </c>
      <c r="LZ51" s="338">
        <f t="shared" ref="LZ51" si="1850">M51*$AL51</f>
        <v>0</v>
      </c>
      <c r="MA51" s="338">
        <f t="shared" ref="MA51" si="1851">N51*$AL51</f>
        <v>0</v>
      </c>
      <c r="MB51" s="338">
        <f t="shared" ref="MB51" si="1852">O51*$AL51</f>
        <v>0</v>
      </c>
      <c r="MC51" s="338">
        <f t="shared" ref="MC51" si="1853">P51*$AL51</f>
        <v>1.5049764202820304E-4</v>
      </c>
      <c r="MD51" s="338">
        <f t="shared" ref="MD51" si="1854">Q51*$AL51</f>
        <v>7.692101703663712E-5</v>
      </c>
      <c r="ME51" s="338">
        <f t="shared" ref="ME51" si="1855">R51*$AL51</f>
        <v>0</v>
      </c>
      <c r="MF51" s="338">
        <f t="shared" ref="MF51" si="1856">S51*$AL51</f>
        <v>0</v>
      </c>
      <c r="MI51" s="337" t="s">
        <v>198</v>
      </c>
      <c r="MJ51" s="338">
        <f t="shared" ref="MJ51" si="1857">D51*$AM51</f>
        <v>0</v>
      </c>
      <c r="MK51" s="338">
        <f t="shared" ref="MK51" si="1858">E51*$AM51</f>
        <v>0</v>
      </c>
      <c r="ML51" s="338">
        <f t="shared" ref="ML51" si="1859">F51*$AM51</f>
        <v>0</v>
      </c>
      <c r="MM51" s="338">
        <f t="shared" ref="MM51" si="1860">G51*$AM51</f>
        <v>0</v>
      </c>
      <c r="MN51" s="338">
        <f t="shared" ref="MN51" si="1861">H51*$AM51</f>
        <v>0</v>
      </c>
      <c r="MO51" s="338">
        <f t="shared" ref="MO51" si="1862">I51*$AM51</f>
        <v>0</v>
      </c>
      <c r="MP51" s="338">
        <f t="shared" ref="MP51" si="1863">J51*$AM51</f>
        <v>0</v>
      </c>
      <c r="MQ51" s="338">
        <f t="shared" ref="MQ51" si="1864">K51*$AM51</f>
        <v>0</v>
      </c>
      <c r="MR51" s="338">
        <f t="shared" ref="MR51" si="1865">L51*$AM51</f>
        <v>0</v>
      </c>
      <c r="MS51" s="338">
        <f t="shared" ref="MS51" si="1866">M51*$AM51</f>
        <v>0</v>
      </c>
      <c r="MT51" s="338">
        <f t="shared" ref="MT51" si="1867">N51*$AM51</f>
        <v>0</v>
      </c>
      <c r="MU51" s="338">
        <f t="shared" ref="MU51" si="1868">O51*$AM51</f>
        <v>0</v>
      </c>
      <c r="MV51" s="338">
        <f t="shared" ref="MV51" si="1869">P51*$AM51</f>
        <v>1.5920689039124185E-2</v>
      </c>
      <c r="MW51" s="338">
        <f t="shared" ref="MW51" si="1870">Q51*$AM51</f>
        <v>8.1372410644412509E-3</v>
      </c>
      <c r="MX51" s="338">
        <f t="shared" ref="MX51" si="1871">R51*$AM51</f>
        <v>0</v>
      </c>
      <c r="MY51" s="338">
        <f t="shared" ref="MY51" si="1872">S51*$AM51</f>
        <v>0</v>
      </c>
      <c r="NB51" s="337" t="s">
        <v>198</v>
      </c>
      <c r="NC51" s="338">
        <f t="shared" ref="NC51" si="1873">D51*$AN51</f>
        <v>0</v>
      </c>
      <c r="ND51" s="338">
        <f t="shared" ref="ND51" si="1874">E51*$AN51</f>
        <v>0</v>
      </c>
      <c r="NE51" s="338">
        <f t="shared" ref="NE51" si="1875">F51*$AN51</f>
        <v>0</v>
      </c>
      <c r="NF51" s="338">
        <f t="shared" ref="NF51" si="1876">G51*$AN51</f>
        <v>0</v>
      </c>
      <c r="NG51" s="338">
        <f t="shared" ref="NG51" si="1877">H51*$AN51</f>
        <v>0</v>
      </c>
      <c r="NH51" s="338">
        <f t="shared" ref="NH51" si="1878">I51*$AN51</f>
        <v>0</v>
      </c>
      <c r="NI51" s="338">
        <f t="shared" ref="NI51" si="1879">J51*$AN51</f>
        <v>0</v>
      </c>
      <c r="NJ51" s="338">
        <f t="shared" ref="NJ51" si="1880">K51*$AN51</f>
        <v>0</v>
      </c>
      <c r="NK51" s="338">
        <f t="shared" ref="NK51" si="1881">L51*$AN51</f>
        <v>0</v>
      </c>
      <c r="NL51" s="338">
        <f t="shared" ref="NL51" si="1882">M51*$AN51</f>
        <v>0</v>
      </c>
      <c r="NM51" s="338">
        <f t="shared" ref="NM51" si="1883">N51*$AN51</f>
        <v>0</v>
      </c>
      <c r="NN51" s="338">
        <f t="shared" ref="NN51" si="1884">O51*$AN51</f>
        <v>0</v>
      </c>
      <c r="NO51" s="338">
        <f t="shared" ref="NO51" si="1885">P51*$AN51</f>
        <v>1.5644235227250145E-2</v>
      </c>
      <c r="NP51" s="338">
        <f t="shared" ref="NP51" si="1886">Q51*$AN51</f>
        <v>7.995942449483406E-3</v>
      </c>
      <c r="NQ51" s="338">
        <f t="shared" ref="NQ51" si="1887">R51*$AN51</f>
        <v>0</v>
      </c>
      <c r="NR51" s="338">
        <f t="shared" ref="NR51" si="1888">S51*$AN51</f>
        <v>0</v>
      </c>
    </row>
    <row r="52" spans="2:382" ht="12.75" customHeight="1" x14ac:dyDescent="0.2">
      <c r="B52" s="734"/>
      <c r="C52" s="123" t="s">
        <v>197</v>
      </c>
      <c r="D52" s="121">
        <f t="shared" ref="D52:Q52" si="1889">SUM(D53:D59)</f>
        <v>1.8058838980824801</v>
      </c>
      <c r="E52" s="116">
        <f t="shared" si="1889"/>
        <v>1.7868745938921375</v>
      </c>
      <c r="F52" s="121">
        <f t="shared" si="1889"/>
        <v>1.8058838980824794</v>
      </c>
      <c r="G52" s="116">
        <f t="shared" si="1889"/>
        <v>1.7868745938921373</v>
      </c>
      <c r="H52" s="121">
        <f t="shared" si="1889"/>
        <v>1.8058838980824803</v>
      </c>
      <c r="I52" s="116">
        <f t="shared" si="1889"/>
        <v>1.7868745938921378</v>
      </c>
      <c r="J52" s="121">
        <f t="shared" si="1889"/>
        <v>1.4071822582460878</v>
      </c>
      <c r="K52" s="116">
        <f t="shared" si="1889"/>
        <v>1.3923698134224454</v>
      </c>
      <c r="L52" s="121">
        <f t="shared" si="1889"/>
        <v>1.152691849839881</v>
      </c>
      <c r="M52" s="116">
        <f t="shared" si="1889"/>
        <v>1.1405582514205137</v>
      </c>
      <c r="N52" s="121">
        <f t="shared" si="1889"/>
        <v>2.0316193853427897</v>
      </c>
      <c r="O52" s="116">
        <f t="shared" si="1889"/>
        <v>2.0102339181286553</v>
      </c>
      <c r="P52" s="121">
        <f t="shared" si="1889"/>
        <v>2.2289766970618041</v>
      </c>
      <c r="Q52" s="116">
        <f t="shared" si="1889"/>
        <v>2.2055137844611532</v>
      </c>
      <c r="R52" s="193"/>
      <c r="S52" s="194"/>
      <c r="T52" s="318"/>
      <c r="U52" s="119"/>
      <c r="V52" s="123" t="s">
        <v>197</v>
      </c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327"/>
      <c r="AH52" s="327"/>
      <c r="AI52" s="327"/>
      <c r="AJ52" s="327"/>
      <c r="AK52" s="327"/>
      <c r="AL52" s="327"/>
      <c r="AM52" s="327"/>
      <c r="AN52" s="327"/>
      <c r="AO52" s="119"/>
      <c r="AP52" s="8"/>
      <c r="AQ52" s="123" t="s">
        <v>197</v>
      </c>
      <c r="AR52" s="49">
        <f t="shared" ref="AR52:BC52" si="1890">SUM(AR53:AR59)</f>
        <v>32.844744920376044</v>
      </c>
      <c r="AS52" s="50">
        <f t="shared" si="1890"/>
        <v>32.62100457432139</v>
      </c>
      <c r="AT52" s="49">
        <f t="shared" si="1890"/>
        <v>32.844744920376037</v>
      </c>
      <c r="AU52" s="50">
        <f t="shared" si="1890"/>
        <v>32.62100457432139</v>
      </c>
      <c r="AV52" s="49">
        <f t="shared" si="1890"/>
        <v>32.844744920376051</v>
      </c>
      <c r="AW52" s="50">
        <f t="shared" si="1890"/>
        <v>32.621004574321397</v>
      </c>
      <c r="AX52" s="49">
        <f t="shared" si="1890"/>
        <v>25.96220801469784</v>
      </c>
      <c r="AY52" s="50">
        <f t="shared" si="1890"/>
        <v>25.787864887902018</v>
      </c>
      <c r="AZ52" s="49">
        <f t="shared" si="1890"/>
        <v>21.569099351499005</v>
      </c>
      <c r="BA52" s="50">
        <f t="shared" si="1890"/>
        <v>21.426286364655606</v>
      </c>
      <c r="BB52" s="49">
        <f t="shared" si="1890"/>
        <v>36.950338035423044</v>
      </c>
      <c r="BC52" s="50">
        <f t="shared" si="1890"/>
        <v>36.698630146111569</v>
      </c>
      <c r="BD52" s="49">
        <f>SUM(BD53:BD59)</f>
        <v>14.416323696886419</v>
      </c>
      <c r="BE52" s="50">
        <f t="shared" ref="BE52:BG52" si="1891">SUM(BE53:BE59)</f>
        <v>14.140164184041813</v>
      </c>
      <c r="BF52" s="49">
        <f t="shared" si="1891"/>
        <v>270.38498044702135</v>
      </c>
      <c r="BG52" s="50">
        <f t="shared" si="1891"/>
        <v>138.19676778403314</v>
      </c>
      <c r="BI52" s="156"/>
      <c r="BJ52" s="123" t="s">
        <v>197</v>
      </c>
      <c r="BK52" s="49">
        <f t="shared" ref="BK52" si="1892">SUM(BK53:BK59)</f>
        <v>7.1946816128184921</v>
      </c>
      <c r="BL52" s="49">
        <f t="shared" ref="BL52:BM52" si="1893">SUM(BL53:BL59)</f>
        <v>7.1702153411306027</v>
      </c>
      <c r="BM52" s="49">
        <f t="shared" si="1893"/>
        <v>7.1946816128184903</v>
      </c>
      <c r="BN52" s="49">
        <f t="shared" ref="BN52:BV52" si="1894">SUM(BN53:BN59)</f>
        <v>7.1702153411306018</v>
      </c>
      <c r="BO52" s="49">
        <f t="shared" si="1894"/>
        <v>7.1946816128184929</v>
      </c>
      <c r="BP52" s="49">
        <f t="shared" si="1894"/>
        <v>7.1702153411306035</v>
      </c>
      <c r="BQ52" s="49">
        <f t="shared" si="1894"/>
        <v>5.7203988517392759</v>
      </c>
      <c r="BR52" s="49">
        <f t="shared" si="1894"/>
        <v>5.7013342244500143</v>
      </c>
      <c r="BS52" s="49">
        <f t="shared" si="1894"/>
        <v>4.7793673021142471</v>
      </c>
      <c r="BT52" s="49">
        <f t="shared" si="1894"/>
        <v>4.7637505329517644</v>
      </c>
      <c r="BU52" s="49">
        <f t="shared" si="1894"/>
        <v>8.0940168144208045</v>
      </c>
      <c r="BV52" s="49">
        <f t="shared" si="1894"/>
        <v>8.0664922587719303</v>
      </c>
      <c r="BW52" s="49">
        <f t="shared" ref="BW52:BZ52" si="1895">SUM(BW53:BW59)</f>
        <v>3.8205022573454923</v>
      </c>
      <c r="BX52" s="49">
        <f>SUM(BX53:BX59)</f>
        <v>3.7903038877192987</v>
      </c>
      <c r="BY52" s="49">
        <f t="shared" si="1895"/>
        <v>72.924184679203336</v>
      </c>
      <c r="BZ52" s="49">
        <f t="shared" si="1895"/>
        <v>37.272361058259484</v>
      </c>
      <c r="CA52" s="156"/>
      <c r="CB52" s="156"/>
      <c r="CC52" s="123" t="s">
        <v>197</v>
      </c>
      <c r="CD52" s="49">
        <f t="shared" ref="CD52:CO52" si="1896">SUM(CD53:CD59)</f>
        <v>424.98096682919623</v>
      </c>
      <c r="CE52" s="49">
        <f t="shared" si="1896"/>
        <v>424.83585609974</v>
      </c>
      <c r="CF52" s="49">
        <f t="shared" si="1896"/>
        <v>424.98096682919612</v>
      </c>
      <c r="CG52" s="49">
        <f t="shared" si="1896"/>
        <v>424.83585609973994</v>
      </c>
      <c r="CH52" s="49">
        <f t="shared" si="1896"/>
        <v>424.98096682919629</v>
      </c>
      <c r="CI52" s="49">
        <f t="shared" si="1896"/>
        <v>424.83585609974006</v>
      </c>
      <c r="CJ52" s="49">
        <f t="shared" si="1896"/>
        <v>352.49361652876269</v>
      </c>
      <c r="CK52" s="49">
        <f t="shared" si="1896"/>
        <v>352.38054323308268</v>
      </c>
      <c r="CL52" s="49">
        <f t="shared" si="1896"/>
        <v>306.22509506040115</v>
      </c>
      <c r="CM52" s="49">
        <f t="shared" si="1896"/>
        <v>306.13247119053545</v>
      </c>
      <c r="CN52" s="49">
        <f t="shared" si="1896"/>
        <v>478.10358768284578</v>
      </c>
      <c r="CO52" s="220">
        <f t="shared" si="1896"/>
        <v>477.94033811220766</v>
      </c>
      <c r="CP52" s="49">
        <f>SUM(CP53:CP59)</f>
        <v>11.699964772036477</v>
      </c>
      <c r="CQ52" s="49">
        <f t="shared" ref="CQ52:CS52" si="1897">SUM(CQ53:CQ59)</f>
        <v>11.520856671679201</v>
      </c>
      <c r="CR52" s="49">
        <f t="shared" si="1897"/>
        <v>575.71087979425818</v>
      </c>
      <c r="CS52" s="220">
        <f t="shared" si="1897"/>
        <v>294.25222745039861</v>
      </c>
      <c r="CV52" s="123" t="s">
        <v>197</v>
      </c>
      <c r="CW52" s="49">
        <f t="shared" ref="CW52:DH52" si="1898">SUM(CW53:CW59)</f>
        <v>7.3244261450945633E-2</v>
      </c>
      <c r="CX52" s="49">
        <f t="shared" si="1898"/>
        <v>7.3182157220597774E-2</v>
      </c>
      <c r="CY52" s="49">
        <f t="shared" si="1898"/>
        <v>7.3244261450945605E-2</v>
      </c>
      <c r="CZ52" s="49">
        <f t="shared" si="1898"/>
        <v>7.3182157220597774E-2</v>
      </c>
      <c r="DA52" s="49">
        <f t="shared" si="1898"/>
        <v>7.3244261450945633E-2</v>
      </c>
      <c r="DB52" s="49">
        <f t="shared" si="1898"/>
        <v>7.3182157220597788E-2</v>
      </c>
      <c r="DC52" s="49">
        <f t="shared" si="1898"/>
        <v>5.5584495454801292E-2</v>
      </c>
      <c r="DD52" s="49">
        <f t="shared" si="1898"/>
        <v>5.5536102548036766E-2</v>
      </c>
      <c r="DE52" s="49">
        <f t="shared" si="1898"/>
        <v>4.4312304393432596E-2</v>
      </c>
      <c r="DF52" s="49">
        <f t="shared" si="1898"/>
        <v>4.4272663395338231E-2</v>
      </c>
      <c r="DG52" s="49">
        <f t="shared" si="1898"/>
        <v>8.2399794132313839E-2</v>
      </c>
      <c r="DH52" s="49">
        <f t="shared" si="1898"/>
        <v>8.2329926873172532E-2</v>
      </c>
      <c r="DI52" s="49">
        <f t="shared" ref="DI52:DL52" si="1899">SUM(DI53:DI59)</f>
        <v>1.7481678895643366E-2</v>
      </c>
      <c r="DJ52" s="49">
        <f t="shared" si="1899"/>
        <v>1.7405024531328323E-2</v>
      </c>
      <c r="DK52" s="49">
        <f t="shared" si="1899"/>
        <v>0.35403898772739256</v>
      </c>
      <c r="DL52" s="49">
        <f t="shared" si="1899"/>
        <v>0.18095326039400064</v>
      </c>
      <c r="DO52" s="123" t="s">
        <v>197</v>
      </c>
      <c r="DP52" s="49">
        <f t="shared" ref="DP52:EA52" si="1900">SUM(DP53:DP59)</f>
        <v>5.9497594119385357E-2</v>
      </c>
      <c r="DQ52" s="49">
        <f t="shared" si="1900"/>
        <v>5.9184900146198823E-2</v>
      </c>
      <c r="DR52" s="49">
        <f t="shared" si="1900"/>
        <v>5.9497594119385336E-2</v>
      </c>
      <c r="DS52" s="49">
        <f t="shared" si="1900"/>
        <v>5.9184900146198823E-2</v>
      </c>
      <c r="DT52" s="49">
        <f t="shared" si="1900"/>
        <v>5.9497594119385364E-2</v>
      </c>
      <c r="DU52" s="49">
        <f t="shared" si="1900"/>
        <v>5.9184900146198829E-2</v>
      </c>
      <c r="DV52" s="49">
        <f t="shared" si="1900"/>
        <v>4.6302138635596068E-2</v>
      </c>
      <c r="DW52" s="49">
        <f t="shared" si="1900"/>
        <v>4.6058480994152058E-2</v>
      </c>
      <c r="DX52" s="49">
        <f t="shared" si="1900"/>
        <v>3.7879507475730607E-2</v>
      </c>
      <c r="DY52" s="49">
        <f t="shared" si="1900"/>
        <v>3.7679915577951972E-2</v>
      </c>
      <c r="DZ52" s="49">
        <f t="shared" si="1900"/>
        <v>6.6934793384308508E-2</v>
      </c>
      <c r="EA52" s="49">
        <f t="shared" si="1900"/>
        <v>6.6583012664473695E-2</v>
      </c>
      <c r="EB52" s="49">
        <f t="shared" ref="EB52:EE52" si="1901">SUM(EB53:EB59)</f>
        <v>2.3333601884498484E-2</v>
      </c>
      <c r="EC52" s="49">
        <f t="shared" si="1901"/>
        <v>2.2947648180451131E-2</v>
      </c>
      <c r="ED52" s="49">
        <f t="shared" si="1901"/>
        <v>141.82991277538486</v>
      </c>
      <c r="EE52" s="49">
        <f t="shared" si="1901"/>
        <v>72.490844307418939</v>
      </c>
      <c r="EH52" s="123" t="s">
        <v>197</v>
      </c>
      <c r="EI52" s="49">
        <f t="shared" ref="EI52:ET52" si="1902">SUM(EI53:EI59)</f>
        <v>1.8280125311925403E-2</v>
      </c>
      <c r="EJ52" s="49">
        <f t="shared" si="1902"/>
        <v>1.8234520597790776E-2</v>
      </c>
      <c r="EK52" s="49">
        <f t="shared" si="1902"/>
        <v>1.82801253119254E-2</v>
      </c>
      <c r="EL52" s="49">
        <f t="shared" si="1902"/>
        <v>1.8234520597790776E-2</v>
      </c>
      <c r="EM52" s="49">
        <f t="shared" si="1902"/>
        <v>1.8280125311925407E-2</v>
      </c>
      <c r="EN52" s="49">
        <f t="shared" si="1902"/>
        <v>1.8234520597790779E-2</v>
      </c>
      <c r="EO52" s="49">
        <f t="shared" si="1902"/>
        <v>1.7291178092986602E-2</v>
      </c>
      <c r="EP52" s="49">
        <f t="shared" si="1902"/>
        <v>1.7255641952102486E-2</v>
      </c>
      <c r="EQ52" s="49">
        <f t="shared" si="1902"/>
        <v>1.665993518728099E-2</v>
      </c>
      <c r="ER52" s="49">
        <f t="shared" si="1902"/>
        <v>1.6630825795280166E-2</v>
      </c>
      <c r="ES52" s="49">
        <f t="shared" si="1902"/>
        <v>2.0565140975916076E-2</v>
      </c>
      <c r="ET52" s="49">
        <f t="shared" si="1902"/>
        <v>2.0513835672514628E-2</v>
      </c>
      <c r="EU52" s="49">
        <f t="shared" ref="EU52:EX52" si="1903">SUM(EU53:EU59)</f>
        <v>1.0508049908814591E-2</v>
      </c>
      <c r="EV52" s="49">
        <f t="shared" si="1903"/>
        <v>1.0451760661654135E-2</v>
      </c>
      <c r="EW52" s="49">
        <f t="shared" si="1903"/>
        <v>0.64753322960392323</v>
      </c>
      <c r="EX52" s="49">
        <f t="shared" si="1903"/>
        <v>0.33096142846422744</v>
      </c>
      <c r="FA52" s="123" t="s">
        <v>197</v>
      </c>
      <c r="FB52" s="53">
        <f t="shared" ref="FB52:FM52" si="1904">SUM(FB53:FB59)</f>
        <v>1.1862194887706857E-3</v>
      </c>
      <c r="FC52" s="53">
        <f t="shared" si="1904"/>
        <v>1.1846664961013644E-3</v>
      </c>
      <c r="FD52" s="53">
        <f t="shared" si="1904"/>
        <v>1.1862194887706855E-3</v>
      </c>
      <c r="FE52" s="53">
        <f t="shared" si="1904"/>
        <v>1.1846664961013642E-3</v>
      </c>
      <c r="FF52" s="53">
        <f t="shared" si="1904"/>
        <v>1.1862194887706859E-3</v>
      </c>
      <c r="FG52" s="53">
        <f t="shared" si="1904"/>
        <v>1.1846664961013647E-3</v>
      </c>
      <c r="FH52" s="53">
        <f t="shared" si="1904"/>
        <v>9.9193269447258757E-4</v>
      </c>
      <c r="FI52" s="53">
        <f t="shared" si="1904"/>
        <v>9.9072257031467556E-4</v>
      </c>
      <c r="FJ52" s="53">
        <f t="shared" si="1904"/>
        <v>8.679198470482707E-4</v>
      </c>
      <c r="FK52" s="53">
        <f t="shared" si="1904"/>
        <v>8.6692857513168283E-4</v>
      </c>
      <c r="FL52" s="53">
        <f t="shared" si="1904"/>
        <v>1.3344969248670216E-3</v>
      </c>
      <c r="FM52" s="53">
        <f t="shared" si="1904"/>
        <v>1.3327498081140354E-3</v>
      </c>
      <c r="FN52" s="53">
        <f t="shared" ref="FN52:FQ52" si="1905">SUM(FN53:FN59)</f>
        <v>1.4612004356636275E-3</v>
      </c>
      <c r="FO52" s="53">
        <f t="shared" si="1905"/>
        <v>1.4592835989974938E-3</v>
      </c>
      <c r="FP52" s="53">
        <f t="shared" si="1905"/>
        <v>3.6216231931457649E-2</v>
      </c>
      <c r="FQ52" s="53">
        <f t="shared" si="1905"/>
        <v>1.8510518542745019E-2</v>
      </c>
      <c r="FT52" s="123" t="s">
        <v>197</v>
      </c>
      <c r="FU52" s="49">
        <f t="shared" ref="FU52:GF52" si="1906">SUM(FU53:FU59)</f>
        <v>0.16685701027712113</v>
      </c>
      <c r="FV52" s="49">
        <f t="shared" si="1906"/>
        <v>0.16638898408057176</v>
      </c>
      <c r="FW52" s="49">
        <f t="shared" si="1906"/>
        <v>0.16685701027712108</v>
      </c>
      <c r="FX52" s="49">
        <f t="shared" si="1906"/>
        <v>0.16638898408057173</v>
      </c>
      <c r="FY52" s="49">
        <f t="shared" si="1906"/>
        <v>0.16685701027712113</v>
      </c>
      <c r="FZ52" s="49">
        <f t="shared" si="1906"/>
        <v>0.16638898408057179</v>
      </c>
      <c r="GA52" s="49">
        <f t="shared" si="1906"/>
        <v>0.13127605538669365</v>
      </c>
      <c r="GB52" s="49">
        <f t="shared" si="1906"/>
        <v>0.13091135964912282</v>
      </c>
      <c r="GC52" s="49">
        <f t="shared" si="1906"/>
        <v>0.10856480758429324</v>
      </c>
      <c r="GD52" s="49">
        <f t="shared" si="1906"/>
        <v>0.10826606745883623</v>
      </c>
      <c r="GE52" s="49">
        <f t="shared" si="1906"/>
        <v>0.18771413656176125</v>
      </c>
      <c r="GF52" s="49">
        <f t="shared" si="1906"/>
        <v>0.18718760709064333</v>
      </c>
      <c r="GG52" s="49">
        <f t="shared" ref="GG52:GJ52" si="1907">SUM(GG53:GG59)</f>
        <v>7.1723033637284717E-2</v>
      </c>
      <c r="GH52" s="49">
        <f t="shared" si="1907"/>
        <v>7.114535558897242E-2</v>
      </c>
      <c r="GI52" s="49">
        <f t="shared" si="1907"/>
        <v>5.0234164024618249</v>
      </c>
      <c r="GJ52" s="49">
        <f t="shared" si="1907"/>
        <v>2.5675239390360436</v>
      </c>
      <c r="GM52" s="123" t="s">
        <v>197</v>
      </c>
      <c r="GN52" s="49">
        <f t="shared" ref="GN52:GY52" si="1908">SUM(GN53:GN59)</f>
        <v>0.85932589621092736</v>
      </c>
      <c r="GO52" s="49">
        <f t="shared" si="1908"/>
        <v>0.85666173635477572</v>
      </c>
      <c r="GP52" s="49">
        <f t="shared" si="1908"/>
        <v>0.85932589621092714</v>
      </c>
      <c r="GQ52" s="49">
        <f t="shared" si="1908"/>
        <v>0.8566617363547756</v>
      </c>
      <c r="GR52" s="49">
        <f t="shared" si="1908"/>
        <v>0.85932589621092748</v>
      </c>
      <c r="GS52" s="49">
        <f t="shared" si="1908"/>
        <v>0.85666173635477583</v>
      </c>
      <c r="GT52" s="49">
        <f t="shared" si="1908"/>
        <v>0.66750108915906781</v>
      </c>
      <c r="GU52" s="49">
        <f t="shared" si="1908"/>
        <v>0.66542512043998903</v>
      </c>
      <c r="GV52" s="49">
        <f t="shared" si="1908"/>
        <v>0.54505972295575345</v>
      </c>
      <c r="GW52" s="49">
        <f t="shared" si="1908"/>
        <v>0.54335919538799715</v>
      </c>
      <c r="GX52" s="49">
        <f t="shared" si="1908"/>
        <v>0.96674163323729312</v>
      </c>
      <c r="GY52" s="49">
        <f t="shared" si="1908"/>
        <v>0.96374445339912307</v>
      </c>
      <c r="GZ52" s="49">
        <f t="shared" ref="GZ52:HC52" si="1909">SUM(GZ53:GZ59)</f>
        <v>0.34021653475177305</v>
      </c>
      <c r="HA52" s="49">
        <f t="shared" si="1909"/>
        <v>0.33692820030075193</v>
      </c>
      <c r="HB52" s="49">
        <f t="shared" si="1909"/>
        <v>13.348189329323633</v>
      </c>
      <c r="HC52" s="49">
        <f t="shared" si="1909"/>
        <v>6.8224078794320793</v>
      </c>
      <c r="HF52" s="123" t="s">
        <v>197</v>
      </c>
      <c r="HG52" s="49">
        <f>SUM(HG53:HG59)</f>
        <v>4.909533401464409</v>
      </c>
      <c r="HH52" s="49">
        <f t="shared" ref="HH52:HR52" si="1910">SUM(HH53:HH59)</f>
        <v>4.9011877769655614</v>
      </c>
      <c r="HI52" s="49">
        <f t="shared" si="1910"/>
        <v>4.9095334014644072</v>
      </c>
      <c r="HJ52" s="49">
        <f t="shared" si="1910"/>
        <v>4.9011877769655614</v>
      </c>
      <c r="HK52" s="49">
        <f t="shared" si="1910"/>
        <v>4.909533401464409</v>
      </c>
      <c r="HL52" s="49">
        <f t="shared" si="1910"/>
        <v>4.9011877769655623</v>
      </c>
      <c r="HM52" s="49">
        <f t="shared" si="1910"/>
        <v>3.8655939083080031</v>
      </c>
      <c r="HN52" s="49">
        <f t="shared" si="1910"/>
        <v>3.85909082428293</v>
      </c>
      <c r="HO52" s="49">
        <f t="shared" si="1910"/>
        <v>3.1992495509741299</v>
      </c>
      <c r="HP52" s="49">
        <f t="shared" si="1910"/>
        <v>3.1939225566131646</v>
      </c>
      <c r="HQ52" s="49">
        <f t="shared" si="1910"/>
        <v>5.5232250766474591</v>
      </c>
      <c r="HR52" s="49">
        <f t="shared" si="1910"/>
        <v>5.5138362490862596</v>
      </c>
      <c r="HS52" s="49">
        <f t="shared" ref="HS52:HV52" si="1911">SUM(HS53:HS59)</f>
        <v>3.0649383698074986</v>
      </c>
      <c r="HT52" s="49">
        <f t="shared" si="1911"/>
        <v>3.0546374847117801</v>
      </c>
      <c r="HU52" s="49">
        <f t="shared" si="1911"/>
        <v>116.4920316970624</v>
      </c>
      <c r="HV52" s="49">
        <f t="shared" si="1911"/>
        <v>59.540371756276343</v>
      </c>
      <c r="HY52" s="337" t="s">
        <v>197</v>
      </c>
      <c r="HZ52" s="338">
        <f t="shared" ref="HZ52:IO52" si="1912">SUM(HZ53:HZ59)</f>
        <v>2.5965734873259788E-2</v>
      </c>
      <c r="IA52" s="338">
        <f t="shared" si="1912"/>
        <v>2.5934692781026641E-2</v>
      </c>
      <c r="IB52" s="338">
        <f t="shared" si="1912"/>
        <v>2.5965734873259781E-2</v>
      </c>
      <c r="IC52" s="338">
        <f t="shared" si="1912"/>
        <v>2.5934692781026638E-2</v>
      </c>
      <c r="ID52" s="338">
        <f t="shared" si="1912"/>
        <v>2.5965734873259792E-2</v>
      </c>
      <c r="IE52" s="338">
        <f t="shared" si="1912"/>
        <v>2.5934692781026645E-2</v>
      </c>
      <c r="IF52" s="338">
        <f t="shared" si="1912"/>
        <v>1.9875235928177411E-2</v>
      </c>
      <c r="IG52" s="338">
        <f t="shared" si="1912"/>
        <v>1.9851047284878867E-2</v>
      </c>
      <c r="IH52" s="338">
        <f t="shared" si="1912"/>
        <v>1.5987683410039737E-2</v>
      </c>
      <c r="II52" s="338">
        <f t="shared" si="1912"/>
        <v>1.5967869308614324E-2</v>
      </c>
      <c r="IJ52" s="338">
        <f t="shared" si="1912"/>
        <v>2.9211451732417262E-2</v>
      </c>
      <c r="IK52" s="338">
        <f t="shared" si="1912"/>
        <v>2.9176529378654979E-2</v>
      </c>
      <c r="IL52" s="338">
        <f t="shared" si="1912"/>
        <v>6.7279737102330303E-3</v>
      </c>
      <c r="IM52" s="338">
        <f t="shared" si="1912"/>
        <v>6.6896588992481198E-3</v>
      </c>
      <c r="IN52" s="338">
        <f t="shared" si="1912"/>
        <v>0.15349639962931916</v>
      </c>
      <c r="IO52" s="338">
        <f t="shared" si="1912"/>
        <v>7.8453715366096452E-2</v>
      </c>
      <c r="IR52" s="337" t="s">
        <v>197</v>
      </c>
      <c r="IS52" s="338">
        <f t="shared" ref="IS52:JH52" si="1913">SUM(IS53:IS59)</f>
        <v>2.3394324041239827</v>
      </c>
      <c r="IT52" s="338">
        <f t="shared" si="1913"/>
        <v>2.3223197141000647</v>
      </c>
      <c r="IU52" s="338">
        <f t="shared" si="1913"/>
        <v>2.3394324041239818</v>
      </c>
      <c r="IV52" s="338">
        <f t="shared" si="1913"/>
        <v>2.3223197141000647</v>
      </c>
      <c r="IW52" s="338">
        <f t="shared" si="1913"/>
        <v>2.3394324041239827</v>
      </c>
      <c r="IX52" s="338">
        <f t="shared" si="1913"/>
        <v>2.3223197141000651</v>
      </c>
      <c r="IY52" s="338">
        <f t="shared" si="1913"/>
        <v>1.8202094731509622</v>
      </c>
      <c r="IZ52" s="338">
        <f t="shared" si="1913"/>
        <v>1.8068749094959622</v>
      </c>
      <c r="JA52" s="338">
        <f t="shared" si="1913"/>
        <v>1.4887905810405249</v>
      </c>
      <c r="JB52" s="338">
        <f t="shared" si="1913"/>
        <v>1.4778675874082368</v>
      </c>
      <c r="JC52" s="338">
        <f t="shared" si="1913"/>
        <v>2.6318614546394801</v>
      </c>
      <c r="JD52" s="338">
        <f t="shared" si="1913"/>
        <v>2.6126096783625736</v>
      </c>
      <c r="JE52" s="338">
        <f t="shared" si="1913"/>
        <v>1.0165537102330295</v>
      </c>
      <c r="JF52" s="338">
        <f t="shared" si="1913"/>
        <v>0.99543176140350886</v>
      </c>
      <c r="JG52" s="338">
        <f t="shared" si="1913"/>
        <v>17.596518912578517</v>
      </c>
      <c r="JH52" s="338">
        <f t="shared" si="1913"/>
        <v>8.9937763330956866</v>
      </c>
      <c r="JK52" s="337" t="s">
        <v>197</v>
      </c>
      <c r="JL52" s="338">
        <f t="shared" ref="JL52:KA52" si="1914">SUM(JL53:JL59)</f>
        <v>0.20928104971105863</v>
      </c>
      <c r="JM52" s="338">
        <f t="shared" si="1914"/>
        <v>0.20899509502923977</v>
      </c>
      <c r="JN52" s="338">
        <f t="shared" si="1914"/>
        <v>0.20928104971105857</v>
      </c>
      <c r="JO52" s="338">
        <f t="shared" si="1914"/>
        <v>0.20899509502923974</v>
      </c>
      <c r="JP52" s="338">
        <f t="shared" si="1914"/>
        <v>0.20928104971105865</v>
      </c>
      <c r="JQ52" s="338">
        <f t="shared" si="1914"/>
        <v>0.2089950950292398</v>
      </c>
      <c r="JR52" s="338">
        <f t="shared" si="1914"/>
        <v>0.17968030929866036</v>
      </c>
      <c r="JS52" s="338">
        <f t="shared" si="1914"/>
        <v>0.17945748746867174</v>
      </c>
      <c r="JT52" s="338">
        <f t="shared" si="1914"/>
        <v>0.16078621967372536</v>
      </c>
      <c r="JU52" s="338">
        <f t="shared" si="1914"/>
        <v>0.16060369540873462</v>
      </c>
      <c r="JV52" s="338">
        <f t="shared" si="1914"/>
        <v>0.2354411809249409</v>
      </c>
      <c r="JW52" s="338">
        <f t="shared" si="1914"/>
        <v>0.23511948190789478</v>
      </c>
      <c r="JX52" s="338">
        <f t="shared" si="1914"/>
        <v>0.13689356231003044</v>
      </c>
      <c r="JY52" s="338">
        <f t="shared" si="1914"/>
        <v>0.13654061253132832</v>
      </c>
      <c r="JZ52" s="338">
        <f t="shared" si="1914"/>
        <v>4.3702659754837851</v>
      </c>
      <c r="KA52" s="338">
        <f t="shared" si="1914"/>
        <v>2.2336914985806016</v>
      </c>
      <c r="KD52" s="337" t="s">
        <v>197</v>
      </c>
      <c r="KE52" s="338">
        <f t="shared" ref="KE52:KT52" si="1915">SUM(KE53:KE59)</f>
        <v>0.11408087503283429</v>
      </c>
      <c r="KF52" s="338">
        <f t="shared" si="1915"/>
        <v>0.11371530717998699</v>
      </c>
      <c r="KG52" s="338">
        <f t="shared" si="1915"/>
        <v>0.11408087503283426</v>
      </c>
      <c r="KH52" s="338">
        <f t="shared" si="1915"/>
        <v>0.11371530717998697</v>
      </c>
      <c r="KI52" s="338">
        <f t="shared" si="1915"/>
        <v>0.1140808750328343</v>
      </c>
      <c r="KJ52" s="338">
        <f t="shared" si="1915"/>
        <v>0.113715307179987</v>
      </c>
      <c r="KK52" s="338">
        <f t="shared" si="1915"/>
        <v>0.11342395024203532</v>
      </c>
      <c r="KL52" s="338">
        <f t="shared" si="1915"/>
        <v>0.11313909217488166</v>
      </c>
      <c r="KM52" s="338">
        <f t="shared" si="1915"/>
        <v>0.11300463654578077</v>
      </c>
      <c r="KN52" s="338">
        <f t="shared" si="1915"/>
        <v>0.11277129536311228</v>
      </c>
      <c r="KO52" s="338">
        <f t="shared" si="1915"/>
        <v>0.12834098441193853</v>
      </c>
      <c r="KP52" s="338">
        <f t="shared" si="1915"/>
        <v>0.12792972057748539</v>
      </c>
      <c r="KQ52" s="338">
        <f t="shared" si="1915"/>
        <v>6.5029918135764961E-2</v>
      </c>
      <c r="KR52" s="338">
        <f t="shared" si="1915"/>
        <v>6.4578702957393486E-2</v>
      </c>
      <c r="KS52" s="338">
        <f t="shared" si="1915"/>
        <v>1.7196401622699142</v>
      </c>
      <c r="KT52" s="338">
        <f t="shared" si="1915"/>
        <v>0.87892719404906738</v>
      </c>
      <c r="KW52" s="337" t="s">
        <v>197</v>
      </c>
      <c r="KX52" s="338">
        <f t="shared" ref="KX52:LM52" si="1916">SUM(KX53:KX59)</f>
        <v>0.61518172059692688</v>
      </c>
      <c r="KY52" s="338">
        <f t="shared" si="1916"/>
        <v>0.61442459576023378</v>
      </c>
      <c r="KZ52" s="338">
        <f t="shared" si="1916"/>
        <v>0.61518172059692666</v>
      </c>
      <c r="LA52" s="338">
        <f t="shared" si="1916"/>
        <v>0.61442459576023378</v>
      </c>
      <c r="LB52" s="338">
        <f t="shared" si="1916"/>
        <v>0.615181720596927</v>
      </c>
      <c r="LC52" s="338">
        <f t="shared" si="1916"/>
        <v>0.61442459576023389</v>
      </c>
      <c r="LD52" s="338">
        <f t="shared" si="1916"/>
        <v>0.50996026328380029</v>
      </c>
      <c r="LE52" s="338">
        <f t="shared" si="1916"/>
        <v>0.5093702958785854</v>
      </c>
      <c r="LF52" s="338">
        <f t="shared" si="1916"/>
        <v>0.44279763095627328</v>
      </c>
      <c r="LG52" s="338">
        <f t="shared" si="1916"/>
        <v>0.44231435978391603</v>
      </c>
      <c r="LH52" s="338">
        <f t="shared" si="1916"/>
        <v>0.69207943567154251</v>
      </c>
      <c r="LI52" s="338">
        <f t="shared" si="1916"/>
        <v>0.69122767023026321</v>
      </c>
      <c r="LJ52" s="338">
        <f t="shared" si="1916"/>
        <v>0.10755162847011149</v>
      </c>
      <c r="LK52" s="338">
        <f t="shared" si="1916"/>
        <v>0.10661712010025064</v>
      </c>
      <c r="LL52" s="338">
        <f t="shared" si="1916"/>
        <v>6.9174489385927718</v>
      </c>
      <c r="LM52" s="338">
        <f t="shared" si="1916"/>
        <v>3.5355850130585278</v>
      </c>
      <c r="LP52" s="337" t="s">
        <v>197</v>
      </c>
      <c r="LQ52" s="338">
        <f t="shared" ref="LQ52:MF52" si="1917">SUM(LQ53:LQ59)</f>
        <v>1.1588003436104544E-4</v>
      </c>
      <c r="LR52" s="338">
        <f t="shared" si="1917"/>
        <v>1.1548031275178686E-4</v>
      </c>
      <c r="LS52" s="338">
        <f t="shared" si="1917"/>
        <v>1.1588003436104542E-4</v>
      </c>
      <c r="LT52" s="338">
        <f t="shared" si="1917"/>
        <v>1.1548031275178684E-4</v>
      </c>
      <c r="LU52" s="338">
        <f t="shared" si="1917"/>
        <v>1.1588003436104546E-4</v>
      </c>
      <c r="LV52" s="338">
        <f t="shared" si="1917"/>
        <v>1.1548031275178687E-4</v>
      </c>
      <c r="LW52" s="338">
        <f t="shared" si="1917"/>
        <v>9.4907241782055576E-5</v>
      </c>
      <c r="LX52" s="338">
        <f t="shared" si="1917"/>
        <v>9.4595770398217779E-5</v>
      </c>
      <c r="LY52" s="338">
        <f t="shared" si="1917"/>
        <v>8.152035290184935E-5</v>
      </c>
      <c r="LZ52" s="338">
        <f t="shared" si="1917"/>
        <v>8.1265211449131102E-5</v>
      </c>
      <c r="MA52" s="338">
        <f t="shared" si="1917"/>
        <v>1.303650386561761E-4</v>
      </c>
      <c r="MB52" s="338">
        <f t="shared" si="1917"/>
        <v>1.2991535184576024E-4</v>
      </c>
      <c r="MC52" s="338">
        <f t="shared" si="1917"/>
        <v>1.0274288050658564E-4</v>
      </c>
      <c r="MD52" s="338">
        <f t="shared" si="1917"/>
        <v>1.0224950983458647E-4</v>
      </c>
      <c r="ME52" s="338">
        <f t="shared" si="1917"/>
        <v>3.3660839218340337E-2</v>
      </c>
      <c r="MF52" s="338">
        <f t="shared" si="1917"/>
        <v>1.7204428933818395E-2</v>
      </c>
      <c r="MI52" s="337" t="s">
        <v>197</v>
      </c>
      <c r="MJ52" s="338">
        <f t="shared" ref="MJ52:MY52" si="1918">SUM(MJ53:MJ59)</f>
        <v>2.4402442871683742E-2</v>
      </c>
      <c r="MK52" s="338">
        <f t="shared" si="1918"/>
        <v>2.434865156270305E-2</v>
      </c>
      <c r="ML52" s="338">
        <f t="shared" si="1918"/>
        <v>2.4402442871683739E-2</v>
      </c>
      <c r="MM52" s="338">
        <f t="shared" si="1918"/>
        <v>2.4348651562703046E-2</v>
      </c>
      <c r="MN52" s="338">
        <f t="shared" si="1918"/>
        <v>2.4402442871683746E-2</v>
      </c>
      <c r="MO52" s="338">
        <f t="shared" si="1918"/>
        <v>2.4348651562703053E-2</v>
      </c>
      <c r="MP52" s="338">
        <f t="shared" si="1918"/>
        <v>1.9034632612856012E-2</v>
      </c>
      <c r="MQ52" s="338">
        <f t="shared" si="1918"/>
        <v>1.8992717307156778E-2</v>
      </c>
      <c r="MR52" s="338">
        <f t="shared" si="1918"/>
        <v>1.5608370745519178E-2</v>
      </c>
      <c r="MS52" s="338">
        <f t="shared" si="1918"/>
        <v>1.5574035867446392E-2</v>
      </c>
      <c r="MT52" s="338">
        <f t="shared" si="1918"/>
        <v>2.7452748230644211E-2</v>
      </c>
      <c r="MU52" s="338">
        <f t="shared" si="1918"/>
        <v>2.7392233008040941E-2</v>
      </c>
      <c r="MV52" s="338">
        <f t="shared" si="1918"/>
        <v>9.1735961540020273E-3</v>
      </c>
      <c r="MW52" s="338">
        <f t="shared" si="1918"/>
        <v>9.107202309774437E-3</v>
      </c>
      <c r="MX52" s="338">
        <f t="shared" si="1918"/>
        <v>0.21843984311622003</v>
      </c>
      <c r="MY52" s="338">
        <f t="shared" si="1918"/>
        <v>0.11164703092606802</v>
      </c>
      <c r="NB52" s="337" t="s">
        <v>197</v>
      </c>
      <c r="NC52" s="338">
        <f t="shared" ref="NC52:NR52" si="1919">SUM(NC53:NC59)</f>
        <v>2.3709929837306278E-2</v>
      </c>
      <c r="ND52" s="338">
        <f t="shared" si="1919"/>
        <v>2.3664366248375566E-2</v>
      </c>
      <c r="NE52" s="338">
        <f t="shared" si="1919"/>
        <v>2.3709929837306271E-2</v>
      </c>
      <c r="NF52" s="338">
        <f t="shared" si="1919"/>
        <v>2.3664366248375566E-2</v>
      </c>
      <c r="NG52" s="338">
        <f t="shared" si="1919"/>
        <v>2.3709929837306284E-2</v>
      </c>
      <c r="NH52" s="338">
        <f t="shared" si="1919"/>
        <v>2.3664366248375569E-2</v>
      </c>
      <c r="NI52" s="338">
        <f t="shared" si="1919"/>
        <v>1.8496467093042882E-2</v>
      </c>
      <c r="NJ52" s="338">
        <f t="shared" si="1919"/>
        <v>1.8460962997772213E-2</v>
      </c>
      <c r="NK52" s="338">
        <f t="shared" si="1919"/>
        <v>1.51687249158535E-2</v>
      </c>
      <c r="NL52" s="338">
        <f t="shared" si="1919"/>
        <v>1.5139641773982828E-2</v>
      </c>
      <c r="NM52" s="338">
        <f t="shared" si="1919"/>
        <v>2.6673671066969561E-2</v>
      </c>
      <c r="NN52" s="338">
        <f t="shared" si="1919"/>
        <v>2.6622412029422518E-2</v>
      </c>
      <c r="NO52" s="338">
        <f t="shared" si="1919"/>
        <v>8.9595610182370833E-3</v>
      </c>
      <c r="NP52" s="338">
        <f t="shared" si="1919"/>
        <v>8.9033225313283216E-3</v>
      </c>
      <c r="NQ52" s="338">
        <f t="shared" si="1919"/>
        <v>0.21277943653153339</v>
      </c>
      <c r="NR52" s="338">
        <f t="shared" si="1919"/>
        <v>0.10875393422722818</v>
      </c>
    </row>
    <row r="53" spans="2:382" ht="12.75" customHeight="1" x14ac:dyDescent="0.2">
      <c r="B53" s="734"/>
      <c r="C53" s="147" t="s">
        <v>59</v>
      </c>
      <c r="D53" s="121">
        <f>'Cell parameters'!D102/1000</f>
        <v>0.84876543209876554</v>
      </c>
      <c r="E53" s="116">
        <f>'Cell parameters'!E102/1000</f>
        <v>0.84876543209876532</v>
      </c>
      <c r="F53" s="121">
        <f>'Cell parameters'!F102/1000</f>
        <v>0.84876543209876532</v>
      </c>
      <c r="G53" s="116">
        <f>'Cell parameters'!G102/1000</f>
        <v>0.8487654320987652</v>
      </c>
      <c r="H53" s="121">
        <f>'Cell parameters'!H102/1000</f>
        <v>0.84876543209876565</v>
      </c>
      <c r="I53" s="116">
        <f>'Cell parameters'!I102/1000</f>
        <v>0.84876543209876543</v>
      </c>
      <c r="J53" s="121">
        <f>'Cell parameters'!J102/1000</f>
        <v>0.62830687830687815</v>
      </c>
      <c r="K53" s="116">
        <f>'Cell parameters'!K102/1000</f>
        <v>0.62830687830687837</v>
      </c>
      <c r="L53" s="121">
        <f>'Cell parameters'!L102/1000</f>
        <v>0.48758865248226962</v>
      </c>
      <c r="M53" s="116">
        <f>'Cell parameters'!M102/1000</f>
        <v>0.48758865248226951</v>
      </c>
      <c r="N53" s="121">
        <f>'Cell parameters'!N102/1000</f>
        <v>0.95486111111111116</v>
      </c>
      <c r="O53" s="116">
        <f>'Cell parameters'!O102/1000</f>
        <v>0.95486111111111127</v>
      </c>
      <c r="P53" s="193"/>
      <c r="Q53" s="194"/>
      <c r="R53" s="193"/>
      <c r="S53" s="194"/>
      <c r="T53" s="318"/>
      <c r="U53" s="119"/>
      <c r="V53" s="147" t="s">
        <v>59</v>
      </c>
      <c r="W53" s="96">
        <f>'Ecoinvent 3.10'!M28</f>
        <v>37.111229022226112</v>
      </c>
      <c r="X53" s="96">
        <f>'Ecoinvent 3.10'!N28</f>
        <v>8.2479999999999993</v>
      </c>
      <c r="Y53" s="96">
        <f>'Ecoinvent 3.10'!O28</f>
        <v>499.09</v>
      </c>
      <c r="Z53" s="96">
        <f>'Ecoinvent 3.10'!P28</f>
        <v>8.5597999999999994E-2</v>
      </c>
      <c r="AA53" s="96">
        <f>'Ecoinvent 3.10'!Q28</f>
        <v>5.7987999999999998E-2</v>
      </c>
      <c r="AB53" s="96">
        <f>'Ecoinvent 3.10'!R28</f>
        <v>2.0081000000000002E-2</v>
      </c>
      <c r="AC53" s="96">
        <f>'Ecoinvent 3.10'!S28</f>
        <v>1.3426E-3</v>
      </c>
      <c r="AD53" s="96">
        <f>'Ecoinvent 3.10'!T28</f>
        <v>0.18862000000000001</v>
      </c>
      <c r="AE53" s="96">
        <f>'Ecoinvent 3.10'!U28</f>
        <v>0.97914999999999996</v>
      </c>
      <c r="AF53" s="96">
        <f>'Ecoinvent 3.10'!V28</f>
        <v>5.5883000000000003</v>
      </c>
      <c r="AG53" s="96">
        <f>'Ecoinvent 3.10'!W28</f>
        <v>3.0249000000000002E-2</v>
      </c>
      <c r="AH53" s="96">
        <f>'Ecoinvent 3.10'!X28</f>
        <v>2.6562000000000001</v>
      </c>
      <c r="AI53" s="96">
        <f>'Ecoinvent 3.10'!Y28</f>
        <v>0.23400000000000001</v>
      </c>
      <c r="AJ53" s="96">
        <f>'Ecoinvent 3.10'!Z28</f>
        <v>0.11225</v>
      </c>
      <c r="AK53" s="96">
        <f>'Ecoinvent 3.10'!AA28</f>
        <v>0.71292</v>
      </c>
      <c r="AL53" s="96">
        <f>'Ecoinvent 3.10'!AB28</f>
        <v>1.2973999999999999E-4</v>
      </c>
      <c r="AM53" s="96">
        <f>'Ecoinvent 3.10'!AC28</f>
        <v>2.8188999999999999E-2</v>
      </c>
      <c r="AN53" s="96">
        <f>'Ecoinvent 3.10'!AD28</f>
        <v>2.7422999999999999E-2</v>
      </c>
      <c r="AO53" s="119"/>
      <c r="AP53" s="8"/>
      <c r="AQ53" s="147" t="s">
        <v>59</v>
      </c>
      <c r="AR53" s="49">
        <f t="shared" ref="AR53:BC61" si="1920">D53*$W53</f>
        <v>31.498728336765993</v>
      </c>
      <c r="AS53" s="50">
        <f t="shared" si="1920"/>
        <v>31.498728336765986</v>
      </c>
      <c r="AT53" s="49">
        <f t="shared" si="1920"/>
        <v>31.498728336765986</v>
      </c>
      <c r="AU53" s="50">
        <f t="shared" si="1920"/>
        <v>31.498728336765982</v>
      </c>
      <c r="AV53" s="49">
        <f t="shared" si="1920"/>
        <v>31.498728336766</v>
      </c>
      <c r="AW53" s="50">
        <f t="shared" si="1920"/>
        <v>31.498728336765989</v>
      </c>
      <c r="AX53" s="49">
        <f t="shared" si="1920"/>
        <v>23.317240457086506</v>
      </c>
      <c r="AY53" s="50">
        <f t="shared" si="1920"/>
        <v>23.317240457086516</v>
      </c>
      <c r="AZ53" s="49">
        <f t="shared" si="1920"/>
        <v>18.095014150908128</v>
      </c>
      <c r="BA53" s="50">
        <f t="shared" si="1920"/>
        <v>18.095014150908124</v>
      </c>
      <c r="BB53" s="49">
        <f t="shared" si="1920"/>
        <v>35.436069378861738</v>
      </c>
      <c r="BC53" s="50">
        <f t="shared" si="1920"/>
        <v>35.436069378861745</v>
      </c>
      <c r="BD53" s="49">
        <f t="shared" ref="BD53:BD55" si="1921">P53*$W53</f>
        <v>0</v>
      </c>
      <c r="BE53" s="50">
        <f t="shared" ref="BE53:BE55" si="1922">Q53*$W53</f>
        <v>0</v>
      </c>
      <c r="BF53" s="49">
        <f t="shared" ref="BF53:BF55" si="1923">R53*$W53</f>
        <v>0</v>
      </c>
      <c r="BG53" s="50">
        <f t="shared" ref="BG53:BG55" si="1924">S53*$W53</f>
        <v>0</v>
      </c>
      <c r="BI53" s="156"/>
      <c r="BJ53" s="147" t="s">
        <v>59</v>
      </c>
      <c r="BK53" s="49">
        <f t="shared" ref="BK53:BK61" si="1925">D53*$X53</f>
        <v>7.0006172839506178</v>
      </c>
      <c r="BL53" s="49">
        <f t="shared" ref="BL53:BL61" si="1926">E53*$X53</f>
        <v>7.000617283950616</v>
      </c>
      <c r="BM53" s="49">
        <f t="shared" ref="BM53:BM61" si="1927">F53*$X53</f>
        <v>7.000617283950616</v>
      </c>
      <c r="BN53" s="49">
        <f t="shared" ref="BN53:BN61" si="1928">G53*$X53</f>
        <v>7.0006172839506151</v>
      </c>
      <c r="BO53" s="49">
        <f t="shared" ref="BO53:BO61" si="1929">H53*$X53</f>
        <v>7.0006172839506187</v>
      </c>
      <c r="BP53" s="49">
        <f t="shared" ref="BP53:BP61" si="1930">I53*$X53</f>
        <v>7.0006172839506169</v>
      </c>
      <c r="BQ53" s="49">
        <f t="shared" ref="BQ53:BQ61" si="1931">J53*$X53</f>
        <v>5.1822751322751301</v>
      </c>
      <c r="BR53" s="49">
        <f t="shared" ref="BR53:BR61" si="1932">K53*$X53</f>
        <v>5.1822751322751328</v>
      </c>
      <c r="BS53" s="49">
        <f t="shared" ref="BS53:BS61" si="1933">L53*$X53</f>
        <v>4.02163120567376</v>
      </c>
      <c r="BT53" s="49">
        <f t="shared" ref="BT53:BT61" si="1934">M53*$X53</f>
        <v>4.0216312056737582</v>
      </c>
      <c r="BU53" s="49">
        <f t="shared" ref="BU53:BU61" si="1935">N53*$X53</f>
        <v>7.8756944444444441</v>
      </c>
      <c r="BV53" s="49">
        <f>O53*$X53</f>
        <v>7.875694444444445</v>
      </c>
      <c r="BW53" s="49">
        <f t="shared" ref="BW53:BW61" si="1936">P53*$X53</f>
        <v>0</v>
      </c>
      <c r="BX53" s="49">
        <f t="shared" ref="BX53:BX61" si="1937">Q53*$X53</f>
        <v>0</v>
      </c>
      <c r="BY53" s="49">
        <f t="shared" ref="BY53:BY61" si="1938">R53*$X53</f>
        <v>0</v>
      </c>
      <c r="BZ53" s="49">
        <f t="shared" ref="BZ53:BZ61" si="1939">S53*$X53</f>
        <v>0</v>
      </c>
      <c r="CA53" s="156"/>
      <c r="CB53" s="156"/>
      <c r="CC53" s="147" t="s">
        <v>59</v>
      </c>
      <c r="CD53" s="49">
        <f t="shared" ref="CD53:CD61" si="1940">D53*$Y53</f>
        <v>423.61033950617286</v>
      </c>
      <c r="CE53" s="49">
        <f t="shared" ref="CE53:CE61" si="1941">E53*$Y53</f>
        <v>423.61033950617275</v>
      </c>
      <c r="CF53" s="49">
        <f t="shared" ref="CF53:CF61" si="1942">F53*$Y53</f>
        <v>423.61033950617275</v>
      </c>
      <c r="CG53" s="49">
        <f t="shared" ref="CG53:CG61" si="1943">G53*$Y53</f>
        <v>423.61033950617269</v>
      </c>
      <c r="CH53" s="49">
        <f t="shared" ref="CH53:CH61" si="1944">H53*$Y53</f>
        <v>423.61033950617292</v>
      </c>
      <c r="CI53" s="49">
        <f t="shared" ref="CI53:CI61" si="1945">I53*$Y53</f>
        <v>423.61033950617281</v>
      </c>
      <c r="CJ53" s="49">
        <f t="shared" ref="CJ53:CJ61" si="1946">J53*$Y53</f>
        <v>313.58167989417979</v>
      </c>
      <c r="CK53" s="49">
        <f t="shared" ref="CK53:CK61" si="1947">K53*$Y53</f>
        <v>313.5816798941799</v>
      </c>
      <c r="CL53" s="49">
        <f t="shared" ref="CL53:CL61" si="1948">L53*$Y53</f>
        <v>243.35062056737593</v>
      </c>
      <c r="CM53" s="49">
        <f t="shared" ref="CM53:CM61" si="1949">M53*$Y53</f>
        <v>243.35062056737587</v>
      </c>
      <c r="CN53" s="49">
        <f t="shared" ref="CN53:CN61" si="1950">N53*$Y53</f>
        <v>476.56163194444446</v>
      </c>
      <c r="CO53" s="220">
        <f t="shared" ref="CO53:CO61" si="1951">O53*$Y53</f>
        <v>476.56163194444451</v>
      </c>
      <c r="CP53" s="49">
        <f t="shared" ref="CP53:CP61" si="1952">P53*$Y53</f>
        <v>0</v>
      </c>
      <c r="CQ53" s="49">
        <f t="shared" ref="CQ53:CQ61" si="1953">Q53*$Y53</f>
        <v>0</v>
      </c>
      <c r="CR53" s="49">
        <f t="shared" ref="CR53:CR61" si="1954">R53*$Y53</f>
        <v>0</v>
      </c>
      <c r="CS53" s="220">
        <f t="shared" ref="CS53:CS61" si="1955">S53*$Y53</f>
        <v>0</v>
      </c>
      <c r="CV53" s="147" t="s">
        <v>59</v>
      </c>
      <c r="CW53" s="49">
        <f t="shared" ref="CW53:CW61" si="1956">D53*$Z53</f>
        <v>7.2652623456790133E-2</v>
      </c>
      <c r="CX53" s="49">
        <f t="shared" ref="CX53:CX61" si="1957">E53*$Z53</f>
        <v>7.2652623456790105E-2</v>
      </c>
      <c r="CY53" s="49">
        <f t="shared" ref="CY53:CY61" si="1958">F53*$Z53</f>
        <v>7.2652623456790105E-2</v>
      </c>
      <c r="CZ53" s="49">
        <f t="shared" ref="CZ53:CZ61" si="1959">G53*$Z53</f>
        <v>7.2652623456790105E-2</v>
      </c>
      <c r="DA53" s="49">
        <f t="shared" ref="DA53:DA61" si="1960">H53*$Z53</f>
        <v>7.2652623456790133E-2</v>
      </c>
      <c r="DB53" s="49">
        <f t="shared" ref="DB53:DB61" si="1961">I53*$Z53</f>
        <v>7.2652623456790119E-2</v>
      </c>
      <c r="DC53" s="49">
        <f t="shared" ref="DC53:DC61" si="1962">J53*$Z53</f>
        <v>5.3781812169312153E-2</v>
      </c>
      <c r="DD53" s="49">
        <f t="shared" ref="DD53:DD61" si="1963">K53*$Z53</f>
        <v>5.3781812169312174E-2</v>
      </c>
      <c r="DE53" s="49">
        <f t="shared" ref="DE53:DE61" si="1964">L53*$Z53</f>
        <v>4.1736613475177313E-2</v>
      </c>
      <c r="DF53" s="49">
        <f t="shared" ref="DF53:DF61" si="1965">M53*$Z53</f>
        <v>4.1736613475177306E-2</v>
      </c>
      <c r="DG53" s="49">
        <f t="shared" ref="DG53:DG61" si="1966">N53*$Z53</f>
        <v>8.1734201388888886E-2</v>
      </c>
      <c r="DH53" s="49">
        <f t="shared" ref="DH53:DH61" si="1967">O53*$Z53</f>
        <v>8.17342013888889E-2</v>
      </c>
      <c r="DI53" s="49">
        <f t="shared" ref="DI53:DI61" si="1968">P53*$Z53</f>
        <v>0</v>
      </c>
      <c r="DJ53" s="49">
        <f t="shared" ref="DJ53:DJ61" si="1969">Q53*$Z53</f>
        <v>0</v>
      </c>
      <c r="DK53" s="49">
        <f t="shared" ref="DK53:DK61" si="1970">R53*$Z53</f>
        <v>0</v>
      </c>
      <c r="DL53" s="49">
        <f t="shared" ref="DL53:DL61" si="1971">S53*$Z53</f>
        <v>0</v>
      </c>
      <c r="DO53" s="147" t="s">
        <v>59</v>
      </c>
      <c r="DP53" s="49">
        <f t="shared" ref="DP53:DP61" si="1972">D53*$AA53</f>
        <v>4.9218209876543212E-2</v>
      </c>
      <c r="DQ53" s="49">
        <f t="shared" ref="DQ53:DQ61" si="1973">E53*$AA53</f>
        <v>4.9218209876543198E-2</v>
      </c>
      <c r="DR53" s="49">
        <f t="shared" ref="DR53:DR61" si="1974">F53*$AA53</f>
        <v>4.9218209876543198E-2</v>
      </c>
      <c r="DS53" s="49">
        <f t="shared" ref="DS53:DS61" si="1975">G53*$AA53</f>
        <v>4.9218209876543198E-2</v>
      </c>
      <c r="DT53" s="49">
        <f t="shared" ref="DT53:DT61" si="1976">H53*$AA53</f>
        <v>4.9218209876543219E-2</v>
      </c>
      <c r="DU53" s="49">
        <f t="shared" ref="DU53:DU61" si="1977">I53*$AA53</f>
        <v>4.9218209876543205E-2</v>
      </c>
      <c r="DV53" s="49">
        <f t="shared" ref="DV53:DV61" si="1978">J53*$AA53</f>
        <v>3.643425925925925E-2</v>
      </c>
      <c r="DW53" s="49">
        <f t="shared" ref="DW53:DW61" si="1979">K53*$AA53</f>
        <v>3.6434259259259263E-2</v>
      </c>
      <c r="DX53" s="49">
        <f t="shared" ref="DX53:DX61" si="1980">L53*$AA53</f>
        <v>2.8274290780141851E-2</v>
      </c>
      <c r="DY53" s="49">
        <f t="shared" ref="DY53:DY61" si="1981">M53*$AA53</f>
        <v>2.8274290780141844E-2</v>
      </c>
      <c r="DZ53" s="49">
        <f t="shared" ref="DZ53:DZ61" si="1982">N53*$AA53</f>
        <v>5.537048611111111E-2</v>
      </c>
      <c r="EA53" s="49">
        <f t="shared" ref="EA53:EA61" si="1983">O53*$AA53</f>
        <v>5.5370486111111117E-2</v>
      </c>
      <c r="EB53" s="49">
        <f t="shared" ref="EB53:EB61" si="1984">P53*$AA53</f>
        <v>0</v>
      </c>
      <c r="EC53" s="49">
        <f t="shared" ref="EC53:EC61" si="1985">Q53*$AA53</f>
        <v>0</v>
      </c>
      <c r="ED53" s="49">
        <f t="shared" ref="ED53:ED61" si="1986">R53*$AA53</f>
        <v>0</v>
      </c>
      <c r="EE53" s="49">
        <f t="shared" ref="EE53:EE61" si="1987">S53*$AA53</f>
        <v>0</v>
      </c>
      <c r="EH53" s="147" t="s">
        <v>59</v>
      </c>
      <c r="EI53" s="49">
        <f t="shared" ref="EI53:ET55" si="1988">D53*$AB53</f>
        <v>1.7044058641975311E-2</v>
      </c>
      <c r="EJ53" s="49">
        <f t="shared" si="1988"/>
        <v>1.7044058641975307E-2</v>
      </c>
      <c r="EK53" s="49">
        <f t="shared" si="1988"/>
        <v>1.7044058641975307E-2</v>
      </c>
      <c r="EL53" s="49">
        <f t="shared" si="1988"/>
        <v>1.7044058641975307E-2</v>
      </c>
      <c r="EM53" s="49">
        <f t="shared" si="1988"/>
        <v>1.7044058641975314E-2</v>
      </c>
      <c r="EN53" s="49">
        <f t="shared" si="1988"/>
        <v>1.7044058641975311E-2</v>
      </c>
      <c r="EO53" s="49">
        <f t="shared" si="1988"/>
        <v>1.2617030423280421E-2</v>
      </c>
      <c r="EP53" s="49">
        <f t="shared" si="1988"/>
        <v>1.2617030423280426E-2</v>
      </c>
      <c r="EQ53" s="49">
        <f t="shared" si="1988"/>
        <v>9.7912677304964578E-3</v>
      </c>
      <c r="ER53" s="49">
        <f t="shared" si="1988"/>
        <v>9.7912677304964543E-3</v>
      </c>
      <c r="ES53" s="49">
        <f t="shared" si="1988"/>
        <v>1.9174565972222224E-2</v>
      </c>
      <c r="ET53" s="49">
        <f t="shared" si="1988"/>
        <v>1.9174565972222227E-2</v>
      </c>
      <c r="EU53" s="49">
        <f t="shared" ref="EU53:EU55" si="1989">P53*$AB53</f>
        <v>0</v>
      </c>
      <c r="EV53" s="49">
        <f t="shared" ref="EV53:EV55" si="1990">Q53*$AB53</f>
        <v>0</v>
      </c>
      <c r="EW53" s="49">
        <f t="shared" ref="EW53:EW55" si="1991">R53*$AB53</f>
        <v>0</v>
      </c>
      <c r="EX53" s="49">
        <f t="shared" ref="EX53:EX55" si="1992">S53*$AB53</f>
        <v>0</v>
      </c>
      <c r="FA53" s="147" t="s">
        <v>59</v>
      </c>
      <c r="FB53" s="53">
        <f t="shared" ref="FB53:FM55" si="1993">D53*$AC53</f>
        <v>1.1395524691358025E-3</v>
      </c>
      <c r="FC53" s="53">
        <f t="shared" si="1993"/>
        <v>1.1395524691358023E-3</v>
      </c>
      <c r="FD53" s="53">
        <f t="shared" si="1993"/>
        <v>1.1395524691358023E-3</v>
      </c>
      <c r="FE53" s="53">
        <f t="shared" si="1993"/>
        <v>1.1395524691358021E-3</v>
      </c>
      <c r="FF53" s="53">
        <f t="shared" si="1993"/>
        <v>1.1395524691358027E-3</v>
      </c>
      <c r="FG53" s="53">
        <f t="shared" si="1993"/>
        <v>1.1395524691358025E-3</v>
      </c>
      <c r="FH53" s="53">
        <f t="shared" si="1993"/>
        <v>8.4356481481481457E-4</v>
      </c>
      <c r="FI53" s="53">
        <f t="shared" si="1993"/>
        <v>8.4356481481481489E-4</v>
      </c>
      <c r="FJ53" s="53">
        <f t="shared" si="1993"/>
        <v>6.5463652482269518E-4</v>
      </c>
      <c r="FK53" s="53">
        <f t="shared" si="1993"/>
        <v>6.5463652482269507E-4</v>
      </c>
      <c r="FL53" s="53">
        <f t="shared" si="1993"/>
        <v>1.281996527777778E-3</v>
      </c>
      <c r="FM53" s="53">
        <f t="shared" si="1993"/>
        <v>1.281996527777778E-3</v>
      </c>
      <c r="FN53" s="53">
        <f t="shared" ref="FN53:FN55" si="1994">P53*$AC53</f>
        <v>0</v>
      </c>
      <c r="FO53" s="53">
        <f t="shared" ref="FO53:FO55" si="1995">Q53*$AC53</f>
        <v>0</v>
      </c>
      <c r="FP53" s="53">
        <f t="shared" ref="FP53:FP55" si="1996">R53*$AC53</f>
        <v>0</v>
      </c>
      <c r="FQ53" s="53">
        <f t="shared" ref="FQ53:FQ55" si="1997">S53*$AC53</f>
        <v>0</v>
      </c>
      <c r="FT53" s="147" t="s">
        <v>59</v>
      </c>
      <c r="FU53" s="49">
        <f t="shared" ref="FU53:GF55" si="1998">D53*$AD53</f>
        <v>0.16009413580246917</v>
      </c>
      <c r="FV53" s="49">
        <f t="shared" si="1998"/>
        <v>0.16009413580246912</v>
      </c>
      <c r="FW53" s="49">
        <f t="shared" si="1998"/>
        <v>0.16009413580246912</v>
      </c>
      <c r="FX53" s="49">
        <f t="shared" si="1998"/>
        <v>0.16009413580246909</v>
      </c>
      <c r="FY53" s="49">
        <f t="shared" si="1998"/>
        <v>0.16009413580246917</v>
      </c>
      <c r="FZ53" s="49">
        <f t="shared" si="1998"/>
        <v>0.16009413580246915</v>
      </c>
      <c r="GA53" s="49">
        <f t="shared" si="1998"/>
        <v>0.11851124338624336</v>
      </c>
      <c r="GB53" s="49">
        <f t="shared" si="1998"/>
        <v>0.1185112433862434</v>
      </c>
      <c r="GC53" s="49">
        <f t="shared" si="1998"/>
        <v>9.1968971631205695E-2</v>
      </c>
      <c r="GD53" s="49">
        <f t="shared" si="1998"/>
        <v>9.1968971631205682E-2</v>
      </c>
      <c r="GE53" s="49">
        <f t="shared" si="1998"/>
        <v>0.1801059027777778</v>
      </c>
      <c r="GF53" s="49">
        <f t="shared" si="1998"/>
        <v>0.18010590277777783</v>
      </c>
      <c r="GG53" s="49">
        <f t="shared" ref="GG53:GG55" si="1999">P53*$AD53</f>
        <v>0</v>
      </c>
      <c r="GH53" s="49">
        <f t="shared" ref="GH53:GH55" si="2000">Q53*$AD53</f>
        <v>0</v>
      </c>
      <c r="GI53" s="49">
        <f t="shared" ref="GI53:GI55" si="2001">R53*$AD53</f>
        <v>0</v>
      </c>
      <c r="GJ53" s="49">
        <f t="shared" ref="GJ53:GJ55" si="2002">S53*$AD53</f>
        <v>0</v>
      </c>
      <c r="GM53" s="147" t="s">
        <v>59</v>
      </c>
      <c r="GN53" s="49">
        <f t="shared" ref="GN53:GY55" si="2003">D53*$AE53</f>
        <v>0.83106867283950625</v>
      </c>
      <c r="GO53" s="49">
        <f t="shared" si="2003"/>
        <v>0.83106867283950603</v>
      </c>
      <c r="GP53" s="49">
        <f t="shared" si="2003"/>
        <v>0.83106867283950603</v>
      </c>
      <c r="GQ53" s="49">
        <f t="shared" si="2003"/>
        <v>0.83106867283950592</v>
      </c>
      <c r="GR53" s="49">
        <f t="shared" si="2003"/>
        <v>0.83106867283950636</v>
      </c>
      <c r="GS53" s="49">
        <f t="shared" si="2003"/>
        <v>0.83106867283950614</v>
      </c>
      <c r="GT53" s="49">
        <f t="shared" si="2003"/>
        <v>0.61520667989417976</v>
      </c>
      <c r="GU53" s="49">
        <f t="shared" si="2003"/>
        <v>0.61520667989417999</v>
      </c>
      <c r="GV53" s="49">
        <f t="shared" si="2003"/>
        <v>0.4774224290780143</v>
      </c>
      <c r="GW53" s="49">
        <f t="shared" si="2003"/>
        <v>0.47742242907801419</v>
      </c>
      <c r="GX53" s="49">
        <f t="shared" si="2003"/>
        <v>0.9349522569444445</v>
      </c>
      <c r="GY53" s="49">
        <f t="shared" si="2003"/>
        <v>0.93495225694444462</v>
      </c>
      <c r="GZ53" s="49">
        <f t="shared" ref="GZ53:GZ55" si="2004">P53*$AE53</f>
        <v>0</v>
      </c>
      <c r="HA53" s="49">
        <f t="shared" ref="HA53:HA55" si="2005">Q53*$AE53</f>
        <v>0</v>
      </c>
      <c r="HB53" s="49">
        <f t="shared" ref="HB53:HB55" si="2006">R53*$AE53</f>
        <v>0</v>
      </c>
      <c r="HC53" s="49">
        <f t="shared" ref="HC53:HC55" si="2007">S53*$AE53</f>
        <v>0</v>
      </c>
      <c r="HF53" s="147" t="s">
        <v>59</v>
      </c>
      <c r="HG53" s="49">
        <f t="shared" ref="HG53:HR55" si="2008">D53*$AF53</f>
        <v>4.743155864197532</v>
      </c>
      <c r="HH53" s="49">
        <f t="shared" si="2008"/>
        <v>4.7431558641975302</v>
      </c>
      <c r="HI53" s="49">
        <f t="shared" si="2008"/>
        <v>4.7431558641975302</v>
      </c>
      <c r="HJ53" s="49">
        <f t="shared" si="2008"/>
        <v>4.7431558641975302</v>
      </c>
      <c r="HK53" s="49">
        <f t="shared" si="2008"/>
        <v>4.743155864197532</v>
      </c>
      <c r="HL53" s="49">
        <f t="shared" si="2008"/>
        <v>4.7431558641975311</v>
      </c>
      <c r="HM53" s="49">
        <f t="shared" si="2008"/>
        <v>3.5111673280423275</v>
      </c>
      <c r="HN53" s="49">
        <f t="shared" si="2008"/>
        <v>3.5111673280423283</v>
      </c>
      <c r="HO53" s="49">
        <f t="shared" si="2008"/>
        <v>2.7247916666666674</v>
      </c>
      <c r="HP53" s="49">
        <f t="shared" si="2008"/>
        <v>2.7247916666666669</v>
      </c>
      <c r="HQ53" s="49">
        <f t="shared" si="2008"/>
        <v>5.3360503472222227</v>
      </c>
      <c r="HR53" s="49">
        <f t="shared" si="2008"/>
        <v>5.3360503472222236</v>
      </c>
      <c r="HS53" s="49">
        <f t="shared" ref="HS53:HS55" si="2009">P53*$AF53</f>
        <v>0</v>
      </c>
      <c r="HT53" s="49">
        <f t="shared" ref="HT53:HT55" si="2010">Q53*$AF53</f>
        <v>0</v>
      </c>
      <c r="HU53" s="49">
        <f t="shared" ref="HU53:HU55" si="2011">R53*$AF53</f>
        <v>0</v>
      </c>
      <c r="HV53" s="49">
        <f t="shared" ref="HV53:HV55" si="2012">S53*$AF53</f>
        <v>0</v>
      </c>
      <c r="HY53" s="339" t="s">
        <v>59</v>
      </c>
      <c r="HZ53" s="338">
        <f t="shared" ref="HZ53:IK55" si="2013">D53*$AG53</f>
        <v>2.5674305555555561E-2</v>
      </c>
      <c r="IA53" s="338">
        <f t="shared" si="2013"/>
        <v>2.5674305555555554E-2</v>
      </c>
      <c r="IB53" s="338">
        <f t="shared" si="2013"/>
        <v>2.5674305555555554E-2</v>
      </c>
      <c r="IC53" s="338">
        <f t="shared" si="2013"/>
        <v>2.5674305555555551E-2</v>
      </c>
      <c r="ID53" s="338">
        <f t="shared" si="2013"/>
        <v>2.5674305555555565E-2</v>
      </c>
      <c r="IE53" s="338">
        <f t="shared" si="2013"/>
        <v>2.5674305555555558E-2</v>
      </c>
      <c r="IF53" s="338">
        <f t="shared" si="2013"/>
        <v>1.9005654761904758E-2</v>
      </c>
      <c r="IG53" s="338">
        <f t="shared" si="2013"/>
        <v>1.9005654761904765E-2</v>
      </c>
      <c r="IH53" s="338">
        <f t="shared" si="2013"/>
        <v>1.4749069148936174E-2</v>
      </c>
      <c r="II53" s="338">
        <f t="shared" si="2013"/>
        <v>1.4749069148936171E-2</v>
      </c>
      <c r="IJ53" s="338">
        <f t="shared" si="2013"/>
        <v>2.8883593750000002E-2</v>
      </c>
      <c r="IK53" s="338">
        <f t="shared" si="2013"/>
        <v>2.8883593750000006E-2</v>
      </c>
      <c r="IL53" s="338">
        <f t="shared" ref="IL53:IL55" si="2014">P53*$AG53</f>
        <v>0</v>
      </c>
      <c r="IM53" s="338">
        <f t="shared" ref="IM53:IM55" si="2015">Q53*$AG53</f>
        <v>0</v>
      </c>
      <c r="IN53" s="338">
        <f t="shared" ref="IN53:IN55" si="2016">R53*$AG53</f>
        <v>0</v>
      </c>
      <c r="IO53" s="338">
        <f t="shared" ref="IO53:IO55" si="2017">S53*$AG53</f>
        <v>0</v>
      </c>
      <c r="IR53" s="339" t="s">
        <v>59</v>
      </c>
      <c r="IS53" s="338">
        <f t="shared" ref="IS53:JD55" si="2018">D53*$AH53</f>
        <v>2.2544907407407413</v>
      </c>
      <c r="IT53" s="338">
        <f t="shared" si="2018"/>
        <v>2.2544907407407404</v>
      </c>
      <c r="IU53" s="338">
        <f t="shared" si="2018"/>
        <v>2.2544907407407404</v>
      </c>
      <c r="IV53" s="338">
        <f t="shared" si="2018"/>
        <v>2.2544907407407404</v>
      </c>
      <c r="IW53" s="338">
        <f t="shared" si="2018"/>
        <v>2.2544907407407413</v>
      </c>
      <c r="IX53" s="338">
        <f t="shared" si="2018"/>
        <v>2.2544907407407409</v>
      </c>
      <c r="IY53" s="338">
        <f t="shared" si="2018"/>
        <v>1.6689087301587298</v>
      </c>
      <c r="IZ53" s="338">
        <f t="shared" si="2018"/>
        <v>1.6689087301587304</v>
      </c>
      <c r="JA53" s="338">
        <f t="shared" si="2018"/>
        <v>1.2951329787234047</v>
      </c>
      <c r="JB53" s="338">
        <f t="shared" si="2018"/>
        <v>1.2951329787234043</v>
      </c>
      <c r="JC53" s="338">
        <f t="shared" si="2018"/>
        <v>2.5363020833333336</v>
      </c>
      <c r="JD53" s="338">
        <f t="shared" si="2018"/>
        <v>2.5363020833333341</v>
      </c>
      <c r="JE53" s="338">
        <f t="shared" ref="JE53:JE55" si="2019">P53*$AH53</f>
        <v>0</v>
      </c>
      <c r="JF53" s="338">
        <f t="shared" ref="JF53:JF55" si="2020">Q53*$AH53</f>
        <v>0</v>
      </c>
      <c r="JG53" s="338">
        <f t="shared" ref="JG53:JG55" si="2021">R53*$AH53</f>
        <v>0</v>
      </c>
      <c r="JH53" s="338">
        <f t="shared" ref="JH53:JH55" si="2022">S53*$AH53</f>
        <v>0</v>
      </c>
      <c r="JK53" s="339" t="s">
        <v>59</v>
      </c>
      <c r="JL53" s="338">
        <f t="shared" ref="JL53:JW55" si="2023">D53*$AI53</f>
        <v>0.19861111111111115</v>
      </c>
      <c r="JM53" s="338">
        <f t="shared" si="2023"/>
        <v>0.1986111111111111</v>
      </c>
      <c r="JN53" s="338">
        <f t="shared" si="2023"/>
        <v>0.1986111111111111</v>
      </c>
      <c r="JO53" s="338">
        <f t="shared" si="2023"/>
        <v>0.19861111111111107</v>
      </c>
      <c r="JP53" s="338">
        <f t="shared" si="2023"/>
        <v>0.19861111111111118</v>
      </c>
      <c r="JQ53" s="338">
        <f t="shared" si="2023"/>
        <v>0.19861111111111113</v>
      </c>
      <c r="JR53" s="338">
        <f t="shared" si="2023"/>
        <v>0.1470238095238095</v>
      </c>
      <c r="JS53" s="338">
        <f t="shared" si="2023"/>
        <v>0.14702380952380956</v>
      </c>
      <c r="JT53" s="338">
        <f t="shared" si="2023"/>
        <v>0.1140957446808511</v>
      </c>
      <c r="JU53" s="338">
        <f t="shared" si="2023"/>
        <v>0.11409574468085107</v>
      </c>
      <c r="JV53" s="338">
        <f t="shared" si="2023"/>
        <v>0.22343750000000001</v>
      </c>
      <c r="JW53" s="338">
        <f t="shared" si="2023"/>
        <v>0.22343750000000004</v>
      </c>
      <c r="JX53" s="338">
        <f t="shared" ref="JX53:JX55" si="2024">P53*$AI53</f>
        <v>0</v>
      </c>
      <c r="JY53" s="338">
        <f t="shared" ref="JY53:JY55" si="2025">Q53*$AI53</f>
        <v>0</v>
      </c>
      <c r="JZ53" s="338">
        <f t="shared" ref="JZ53:JZ55" si="2026">R53*$AI53</f>
        <v>0</v>
      </c>
      <c r="KA53" s="338">
        <f t="shared" ref="KA53:KA55" si="2027">S53*$AI53</f>
        <v>0</v>
      </c>
      <c r="KD53" s="339" t="s">
        <v>59</v>
      </c>
      <c r="KE53" s="338">
        <f t="shared" ref="KE53:KP55" si="2028">D53*$AJ53</f>
        <v>9.5273919753086439E-2</v>
      </c>
      <c r="KF53" s="338">
        <f t="shared" si="2028"/>
        <v>9.5273919753086411E-2</v>
      </c>
      <c r="KG53" s="338">
        <f t="shared" si="2028"/>
        <v>9.5273919753086411E-2</v>
      </c>
      <c r="KH53" s="338">
        <f t="shared" si="2028"/>
        <v>9.5273919753086397E-2</v>
      </c>
      <c r="KI53" s="338">
        <f t="shared" si="2028"/>
        <v>9.5273919753086453E-2</v>
      </c>
      <c r="KJ53" s="338">
        <f t="shared" si="2028"/>
        <v>9.5273919753086425E-2</v>
      </c>
      <c r="KK53" s="338">
        <f t="shared" si="2028"/>
        <v>7.0527447089947071E-2</v>
      </c>
      <c r="KL53" s="338">
        <f t="shared" si="2028"/>
        <v>7.0527447089947098E-2</v>
      </c>
      <c r="KM53" s="338">
        <f t="shared" si="2028"/>
        <v>5.4731826241134769E-2</v>
      </c>
      <c r="KN53" s="338">
        <f t="shared" si="2028"/>
        <v>5.4731826241134755E-2</v>
      </c>
      <c r="KO53" s="338">
        <f t="shared" si="2028"/>
        <v>0.10718315972222223</v>
      </c>
      <c r="KP53" s="338">
        <f t="shared" si="2028"/>
        <v>0.10718315972222224</v>
      </c>
      <c r="KQ53" s="338">
        <f t="shared" ref="KQ53:KQ55" si="2029">P53*$AJ53</f>
        <v>0</v>
      </c>
      <c r="KR53" s="338">
        <f t="shared" ref="KR53:KR55" si="2030">Q53*$AJ53</f>
        <v>0</v>
      </c>
      <c r="KS53" s="338">
        <f t="shared" ref="KS53:KS55" si="2031">R53*$AJ53</f>
        <v>0</v>
      </c>
      <c r="KT53" s="338">
        <f t="shared" ref="KT53:KT55" si="2032">S53*$AJ53</f>
        <v>0</v>
      </c>
      <c r="KW53" s="339" t="s">
        <v>59</v>
      </c>
      <c r="KX53" s="338">
        <f t="shared" ref="KX53:LI55" si="2033">D53*$AK53</f>
        <v>0.60510185185185195</v>
      </c>
      <c r="KY53" s="338">
        <f t="shared" si="2033"/>
        <v>0.60510185185185172</v>
      </c>
      <c r="KZ53" s="338">
        <f t="shared" si="2033"/>
        <v>0.60510185185185172</v>
      </c>
      <c r="LA53" s="338">
        <f t="shared" si="2033"/>
        <v>0.60510185185185172</v>
      </c>
      <c r="LB53" s="338">
        <f t="shared" si="2033"/>
        <v>0.60510185185185206</v>
      </c>
      <c r="LC53" s="338">
        <f t="shared" si="2033"/>
        <v>0.60510185185185184</v>
      </c>
      <c r="LD53" s="338">
        <f t="shared" si="2033"/>
        <v>0.44793253968253954</v>
      </c>
      <c r="LE53" s="338">
        <f t="shared" si="2033"/>
        <v>0.44793253968253971</v>
      </c>
      <c r="LF53" s="338">
        <f t="shared" si="2033"/>
        <v>0.34761170212765968</v>
      </c>
      <c r="LG53" s="338">
        <f t="shared" si="2033"/>
        <v>0.34761170212765957</v>
      </c>
      <c r="LH53" s="338">
        <f t="shared" si="2033"/>
        <v>0.6807395833333334</v>
      </c>
      <c r="LI53" s="338">
        <f t="shared" si="2033"/>
        <v>0.6807395833333334</v>
      </c>
      <c r="LJ53" s="338">
        <f t="shared" ref="LJ53:LJ55" si="2034">P53*$AK53</f>
        <v>0</v>
      </c>
      <c r="LK53" s="338">
        <f t="shared" ref="LK53:LK55" si="2035">Q53*$AK53</f>
        <v>0</v>
      </c>
      <c r="LL53" s="338">
        <f t="shared" ref="LL53:LL55" si="2036">R53*$AK53</f>
        <v>0</v>
      </c>
      <c r="LM53" s="338">
        <f t="shared" ref="LM53:LM55" si="2037">S53*$AK53</f>
        <v>0</v>
      </c>
      <c r="LP53" s="339" t="s">
        <v>59</v>
      </c>
      <c r="LQ53" s="338">
        <f t="shared" ref="LQ53:MB55" si="2038">D53*$AL53</f>
        <v>1.1011882716049383E-4</v>
      </c>
      <c r="LR53" s="338">
        <f t="shared" si="2038"/>
        <v>1.101188271604938E-4</v>
      </c>
      <c r="LS53" s="338">
        <f t="shared" si="2038"/>
        <v>1.101188271604938E-4</v>
      </c>
      <c r="LT53" s="338">
        <f t="shared" si="2038"/>
        <v>1.1011882716049379E-4</v>
      </c>
      <c r="LU53" s="338">
        <f t="shared" si="2038"/>
        <v>1.1011882716049385E-4</v>
      </c>
      <c r="LV53" s="338">
        <f t="shared" si="2038"/>
        <v>1.1011882716049382E-4</v>
      </c>
      <c r="LW53" s="338">
        <f t="shared" si="2038"/>
        <v>8.1516534391534357E-5</v>
      </c>
      <c r="LX53" s="338">
        <f t="shared" si="2038"/>
        <v>8.1516534391534398E-5</v>
      </c>
      <c r="LY53" s="338">
        <f t="shared" si="2038"/>
        <v>6.3259751773049654E-5</v>
      </c>
      <c r="LZ53" s="338">
        <f t="shared" si="2038"/>
        <v>6.325975177304964E-5</v>
      </c>
      <c r="MA53" s="338">
        <f t="shared" si="2038"/>
        <v>1.2388368055555555E-4</v>
      </c>
      <c r="MB53" s="338">
        <f t="shared" si="2038"/>
        <v>1.2388368055555557E-4</v>
      </c>
      <c r="MC53" s="338">
        <f t="shared" ref="MC53:MC55" si="2039">P53*$AL53</f>
        <v>0</v>
      </c>
      <c r="MD53" s="338">
        <f t="shared" ref="MD53:MD55" si="2040">Q53*$AL53</f>
        <v>0</v>
      </c>
      <c r="ME53" s="338">
        <f t="shared" ref="ME53:ME55" si="2041">R53*$AL53</f>
        <v>0</v>
      </c>
      <c r="MF53" s="338">
        <f t="shared" ref="MF53:MF55" si="2042">S53*$AL53</f>
        <v>0</v>
      </c>
      <c r="MI53" s="339" t="s">
        <v>59</v>
      </c>
      <c r="MJ53" s="338">
        <f t="shared" ref="MJ53:MU55" si="2043">D53*$AM53</f>
        <v>2.3925848765432099E-2</v>
      </c>
      <c r="MK53" s="338">
        <f t="shared" si="2043"/>
        <v>2.3925848765432096E-2</v>
      </c>
      <c r="ML53" s="338">
        <f t="shared" si="2043"/>
        <v>2.3925848765432096E-2</v>
      </c>
      <c r="MM53" s="338">
        <f t="shared" si="2043"/>
        <v>2.3925848765432092E-2</v>
      </c>
      <c r="MN53" s="338">
        <f t="shared" si="2043"/>
        <v>2.3925848765432103E-2</v>
      </c>
      <c r="MO53" s="338">
        <f t="shared" si="2043"/>
        <v>2.3925848765432099E-2</v>
      </c>
      <c r="MP53" s="338">
        <f t="shared" si="2043"/>
        <v>1.7711342592592588E-2</v>
      </c>
      <c r="MQ53" s="338">
        <f t="shared" si="2043"/>
        <v>1.7711342592592594E-2</v>
      </c>
      <c r="MR53" s="338">
        <f t="shared" si="2043"/>
        <v>1.3744636524822699E-2</v>
      </c>
      <c r="MS53" s="338">
        <f t="shared" si="2043"/>
        <v>1.3744636524822695E-2</v>
      </c>
      <c r="MT53" s="338">
        <f t="shared" si="2043"/>
        <v>2.6916579861111112E-2</v>
      </c>
      <c r="MU53" s="338">
        <f t="shared" si="2043"/>
        <v>2.6916579861111116E-2</v>
      </c>
      <c r="MV53" s="338">
        <f t="shared" ref="MV53:MV55" si="2044">P53*$AM53</f>
        <v>0</v>
      </c>
      <c r="MW53" s="338">
        <f t="shared" ref="MW53:MW55" si="2045">Q53*$AM53</f>
        <v>0</v>
      </c>
      <c r="MX53" s="338">
        <f t="shared" ref="MX53:MX55" si="2046">R53*$AM53</f>
        <v>0</v>
      </c>
      <c r="MY53" s="338">
        <f t="shared" ref="MY53:MY55" si="2047">S53*$AM53</f>
        <v>0</v>
      </c>
      <c r="NB53" s="339" t="s">
        <v>59</v>
      </c>
      <c r="NC53" s="338">
        <f t="shared" ref="NC53:NN55" si="2048">D53*$AN53</f>
        <v>2.3275694444444446E-2</v>
      </c>
      <c r="ND53" s="338">
        <f t="shared" si="2048"/>
        <v>2.3275694444444439E-2</v>
      </c>
      <c r="NE53" s="338">
        <f t="shared" si="2048"/>
        <v>2.3275694444444439E-2</v>
      </c>
      <c r="NF53" s="338">
        <f t="shared" si="2048"/>
        <v>2.3275694444444439E-2</v>
      </c>
      <c r="NG53" s="338">
        <f t="shared" si="2048"/>
        <v>2.327569444444445E-2</v>
      </c>
      <c r="NH53" s="338">
        <f t="shared" si="2048"/>
        <v>2.3275694444444443E-2</v>
      </c>
      <c r="NI53" s="338">
        <f t="shared" si="2048"/>
        <v>1.7230059523809519E-2</v>
      </c>
      <c r="NJ53" s="338">
        <f t="shared" si="2048"/>
        <v>1.7230059523809526E-2</v>
      </c>
      <c r="NK53" s="338">
        <f t="shared" si="2048"/>
        <v>1.337114361702128E-2</v>
      </c>
      <c r="NL53" s="338">
        <f t="shared" si="2048"/>
        <v>1.3371143617021276E-2</v>
      </c>
      <c r="NM53" s="338">
        <f t="shared" si="2048"/>
        <v>2.6185156250000001E-2</v>
      </c>
      <c r="NN53" s="338">
        <f t="shared" si="2048"/>
        <v>2.6185156250000004E-2</v>
      </c>
      <c r="NO53" s="338">
        <f t="shared" ref="NO53:NO55" si="2049">P53*$AN53</f>
        <v>0</v>
      </c>
      <c r="NP53" s="338">
        <f t="shared" ref="NP53:NP55" si="2050">Q53*$AN53</f>
        <v>0</v>
      </c>
      <c r="NQ53" s="338">
        <f t="shared" ref="NQ53:NQ55" si="2051">R53*$AN53</f>
        <v>0</v>
      </c>
      <c r="NR53" s="338">
        <f t="shared" ref="NR53:NR55" si="2052">S53*$AN53</f>
        <v>0</v>
      </c>
    </row>
    <row r="54" spans="2:382" ht="12.75" customHeight="1" x14ac:dyDescent="0.2">
      <c r="B54" s="734"/>
      <c r="C54" s="147" t="s">
        <v>193</v>
      </c>
      <c r="D54" s="193"/>
      <c r="E54" s="194"/>
      <c r="F54" s="193"/>
      <c r="G54" s="194"/>
      <c r="H54" s="193"/>
      <c r="I54" s="194"/>
      <c r="J54" s="121">
        <f>'Cell parameters'!J103/1000</f>
        <v>3.306878306878306E-2</v>
      </c>
      <c r="K54" s="116">
        <f>'Cell parameters'!K103/1000</f>
        <v>3.3068783068783074E-2</v>
      </c>
      <c r="L54" s="121">
        <f>'Cell parameters'!L103/1000</f>
        <v>5.4176516942474405E-2</v>
      </c>
      <c r="M54" s="116">
        <f>'Cell parameters'!M103/1000</f>
        <v>5.4176516942474391E-2</v>
      </c>
      <c r="N54" s="193"/>
      <c r="O54" s="194"/>
      <c r="P54" s="193"/>
      <c r="Q54" s="194"/>
      <c r="R54" s="193"/>
      <c r="S54" s="194"/>
      <c r="T54" s="318"/>
      <c r="U54" s="119"/>
      <c r="V54" s="147" t="s">
        <v>193</v>
      </c>
      <c r="W54" s="96">
        <f>'Ecoinvent 3.10'!M29</f>
        <v>48.26677362655527</v>
      </c>
      <c r="X54" s="96">
        <f>'Ecoinvent 3.10'!N29</f>
        <v>11.7</v>
      </c>
      <c r="Y54" s="96">
        <f>'Ecoinvent 3.10'!O29</f>
        <v>1144.4000000000001</v>
      </c>
      <c r="Z54" s="96">
        <f>'Ecoinvent 3.10'!P29</f>
        <v>4.0571999999999997E-2</v>
      </c>
      <c r="AA54" s="96">
        <f>'Ecoinvent 3.10'!Q29</f>
        <v>5.6184999999999999E-2</v>
      </c>
      <c r="AB54" s="96">
        <f>'Ecoinvent 3.10'!R29</f>
        <v>0.11222</v>
      </c>
      <c r="AC54" s="96">
        <f>'Ecoinvent 3.10'!S29</f>
        <v>3.3869999999999998E-3</v>
      </c>
      <c r="AD54" s="96">
        <f>'Ecoinvent 3.10'!T29</f>
        <v>0.22664999999999999</v>
      </c>
      <c r="AE54" s="96">
        <f>'Ecoinvent 3.10'!U29</f>
        <v>0.91554000000000002</v>
      </c>
      <c r="AF54" s="96">
        <f>'Ecoinvent 3.10'!V29</f>
        <v>6.7973999999999997</v>
      </c>
      <c r="AG54" s="327">
        <f>'Ecoinvent 3.10'!W29</f>
        <v>1.9428999999999998E-2</v>
      </c>
      <c r="AH54" s="327">
        <f>'Ecoinvent 3.10'!X29</f>
        <v>2.5737999999999999</v>
      </c>
      <c r="AI54" s="327">
        <f>'Ecoinvent 3.10'!Y29</f>
        <v>0.73611000000000004</v>
      </c>
      <c r="AJ54" s="327">
        <f>'Ecoinvent 3.10'!Z29</f>
        <v>0.85402999999999996</v>
      </c>
      <c r="AK54" s="327">
        <f>'Ecoinvent 3.10'!AA29</f>
        <v>1.6382000000000001</v>
      </c>
      <c r="AL54" s="327">
        <f>'Ecoinvent 3.10'!AB29</f>
        <v>2.6917999999999999E-4</v>
      </c>
      <c r="AM54" s="327">
        <f>'Ecoinvent 3.10'!AC29</f>
        <v>2.8785999999999999E-2</v>
      </c>
      <c r="AN54" s="327">
        <f>'Ecoinvent 3.10'!AD29</f>
        <v>2.8063999999999999E-2</v>
      </c>
      <c r="AO54" s="119"/>
      <c r="AP54" s="8"/>
      <c r="AQ54" s="147" t="s">
        <v>193</v>
      </c>
      <c r="AR54" s="49">
        <f t="shared" si="1920"/>
        <v>0</v>
      </c>
      <c r="AS54" s="50">
        <f t="shared" si="1920"/>
        <v>0</v>
      </c>
      <c r="AT54" s="49">
        <f t="shared" si="1920"/>
        <v>0</v>
      </c>
      <c r="AU54" s="50">
        <f t="shared" si="1920"/>
        <v>0</v>
      </c>
      <c r="AV54" s="49">
        <f t="shared" si="1920"/>
        <v>0</v>
      </c>
      <c r="AW54" s="50">
        <f t="shared" si="1920"/>
        <v>0</v>
      </c>
      <c r="AX54" s="49">
        <f t="shared" si="1920"/>
        <v>1.5961234664866157</v>
      </c>
      <c r="AY54" s="50">
        <f t="shared" si="1920"/>
        <v>1.5961234664866164</v>
      </c>
      <c r="AZ54" s="49">
        <f t="shared" si="1920"/>
        <v>2.6149256791376483</v>
      </c>
      <c r="BA54" s="50">
        <f t="shared" si="1920"/>
        <v>2.6149256791376478</v>
      </c>
      <c r="BB54" s="49">
        <f t="shared" si="1920"/>
        <v>0</v>
      </c>
      <c r="BC54" s="50">
        <f t="shared" si="1920"/>
        <v>0</v>
      </c>
      <c r="BD54" s="49">
        <f t="shared" si="1921"/>
        <v>0</v>
      </c>
      <c r="BE54" s="50">
        <f t="shared" si="1922"/>
        <v>0</v>
      </c>
      <c r="BF54" s="49">
        <f t="shared" si="1923"/>
        <v>0</v>
      </c>
      <c r="BG54" s="50">
        <f t="shared" si="1924"/>
        <v>0</v>
      </c>
      <c r="BI54" s="156"/>
      <c r="BJ54" s="147" t="s">
        <v>193</v>
      </c>
      <c r="BK54" s="49">
        <f t="shared" si="1925"/>
        <v>0</v>
      </c>
      <c r="BL54" s="49">
        <f t="shared" si="1926"/>
        <v>0</v>
      </c>
      <c r="BM54" s="49">
        <f t="shared" si="1927"/>
        <v>0</v>
      </c>
      <c r="BN54" s="49">
        <f t="shared" si="1928"/>
        <v>0</v>
      </c>
      <c r="BO54" s="49">
        <f t="shared" si="1929"/>
        <v>0</v>
      </c>
      <c r="BP54" s="49">
        <f t="shared" si="1930"/>
        <v>0</v>
      </c>
      <c r="BQ54" s="49">
        <f t="shared" si="1931"/>
        <v>0.38690476190476175</v>
      </c>
      <c r="BR54" s="49">
        <f t="shared" si="1932"/>
        <v>0.38690476190476192</v>
      </c>
      <c r="BS54" s="49">
        <f t="shared" si="1933"/>
        <v>0.63386524822695045</v>
      </c>
      <c r="BT54" s="49">
        <f t="shared" si="1934"/>
        <v>0.63386524822695034</v>
      </c>
      <c r="BU54" s="49">
        <f t="shared" si="1935"/>
        <v>0</v>
      </c>
      <c r="BV54" s="49">
        <f t="shared" ref="BV54:BV61" si="2053">O54*$X54</f>
        <v>0</v>
      </c>
      <c r="BW54" s="49">
        <f t="shared" si="1936"/>
        <v>0</v>
      </c>
      <c r="BX54" s="49">
        <f t="shared" si="1937"/>
        <v>0</v>
      </c>
      <c r="BY54" s="49">
        <f t="shared" si="1938"/>
        <v>0</v>
      </c>
      <c r="BZ54" s="49">
        <f t="shared" si="1939"/>
        <v>0</v>
      </c>
      <c r="CA54" s="156"/>
      <c r="CB54" s="156"/>
      <c r="CC54" s="147" t="s">
        <v>193</v>
      </c>
      <c r="CD54" s="49">
        <f t="shared" si="1940"/>
        <v>0</v>
      </c>
      <c r="CE54" s="49">
        <f t="shared" si="1941"/>
        <v>0</v>
      </c>
      <c r="CF54" s="49">
        <f t="shared" si="1942"/>
        <v>0</v>
      </c>
      <c r="CG54" s="49">
        <f t="shared" si="1943"/>
        <v>0</v>
      </c>
      <c r="CH54" s="49">
        <f t="shared" si="1944"/>
        <v>0</v>
      </c>
      <c r="CI54" s="49">
        <f t="shared" si="1945"/>
        <v>0</v>
      </c>
      <c r="CJ54" s="49">
        <f t="shared" si="1946"/>
        <v>37.843915343915334</v>
      </c>
      <c r="CK54" s="49">
        <f t="shared" si="1947"/>
        <v>37.843915343915356</v>
      </c>
      <c r="CL54" s="49">
        <f t="shared" si="1948"/>
        <v>61.999605988967716</v>
      </c>
      <c r="CM54" s="49">
        <f t="shared" si="1949"/>
        <v>61.999605988967701</v>
      </c>
      <c r="CN54" s="49">
        <f t="shared" si="1950"/>
        <v>0</v>
      </c>
      <c r="CO54" s="220">
        <f t="shared" si="1951"/>
        <v>0</v>
      </c>
      <c r="CP54" s="49">
        <f t="shared" si="1952"/>
        <v>0</v>
      </c>
      <c r="CQ54" s="49">
        <f t="shared" si="1953"/>
        <v>0</v>
      </c>
      <c r="CR54" s="49">
        <f t="shared" si="1954"/>
        <v>0</v>
      </c>
      <c r="CS54" s="220">
        <f t="shared" si="1955"/>
        <v>0</v>
      </c>
      <c r="CV54" s="147" t="s">
        <v>193</v>
      </c>
      <c r="CW54" s="49">
        <f t="shared" si="1956"/>
        <v>0</v>
      </c>
      <c r="CX54" s="49">
        <f t="shared" si="1957"/>
        <v>0</v>
      </c>
      <c r="CY54" s="49">
        <f t="shared" si="1958"/>
        <v>0</v>
      </c>
      <c r="CZ54" s="49">
        <f t="shared" si="1959"/>
        <v>0</v>
      </c>
      <c r="DA54" s="49">
        <f t="shared" si="1960"/>
        <v>0</v>
      </c>
      <c r="DB54" s="49">
        <f t="shared" si="1961"/>
        <v>0</v>
      </c>
      <c r="DC54" s="49">
        <f t="shared" si="1962"/>
        <v>1.3416666666666661E-3</v>
      </c>
      <c r="DD54" s="49">
        <f t="shared" si="1963"/>
        <v>1.3416666666666668E-3</v>
      </c>
      <c r="DE54" s="49">
        <f t="shared" si="1964"/>
        <v>2.1980496453900713E-3</v>
      </c>
      <c r="DF54" s="49">
        <f t="shared" si="1965"/>
        <v>2.1980496453900709E-3</v>
      </c>
      <c r="DG54" s="49">
        <f t="shared" si="1966"/>
        <v>0</v>
      </c>
      <c r="DH54" s="49">
        <f t="shared" si="1967"/>
        <v>0</v>
      </c>
      <c r="DI54" s="49">
        <f t="shared" si="1968"/>
        <v>0</v>
      </c>
      <c r="DJ54" s="49">
        <f t="shared" si="1969"/>
        <v>0</v>
      </c>
      <c r="DK54" s="49">
        <f t="shared" si="1970"/>
        <v>0</v>
      </c>
      <c r="DL54" s="49">
        <f t="shared" si="1971"/>
        <v>0</v>
      </c>
      <c r="DO54" s="147" t="s">
        <v>193</v>
      </c>
      <c r="DP54" s="49">
        <f t="shared" si="1972"/>
        <v>0</v>
      </c>
      <c r="DQ54" s="49">
        <f t="shared" si="1973"/>
        <v>0</v>
      </c>
      <c r="DR54" s="49">
        <f t="shared" si="1974"/>
        <v>0</v>
      </c>
      <c r="DS54" s="49">
        <f t="shared" si="1975"/>
        <v>0</v>
      </c>
      <c r="DT54" s="49">
        <f t="shared" si="1976"/>
        <v>0</v>
      </c>
      <c r="DU54" s="49">
        <f t="shared" si="1977"/>
        <v>0</v>
      </c>
      <c r="DV54" s="49">
        <f t="shared" si="1978"/>
        <v>1.8579695767195763E-3</v>
      </c>
      <c r="DW54" s="49">
        <f t="shared" si="1979"/>
        <v>1.8579695767195769E-3</v>
      </c>
      <c r="DX54" s="49">
        <f t="shared" si="1980"/>
        <v>3.0439076044129244E-3</v>
      </c>
      <c r="DY54" s="49">
        <f t="shared" si="1981"/>
        <v>3.0439076044129236E-3</v>
      </c>
      <c r="DZ54" s="49">
        <f t="shared" si="1982"/>
        <v>0</v>
      </c>
      <c r="EA54" s="49">
        <f t="shared" si="1983"/>
        <v>0</v>
      </c>
      <c r="EB54" s="49">
        <f t="shared" si="1984"/>
        <v>0</v>
      </c>
      <c r="EC54" s="49">
        <f t="shared" si="1985"/>
        <v>0</v>
      </c>
      <c r="ED54" s="49">
        <f t="shared" si="1986"/>
        <v>0</v>
      </c>
      <c r="EE54" s="49">
        <f t="shared" si="1987"/>
        <v>0</v>
      </c>
      <c r="EH54" s="147" t="s">
        <v>193</v>
      </c>
      <c r="EI54" s="49">
        <f t="shared" si="1988"/>
        <v>0</v>
      </c>
      <c r="EJ54" s="49">
        <f t="shared" si="1988"/>
        <v>0</v>
      </c>
      <c r="EK54" s="49">
        <f t="shared" si="1988"/>
        <v>0</v>
      </c>
      <c r="EL54" s="49">
        <f t="shared" si="1988"/>
        <v>0</v>
      </c>
      <c r="EM54" s="49">
        <f t="shared" si="1988"/>
        <v>0</v>
      </c>
      <c r="EN54" s="49">
        <f t="shared" si="1988"/>
        <v>0</v>
      </c>
      <c r="EO54" s="49">
        <f t="shared" si="1988"/>
        <v>3.710978835978835E-3</v>
      </c>
      <c r="EP54" s="49">
        <f t="shared" si="1988"/>
        <v>3.7109788359788367E-3</v>
      </c>
      <c r="EQ54" s="49">
        <f t="shared" si="1988"/>
        <v>6.079688731284478E-3</v>
      </c>
      <c r="ER54" s="49">
        <f t="shared" si="1988"/>
        <v>6.0796887312844763E-3</v>
      </c>
      <c r="ES54" s="49">
        <f t="shared" si="1988"/>
        <v>0</v>
      </c>
      <c r="ET54" s="49">
        <f t="shared" si="1988"/>
        <v>0</v>
      </c>
      <c r="EU54" s="49">
        <f t="shared" si="1989"/>
        <v>0</v>
      </c>
      <c r="EV54" s="49">
        <f t="shared" si="1990"/>
        <v>0</v>
      </c>
      <c r="EW54" s="49">
        <f t="shared" si="1991"/>
        <v>0</v>
      </c>
      <c r="EX54" s="49">
        <f t="shared" si="1992"/>
        <v>0</v>
      </c>
      <c r="FA54" s="147" t="s">
        <v>193</v>
      </c>
      <c r="FB54" s="53">
        <f t="shared" si="1993"/>
        <v>0</v>
      </c>
      <c r="FC54" s="53">
        <f t="shared" si="1993"/>
        <v>0</v>
      </c>
      <c r="FD54" s="53">
        <f t="shared" si="1993"/>
        <v>0</v>
      </c>
      <c r="FE54" s="53">
        <f t="shared" si="1993"/>
        <v>0</v>
      </c>
      <c r="FF54" s="53">
        <f t="shared" si="1993"/>
        <v>0</v>
      </c>
      <c r="FG54" s="53">
        <f t="shared" si="1993"/>
        <v>0</v>
      </c>
      <c r="FH54" s="53">
        <f t="shared" si="1993"/>
        <v>1.1200396825396822E-4</v>
      </c>
      <c r="FI54" s="53">
        <f t="shared" si="1993"/>
        <v>1.1200396825396826E-4</v>
      </c>
      <c r="FJ54" s="53">
        <f t="shared" si="1993"/>
        <v>1.8349586288416079E-4</v>
      </c>
      <c r="FK54" s="53">
        <f t="shared" si="1993"/>
        <v>1.8349586288416076E-4</v>
      </c>
      <c r="FL54" s="53">
        <f t="shared" si="1993"/>
        <v>0</v>
      </c>
      <c r="FM54" s="53">
        <f t="shared" si="1993"/>
        <v>0</v>
      </c>
      <c r="FN54" s="53">
        <f t="shared" si="1994"/>
        <v>0</v>
      </c>
      <c r="FO54" s="53">
        <f t="shared" si="1995"/>
        <v>0</v>
      </c>
      <c r="FP54" s="53">
        <f t="shared" si="1996"/>
        <v>0</v>
      </c>
      <c r="FQ54" s="53">
        <f t="shared" si="1997"/>
        <v>0</v>
      </c>
      <c r="FT54" s="147" t="s">
        <v>193</v>
      </c>
      <c r="FU54" s="49">
        <f t="shared" si="1998"/>
        <v>0</v>
      </c>
      <c r="FV54" s="49">
        <f t="shared" si="1998"/>
        <v>0</v>
      </c>
      <c r="FW54" s="49">
        <f t="shared" si="1998"/>
        <v>0</v>
      </c>
      <c r="FX54" s="49">
        <f t="shared" si="1998"/>
        <v>0</v>
      </c>
      <c r="FY54" s="49">
        <f t="shared" si="1998"/>
        <v>0</v>
      </c>
      <c r="FZ54" s="49">
        <f t="shared" si="1998"/>
        <v>0</v>
      </c>
      <c r="GA54" s="49">
        <f t="shared" si="1998"/>
        <v>7.4950396825396804E-3</v>
      </c>
      <c r="GB54" s="49">
        <f t="shared" si="1998"/>
        <v>7.495039682539683E-3</v>
      </c>
      <c r="GC54" s="49">
        <f t="shared" si="1998"/>
        <v>1.2279107565011823E-2</v>
      </c>
      <c r="GD54" s="49">
        <f t="shared" si="1998"/>
        <v>1.2279107565011819E-2</v>
      </c>
      <c r="GE54" s="49">
        <f t="shared" si="1998"/>
        <v>0</v>
      </c>
      <c r="GF54" s="49">
        <f t="shared" si="1998"/>
        <v>0</v>
      </c>
      <c r="GG54" s="49">
        <f t="shared" si="1999"/>
        <v>0</v>
      </c>
      <c r="GH54" s="49">
        <f t="shared" si="2000"/>
        <v>0</v>
      </c>
      <c r="GI54" s="49">
        <f t="shared" si="2001"/>
        <v>0</v>
      </c>
      <c r="GJ54" s="49">
        <f t="shared" si="2002"/>
        <v>0</v>
      </c>
      <c r="GM54" s="147" t="s">
        <v>193</v>
      </c>
      <c r="GN54" s="49">
        <f t="shared" si="2003"/>
        <v>0</v>
      </c>
      <c r="GO54" s="49">
        <f t="shared" si="2003"/>
        <v>0</v>
      </c>
      <c r="GP54" s="49">
        <f t="shared" si="2003"/>
        <v>0</v>
      </c>
      <c r="GQ54" s="49">
        <f t="shared" si="2003"/>
        <v>0</v>
      </c>
      <c r="GR54" s="49">
        <f t="shared" si="2003"/>
        <v>0</v>
      </c>
      <c r="GS54" s="49">
        <f t="shared" si="2003"/>
        <v>0</v>
      </c>
      <c r="GT54" s="49">
        <f t="shared" si="2003"/>
        <v>3.0275793650793643E-2</v>
      </c>
      <c r="GU54" s="49">
        <f t="shared" si="2003"/>
        <v>3.0275793650793657E-2</v>
      </c>
      <c r="GV54" s="49">
        <f t="shared" si="2003"/>
        <v>4.9600768321513021E-2</v>
      </c>
      <c r="GW54" s="49">
        <f t="shared" si="2003"/>
        <v>4.9600768321513007E-2</v>
      </c>
      <c r="GX54" s="49">
        <f t="shared" si="2003"/>
        <v>0</v>
      </c>
      <c r="GY54" s="49">
        <f t="shared" si="2003"/>
        <v>0</v>
      </c>
      <c r="GZ54" s="49">
        <f t="shared" si="2004"/>
        <v>0</v>
      </c>
      <c r="HA54" s="49">
        <f t="shared" si="2005"/>
        <v>0</v>
      </c>
      <c r="HB54" s="49">
        <f t="shared" si="2006"/>
        <v>0</v>
      </c>
      <c r="HC54" s="49">
        <f t="shared" si="2007"/>
        <v>0</v>
      </c>
      <c r="HF54" s="147" t="s">
        <v>193</v>
      </c>
      <c r="HG54" s="49">
        <f t="shared" si="2008"/>
        <v>0</v>
      </c>
      <c r="HH54" s="49">
        <f t="shared" si="2008"/>
        <v>0</v>
      </c>
      <c r="HI54" s="49">
        <f t="shared" si="2008"/>
        <v>0</v>
      </c>
      <c r="HJ54" s="49">
        <f t="shared" si="2008"/>
        <v>0</v>
      </c>
      <c r="HK54" s="49">
        <f t="shared" si="2008"/>
        <v>0</v>
      </c>
      <c r="HL54" s="49">
        <f t="shared" si="2008"/>
        <v>0</v>
      </c>
      <c r="HM54" s="49">
        <f t="shared" si="2008"/>
        <v>0.22478174603174597</v>
      </c>
      <c r="HN54" s="49">
        <f t="shared" si="2008"/>
        <v>0.22478174603174605</v>
      </c>
      <c r="HO54" s="49">
        <f t="shared" si="2008"/>
        <v>0.36825945626477552</v>
      </c>
      <c r="HP54" s="49">
        <f t="shared" si="2008"/>
        <v>0.36825945626477541</v>
      </c>
      <c r="HQ54" s="49">
        <f t="shared" si="2008"/>
        <v>0</v>
      </c>
      <c r="HR54" s="49">
        <f t="shared" si="2008"/>
        <v>0</v>
      </c>
      <c r="HS54" s="49">
        <f t="shared" si="2009"/>
        <v>0</v>
      </c>
      <c r="HT54" s="49">
        <f t="shared" si="2010"/>
        <v>0</v>
      </c>
      <c r="HU54" s="49">
        <f t="shared" si="2011"/>
        <v>0</v>
      </c>
      <c r="HV54" s="49">
        <f t="shared" si="2012"/>
        <v>0</v>
      </c>
      <c r="HY54" s="339" t="s">
        <v>193</v>
      </c>
      <c r="HZ54" s="338">
        <f t="shared" si="2013"/>
        <v>0</v>
      </c>
      <c r="IA54" s="338">
        <f t="shared" si="2013"/>
        <v>0</v>
      </c>
      <c r="IB54" s="338">
        <f t="shared" si="2013"/>
        <v>0</v>
      </c>
      <c r="IC54" s="338">
        <f t="shared" si="2013"/>
        <v>0</v>
      </c>
      <c r="ID54" s="338">
        <f t="shared" si="2013"/>
        <v>0</v>
      </c>
      <c r="IE54" s="338">
        <f t="shared" si="2013"/>
        <v>0</v>
      </c>
      <c r="IF54" s="338">
        <f t="shared" si="2013"/>
        <v>6.4249338624338596E-4</v>
      </c>
      <c r="IG54" s="338">
        <f t="shared" si="2013"/>
        <v>6.4249338624338629E-4</v>
      </c>
      <c r="IH54" s="338">
        <f t="shared" si="2013"/>
        <v>1.0525955476753351E-3</v>
      </c>
      <c r="II54" s="338">
        <f t="shared" si="2013"/>
        <v>1.0525955476753349E-3</v>
      </c>
      <c r="IJ54" s="338">
        <f t="shared" si="2013"/>
        <v>0</v>
      </c>
      <c r="IK54" s="338">
        <f t="shared" si="2013"/>
        <v>0</v>
      </c>
      <c r="IL54" s="338">
        <f t="shared" si="2014"/>
        <v>0</v>
      </c>
      <c r="IM54" s="338">
        <f t="shared" si="2015"/>
        <v>0</v>
      </c>
      <c r="IN54" s="338">
        <f t="shared" si="2016"/>
        <v>0</v>
      </c>
      <c r="IO54" s="338">
        <f t="shared" si="2017"/>
        <v>0</v>
      </c>
      <c r="IR54" s="339" t="s">
        <v>193</v>
      </c>
      <c r="IS54" s="338">
        <f t="shared" si="2018"/>
        <v>0</v>
      </c>
      <c r="IT54" s="338">
        <f t="shared" si="2018"/>
        <v>0</v>
      </c>
      <c r="IU54" s="338">
        <f t="shared" si="2018"/>
        <v>0</v>
      </c>
      <c r="IV54" s="338">
        <f t="shared" si="2018"/>
        <v>0</v>
      </c>
      <c r="IW54" s="338">
        <f t="shared" si="2018"/>
        <v>0</v>
      </c>
      <c r="IX54" s="338">
        <f t="shared" si="2018"/>
        <v>0</v>
      </c>
      <c r="IY54" s="338">
        <f t="shared" si="2018"/>
        <v>8.5112433862433834E-2</v>
      </c>
      <c r="IZ54" s="338">
        <f t="shared" si="2018"/>
        <v>8.5112433862433876E-2</v>
      </c>
      <c r="JA54" s="338">
        <f t="shared" si="2018"/>
        <v>0.13943951930654061</v>
      </c>
      <c r="JB54" s="338">
        <f t="shared" si="2018"/>
        <v>0.13943951930654058</v>
      </c>
      <c r="JC54" s="338">
        <f t="shared" si="2018"/>
        <v>0</v>
      </c>
      <c r="JD54" s="338">
        <f t="shared" si="2018"/>
        <v>0</v>
      </c>
      <c r="JE54" s="338">
        <f t="shared" si="2019"/>
        <v>0</v>
      </c>
      <c r="JF54" s="338">
        <f t="shared" si="2020"/>
        <v>0</v>
      </c>
      <c r="JG54" s="338">
        <f t="shared" si="2021"/>
        <v>0</v>
      </c>
      <c r="JH54" s="338">
        <f t="shared" si="2022"/>
        <v>0</v>
      </c>
      <c r="JK54" s="339" t="s">
        <v>193</v>
      </c>
      <c r="JL54" s="338">
        <f t="shared" si="2023"/>
        <v>0</v>
      </c>
      <c r="JM54" s="338">
        <f t="shared" si="2023"/>
        <v>0</v>
      </c>
      <c r="JN54" s="338">
        <f t="shared" si="2023"/>
        <v>0</v>
      </c>
      <c r="JO54" s="338">
        <f t="shared" si="2023"/>
        <v>0</v>
      </c>
      <c r="JP54" s="338">
        <f t="shared" si="2023"/>
        <v>0</v>
      </c>
      <c r="JQ54" s="338">
        <f t="shared" si="2023"/>
        <v>0</v>
      </c>
      <c r="JR54" s="338">
        <f t="shared" si="2023"/>
        <v>2.4342261904761901E-2</v>
      </c>
      <c r="JS54" s="338">
        <f t="shared" si="2023"/>
        <v>2.4342261904761908E-2</v>
      </c>
      <c r="JT54" s="338">
        <f t="shared" si="2023"/>
        <v>3.9879875886524835E-2</v>
      </c>
      <c r="JU54" s="338">
        <f t="shared" si="2023"/>
        <v>3.9879875886524828E-2</v>
      </c>
      <c r="JV54" s="338">
        <f t="shared" si="2023"/>
        <v>0</v>
      </c>
      <c r="JW54" s="338">
        <f t="shared" si="2023"/>
        <v>0</v>
      </c>
      <c r="JX54" s="338">
        <f t="shared" si="2024"/>
        <v>0</v>
      </c>
      <c r="JY54" s="338">
        <f t="shared" si="2025"/>
        <v>0</v>
      </c>
      <c r="JZ54" s="338">
        <f t="shared" si="2026"/>
        <v>0</v>
      </c>
      <c r="KA54" s="338">
        <f t="shared" si="2027"/>
        <v>0</v>
      </c>
      <c r="KD54" s="339" t="s">
        <v>193</v>
      </c>
      <c r="KE54" s="338">
        <f t="shared" si="2028"/>
        <v>0</v>
      </c>
      <c r="KF54" s="338">
        <f t="shared" si="2028"/>
        <v>0</v>
      </c>
      <c r="KG54" s="338">
        <f t="shared" si="2028"/>
        <v>0</v>
      </c>
      <c r="KH54" s="338">
        <f t="shared" si="2028"/>
        <v>0</v>
      </c>
      <c r="KI54" s="338">
        <f t="shared" si="2028"/>
        <v>0</v>
      </c>
      <c r="KJ54" s="338">
        <f t="shared" si="2028"/>
        <v>0</v>
      </c>
      <c r="KK54" s="338">
        <f t="shared" si="2028"/>
        <v>2.8241732804232797E-2</v>
      </c>
      <c r="KL54" s="338">
        <f t="shared" si="2028"/>
        <v>2.8241732804232807E-2</v>
      </c>
      <c r="KM54" s="338">
        <f t="shared" si="2028"/>
        <v>4.6268370764381415E-2</v>
      </c>
      <c r="KN54" s="338">
        <f t="shared" si="2028"/>
        <v>4.6268370764381402E-2</v>
      </c>
      <c r="KO54" s="338">
        <f t="shared" si="2028"/>
        <v>0</v>
      </c>
      <c r="KP54" s="338">
        <f t="shared" si="2028"/>
        <v>0</v>
      </c>
      <c r="KQ54" s="338">
        <f t="shared" si="2029"/>
        <v>0</v>
      </c>
      <c r="KR54" s="338">
        <f t="shared" si="2030"/>
        <v>0</v>
      </c>
      <c r="KS54" s="338">
        <f t="shared" si="2031"/>
        <v>0</v>
      </c>
      <c r="KT54" s="338">
        <f t="shared" si="2032"/>
        <v>0</v>
      </c>
      <c r="KW54" s="339" t="s">
        <v>193</v>
      </c>
      <c r="KX54" s="338">
        <f t="shared" si="2033"/>
        <v>0</v>
      </c>
      <c r="KY54" s="338">
        <f t="shared" si="2033"/>
        <v>0</v>
      </c>
      <c r="KZ54" s="338">
        <f t="shared" si="2033"/>
        <v>0</v>
      </c>
      <c r="LA54" s="338">
        <f t="shared" si="2033"/>
        <v>0</v>
      </c>
      <c r="LB54" s="338">
        <f t="shared" si="2033"/>
        <v>0</v>
      </c>
      <c r="LC54" s="338">
        <f t="shared" si="2033"/>
        <v>0</v>
      </c>
      <c r="LD54" s="338">
        <f t="shared" si="2033"/>
        <v>5.4173280423280415E-2</v>
      </c>
      <c r="LE54" s="338">
        <f t="shared" si="2033"/>
        <v>5.4173280423280436E-2</v>
      </c>
      <c r="LF54" s="338">
        <f t="shared" si="2033"/>
        <v>8.8751970055161569E-2</v>
      </c>
      <c r="LG54" s="338">
        <f t="shared" si="2033"/>
        <v>8.8751970055161555E-2</v>
      </c>
      <c r="LH54" s="338">
        <f t="shared" si="2033"/>
        <v>0</v>
      </c>
      <c r="LI54" s="338">
        <f t="shared" si="2033"/>
        <v>0</v>
      </c>
      <c r="LJ54" s="338">
        <f t="shared" si="2034"/>
        <v>0</v>
      </c>
      <c r="LK54" s="338">
        <f t="shared" si="2035"/>
        <v>0</v>
      </c>
      <c r="LL54" s="338">
        <f t="shared" si="2036"/>
        <v>0</v>
      </c>
      <c r="LM54" s="338">
        <f t="shared" si="2037"/>
        <v>0</v>
      </c>
      <c r="LP54" s="339" t="s">
        <v>193</v>
      </c>
      <c r="LQ54" s="338">
        <f t="shared" si="2038"/>
        <v>0</v>
      </c>
      <c r="LR54" s="338">
        <f t="shared" si="2038"/>
        <v>0</v>
      </c>
      <c r="LS54" s="338">
        <f t="shared" si="2038"/>
        <v>0</v>
      </c>
      <c r="LT54" s="338">
        <f t="shared" si="2038"/>
        <v>0</v>
      </c>
      <c r="LU54" s="338">
        <f t="shared" si="2038"/>
        <v>0</v>
      </c>
      <c r="LV54" s="338">
        <f t="shared" si="2038"/>
        <v>0</v>
      </c>
      <c r="LW54" s="338">
        <f t="shared" si="2038"/>
        <v>8.9014550264550239E-6</v>
      </c>
      <c r="LX54" s="338">
        <f t="shared" si="2038"/>
        <v>8.9014550264550273E-6</v>
      </c>
      <c r="LY54" s="338">
        <f t="shared" si="2038"/>
        <v>1.4583234830575261E-5</v>
      </c>
      <c r="LZ54" s="338">
        <f t="shared" si="2038"/>
        <v>1.4583234830575256E-5</v>
      </c>
      <c r="MA54" s="338">
        <f t="shared" si="2038"/>
        <v>0</v>
      </c>
      <c r="MB54" s="338">
        <f t="shared" si="2038"/>
        <v>0</v>
      </c>
      <c r="MC54" s="338">
        <f t="shared" si="2039"/>
        <v>0</v>
      </c>
      <c r="MD54" s="338">
        <f t="shared" si="2040"/>
        <v>0</v>
      </c>
      <c r="ME54" s="338">
        <f t="shared" si="2041"/>
        <v>0</v>
      </c>
      <c r="MF54" s="338">
        <f t="shared" si="2042"/>
        <v>0</v>
      </c>
      <c r="MI54" s="339" t="s">
        <v>193</v>
      </c>
      <c r="MJ54" s="338">
        <f t="shared" si="2043"/>
        <v>0</v>
      </c>
      <c r="MK54" s="338">
        <f t="shared" si="2043"/>
        <v>0</v>
      </c>
      <c r="ML54" s="338">
        <f t="shared" si="2043"/>
        <v>0</v>
      </c>
      <c r="MM54" s="338">
        <f t="shared" si="2043"/>
        <v>0</v>
      </c>
      <c r="MN54" s="338">
        <f t="shared" si="2043"/>
        <v>0</v>
      </c>
      <c r="MO54" s="338">
        <f t="shared" si="2043"/>
        <v>0</v>
      </c>
      <c r="MP54" s="338">
        <f t="shared" si="2043"/>
        <v>9.5191798941798909E-4</v>
      </c>
      <c r="MQ54" s="338">
        <f t="shared" si="2043"/>
        <v>9.5191798941798953E-4</v>
      </c>
      <c r="MR54" s="338">
        <f t="shared" si="2043"/>
        <v>1.5595252167060682E-3</v>
      </c>
      <c r="MS54" s="338">
        <f t="shared" si="2043"/>
        <v>1.5595252167060678E-3</v>
      </c>
      <c r="MT54" s="338">
        <f t="shared" si="2043"/>
        <v>0</v>
      </c>
      <c r="MU54" s="338">
        <f t="shared" si="2043"/>
        <v>0</v>
      </c>
      <c r="MV54" s="338">
        <f t="shared" si="2044"/>
        <v>0</v>
      </c>
      <c r="MW54" s="338">
        <f t="shared" si="2045"/>
        <v>0</v>
      </c>
      <c r="MX54" s="338">
        <f t="shared" si="2046"/>
        <v>0</v>
      </c>
      <c r="MY54" s="338">
        <f t="shared" si="2047"/>
        <v>0</v>
      </c>
      <c r="NB54" s="339" t="s">
        <v>193</v>
      </c>
      <c r="NC54" s="338">
        <f t="shared" si="2048"/>
        <v>0</v>
      </c>
      <c r="ND54" s="338">
        <f t="shared" si="2048"/>
        <v>0</v>
      </c>
      <c r="NE54" s="338">
        <f t="shared" si="2048"/>
        <v>0</v>
      </c>
      <c r="NF54" s="338">
        <f t="shared" si="2048"/>
        <v>0</v>
      </c>
      <c r="NG54" s="338">
        <f t="shared" si="2048"/>
        <v>0</v>
      </c>
      <c r="NH54" s="338">
        <f t="shared" si="2048"/>
        <v>0</v>
      </c>
      <c r="NI54" s="338">
        <f t="shared" si="2048"/>
        <v>9.280423280423278E-4</v>
      </c>
      <c r="NJ54" s="338">
        <f t="shared" si="2048"/>
        <v>9.2804232804232813E-4</v>
      </c>
      <c r="NK54" s="338">
        <f t="shared" si="2048"/>
        <v>1.5204097714736017E-3</v>
      </c>
      <c r="NL54" s="338">
        <f t="shared" si="2048"/>
        <v>1.5204097714736013E-3</v>
      </c>
      <c r="NM54" s="338">
        <f t="shared" si="2048"/>
        <v>0</v>
      </c>
      <c r="NN54" s="338">
        <f t="shared" si="2048"/>
        <v>0</v>
      </c>
      <c r="NO54" s="338">
        <f t="shared" si="2049"/>
        <v>0</v>
      </c>
      <c r="NP54" s="338">
        <f t="shared" si="2050"/>
        <v>0</v>
      </c>
      <c r="NQ54" s="338">
        <f t="shared" si="2051"/>
        <v>0</v>
      </c>
      <c r="NR54" s="338">
        <f t="shared" si="2052"/>
        <v>0</v>
      </c>
    </row>
    <row r="55" spans="2:382" ht="12.75" customHeight="1" x14ac:dyDescent="0.2">
      <c r="B55" s="734"/>
      <c r="C55" s="150" t="s">
        <v>579</v>
      </c>
      <c r="D55" s="193"/>
      <c r="E55" s="194"/>
      <c r="F55" s="193"/>
      <c r="G55" s="194"/>
      <c r="H55" s="193"/>
      <c r="I55" s="194"/>
      <c r="J55" s="193"/>
      <c r="K55" s="194"/>
      <c r="L55" s="193"/>
      <c r="M55" s="194"/>
      <c r="N55" s="193"/>
      <c r="O55" s="194"/>
      <c r="P55" s="115">
        <f>'Cell parameters'!P104/1000</f>
        <v>1.0476190476190479</v>
      </c>
      <c r="Q55" s="115">
        <f>'Cell parameters'!Q104/1000</f>
        <v>1.0476190476190477</v>
      </c>
      <c r="R55" s="193"/>
      <c r="S55" s="194"/>
      <c r="T55" s="318"/>
      <c r="U55" s="119"/>
      <c r="V55" s="150" t="s">
        <v>579</v>
      </c>
      <c r="W55" s="127">
        <f>'Ecoinvent 3.10'!M30</f>
        <v>12.175183990338276</v>
      </c>
      <c r="X55" s="127">
        <f>'Ecoinvent 3.10'!N30</f>
        <v>3.4182000000000001</v>
      </c>
      <c r="Y55" s="127">
        <f>'Ecoinvent 3.10'!O30</f>
        <v>9.5533000000000001</v>
      </c>
      <c r="Z55" s="127">
        <f>'Ecoinvent 3.10'!P30</f>
        <v>1.5990000000000001E-2</v>
      </c>
      <c r="AA55" s="127">
        <f>'Ecoinvent 3.10'!Q30</f>
        <v>1.0161999999999999E-2</v>
      </c>
      <c r="AB55" s="127">
        <f>'Ecoinvent 3.10'!R30</f>
        <v>8.5740999999999994E-3</v>
      </c>
      <c r="AC55" s="127">
        <f>'Ecoinvent 3.10'!S30</f>
        <v>1.3397999999999999E-3</v>
      </c>
      <c r="AD55" s="127">
        <f>'Ecoinvent 3.10'!T30</f>
        <v>6.0495E-2</v>
      </c>
      <c r="AE55" s="127">
        <f>'Ecoinvent 3.10'!U30</f>
        <v>0.29146</v>
      </c>
      <c r="AF55" s="127">
        <f>'Ecoinvent 3.10'!V30</f>
        <v>2.7296</v>
      </c>
      <c r="AG55" s="327">
        <f>'Ecoinvent 3.10'!W30</f>
        <v>6.0787999999999997E-3</v>
      </c>
      <c r="AH55" s="327">
        <f>'Ecoinvent 3.10'!X30</f>
        <v>0.87026999999999999</v>
      </c>
      <c r="AI55" s="327">
        <f>'Ecoinvent 3.10'!Y30</f>
        <v>0.1181</v>
      </c>
      <c r="AJ55" s="327">
        <f>'Ecoinvent 3.10'!Z30</f>
        <v>3.9916E-2</v>
      </c>
      <c r="AK55" s="327">
        <f>'Ecoinvent 3.10'!AA30</f>
        <v>9.0787000000000007E-2</v>
      </c>
      <c r="AL55" s="327">
        <f>'Ecoinvent 3.10'!AB30</f>
        <v>9.1285000000000004E-5</v>
      </c>
      <c r="AM55" s="327">
        <f>'Ecoinvent 3.10'!AC30</f>
        <v>8.1951000000000003E-3</v>
      </c>
      <c r="AN55" s="327">
        <f>'Ecoinvent 3.10'!AD30</f>
        <v>8.0406999999999996E-3</v>
      </c>
      <c r="AO55" s="119"/>
      <c r="AP55" s="8"/>
      <c r="AQ55" s="150" t="s">
        <v>579</v>
      </c>
      <c r="AR55" s="49">
        <f t="shared" si="1920"/>
        <v>0</v>
      </c>
      <c r="AS55" s="50">
        <f t="shared" si="1920"/>
        <v>0</v>
      </c>
      <c r="AT55" s="49">
        <f t="shared" si="1920"/>
        <v>0</v>
      </c>
      <c r="AU55" s="50">
        <f t="shared" si="1920"/>
        <v>0</v>
      </c>
      <c r="AV55" s="49">
        <f t="shared" si="1920"/>
        <v>0</v>
      </c>
      <c r="AW55" s="50">
        <f t="shared" si="1920"/>
        <v>0</v>
      </c>
      <c r="AX55" s="49">
        <f t="shared" si="1920"/>
        <v>0</v>
      </c>
      <c r="AY55" s="50">
        <f t="shared" si="1920"/>
        <v>0</v>
      </c>
      <c r="AZ55" s="49">
        <f t="shared" si="1920"/>
        <v>0</v>
      </c>
      <c r="BA55" s="50">
        <f t="shared" si="1920"/>
        <v>0</v>
      </c>
      <c r="BB55" s="49">
        <f t="shared" si="1920"/>
        <v>0</v>
      </c>
      <c r="BC55" s="50">
        <f t="shared" si="1920"/>
        <v>0</v>
      </c>
      <c r="BD55" s="49">
        <f t="shared" si="1921"/>
        <v>12.754954656544864</v>
      </c>
      <c r="BE55" s="50">
        <f t="shared" si="1922"/>
        <v>12.754954656544861</v>
      </c>
      <c r="BF55" s="49">
        <f t="shared" si="1923"/>
        <v>0</v>
      </c>
      <c r="BG55" s="50">
        <f t="shared" si="1924"/>
        <v>0</v>
      </c>
      <c r="BI55" s="156"/>
      <c r="BJ55" s="150" t="s">
        <v>579</v>
      </c>
      <c r="BK55" s="49">
        <f t="shared" si="1925"/>
        <v>0</v>
      </c>
      <c r="BL55" s="49">
        <f t="shared" si="1926"/>
        <v>0</v>
      </c>
      <c r="BM55" s="49">
        <f t="shared" si="1927"/>
        <v>0</v>
      </c>
      <c r="BN55" s="49">
        <f t="shared" si="1928"/>
        <v>0</v>
      </c>
      <c r="BO55" s="49">
        <f t="shared" si="1929"/>
        <v>0</v>
      </c>
      <c r="BP55" s="49">
        <f t="shared" si="1930"/>
        <v>0</v>
      </c>
      <c r="BQ55" s="49">
        <f t="shared" si="1931"/>
        <v>0</v>
      </c>
      <c r="BR55" s="49">
        <f t="shared" si="1932"/>
        <v>0</v>
      </c>
      <c r="BS55" s="49">
        <f t="shared" si="1933"/>
        <v>0</v>
      </c>
      <c r="BT55" s="49">
        <f t="shared" si="1934"/>
        <v>0</v>
      </c>
      <c r="BU55" s="49">
        <f t="shared" si="1935"/>
        <v>0</v>
      </c>
      <c r="BV55" s="49">
        <f t="shared" si="2053"/>
        <v>0</v>
      </c>
      <c r="BW55" s="49">
        <f t="shared" si="1936"/>
        <v>3.5809714285714298</v>
      </c>
      <c r="BX55" s="49">
        <f t="shared" si="1937"/>
        <v>3.5809714285714289</v>
      </c>
      <c r="BY55" s="49">
        <f t="shared" si="1938"/>
        <v>0</v>
      </c>
      <c r="BZ55" s="49">
        <f t="shared" si="1939"/>
        <v>0</v>
      </c>
      <c r="CA55" s="156"/>
      <c r="CB55" s="156"/>
      <c r="CC55" s="150" t="s">
        <v>579</v>
      </c>
      <c r="CD55" s="49">
        <f t="shared" si="1940"/>
        <v>0</v>
      </c>
      <c r="CE55" s="49">
        <f t="shared" si="1941"/>
        <v>0</v>
      </c>
      <c r="CF55" s="49">
        <f t="shared" si="1942"/>
        <v>0</v>
      </c>
      <c r="CG55" s="49">
        <f t="shared" si="1943"/>
        <v>0</v>
      </c>
      <c r="CH55" s="49">
        <f t="shared" si="1944"/>
        <v>0</v>
      </c>
      <c r="CI55" s="49">
        <f t="shared" si="1945"/>
        <v>0</v>
      </c>
      <c r="CJ55" s="49">
        <f t="shared" si="1946"/>
        <v>0</v>
      </c>
      <c r="CK55" s="49">
        <f t="shared" si="1947"/>
        <v>0</v>
      </c>
      <c r="CL55" s="49">
        <f t="shared" si="1948"/>
        <v>0</v>
      </c>
      <c r="CM55" s="49">
        <f t="shared" si="1949"/>
        <v>0</v>
      </c>
      <c r="CN55" s="49">
        <f t="shared" si="1950"/>
        <v>0</v>
      </c>
      <c r="CO55" s="220">
        <f t="shared" si="1951"/>
        <v>0</v>
      </c>
      <c r="CP55" s="49">
        <f t="shared" si="1952"/>
        <v>10.00821904761905</v>
      </c>
      <c r="CQ55" s="49">
        <f t="shared" si="1953"/>
        <v>10.008219047619049</v>
      </c>
      <c r="CR55" s="49">
        <f t="shared" si="1954"/>
        <v>0</v>
      </c>
      <c r="CS55" s="220">
        <f t="shared" si="1955"/>
        <v>0</v>
      </c>
      <c r="CV55" s="150" t="s">
        <v>579</v>
      </c>
      <c r="CW55" s="49">
        <f t="shared" si="1956"/>
        <v>0</v>
      </c>
      <c r="CX55" s="49">
        <f t="shared" si="1957"/>
        <v>0</v>
      </c>
      <c r="CY55" s="49">
        <f t="shared" si="1958"/>
        <v>0</v>
      </c>
      <c r="CZ55" s="49">
        <f t="shared" si="1959"/>
        <v>0</v>
      </c>
      <c r="DA55" s="49">
        <f t="shared" si="1960"/>
        <v>0</v>
      </c>
      <c r="DB55" s="49">
        <f t="shared" si="1961"/>
        <v>0</v>
      </c>
      <c r="DC55" s="49">
        <f t="shared" si="1962"/>
        <v>0</v>
      </c>
      <c r="DD55" s="49">
        <f t="shared" si="1963"/>
        <v>0</v>
      </c>
      <c r="DE55" s="49">
        <f t="shared" si="1964"/>
        <v>0</v>
      </c>
      <c r="DF55" s="49">
        <f t="shared" si="1965"/>
        <v>0</v>
      </c>
      <c r="DG55" s="49">
        <f t="shared" si="1966"/>
        <v>0</v>
      </c>
      <c r="DH55" s="49">
        <f t="shared" si="1967"/>
        <v>0</v>
      </c>
      <c r="DI55" s="49">
        <f t="shared" si="1968"/>
        <v>1.6751428571428577E-2</v>
      </c>
      <c r="DJ55" s="49">
        <f t="shared" si="1969"/>
        <v>1.6751428571428573E-2</v>
      </c>
      <c r="DK55" s="49">
        <f t="shared" si="1970"/>
        <v>0</v>
      </c>
      <c r="DL55" s="49">
        <f t="shared" si="1971"/>
        <v>0</v>
      </c>
      <c r="DO55" s="150" t="s">
        <v>579</v>
      </c>
      <c r="DP55" s="49">
        <f t="shared" si="1972"/>
        <v>0</v>
      </c>
      <c r="DQ55" s="49">
        <f t="shared" si="1973"/>
        <v>0</v>
      </c>
      <c r="DR55" s="49">
        <f t="shared" si="1974"/>
        <v>0</v>
      </c>
      <c r="DS55" s="49">
        <f t="shared" si="1975"/>
        <v>0</v>
      </c>
      <c r="DT55" s="49">
        <f t="shared" si="1976"/>
        <v>0</v>
      </c>
      <c r="DU55" s="49">
        <f t="shared" si="1977"/>
        <v>0</v>
      </c>
      <c r="DV55" s="49">
        <f t="shared" si="1978"/>
        <v>0</v>
      </c>
      <c r="DW55" s="49">
        <f t="shared" si="1979"/>
        <v>0</v>
      </c>
      <c r="DX55" s="49">
        <f t="shared" si="1980"/>
        <v>0</v>
      </c>
      <c r="DY55" s="49">
        <f t="shared" si="1981"/>
        <v>0</v>
      </c>
      <c r="DZ55" s="49">
        <f t="shared" si="1982"/>
        <v>0</v>
      </c>
      <c r="EA55" s="49">
        <f t="shared" si="1983"/>
        <v>0</v>
      </c>
      <c r="EB55" s="49">
        <f t="shared" si="1984"/>
        <v>1.0645904761904764E-2</v>
      </c>
      <c r="EC55" s="49">
        <f t="shared" si="1985"/>
        <v>1.0645904761904761E-2</v>
      </c>
      <c r="ED55" s="49">
        <f t="shared" si="1986"/>
        <v>0</v>
      </c>
      <c r="EE55" s="49">
        <f t="shared" si="1987"/>
        <v>0</v>
      </c>
      <c r="EH55" s="150" t="s">
        <v>579</v>
      </c>
      <c r="EI55" s="49">
        <f t="shared" si="1988"/>
        <v>0</v>
      </c>
      <c r="EJ55" s="49">
        <f t="shared" si="1988"/>
        <v>0</v>
      </c>
      <c r="EK55" s="49">
        <f t="shared" si="1988"/>
        <v>0</v>
      </c>
      <c r="EL55" s="49">
        <f t="shared" si="1988"/>
        <v>0</v>
      </c>
      <c r="EM55" s="49">
        <f t="shared" si="1988"/>
        <v>0</v>
      </c>
      <c r="EN55" s="49">
        <f t="shared" si="1988"/>
        <v>0</v>
      </c>
      <c r="EO55" s="49">
        <f t="shared" si="1988"/>
        <v>0</v>
      </c>
      <c r="EP55" s="49">
        <f t="shared" si="1988"/>
        <v>0</v>
      </c>
      <c r="EQ55" s="49">
        <f t="shared" si="1988"/>
        <v>0</v>
      </c>
      <c r="ER55" s="49">
        <f t="shared" si="1988"/>
        <v>0</v>
      </c>
      <c r="ES55" s="49">
        <f t="shared" si="1988"/>
        <v>0</v>
      </c>
      <c r="ET55" s="49">
        <f t="shared" si="1988"/>
        <v>0</v>
      </c>
      <c r="EU55" s="49">
        <f t="shared" si="1989"/>
        <v>8.9823904761904775E-3</v>
      </c>
      <c r="EV55" s="49">
        <f t="shared" si="1990"/>
        <v>8.9823904761904758E-3</v>
      </c>
      <c r="EW55" s="49">
        <f t="shared" si="1991"/>
        <v>0</v>
      </c>
      <c r="EX55" s="49">
        <f t="shared" si="1992"/>
        <v>0</v>
      </c>
      <c r="FA55" s="150" t="s">
        <v>579</v>
      </c>
      <c r="FB55" s="53">
        <f t="shared" si="1993"/>
        <v>0</v>
      </c>
      <c r="FC55" s="53">
        <f t="shared" si="1993"/>
        <v>0</v>
      </c>
      <c r="FD55" s="53">
        <f t="shared" si="1993"/>
        <v>0</v>
      </c>
      <c r="FE55" s="53">
        <f t="shared" si="1993"/>
        <v>0</v>
      </c>
      <c r="FF55" s="53">
        <f t="shared" si="1993"/>
        <v>0</v>
      </c>
      <c r="FG55" s="53">
        <f t="shared" si="1993"/>
        <v>0</v>
      </c>
      <c r="FH55" s="53">
        <f t="shared" si="1993"/>
        <v>0</v>
      </c>
      <c r="FI55" s="53">
        <f t="shared" si="1993"/>
        <v>0</v>
      </c>
      <c r="FJ55" s="53">
        <f t="shared" si="1993"/>
        <v>0</v>
      </c>
      <c r="FK55" s="53">
        <f t="shared" si="1993"/>
        <v>0</v>
      </c>
      <c r="FL55" s="53">
        <f t="shared" si="1993"/>
        <v>0</v>
      </c>
      <c r="FM55" s="53">
        <f t="shared" si="1993"/>
        <v>0</v>
      </c>
      <c r="FN55" s="53">
        <f t="shared" si="1994"/>
        <v>1.4036000000000003E-3</v>
      </c>
      <c r="FO55" s="53">
        <f t="shared" si="1995"/>
        <v>1.4036000000000001E-3</v>
      </c>
      <c r="FP55" s="53">
        <f t="shared" si="1996"/>
        <v>0</v>
      </c>
      <c r="FQ55" s="53">
        <f t="shared" si="1997"/>
        <v>0</v>
      </c>
      <c r="FT55" s="150" t="s">
        <v>579</v>
      </c>
      <c r="FU55" s="49">
        <f t="shared" si="1998"/>
        <v>0</v>
      </c>
      <c r="FV55" s="49">
        <f t="shared" si="1998"/>
        <v>0</v>
      </c>
      <c r="FW55" s="49">
        <f t="shared" si="1998"/>
        <v>0</v>
      </c>
      <c r="FX55" s="49">
        <f t="shared" si="1998"/>
        <v>0</v>
      </c>
      <c r="FY55" s="49">
        <f t="shared" si="1998"/>
        <v>0</v>
      </c>
      <c r="FZ55" s="49">
        <f t="shared" si="1998"/>
        <v>0</v>
      </c>
      <c r="GA55" s="49">
        <f t="shared" si="1998"/>
        <v>0</v>
      </c>
      <c r="GB55" s="49">
        <f t="shared" si="1998"/>
        <v>0</v>
      </c>
      <c r="GC55" s="49">
        <f t="shared" si="1998"/>
        <v>0</v>
      </c>
      <c r="GD55" s="49">
        <f t="shared" si="1998"/>
        <v>0</v>
      </c>
      <c r="GE55" s="49">
        <f t="shared" si="1998"/>
        <v>0</v>
      </c>
      <c r="GF55" s="49">
        <f t="shared" si="1998"/>
        <v>0</v>
      </c>
      <c r="GG55" s="49">
        <f t="shared" si="1999"/>
        <v>6.3375714285714299E-2</v>
      </c>
      <c r="GH55" s="49">
        <f t="shared" si="2000"/>
        <v>6.3375714285714285E-2</v>
      </c>
      <c r="GI55" s="49">
        <f t="shared" si="2001"/>
        <v>0</v>
      </c>
      <c r="GJ55" s="49">
        <f t="shared" si="2002"/>
        <v>0</v>
      </c>
      <c r="GM55" s="150" t="s">
        <v>579</v>
      </c>
      <c r="GN55" s="49">
        <f t="shared" si="2003"/>
        <v>0</v>
      </c>
      <c r="GO55" s="49">
        <f t="shared" si="2003"/>
        <v>0</v>
      </c>
      <c r="GP55" s="49">
        <f t="shared" si="2003"/>
        <v>0</v>
      </c>
      <c r="GQ55" s="49">
        <f t="shared" si="2003"/>
        <v>0</v>
      </c>
      <c r="GR55" s="49">
        <f t="shared" si="2003"/>
        <v>0</v>
      </c>
      <c r="GS55" s="49">
        <f t="shared" si="2003"/>
        <v>0</v>
      </c>
      <c r="GT55" s="49">
        <f t="shared" si="2003"/>
        <v>0</v>
      </c>
      <c r="GU55" s="49">
        <f t="shared" si="2003"/>
        <v>0</v>
      </c>
      <c r="GV55" s="49">
        <f t="shared" si="2003"/>
        <v>0</v>
      </c>
      <c r="GW55" s="49">
        <f t="shared" si="2003"/>
        <v>0</v>
      </c>
      <c r="GX55" s="49">
        <f t="shared" si="2003"/>
        <v>0</v>
      </c>
      <c r="GY55" s="49">
        <f t="shared" si="2003"/>
        <v>0</v>
      </c>
      <c r="GZ55" s="49">
        <f t="shared" si="2004"/>
        <v>0.30533904761904768</v>
      </c>
      <c r="HA55" s="49">
        <f t="shared" si="2005"/>
        <v>0.30533904761904762</v>
      </c>
      <c r="HB55" s="49">
        <f t="shared" si="2006"/>
        <v>0</v>
      </c>
      <c r="HC55" s="49">
        <f t="shared" si="2007"/>
        <v>0</v>
      </c>
      <c r="HF55" s="150" t="s">
        <v>579</v>
      </c>
      <c r="HG55" s="49">
        <f t="shared" si="2008"/>
        <v>0</v>
      </c>
      <c r="HH55" s="49">
        <f t="shared" si="2008"/>
        <v>0</v>
      </c>
      <c r="HI55" s="49">
        <f t="shared" si="2008"/>
        <v>0</v>
      </c>
      <c r="HJ55" s="49">
        <f t="shared" si="2008"/>
        <v>0</v>
      </c>
      <c r="HK55" s="49">
        <f t="shared" si="2008"/>
        <v>0</v>
      </c>
      <c r="HL55" s="49">
        <f t="shared" si="2008"/>
        <v>0</v>
      </c>
      <c r="HM55" s="49">
        <f t="shared" si="2008"/>
        <v>0</v>
      </c>
      <c r="HN55" s="49">
        <f t="shared" si="2008"/>
        <v>0</v>
      </c>
      <c r="HO55" s="49">
        <f t="shared" si="2008"/>
        <v>0</v>
      </c>
      <c r="HP55" s="49">
        <f t="shared" si="2008"/>
        <v>0</v>
      </c>
      <c r="HQ55" s="49">
        <f t="shared" si="2008"/>
        <v>0</v>
      </c>
      <c r="HR55" s="49">
        <f t="shared" si="2008"/>
        <v>0</v>
      </c>
      <c r="HS55" s="49">
        <f t="shared" si="2009"/>
        <v>2.859580952380953</v>
      </c>
      <c r="HT55" s="49">
        <f t="shared" si="2010"/>
        <v>2.8595809523809526</v>
      </c>
      <c r="HU55" s="49">
        <f t="shared" si="2011"/>
        <v>0</v>
      </c>
      <c r="HV55" s="49">
        <f t="shared" si="2012"/>
        <v>0</v>
      </c>
      <c r="HY55" s="344" t="s">
        <v>579</v>
      </c>
      <c r="HZ55" s="338">
        <f t="shared" si="2013"/>
        <v>0</v>
      </c>
      <c r="IA55" s="338">
        <f t="shared" si="2013"/>
        <v>0</v>
      </c>
      <c r="IB55" s="338">
        <f t="shared" si="2013"/>
        <v>0</v>
      </c>
      <c r="IC55" s="338">
        <f t="shared" si="2013"/>
        <v>0</v>
      </c>
      <c r="ID55" s="338">
        <f t="shared" si="2013"/>
        <v>0</v>
      </c>
      <c r="IE55" s="338">
        <f t="shared" si="2013"/>
        <v>0</v>
      </c>
      <c r="IF55" s="338">
        <f t="shared" si="2013"/>
        <v>0</v>
      </c>
      <c r="IG55" s="338">
        <f t="shared" si="2013"/>
        <v>0</v>
      </c>
      <c r="IH55" s="338">
        <f t="shared" si="2013"/>
        <v>0</v>
      </c>
      <c r="II55" s="338">
        <f t="shared" si="2013"/>
        <v>0</v>
      </c>
      <c r="IJ55" s="338">
        <f t="shared" si="2013"/>
        <v>0</v>
      </c>
      <c r="IK55" s="338">
        <f t="shared" si="2013"/>
        <v>0</v>
      </c>
      <c r="IL55" s="338">
        <f t="shared" si="2014"/>
        <v>6.3682666666666681E-3</v>
      </c>
      <c r="IM55" s="338">
        <f t="shared" si="2015"/>
        <v>6.3682666666666663E-3</v>
      </c>
      <c r="IN55" s="338">
        <f t="shared" si="2016"/>
        <v>0</v>
      </c>
      <c r="IO55" s="338">
        <f t="shared" si="2017"/>
        <v>0</v>
      </c>
      <c r="IR55" s="344" t="s">
        <v>579</v>
      </c>
      <c r="IS55" s="338">
        <f t="shared" si="2018"/>
        <v>0</v>
      </c>
      <c r="IT55" s="338">
        <f t="shared" si="2018"/>
        <v>0</v>
      </c>
      <c r="IU55" s="338">
        <f t="shared" si="2018"/>
        <v>0</v>
      </c>
      <c r="IV55" s="338">
        <f t="shared" si="2018"/>
        <v>0</v>
      </c>
      <c r="IW55" s="338">
        <f t="shared" si="2018"/>
        <v>0</v>
      </c>
      <c r="IX55" s="338">
        <f t="shared" si="2018"/>
        <v>0</v>
      </c>
      <c r="IY55" s="338">
        <f t="shared" si="2018"/>
        <v>0</v>
      </c>
      <c r="IZ55" s="338">
        <f t="shared" si="2018"/>
        <v>0</v>
      </c>
      <c r="JA55" s="338">
        <f t="shared" si="2018"/>
        <v>0</v>
      </c>
      <c r="JB55" s="338">
        <f t="shared" si="2018"/>
        <v>0</v>
      </c>
      <c r="JC55" s="338">
        <f t="shared" si="2018"/>
        <v>0</v>
      </c>
      <c r="JD55" s="338">
        <f t="shared" si="2018"/>
        <v>0</v>
      </c>
      <c r="JE55" s="338">
        <f t="shared" si="2019"/>
        <v>0.91171142857142884</v>
      </c>
      <c r="JF55" s="338">
        <f t="shared" si="2020"/>
        <v>0.91171142857142862</v>
      </c>
      <c r="JG55" s="338">
        <f t="shared" si="2021"/>
        <v>0</v>
      </c>
      <c r="JH55" s="338">
        <f t="shared" si="2022"/>
        <v>0</v>
      </c>
      <c r="JK55" s="344" t="s">
        <v>579</v>
      </c>
      <c r="JL55" s="338">
        <f t="shared" si="2023"/>
        <v>0</v>
      </c>
      <c r="JM55" s="338">
        <f t="shared" si="2023"/>
        <v>0</v>
      </c>
      <c r="JN55" s="338">
        <f t="shared" si="2023"/>
        <v>0</v>
      </c>
      <c r="JO55" s="338">
        <f t="shared" si="2023"/>
        <v>0</v>
      </c>
      <c r="JP55" s="338">
        <f t="shared" si="2023"/>
        <v>0</v>
      </c>
      <c r="JQ55" s="338">
        <f t="shared" si="2023"/>
        <v>0</v>
      </c>
      <c r="JR55" s="338">
        <f t="shared" si="2023"/>
        <v>0</v>
      </c>
      <c r="JS55" s="338">
        <f t="shared" si="2023"/>
        <v>0</v>
      </c>
      <c r="JT55" s="338">
        <f t="shared" si="2023"/>
        <v>0</v>
      </c>
      <c r="JU55" s="338">
        <f t="shared" si="2023"/>
        <v>0</v>
      </c>
      <c r="JV55" s="338">
        <f t="shared" si="2023"/>
        <v>0</v>
      </c>
      <c r="JW55" s="338">
        <f t="shared" si="2023"/>
        <v>0</v>
      </c>
      <c r="JX55" s="338">
        <f t="shared" si="2024"/>
        <v>0.12372380952380956</v>
      </c>
      <c r="JY55" s="338">
        <f t="shared" si="2025"/>
        <v>0.12372380952380953</v>
      </c>
      <c r="JZ55" s="338">
        <f t="shared" si="2026"/>
        <v>0</v>
      </c>
      <c r="KA55" s="338">
        <f t="shared" si="2027"/>
        <v>0</v>
      </c>
      <c r="KD55" s="344" t="s">
        <v>579</v>
      </c>
      <c r="KE55" s="338">
        <f t="shared" si="2028"/>
        <v>0</v>
      </c>
      <c r="KF55" s="338">
        <f t="shared" si="2028"/>
        <v>0</v>
      </c>
      <c r="KG55" s="338">
        <f t="shared" si="2028"/>
        <v>0</v>
      </c>
      <c r="KH55" s="338">
        <f t="shared" si="2028"/>
        <v>0</v>
      </c>
      <c r="KI55" s="338">
        <f t="shared" si="2028"/>
        <v>0</v>
      </c>
      <c r="KJ55" s="338">
        <f t="shared" si="2028"/>
        <v>0</v>
      </c>
      <c r="KK55" s="338">
        <f t="shared" si="2028"/>
        <v>0</v>
      </c>
      <c r="KL55" s="338">
        <f t="shared" si="2028"/>
        <v>0</v>
      </c>
      <c r="KM55" s="338">
        <f t="shared" si="2028"/>
        <v>0</v>
      </c>
      <c r="KN55" s="338">
        <f t="shared" si="2028"/>
        <v>0</v>
      </c>
      <c r="KO55" s="338">
        <f t="shared" si="2028"/>
        <v>0</v>
      </c>
      <c r="KP55" s="338">
        <f t="shared" si="2028"/>
        <v>0</v>
      </c>
      <c r="KQ55" s="338">
        <f t="shared" si="2029"/>
        <v>4.1816761904761919E-2</v>
      </c>
      <c r="KR55" s="338">
        <f t="shared" si="2030"/>
        <v>4.1816761904761905E-2</v>
      </c>
      <c r="KS55" s="338">
        <f t="shared" si="2031"/>
        <v>0</v>
      </c>
      <c r="KT55" s="338">
        <f t="shared" si="2032"/>
        <v>0</v>
      </c>
      <c r="KW55" s="344" t="s">
        <v>579</v>
      </c>
      <c r="KX55" s="338">
        <f t="shared" si="2033"/>
        <v>0</v>
      </c>
      <c r="KY55" s="338">
        <f t="shared" si="2033"/>
        <v>0</v>
      </c>
      <c r="KZ55" s="338">
        <f t="shared" si="2033"/>
        <v>0</v>
      </c>
      <c r="LA55" s="338">
        <f t="shared" si="2033"/>
        <v>0</v>
      </c>
      <c r="LB55" s="338">
        <f t="shared" si="2033"/>
        <v>0</v>
      </c>
      <c r="LC55" s="338">
        <f t="shared" si="2033"/>
        <v>0</v>
      </c>
      <c r="LD55" s="338">
        <f t="shared" si="2033"/>
        <v>0</v>
      </c>
      <c r="LE55" s="338">
        <f t="shared" si="2033"/>
        <v>0</v>
      </c>
      <c r="LF55" s="338">
        <f t="shared" si="2033"/>
        <v>0</v>
      </c>
      <c r="LG55" s="338">
        <f t="shared" si="2033"/>
        <v>0</v>
      </c>
      <c r="LH55" s="338">
        <f t="shared" si="2033"/>
        <v>0</v>
      </c>
      <c r="LI55" s="338">
        <f t="shared" si="2033"/>
        <v>0</v>
      </c>
      <c r="LJ55" s="338">
        <f t="shared" si="2034"/>
        <v>9.5110190476190515E-2</v>
      </c>
      <c r="LK55" s="338">
        <f t="shared" si="2035"/>
        <v>9.5110190476190487E-2</v>
      </c>
      <c r="LL55" s="338">
        <f t="shared" si="2036"/>
        <v>0</v>
      </c>
      <c r="LM55" s="338">
        <f t="shared" si="2037"/>
        <v>0</v>
      </c>
      <c r="LP55" s="344" t="s">
        <v>579</v>
      </c>
      <c r="LQ55" s="338">
        <f t="shared" si="2038"/>
        <v>0</v>
      </c>
      <c r="LR55" s="338">
        <f t="shared" si="2038"/>
        <v>0</v>
      </c>
      <c r="LS55" s="338">
        <f t="shared" si="2038"/>
        <v>0</v>
      </c>
      <c r="LT55" s="338">
        <f t="shared" si="2038"/>
        <v>0</v>
      </c>
      <c r="LU55" s="338">
        <f t="shared" si="2038"/>
        <v>0</v>
      </c>
      <c r="LV55" s="338">
        <f t="shared" si="2038"/>
        <v>0</v>
      </c>
      <c r="LW55" s="338">
        <f t="shared" si="2038"/>
        <v>0</v>
      </c>
      <c r="LX55" s="338">
        <f t="shared" si="2038"/>
        <v>0</v>
      </c>
      <c r="LY55" s="338">
        <f t="shared" si="2038"/>
        <v>0</v>
      </c>
      <c r="LZ55" s="338">
        <f t="shared" si="2038"/>
        <v>0</v>
      </c>
      <c r="MA55" s="338">
        <f t="shared" si="2038"/>
        <v>0</v>
      </c>
      <c r="MB55" s="338">
        <f t="shared" si="2038"/>
        <v>0</v>
      </c>
      <c r="MC55" s="338">
        <f t="shared" si="2039"/>
        <v>9.5631904761904794E-5</v>
      </c>
      <c r="MD55" s="338">
        <f t="shared" si="2040"/>
        <v>9.5631904761904766E-5</v>
      </c>
      <c r="ME55" s="338">
        <f t="shared" si="2041"/>
        <v>0</v>
      </c>
      <c r="MF55" s="338">
        <f t="shared" si="2042"/>
        <v>0</v>
      </c>
      <c r="MI55" s="344" t="s">
        <v>579</v>
      </c>
      <c r="MJ55" s="338">
        <f t="shared" si="2043"/>
        <v>0</v>
      </c>
      <c r="MK55" s="338">
        <f t="shared" si="2043"/>
        <v>0</v>
      </c>
      <c r="ML55" s="338">
        <f t="shared" si="2043"/>
        <v>0</v>
      </c>
      <c r="MM55" s="338">
        <f t="shared" si="2043"/>
        <v>0</v>
      </c>
      <c r="MN55" s="338">
        <f t="shared" si="2043"/>
        <v>0</v>
      </c>
      <c r="MO55" s="338">
        <f t="shared" si="2043"/>
        <v>0</v>
      </c>
      <c r="MP55" s="338">
        <f t="shared" si="2043"/>
        <v>0</v>
      </c>
      <c r="MQ55" s="338">
        <f t="shared" si="2043"/>
        <v>0</v>
      </c>
      <c r="MR55" s="338">
        <f t="shared" si="2043"/>
        <v>0</v>
      </c>
      <c r="MS55" s="338">
        <f t="shared" si="2043"/>
        <v>0</v>
      </c>
      <c r="MT55" s="338">
        <f t="shared" si="2043"/>
        <v>0</v>
      </c>
      <c r="MU55" s="338">
        <f t="shared" si="2043"/>
        <v>0</v>
      </c>
      <c r="MV55" s="338">
        <f t="shared" si="2044"/>
        <v>8.5853428571428594E-3</v>
      </c>
      <c r="MW55" s="338">
        <f t="shared" si="2045"/>
        <v>8.5853428571428577E-3</v>
      </c>
      <c r="MX55" s="338">
        <f t="shared" si="2046"/>
        <v>0</v>
      </c>
      <c r="MY55" s="338">
        <f t="shared" si="2047"/>
        <v>0</v>
      </c>
      <c r="NB55" s="344" t="s">
        <v>579</v>
      </c>
      <c r="NC55" s="338">
        <f t="shared" si="2048"/>
        <v>0</v>
      </c>
      <c r="ND55" s="338">
        <f t="shared" si="2048"/>
        <v>0</v>
      </c>
      <c r="NE55" s="338">
        <f t="shared" si="2048"/>
        <v>0</v>
      </c>
      <c r="NF55" s="338">
        <f t="shared" si="2048"/>
        <v>0</v>
      </c>
      <c r="NG55" s="338">
        <f t="shared" si="2048"/>
        <v>0</v>
      </c>
      <c r="NH55" s="338">
        <f t="shared" si="2048"/>
        <v>0</v>
      </c>
      <c r="NI55" s="338">
        <f t="shared" si="2048"/>
        <v>0</v>
      </c>
      <c r="NJ55" s="338">
        <f t="shared" si="2048"/>
        <v>0</v>
      </c>
      <c r="NK55" s="338">
        <f t="shared" si="2048"/>
        <v>0</v>
      </c>
      <c r="NL55" s="338">
        <f t="shared" si="2048"/>
        <v>0</v>
      </c>
      <c r="NM55" s="338">
        <f t="shared" si="2048"/>
        <v>0</v>
      </c>
      <c r="NN55" s="338">
        <f t="shared" si="2048"/>
        <v>0</v>
      </c>
      <c r="NO55" s="338">
        <f t="shared" si="2049"/>
        <v>8.4235904761904776E-3</v>
      </c>
      <c r="NP55" s="338">
        <f t="shared" si="2050"/>
        <v>8.4235904761904758E-3</v>
      </c>
      <c r="NQ55" s="338">
        <f t="shared" si="2051"/>
        <v>0</v>
      </c>
      <c r="NR55" s="338">
        <f t="shared" si="2052"/>
        <v>0</v>
      </c>
    </row>
    <row r="56" spans="2:382" ht="12.75" customHeight="1" x14ac:dyDescent="0.2">
      <c r="B56" s="734"/>
      <c r="C56" s="150" t="s">
        <v>648</v>
      </c>
      <c r="D56" s="193"/>
      <c r="E56" s="194"/>
      <c r="F56" s="193"/>
      <c r="G56" s="194"/>
      <c r="H56" s="193"/>
      <c r="I56" s="194"/>
      <c r="J56" s="193"/>
      <c r="K56" s="194"/>
      <c r="L56" s="193"/>
      <c r="M56" s="194"/>
      <c r="N56" s="193"/>
      <c r="O56" s="194"/>
      <c r="P56" s="121"/>
      <c r="Q56" s="121"/>
      <c r="R56" s="121">
        <f>'Cell parameters'!R105/1000</f>
        <v>0.86418421140253998</v>
      </c>
      <c r="S56" s="121">
        <f>'Cell parameters'!S105/1000</f>
        <v>0.44169415249463156</v>
      </c>
      <c r="T56" s="318"/>
      <c r="U56" s="119"/>
      <c r="V56" s="150" t="s">
        <v>648</v>
      </c>
      <c r="W56" s="127">
        <f>'Ecoinvent 3.10'!M$31</f>
        <v>312.87887105481389</v>
      </c>
      <c r="X56" s="127">
        <f>'Ecoinvent 3.10'!N$31</f>
        <v>84.385000000000005</v>
      </c>
      <c r="Y56" s="127">
        <f>'Ecoinvent 3.10'!O$31</f>
        <v>666.19</v>
      </c>
      <c r="Z56" s="127">
        <f>'Ecoinvent 3.10'!P$31</f>
        <v>0.40967999999999999</v>
      </c>
      <c r="AA56" s="127">
        <f>'Ecoinvent 3.10'!Q$31</f>
        <v>164.12</v>
      </c>
      <c r="AB56" s="127">
        <f>'Ecoinvent 3.10'!R$31</f>
        <v>0.74929999999999997</v>
      </c>
      <c r="AC56" s="127">
        <f>'Ecoinvent 3.10'!S$31</f>
        <v>4.1908000000000001E-2</v>
      </c>
      <c r="AD56" s="127">
        <f>'Ecoinvent 3.10'!T$31</f>
        <v>5.8129</v>
      </c>
      <c r="AE56" s="127">
        <f>'Ecoinvent 3.10'!U$31</f>
        <v>15.446</v>
      </c>
      <c r="AF56" s="127">
        <f>'Ecoinvent 3.10'!V$31</f>
        <v>134.80000000000001</v>
      </c>
      <c r="AG56" s="327">
        <f>'Ecoinvent 3.10'!W$31</f>
        <v>0.17762</v>
      </c>
      <c r="AH56" s="327">
        <f>'Ecoinvent 3.10'!X$31</f>
        <v>20.361999999999998</v>
      </c>
      <c r="AI56" s="327">
        <f>'Ecoinvent 3.10'!Y$31</f>
        <v>5.0571000000000002</v>
      </c>
      <c r="AJ56" s="327">
        <f>'Ecoinvent 3.10'!Z$31</f>
        <v>1.9899</v>
      </c>
      <c r="AK56" s="327">
        <f>'Ecoinvent 3.10'!AA$31</f>
        <v>8.0045999999999999</v>
      </c>
      <c r="AL56" s="327">
        <f>'Ecoinvent 3.10'!AB$31</f>
        <v>3.8951E-2</v>
      </c>
      <c r="AM56" s="327">
        <f>'Ecoinvent 3.10'!AC$31</f>
        <v>0.25276999999999999</v>
      </c>
      <c r="AN56" s="327">
        <f>'Ecoinvent 3.10'!AD$31</f>
        <v>0.24621999999999999</v>
      </c>
      <c r="AO56" s="119"/>
      <c r="AP56" s="8"/>
      <c r="AQ56" s="150" t="s">
        <v>648</v>
      </c>
      <c r="AR56" s="49">
        <f t="shared" ref="AR56" si="2054">D56*$W56</f>
        <v>0</v>
      </c>
      <c r="AS56" s="50">
        <f t="shared" ref="AS56" si="2055">E56*$W56</f>
        <v>0</v>
      </c>
      <c r="AT56" s="49">
        <f t="shared" ref="AT56" si="2056">F56*$W56</f>
        <v>0</v>
      </c>
      <c r="AU56" s="50">
        <f t="shared" ref="AU56" si="2057">G56*$W56</f>
        <v>0</v>
      </c>
      <c r="AV56" s="49">
        <f t="shared" ref="AV56" si="2058">H56*$W56</f>
        <v>0</v>
      </c>
      <c r="AW56" s="50">
        <f t="shared" ref="AW56" si="2059">I56*$W56</f>
        <v>0</v>
      </c>
      <c r="AX56" s="49">
        <f t="shared" ref="AX56" si="2060">J56*$W56</f>
        <v>0</v>
      </c>
      <c r="AY56" s="50">
        <f t="shared" ref="AY56" si="2061">K56*$W56</f>
        <v>0</v>
      </c>
      <c r="AZ56" s="49">
        <f t="shared" ref="AZ56" si="2062">L56*$W56</f>
        <v>0</v>
      </c>
      <c r="BA56" s="50">
        <f t="shared" ref="BA56" si="2063">M56*$W56</f>
        <v>0</v>
      </c>
      <c r="BB56" s="49">
        <f t="shared" ref="BB56" si="2064">N56*$W56</f>
        <v>0</v>
      </c>
      <c r="BC56" s="50">
        <f t="shared" ref="BC56" si="2065">O56*$W56</f>
        <v>0</v>
      </c>
      <c r="BD56" s="49">
        <f t="shared" ref="BD56" si="2066">P56*$W56</f>
        <v>0</v>
      </c>
      <c r="BE56" s="50">
        <f t="shared" ref="BE56" si="2067">Q56*$W56</f>
        <v>0</v>
      </c>
      <c r="BF56" s="49">
        <f t="shared" ref="BF56" si="2068">R56*$W56</f>
        <v>270.38498044702135</v>
      </c>
      <c r="BG56" s="50">
        <f t="shared" ref="BG56" si="2069">S56*$W56</f>
        <v>138.19676778403314</v>
      </c>
      <c r="BI56" s="156"/>
      <c r="BJ56" s="150" t="s">
        <v>648</v>
      </c>
      <c r="BK56" s="49">
        <f t="shared" si="1925"/>
        <v>0</v>
      </c>
      <c r="BL56" s="49">
        <f t="shared" si="1926"/>
        <v>0</v>
      </c>
      <c r="BM56" s="49">
        <f t="shared" si="1927"/>
        <v>0</v>
      </c>
      <c r="BN56" s="49">
        <f t="shared" si="1928"/>
        <v>0</v>
      </c>
      <c r="BO56" s="49">
        <f t="shared" si="1929"/>
        <v>0</v>
      </c>
      <c r="BP56" s="49">
        <f t="shared" si="1930"/>
        <v>0</v>
      </c>
      <c r="BQ56" s="49">
        <f t="shared" si="1931"/>
        <v>0</v>
      </c>
      <c r="BR56" s="49">
        <f t="shared" si="1932"/>
        <v>0</v>
      </c>
      <c r="BS56" s="49">
        <f t="shared" si="1933"/>
        <v>0</v>
      </c>
      <c r="BT56" s="49">
        <f t="shared" si="1934"/>
        <v>0</v>
      </c>
      <c r="BU56" s="49">
        <f t="shared" si="1935"/>
        <v>0</v>
      </c>
      <c r="BV56" s="49">
        <f t="shared" si="2053"/>
        <v>0</v>
      </c>
      <c r="BW56" s="49">
        <f t="shared" si="1936"/>
        <v>0</v>
      </c>
      <c r="BX56" s="49">
        <f t="shared" si="1937"/>
        <v>0</v>
      </c>
      <c r="BY56" s="49">
        <f t="shared" si="1938"/>
        <v>72.924184679203336</v>
      </c>
      <c r="BZ56" s="49">
        <f t="shared" si="1939"/>
        <v>37.272361058259484</v>
      </c>
      <c r="CA56" s="156"/>
      <c r="CB56" s="156"/>
      <c r="CC56" s="150" t="s">
        <v>648</v>
      </c>
      <c r="CD56" s="49">
        <f t="shared" si="1940"/>
        <v>0</v>
      </c>
      <c r="CE56" s="49">
        <f t="shared" si="1941"/>
        <v>0</v>
      </c>
      <c r="CF56" s="49">
        <f t="shared" si="1942"/>
        <v>0</v>
      </c>
      <c r="CG56" s="49">
        <f t="shared" si="1943"/>
        <v>0</v>
      </c>
      <c r="CH56" s="49">
        <f t="shared" si="1944"/>
        <v>0</v>
      </c>
      <c r="CI56" s="49">
        <f t="shared" si="1945"/>
        <v>0</v>
      </c>
      <c r="CJ56" s="49">
        <f t="shared" si="1946"/>
        <v>0</v>
      </c>
      <c r="CK56" s="49">
        <f t="shared" si="1947"/>
        <v>0</v>
      </c>
      <c r="CL56" s="49">
        <f t="shared" si="1948"/>
        <v>0</v>
      </c>
      <c r="CM56" s="49">
        <f t="shared" si="1949"/>
        <v>0</v>
      </c>
      <c r="CN56" s="49">
        <f t="shared" si="1950"/>
        <v>0</v>
      </c>
      <c r="CO56" s="220">
        <f t="shared" si="1951"/>
        <v>0</v>
      </c>
      <c r="CP56" s="49">
        <f t="shared" si="1952"/>
        <v>0</v>
      </c>
      <c r="CQ56" s="49">
        <f t="shared" si="1953"/>
        <v>0</v>
      </c>
      <c r="CR56" s="49">
        <f t="shared" si="1954"/>
        <v>575.71087979425818</v>
      </c>
      <c r="CS56" s="220">
        <f t="shared" si="1955"/>
        <v>294.25222745039861</v>
      </c>
      <c r="CV56" s="150" t="s">
        <v>648</v>
      </c>
      <c r="CW56" s="49">
        <f t="shared" si="1956"/>
        <v>0</v>
      </c>
      <c r="CX56" s="49">
        <f t="shared" si="1957"/>
        <v>0</v>
      </c>
      <c r="CY56" s="49">
        <f t="shared" si="1958"/>
        <v>0</v>
      </c>
      <c r="CZ56" s="49">
        <f t="shared" si="1959"/>
        <v>0</v>
      </c>
      <c r="DA56" s="49">
        <f t="shared" si="1960"/>
        <v>0</v>
      </c>
      <c r="DB56" s="49">
        <f t="shared" si="1961"/>
        <v>0</v>
      </c>
      <c r="DC56" s="49">
        <f t="shared" si="1962"/>
        <v>0</v>
      </c>
      <c r="DD56" s="49">
        <f t="shared" si="1963"/>
        <v>0</v>
      </c>
      <c r="DE56" s="49">
        <f t="shared" si="1964"/>
        <v>0</v>
      </c>
      <c r="DF56" s="49">
        <f t="shared" si="1965"/>
        <v>0</v>
      </c>
      <c r="DG56" s="49">
        <f t="shared" si="1966"/>
        <v>0</v>
      </c>
      <c r="DH56" s="49">
        <f t="shared" si="1967"/>
        <v>0</v>
      </c>
      <c r="DI56" s="49">
        <f t="shared" si="1968"/>
        <v>0</v>
      </c>
      <c r="DJ56" s="49">
        <f t="shared" si="1969"/>
        <v>0</v>
      </c>
      <c r="DK56" s="49">
        <f t="shared" si="1970"/>
        <v>0.35403898772739256</v>
      </c>
      <c r="DL56" s="49">
        <f t="shared" si="1971"/>
        <v>0.18095326039400064</v>
      </c>
      <c r="DO56" s="150" t="s">
        <v>648</v>
      </c>
      <c r="DP56" s="49">
        <f t="shared" si="1972"/>
        <v>0</v>
      </c>
      <c r="DQ56" s="49">
        <f t="shared" si="1973"/>
        <v>0</v>
      </c>
      <c r="DR56" s="49">
        <f t="shared" si="1974"/>
        <v>0</v>
      </c>
      <c r="DS56" s="49">
        <f t="shared" si="1975"/>
        <v>0</v>
      </c>
      <c r="DT56" s="49">
        <f t="shared" si="1976"/>
        <v>0</v>
      </c>
      <c r="DU56" s="49">
        <f t="shared" si="1977"/>
        <v>0</v>
      </c>
      <c r="DV56" s="49">
        <f t="shared" si="1978"/>
        <v>0</v>
      </c>
      <c r="DW56" s="49">
        <f t="shared" si="1979"/>
        <v>0</v>
      </c>
      <c r="DX56" s="49">
        <f t="shared" si="1980"/>
        <v>0</v>
      </c>
      <c r="DY56" s="49">
        <f t="shared" si="1981"/>
        <v>0</v>
      </c>
      <c r="DZ56" s="49">
        <f t="shared" si="1982"/>
        <v>0</v>
      </c>
      <c r="EA56" s="49">
        <f t="shared" si="1983"/>
        <v>0</v>
      </c>
      <c r="EB56" s="49">
        <f t="shared" si="1984"/>
        <v>0</v>
      </c>
      <c r="EC56" s="49">
        <f t="shared" si="1985"/>
        <v>0</v>
      </c>
      <c r="ED56" s="49">
        <f t="shared" si="1986"/>
        <v>141.82991277538486</v>
      </c>
      <c r="EE56" s="49">
        <f t="shared" si="1987"/>
        <v>72.490844307418939</v>
      </c>
      <c r="EH56" s="150" t="s">
        <v>648</v>
      </c>
      <c r="EI56" s="49">
        <f t="shared" ref="EI56" si="2070">D56*$AB56</f>
        <v>0</v>
      </c>
      <c r="EJ56" s="49">
        <f t="shared" ref="EJ56" si="2071">E56*$AB56</f>
        <v>0</v>
      </c>
      <c r="EK56" s="49">
        <f t="shared" ref="EK56" si="2072">F56*$AB56</f>
        <v>0</v>
      </c>
      <c r="EL56" s="49">
        <f t="shared" ref="EL56" si="2073">G56*$AB56</f>
        <v>0</v>
      </c>
      <c r="EM56" s="49">
        <f t="shared" ref="EM56" si="2074">H56*$AB56</f>
        <v>0</v>
      </c>
      <c r="EN56" s="49">
        <f t="shared" ref="EN56" si="2075">I56*$AB56</f>
        <v>0</v>
      </c>
      <c r="EO56" s="49">
        <f t="shared" ref="EO56" si="2076">J56*$AB56</f>
        <v>0</v>
      </c>
      <c r="EP56" s="49">
        <f t="shared" ref="EP56" si="2077">K56*$AB56</f>
        <v>0</v>
      </c>
      <c r="EQ56" s="49">
        <f t="shared" ref="EQ56" si="2078">L56*$AB56</f>
        <v>0</v>
      </c>
      <c r="ER56" s="49">
        <f t="shared" ref="ER56" si="2079">M56*$AB56</f>
        <v>0</v>
      </c>
      <c r="ES56" s="49">
        <f t="shared" ref="ES56" si="2080">N56*$AB56</f>
        <v>0</v>
      </c>
      <c r="ET56" s="49">
        <f t="shared" ref="ET56" si="2081">O56*$AB56</f>
        <v>0</v>
      </c>
      <c r="EU56" s="49">
        <f t="shared" ref="EU56" si="2082">P56*$AB56</f>
        <v>0</v>
      </c>
      <c r="EV56" s="49">
        <f t="shared" ref="EV56" si="2083">Q56*$AB56</f>
        <v>0</v>
      </c>
      <c r="EW56" s="49">
        <f t="shared" ref="EW56" si="2084">R56*$AB56</f>
        <v>0.64753322960392323</v>
      </c>
      <c r="EX56" s="49">
        <f t="shared" ref="EX56" si="2085">S56*$AB56</f>
        <v>0.33096142846422744</v>
      </c>
      <c r="FA56" s="150" t="s">
        <v>648</v>
      </c>
      <c r="FB56" s="53">
        <f t="shared" ref="FB56" si="2086">D56*$AC56</f>
        <v>0</v>
      </c>
      <c r="FC56" s="53">
        <f t="shared" ref="FC56" si="2087">E56*$AC56</f>
        <v>0</v>
      </c>
      <c r="FD56" s="53">
        <f t="shared" ref="FD56" si="2088">F56*$AC56</f>
        <v>0</v>
      </c>
      <c r="FE56" s="53">
        <f t="shared" ref="FE56" si="2089">G56*$AC56</f>
        <v>0</v>
      </c>
      <c r="FF56" s="53">
        <f t="shared" ref="FF56" si="2090">H56*$AC56</f>
        <v>0</v>
      </c>
      <c r="FG56" s="53">
        <f t="shared" ref="FG56" si="2091">I56*$AC56</f>
        <v>0</v>
      </c>
      <c r="FH56" s="53">
        <f t="shared" ref="FH56" si="2092">J56*$AC56</f>
        <v>0</v>
      </c>
      <c r="FI56" s="53">
        <f t="shared" ref="FI56" si="2093">K56*$AC56</f>
        <v>0</v>
      </c>
      <c r="FJ56" s="53">
        <f t="shared" ref="FJ56" si="2094">L56*$AC56</f>
        <v>0</v>
      </c>
      <c r="FK56" s="53">
        <f t="shared" ref="FK56" si="2095">M56*$AC56</f>
        <v>0</v>
      </c>
      <c r="FL56" s="53">
        <f t="shared" ref="FL56" si="2096">N56*$AC56</f>
        <v>0</v>
      </c>
      <c r="FM56" s="53">
        <f t="shared" ref="FM56" si="2097">O56*$AC56</f>
        <v>0</v>
      </c>
      <c r="FN56" s="53">
        <f t="shared" ref="FN56" si="2098">P56*$AC56</f>
        <v>0</v>
      </c>
      <c r="FO56" s="53">
        <f t="shared" ref="FO56" si="2099">Q56*$AC56</f>
        <v>0</v>
      </c>
      <c r="FP56" s="53">
        <f t="shared" ref="FP56" si="2100">R56*$AC56</f>
        <v>3.6216231931457649E-2</v>
      </c>
      <c r="FQ56" s="53">
        <f t="shared" ref="FQ56" si="2101">S56*$AC56</f>
        <v>1.8510518542745019E-2</v>
      </c>
      <c r="FT56" s="150" t="s">
        <v>648</v>
      </c>
      <c r="FU56" s="49">
        <f t="shared" ref="FU56" si="2102">D56*$AD56</f>
        <v>0</v>
      </c>
      <c r="FV56" s="49">
        <f t="shared" ref="FV56" si="2103">E56*$AD56</f>
        <v>0</v>
      </c>
      <c r="FW56" s="49">
        <f t="shared" ref="FW56" si="2104">F56*$AD56</f>
        <v>0</v>
      </c>
      <c r="FX56" s="49">
        <f t="shared" ref="FX56" si="2105">G56*$AD56</f>
        <v>0</v>
      </c>
      <c r="FY56" s="49">
        <f t="shared" ref="FY56" si="2106">H56*$AD56</f>
        <v>0</v>
      </c>
      <c r="FZ56" s="49">
        <f t="shared" ref="FZ56" si="2107">I56*$AD56</f>
        <v>0</v>
      </c>
      <c r="GA56" s="49">
        <f t="shared" ref="GA56" si="2108">J56*$AD56</f>
        <v>0</v>
      </c>
      <c r="GB56" s="49">
        <f t="shared" ref="GB56" si="2109">K56*$AD56</f>
        <v>0</v>
      </c>
      <c r="GC56" s="49">
        <f t="shared" ref="GC56" si="2110">L56*$AD56</f>
        <v>0</v>
      </c>
      <c r="GD56" s="49">
        <f t="shared" ref="GD56" si="2111">M56*$AD56</f>
        <v>0</v>
      </c>
      <c r="GE56" s="49">
        <f t="shared" ref="GE56" si="2112">N56*$AD56</f>
        <v>0</v>
      </c>
      <c r="GF56" s="49">
        <f t="shared" ref="GF56" si="2113">O56*$AD56</f>
        <v>0</v>
      </c>
      <c r="GG56" s="49">
        <f t="shared" ref="GG56" si="2114">P56*$AD56</f>
        <v>0</v>
      </c>
      <c r="GH56" s="49">
        <f t="shared" ref="GH56" si="2115">Q56*$AD56</f>
        <v>0</v>
      </c>
      <c r="GI56" s="49">
        <f t="shared" ref="GI56" si="2116">R56*$AD56</f>
        <v>5.0234164024618249</v>
      </c>
      <c r="GJ56" s="49">
        <f t="shared" ref="GJ56" si="2117">S56*$AD56</f>
        <v>2.5675239390360436</v>
      </c>
      <c r="GM56" s="150" t="s">
        <v>648</v>
      </c>
      <c r="GN56" s="49">
        <f t="shared" ref="GN56" si="2118">D56*$AE56</f>
        <v>0</v>
      </c>
      <c r="GO56" s="49">
        <f t="shared" ref="GO56" si="2119">E56*$AE56</f>
        <v>0</v>
      </c>
      <c r="GP56" s="49">
        <f t="shared" ref="GP56" si="2120">F56*$AE56</f>
        <v>0</v>
      </c>
      <c r="GQ56" s="49">
        <f t="shared" ref="GQ56" si="2121">G56*$AE56</f>
        <v>0</v>
      </c>
      <c r="GR56" s="49">
        <f t="shared" ref="GR56" si="2122">H56*$AE56</f>
        <v>0</v>
      </c>
      <c r="GS56" s="49">
        <f t="shared" ref="GS56" si="2123">I56*$AE56</f>
        <v>0</v>
      </c>
      <c r="GT56" s="49">
        <f t="shared" ref="GT56" si="2124">J56*$AE56</f>
        <v>0</v>
      </c>
      <c r="GU56" s="49">
        <f t="shared" ref="GU56" si="2125">K56*$AE56</f>
        <v>0</v>
      </c>
      <c r="GV56" s="49">
        <f t="shared" ref="GV56" si="2126">L56*$AE56</f>
        <v>0</v>
      </c>
      <c r="GW56" s="49">
        <f t="shared" ref="GW56" si="2127">M56*$AE56</f>
        <v>0</v>
      </c>
      <c r="GX56" s="49">
        <f t="shared" ref="GX56" si="2128">N56*$AE56</f>
        <v>0</v>
      </c>
      <c r="GY56" s="49">
        <f t="shared" ref="GY56" si="2129">O56*$AE56</f>
        <v>0</v>
      </c>
      <c r="GZ56" s="49">
        <f t="shared" ref="GZ56" si="2130">P56*$AE56</f>
        <v>0</v>
      </c>
      <c r="HA56" s="49">
        <f t="shared" ref="HA56" si="2131">Q56*$AE56</f>
        <v>0</v>
      </c>
      <c r="HB56" s="49">
        <f t="shared" ref="HB56" si="2132">R56*$AE56</f>
        <v>13.348189329323633</v>
      </c>
      <c r="HC56" s="49">
        <f t="shared" ref="HC56" si="2133">S56*$AE56</f>
        <v>6.8224078794320793</v>
      </c>
      <c r="HF56" s="150" t="s">
        <v>648</v>
      </c>
      <c r="HG56" s="49">
        <f t="shared" ref="HG56" si="2134">D56*$AF56</f>
        <v>0</v>
      </c>
      <c r="HH56" s="49">
        <f t="shared" ref="HH56" si="2135">E56*$AF56</f>
        <v>0</v>
      </c>
      <c r="HI56" s="49">
        <f t="shared" ref="HI56" si="2136">F56*$AF56</f>
        <v>0</v>
      </c>
      <c r="HJ56" s="49">
        <f t="shared" ref="HJ56" si="2137">G56*$AF56</f>
        <v>0</v>
      </c>
      <c r="HK56" s="49">
        <f t="shared" ref="HK56" si="2138">H56*$AF56</f>
        <v>0</v>
      </c>
      <c r="HL56" s="49">
        <f t="shared" ref="HL56" si="2139">I56*$AF56</f>
        <v>0</v>
      </c>
      <c r="HM56" s="49">
        <f t="shared" ref="HM56" si="2140">J56*$AF56</f>
        <v>0</v>
      </c>
      <c r="HN56" s="49">
        <f t="shared" ref="HN56" si="2141">K56*$AF56</f>
        <v>0</v>
      </c>
      <c r="HO56" s="49">
        <f t="shared" ref="HO56" si="2142">L56*$AF56</f>
        <v>0</v>
      </c>
      <c r="HP56" s="49">
        <f t="shared" ref="HP56" si="2143">M56*$AF56</f>
        <v>0</v>
      </c>
      <c r="HQ56" s="49">
        <f t="shared" ref="HQ56" si="2144">N56*$AF56</f>
        <v>0</v>
      </c>
      <c r="HR56" s="49">
        <f t="shared" ref="HR56" si="2145">O56*$AF56</f>
        <v>0</v>
      </c>
      <c r="HS56" s="49">
        <f t="shared" ref="HS56" si="2146">P56*$AF56</f>
        <v>0</v>
      </c>
      <c r="HT56" s="49">
        <f t="shared" ref="HT56" si="2147">Q56*$AF56</f>
        <v>0</v>
      </c>
      <c r="HU56" s="49">
        <f t="shared" ref="HU56" si="2148">R56*$AF56</f>
        <v>116.4920316970624</v>
      </c>
      <c r="HV56" s="49">
        <f t="shared" ref="HV56" si="2149">S56*$AF56</f>
        <v>59.540371756276343</v>
      </c>
      <c r="HY56" s="344" t="s">
        <v>648</v>
      </c>
      <c r="HZ56" s="338">
        <f t="shared" ref="HZ56" si="2150">D56*$AG56</f>
        <v>0</v>
      </c>
      <c r="IA56" s="338">
        <f t="shared" ref="IA56" si="2151">E56*$AG56</f>
        <v>0</v>
      </c>
      <c r="IB56" s="338">
        <f t="shared" ref="IB56" si="2152">F56*$AG56</f>
        <v>0</v>
      </c>
      <c r="IC56" s="338">
        <f t="shared" ref="IC56" si="2153">G56*$AG56</f>
        <v>0</v>
      </c>
      <c r="ID56" s="338">
        <f t="shared" ref="ID56" si="2154">H56*$AG56</f>
        <v>0</v>
      </c>
      <c r="IE56" s="338">
        <f t="shared" ref="IE56" si="2155">I56*$AG56</f>
        <v>0</v>
      </c>
      <c r="IF56" s="338">
        <f t="shared" ref="IF56" si="2156">J56*$AG56</f>
        <v>0</v>
      </c>
      <c r="IG56" s="338">
        <f t="shared" ref="IG56" si="2157">K56*$AG56</f>
        <v>0</v>
      </c>
      <c r="IH56" s="338">
        <f t="shared" ref="IH56" si="2158">L56*$AG56</f>
        <v>0</v>
      </c>
      <c r="II56" s="338">
        <f t="shared" ref="II56" si="2159">M56*$AG56</f>
        <v>0</v>
      </c>
      <c r="IJ56" s="338">
        <f t="shared" ref="IJ56" si="2160">N56*$AG56</f>
        <v>0</v>
      </c>
      <c r="IK56" s="338">
        <f t="shared" ref="IK56" si="2161">O56*$AG56</f>
        <v>0</v>
      </c>
      <c r="IL56" s="338">
        <f t="shared" ref="IL56" si="2162">P56*$AG56</f>
        <v>0</v>
      </c>
      <c r="IM56" s="338">
        <f t="shared" ref="IM56" si="2163">Q56*$AG56</f>
        <v>0</v>
      </c>
      <c r="IN56" s="338">
        <f t="shared" ref="IN56" si="2164">R56*$AG56</f>
        <v>0.15349639962931916</v>
      </c>
      <c r="IO56" s="338">
        <f t="shared" ref="IO56" si="2165">S56*$AG56</f>
        <v>7.8453715366096452E-2</v>
      </c>
      <c r="IR56" s="344" t="s">
        <v>648</v>
      </c>
      <c r="IS56" s="338">
        <f t="shared" ref="IS56" si="2166">D56*$AH56</f>
        <v>0</v>
      </c>
      <c r="IT56" s="338">
        <f t="shared" ref="IT56" si="2167">E56*$AH56</f>
        <v>0</v>
      </c>
      <c r="IU56" s="338">
        <f t="shared" ref="IU56" si="2168">F56*$AH56</f>
        <v>0</v>
      </c>
      <c r="IV56" s="338">
        <f t="shared" ref="IV56" si="2169">G56*$AH56</f>
        <v>0</v>
      </c>
      <c r="IW56" s="338">
        <f t="shared" ref="IW56" si="2170">H56*$AH56</f>
        <v>0</v>
      </c>
      <c r="IX56" s="338">
        <f t="shared" ref="IX56" si="2171">I56*$AH56</f>
        <v>0</v>
      </c>
      <c r="IY56" s="338">
        <f t="shared" ref="IY56" si="2172">J56*$AH56</f>
        <v>0</v>
      </c>
      <c r="IZ56" s="338">
        <f t="shared" ref="IZ56" si="2173">K56*$AH56</f>
        <v>0</v>
      </c>
      <c r="JA56" s="338">
        <f t="shared" ref="JA56" si="2174">L56*$AH56</f>
        <v>0</v>
      </c>
      <c r="JB56" s="338">
        <f t="shared" ref="JB56" si="2175">M56*$AH56</f>
        <v>0</v>
      </c>
      <c r="JC56" s="338">
        <f t="shared" ref="JC56" si="2176">N56*$AH56</f>
        <v>0</v>
      </c>
      <c r="JD56" s="338">
        <f t="shared" ref="JD56" si="2177">O56*$AH56</f>
        <v>0</v>
      </c>
      <c r="JE56" s="338">
        <f t="shared" ref="JE56" si="2178">P56*$AH56</f>
        <v>0</v>
      </c>
      <c r="JF56" s="338">
        <f t="shared" ref="JF56" si="2179">Q56*$AH56</f>
        <v>0</v>
      </c>
      <c r="JG56" s="338">
        <f t="shared" ref="JG56" si="2180">R56*$AH56</f>
        <v>17.596518912578517</v>
      </c>
      <c r="JH56" s="338">
        <f t="shared" ref="JH56" si="2181">S56*$AH56</f>
        <v>8.9937763330956866</v>
      </c>
      <c r="JK56" s="344" t="s">
        <v>648</v>
      </c>
      <c r="JL56" s="338">
        <f t="shared" ref="JL56" si="2182">D56*$AI56</f>
        <v>0</v>
      </c>
      <c r="JM56" s="338">
        <f t="shared" ref="JM56" si="2183">E56*$AI56</f>
        <v>0</v>
      </c>
      <c r="JN56" s="338">
        <f t="shared" ref="JN56" si="2184">F56*$AI56</f>
        <v>0</v>
      </c>
      <c r="JO56" s="338">
        <f t="shared" ref="JO56" si="2185">G56*$AI56</f>
        <v>0</v>
      </c>
      <c r="JP56" s="338">
        <f t="shared" ref="JP56" si="2186">H56*$AI56</f>
        <v>0</v>
      </c>
      <c r="JQ56" s="338">
        <f t="shared" ref="JQ56" si="2187">I56*$AI56</f>
        <v>0</v>
      </c>
      <c r="JR56" s="338">
        <f t="shared" ref="JR56" si="2188">J56*$AI56</f>
        <v>0</v>
      </c>
      <c r="JS56" s="338">
        <f t="shared" ref="JS56" si="2189">K56*$AI56</f>
        <v>0</v>
      </c>
      <c r="JT56" s="338">
        <f t="shared" ref="JT56" si="2190">L56*$AI56</f>
        <v>0</v>
      </c>
      <c r="JU56" s="338">
        <f t="shared" ref="JU56" si="2191">M56*$AI56</f>
        <v>0</v>
      </c>
      <c r="JV56" s="338">
        <f t="shared" ref="JV56" si="2192">N56*$AI56</f>
        <v>0</v>
      </c>
      <c r="JW56" s="338">
        <f t="shared" ref="JW56" si="2193">O56*$AI56</f>
        <v>0</v>
      </c>
      <c r="JX56" s="338">
        <f t="shared" ref="JX56" si="2194">P56*$AI56</f>
        <v>0</v>
      </c>
      <c r="JY56" s="338">
        <f t="shared" ref="JY56" si="2195">Q56*$AI56</f>
        <v>0</v>
      </c>
      <c r="JZ56" s="338">
        <f t="shared" ref="JZ56" si="2196">R56*$AI56</f>
        <v>4.3702659754837851</v>
      </c>
      <c r="KA56" s="338">
        <f t="shared" ref="KA56" si="2197">S56*$AI56</f>
        <v>2.2336914985806016</v>
      </c>
      <c r="KD56" s="344" t="s">
        <v>648</v>
      </c>
      <c r="KE56" s="338">
        <f t="shared" ref="KE56" si="2198">D56*$AJ56</f>
        <v>0</v>
      </c>
      <c r="KF56" s="338">
        <f t="shared" ref="KF56" si="2199">E56*$AJ56</f>
        <v>0</v>
      </c>
      <c r="KG56" s="338">
        <f t="shared" ref="KG56" si="2200">F56*$AJ56</f>
        <v>0</v>
      </c>
      <c r="KH56" s="338">
        <f t="shared" ref="KH56" si="2201">G56*$AJ56</f>
        <v>0</v>
      </c>
      <c r="KI56" s="338">
        <f t="shared" ref="KI56" si="2202">H56*$AJ56</f>
        <v>0</v>
      </c>
      <c r="KJ56" s="338">
        <f t="shared" ref="KJ56" si="2203">I56*$AJ56</f>
        <v>0</v>
      </c>
      <c r="KK56" s="338">
        <f t="shared" ref="KK56" si="2204">J56*$AJ56</f>
        <v>0</v>
      </c>
      <c r="KL56" s="338">
        <f t="shared" ref="KL56" si="2205">K56*$AJ56</f>
        <v>0</v>
      </c>
      <c r="KM56" s="338">
        <f t="shared" ref="KM56" si="2206">L56*$AJ56</f>
        <v>0</v>
      </c>
      <c r="KN56" s="338">
        <f t="shared" ref="KN56" si="2207">M56*$AJ56</f>
        <v>0</v>
      </c>
      <c r="KO56" s="338">
        <f t="shared" ref="KO56" si="2208">N56*$AJ56</f>
        <v>0</v>
      </c>
      <c r="KP56" s="338">
        <f t="shared" ref="KP56" si="2209">O56*$AJ56</f>
        <v>0</v>
      </c>
      <c r="KQ56" s="338">
        <f t="shared" ref="KQ56" si="2210">P56*$AJ56</f>
        <v>0</v>
      </c>
      <c r="KR56" s="338">
        <f t="shared" ref="KR56" si="2211">Q56*$AJ56</f>
        <v>0</v>
      </c>
      <c r="KS56" s="338">
        <f t="shared" ref="KS56" si="2212">R56*$AJ56</f>
        <v>1.7196401622699142</v>
      </c>
      <c r="KT56" s="338">
        <f t="shared" ref="KT56" si="2213">S56*$AJ56</f>
        <v>0.87892719404906738</v>
      </c>
      <c r="KW56" s="344" t="s">
        <v>648</v>
      </c>
      <c r="KX56" s="338">
        <f t="shared" ref="KX56" si="2214">D56*$AK56</f>
        <v>0</v>
      </c>
      <c r="KY56" s="338">
        <f t="shared" ref="KY56" si="2215">E56*$AK56</f>
        <v>0</v>
      </c>
      <c r="KZ56" s="338">
        <f t="shared" ref="KZ56" si="2216">F56*$AK56</f>
        <v>0</v>
      </c>
      <c r="LA56" s="338">
        <f t="shared" ref="LA56" si="2217">G56*$AK56</f>
        <v>0</v>
      </c>
      <c r="LB56" s="338">
        <f t="shared" ref="LB56" si="2218">H56*$AK56</f>
        <v>0</v>
      </c>
      <c r="LC56" s="338">
        <f t="shared" ref="LC56" si="2219">I56*$AK56</f>
        <v>0</v>
      </c>
      <c r="LD56" s="338">
        <f t="shared" ref="LD56" si="2220">J56*$AK56</f>
        <v>0</v>
      </c>
      <c r="LE56" s="338">
        <f t="shared" ref="LE56" si="2221">K56*$AK56</f>
        <v>0</v>
      </c>
      <c r="LF56" s="338">
        <f t="shared" ref="LF56" si="2222">L56*$AK56</f>
        <v>0</v>
      </c>
      <c r="LG56" s="338">
        <f t="shared" ref="LG56" si="2223">M56*$AK56</f>
        <v>0</v>
      </c>
      <c r="LH56" s="338">
        <f t="shared" ref="LH56" si="2224">N56*$AK56</f>
        <v>0</v>
      </c>
      <c r="LI56" s="338">
        <f t="shared" ref="LI56" si="2225">O56*$AK56</f>
        <v>0</v>
      </c>
      <c r="LJ56" s="338">
        <f t="shared" ref="LJ56" si="2226">P56*$AK56</f>
        <v>0</v>
      </c>
      <c r="LK56" s="338">
        <f t="shared" ref="LK56" si="2227">Q56*$AK56</f>
        <v>0</v>
      </c>
      <c r="LL56" s="338">
        <f t="shared" ref="LL56" si="2228">R56*$AK56</f>
        <v>6.9174489385927718</v>
      </c>
      <c r="LM56" s="338">
        <f t="shared" ref="LM56" si="2229">S56*$AK56</f>
        <v>3.5355850130585278</v>
      </c>
      <c r="LP56" s="344" t="s">
        <v>648</v>
      </c>
      <c r="LQ56" s="338">
        <f t="shared" ref="LQ56" si="2230">D56*$AL56</f>
        <v>0</v>
      </c>
      <c r="LR56" s="338">
        <f t="shared" ref="LR56" si="2231">E56*$AL56</f>
        <v>0</v>
      </c>
      <c r="LS56" s="338">
        <f t="shared" ref="LS56" si="2232">F56*$AL56</f>
        <v>0</v>
      </c>
      <c r="LT56" s="338">
        <f t="shared" ref="LT56" si="2233">G56*$AL56</f>
        <v>0</v>
      </c>
      <c r="LU56" s="338">
        <f t="shared" ref="LU56" si="2234">H56*$AL56</f>
        <v>0</v>
      </c>
      <c r="LV56" s="338">
        <f t="shared" ref="LV56" si="2235">I56*$AL56</f>
        <v>0</v>
      </c>
      <c r="LW56" s="338">
        <f t="shared" ref="LW56" si="2236">J56*$AL56</f>
        <v>0</v>
      </c>
      <c r="LX56" s="338">
        <f t="shared" ref="LX56" si="2237">K56*$AL56</f>
        <v>0</v>
      </c>
      <c r="LY56" s="338">
        <f t="shared" ref="LY56" si="2238">L56*$AL56</f>
        <v>0</v>
      </c>
      <c r="LZ56" s="338">
        <f t="shared" ref="LZ56" si="2239">M56*$AL56</f>
        <v>0</v>
      </c>
      <c r="MA56" s="338">
        <f t="shared" ref="MA56" si="2240">N56*$AL56</f>
        <v>0</v>
      </c>
      <c r="MB56" s="338">
        <f t="shared" ref="MB56" si="2241">O56*$AL56</f>
        <v>0</v>
      </c>
      <c r="MC56" s="338">
        <f t="shared" ref="MC56" si="2242">P56*$AL56</f>
        <v>0</v>
      </c>
      <c r="MD56" s="338">
        <f t="shared" ref="MD56" si="2243">Q56*$AL56</f>
        <v>0</v>
      </c>
      <c r="ME56" s="338">
        <f t="shared" ref="ME56" si="2244">R56*$AL56</f>
        <v>3.3660839218340337E-2</v>
      </c>
      <c r="MF56" s="338">
        <f t="shared" ref="MF56" si="2245">S56*$AL56</f>
        <v>1.7204428933818395E-2</v>
      </c>
      <c r="MI56" s="344" t="s">
        <v>648</v>
      </c>
      <c r="MJ56" s="338">
        <f t="shared" ref="MJ56" si="2246">D56*$AM56</f>
        <v>0</v>
      </c>
      <c r="MK56" s="338">
        <f t="shared" ref="MK56" si="2247">E56*$AM56</f>
        <v>0</v>
      </c>
      <c r="ML56" s="338">
        <f t="shared" ref="ML56" si="2248">F56*$AM56</f>
        <v>0</v>
      </c>
      <c r="MM56" s="338">
        <f t="shared" ref="MM56" si="2249">G56*$AM56</f>
        <v>0</v>
      </c>
      <c r="MN56" s="338">
        <f t="shared" ref="MN56" si="2250">H56*$AM56</f>
        <v>0</v>
      </c>
      <c r="MO56" s="338">
        <f t="shared" ref="MO56" si="2251">I56*$AM56</f>
        <v>0</v>
      </c>
      <c r="MP56" s="338">
        <f t="shared" ref="MP56" si="2252">J56*$AM56</f>
        <v>0</v>
      </c>
      <c r="MQ56" s="338">
        <f t="shared" ref="MQ56" si="2253">K56*$AM56</f>
        <v>0</v>
      </c>
      <c r="MR56" s="338">
        <f t="shared" ref="MR56" si="2254">L56*$AM56</f>
        <v>0</v>
      </c>
      <c r="MS56" s="338">
        <f t="shared" ref="MS56" si="2255">M56*$AM56</f>
        <v>0</v>
      </c>
      <c r="MT56" s="338">
        <f t="shared" ref="MT56" si="2256">N56*$AM56</f>
        <v>0</v>
      </c>
      <c r="MU56" s="338">
        <f t="shared" ref="MU56" si="2257">O56*$AM56</f>
        <v>0</v>
      </c>
      <c r="MV56" s="338">
        <f t="shared" ref="MV56" si="2258">P56*$AM56</f>
        <v>0</v>
      </c>
      <c r="MW56" s="338">
        <f t="shared" ref="MW56" si="2259">Q56*$AM56</f>
        <v>0</v>
      </c>
      <c r="MX56" s="338">
        <f t="shared" ref="MX56" si="2260">R56*$AM56</f>
        <v>0.21843984311622003</v>
      </c>
      <c r="MY56" s="338">
        <f t="shared" ref="MY56" si="2261">S56*$AM56</f>
        <v>0.11164703092606802</v>
      </c>
      <c r="NB56" s="344" t="s">
        <v>648</v>
      </c>
      <c r="NC56" s="338">
        <f t="shared" ref="NC56" si="2262">D56*$AN56</f>
        <v>0</v>
      </c>
      <c r="ND56" s="338">
        <f t="shared" ref="ND56" si="2263">E56*$AN56</f>
        <v>0</v>
      </c>
      <c r="NE56" s="338">
        <f t="shared" ref="NE56" si="2264">F56*$AN56</f>
        <v>0</v>
      </c>
      <c r="NF56" s="338">
        <f t="shared" ref="NF56" si="2265">G56*$AN56</f>
        <v>0</v>
      </c>
      <c r="NG56" s="338">
        <f t="shared" ref="NG56" si="2266">H56*$AN56</f>
        <v>0</v>
      </c>
      <c r="NH56" s="338">
        <f t="shared" ref="NH56" si="2267">I56*$AN56</f>
        <v>0</v>
      </c>
      <c r="NI56" s="338">
        <f t="shared" ref="NI56" si="2268">J56*$AN56</f>
        <v>0</v>
      </c>
      <c r="NJ56" s="338">
        <f t="shared" ref="NJ56" si="2269">K56*$AN56</f>
        <v>0</v>
      </c>
      <c r="NK56" s="338">
        <f t="shared" ref="NK56" si="2270">L56*$AN56</f>
        <v>0</v>
      </c>
      <c r="NL56" s="338">
        <f t="shared" ref="NL56" si="2271">M56*$AN56</f>
        <v>0</v>
      </c>
      <c r="NM56" s="338">
        <f t="shared" ref="NM56" si="2272">N56*$AN56</f>
        <v>0</v>
      </c>
      <c r="NN56" s="338">
        <f t="shared" ref="NN56" si="2273">O56*$AN56</f>
        <v>0</v>
      </c>
      <c r="NO56" s="338">
        <f t="shared" ref="NO56" si="2274">P56*$AN56</f>
        <v>0</v>
      </c>
      <c r="NP56" s="338">
        <f t="shared" ref="NP56" si="2275">Q56*$AN56</f>
        <v>0</v>
      </c>
      <c r="NQ56" s="338">
        <f t="shared" ref="NQ56" si="2276">R56*$AN56</f>
        <v>0.21277943653153339</v>
      </c>
      <c r="NR56" s="338">
        <f t="shared" ref="NR56" si="2277">S56*$AN56</f>
        <v>0.10875393422722818</v>
      </c>
    </row>
    <row r="57" spans="2:382" ht="12.75" customHeight="1" x14ac:dyDescent="0.2">
      <c r="B57" s="734"/>
      <c r="C57" s="150" t="s">
        <v>66</v>
      </c>
      <c r="D57" s="121">
        <f>'Cell parameters'!D101/1000</f>
        <v>1.8058838980824804E-2</v>
      </c>
      <c r="E57" s="116">
        <f>'Cell parameters'!E101/1000</f>
        <v>8.9343729694606883E-3</v>
      </c>
      <c r="F57" s="121">
        <f>'Cell parameters'!F101/1000</f>
        <v>1.8058838980824801E-2</v>
      </c>
      <c r="G57" s="116">
        <f>'Cell parameters'!G101/1000</f>
        <v>8.9343729694606883E-3</v>
      </c>
      <c r="H57" s="121">
        <f>'Cell parameters'!H101/1000</f>
        <v>1.8058838980824807E-2</v>
      </c>
      <c r="I57" s="116">
        <f>'Cell parameters'!I101/1000</f>
        <v>8.93437296946069E-3</v>
      </c>
      <c r="J57" s="121">
        <f>'Cell parameters'!J101/1000</f>
        <v>1.4071822582460879E-2</v>
      </c>
      <c r="K57" s="116">
        <f>'Cell parameters'!K101/1000</f>
        <v>6.9618490671122264E-3</v>
      </c>
      <c r="L57" s="121">
        <f>'Cell parameters'!L101/1000</f>
        <v>1.1526918498398809E-2</v>
      </c>
      <c r="M57" s="116">
        <f>'Cell parameters'!M101/1000</f>
        <v>5.7027912571025697E-3</v>
      </c>
      <c r="N57" s="121">
        <f>'Cell parameters'!N101/1000</f>
        <v>2.0316193853427901E-2</v>
      </c>
      <c r="O57" s="116">
        <f>'Cell parameters'!O101/1000</f>
        <v>1.0051169590643278E-2</v>
      </c>
      <c r="P57" s="121">
        <f>'Cell parameters'!P101/1000</f>
        <v>2.2289766970618036E-2</v>
      </c>
      <c r="Q57" s="116">
        <f>'Cell parameters'!Q101/1000</f>
        <v>1.1027568922305766E-2</v>
      </c>
      <c r="R57" s="193"/>
      <c r="S57" s="194"/>
      <c r="T57" s="318"/>
      <c r="U57" s="119"/>
      <c r="V57" s="150" t="s">
        <v>66</v>
      </c>
      <c r="W57" s="100">
        <f>'Ecoinvent 3.10'!M21</f>
        <v>23.456794467173108</v>
      </c>
      <c r="X57" s="100">
        <f>'Ecoinvent 3.10'!N21</f>
        <v>2.5097999999999998</v>
      </c>
      <c r="Y57" s="100">
        <f>'Ecoinvent 3.10'!O21</f>
        <v>14.627000000000001</v>
      </c>
      <c r="Z57" s="100">
        <f>'Ecoinvent 3.10'!P21</f>
        <v>6.2541000000000003E-3</v>
      </c>
      <c r="AA57" s="100">
        <f>'Ecoinvent 3.10'!Q21</f>
        <v>2.2887999999999999E-2</v>
      </c>
      <c r="AB57" s="100">
        <f>'Ecoinvent 3.10'!R21</f>
        <v>3.6481E-3</v>
      </c>
      <c r="AC57" s="100">
        <f>'Ecoinvent 3.10'!S21</f>
        <v>1.1883999999999999E-4</v>
      </c>
      <c r="AD57" s="100">
        <f>'Ecoinvent 3.10'!T21</f>
        <v>4.4416999999999998E-2</v>
      </c>
      <c r="AE57" s="100">
        <f>'Ecoinvent 3.10'!U21</f>
        <v>0.26490000000000002</v>
      </c>
      <c r="AF57" s="100">
        <f>'Ecoinvent 3.10'!V21</f>
        <v>0.73807999999999996</v>
      </c>
      <c r="AG57" s="328">
        <f>'Ecoinvent 3.10'!W21</f>
        <v>3.1310999999999999E-3</v>
      </c>
      <c r="AH57" s="328">
        <f>'Ecoinvent 3.10'!X21</f>
        <v>1.8152999999999999</v>
      </c>
      <c r="AI57" s="328">
        <f>'Ecoinvent 3.10'!Y21</f>
        <v>1.9435000000000001E-2</v>
      </c>
      <c r="AJ57" s="328">
        <f>'Ecoinvent 3.10'!Z21</f>
        <v>1.8759000000000001E-2</v>
      </c>
      <c r="AK57" s="328">
        <f>'Ecoinvent 3.10'!AA21</f>
        <v>7.2867000000000001E-2</v>
      </c>
      <c r="AL57" s="328">
        <f>'Ecoinvent 3.10'!AB21</f>
        <v>3.7951999999999998E-5</v>
      </c>
      <c r="AM57" s="328">
        <f>'Ecoinvent 3.10'!AC21</f>
        <v>5.4592E-3</v>
      </c>
      <c r="AN57" s="328">
        <f>'Ecoinvent 3.10'!AD21</f>
        <v>4.5881999999999997E-3</v>
      </c>
      <c r="AO57" s="119"/>
      <c r="AP57" s="8"/>
      <c r="AQ57" s="150" t="s">
        <v>66</v>
      </c>
      <c r="AR57" s="49">
        <f t="shared" si="1920"/>
        <v>0.42360247428898129</v>
      </c>
      <c r="AS57" s="50">
        <f t="shared" si="1920"/>
        <v>0.20957175043770643</v>
      </c>
      <c r="AT57" s="49">
        <f t="shared" si="1920"/>
        <v>0.42360247428898123</v>
      </c>
      <c r="AU57" s="50">
        <f t="shared" si="1920"/>
        <v>0.20957175043770643</v>
      </c>
      <c r="AV57" s="49">
        <f t="shared" si="1920"/>
        <v>0.4236024742889814</v>
      </c>
      <c r="AW57" s="50">
        <f t="shared" si="1920"/>
        <v>0.20957175043770648</v>
      </c>
      <c r="AX57" s="49">
        <f t="shared" si="1920"/>
        <v>0.33007985009530993</v>
      </c>
      <c r="AY57" s="50">
        <f t="shared" si="1920"/>
        <v>0.16330266267873234</v>
      </c>
      <c r="AZ57" s="49">
        <f t="shared" si="1920"/>
        <v>0.27038455805679651</v>
      </c>
      <c r="BA57" s="50">
        <f t="shared" si="1920"/>
        <v>0.13376920240704673</v>
      </c>
      <c r="BB57" s="49">
        <f t="shared" si="1920"/>
        <v>0.47655278357510389</v>
      </c>
      <c r="BC57" s="50">
        <f t="shared" si="1920"/>
        <v>0.23576821924241984</v>
      </c>
      <c r="BD57" s="49">
        <f t="shared" ref="BD57:BD61" si="2278">P57*$W57</f>
        <v>0.52284648255097099</v>
      </c>
      <c r="BE57" s="50">
        <f t="shared" ref="BE57:BE61" si="2279">Q57*$W57</f>
        <v>0.25867141768311203</v>
      </c>
      <c r="BF57" s="49">
        <f t="shared" ref="BF57:BF61" si="2280">R57*$W57</f>
        <v>0</v>
      </c>
      <c r="BG57" s="50">
        <f t="shared" ref="BG57:BG61" si="2281">S57*$W57</f>
        <v>0</v>
      </c>
      <c r="BI57" s="156"/>
      <c r="BJ57" s="150" t="s">
        <v>66</v>
      </c>
      <c r="BK57" s="49">
        <f t="shared" si="1925"/>
        <v>4.5324074074074093E-2</v>
      </c>
      <c r="BL57" s="49">
        <f t="shared" si="1926"/>
        <v>2.2423489278752432E-2</v>
      </c>
      <c r="BM57" s="49">
        <f t="shared" si="1927"/>
        <v>4.5324074074074079E-2</v>
      </c>
      <c r="BN57" s="49">
        <f t="shared" si="1928"/>
        <v>2.2423489278752432E-2</v>
      </c>
      <c r="BO57" s="49">
        <f t="shared" si="1929"/>
        <v>4.53240740740741E-2</v>
      </c>
      <c r="BP57" s="49">
        <f t="shared" si="1930"/>
        <v>2.2423489278752439E-2</v>
      </c>
      <c r="BQ57" s="49">
        <f t="shared" si="1931"/>
        <v>3.531746031746031E-2</v>
      </c>
      <c r="BR57" s="49">
        <f t="shared" si="1932"/>
        <v>1.7472848788638265E-2</v>
      </c>
      <c r="BS57" s="49">
        <f t="shared" si="1933"/>
        <v>2.8930260047281327E-2</v>
      </c>
      <c r="BT57" s="49">
        <f t="shared" si="1934"/>
        <v>1.4312865497076029E-2</v>
      </c>
      <c r="BU57" s="49">
        <f t="shared" si="1935"/>
        <v>5.0989583333333345E-2</v>
      </c>
      <c r="BV57" s="49">
        <f t="shared" si="2053"/>
        <v>2.5226425438596496E-2</v>
      </c>
      <c r="BW57" s="49">
        <f t="shared" si="1936"/>
        <v>5.5942857142857141E-2</v>
      </c>
      <c r="BX57" s="49">
        <f t="shared" si="1937"/>
        <v>2.7676992481203009E-2</v>
      </c>
      <c r="BY57" s="49">
        <f t="shared" si="1938"/>
        <v>0</v>
      </c>
      <c r="BZ57" s="49">
        <f t="shared" si="1939"/>
        <v>0</v>
      </c>
      <c r="CA57" s="156"/>
      <c r="CB57" s="156"/>
      <c r="CC57" s="150" t="s">
        <v>66</v>
      </c>
      <c r="CD57" s="49">
        <f t="shared" si="1940"/>
        <v>0.2641466377725244</v>
      </c>
      <c r="CE57" s="49">
        <f t="shared" si="1941"/>
        <v>0.13068307342430149</v>
      </c>
      <c r="CF57" s="49">
        <f t="shared" si="1942"/>
        <v>0.2641466377725244</v>
      </c>
      <c r="CG57" s="49">
        <f t="shared" si="1943"/>
        <v>0.13068307342430149</v>
      </c>
      <c r="CH57" s="49">
        <f t="shared" si="1944"/>
        <v>0.26414663777252445</v>
      </c>
      <c r="CI57" s="49">
        <f t="shared" si="1945"/>
        <v>0.13068307342430152</v>
      </c>
      <c r="CJ57" s="49">
        <f t="shared" si="1946"/>
        <v>0.20582854891365529</v>
      </c>
      <c r="CK57" s="49">
        <f t="shared" si="1947"/>
        <v>0.10183096630465054</v>
      </c>
      <c r="CL57" s="49">
        <f t="shared" si="1948"/>
        <v>0.16860423687607939</v>
      </c>
      <c r="CM57" s="49">
        <f t="shared" si="1949"/>
        <v>8.3414727717639289E-2</v>
      </c>
      <c r="CN57" s="49">
        <f t="shared" si="1950"/>
        <v>0.29716496749408994</v>
      </c>
      <c r="CO57" s="220">
        <f t="shared" si="1951"/>
        <v>0.14701845760233923</v>
      </c>
      <c r="CP57" s="49">
        <f t="shared" si="1952"/>
        <v>0.32603242147923001</v>
      </c>
      <c r="CQ57" s="49">
        <f t="shared" si="1953"/>
        <v>0.16130025062656644</v>
      </c>
      <c r="CR57" s="49">
        <f t="shared" si="1954"/>
        <v>0</v>
      </c>
      <c r="CS57" s="220">
        <f t="shared" si="1955"/>
        <v>0</v>
      </c>
      <c r="CV57" s="150" t="s">
        <v>66</v>
      </c>
      <c r="CW57" s="49">
        <f t="shared" si="1956"/>
        <v>1.1294178486997641E-4</v>
      </c>
      <c r="CX57" s="49">
        <f t="shared" si="1957"/>
        <v>5.587646198830409E-5</v>
      </c>
      <c r="CY57" s="49">
        <f t="shared" si="1958"/>
        <v>1.1294178486997639E-4</v>
      </c>
      <c r="CZ57" s="49">
        <f t="shared" si="1959"/>
        <v>5.587646198830409E-5</v>
      </c>
      <c r="DA57" s="49">
        <f t="shared" si="1960"/>
        <v>1.1294178486997644E-4</v>
      </c>
      <c r="DB57" s="49">
        <f t="shared" si="1961"/>
        <v>5.5876461988304103E-5</v>
      </c>
      <c r="DC57" s="49">
        <f t="shared" si="1962"/>
        <v>8.8006585612968583E-5</v>
      </c>
      <c r="DD57" s="49">
        <f t="shared" si="1963"/>
        <v>4.354010025062658E-5</v>
      </c>
      <c r="DE57" s="49">
        <f t="shared" si="1964"/>
        <v>7.2090500980835995E-5</v>
      </c>
      <c r="DF57" s="49">
        <f t="shared" si="1965"/>
        <v>3.5665826801045182E-5</v>
      </c>
      <c r="DG57" s="49">
        <f t="shared" si="1966"/>
        <v>1.2705950797872343E-4</v>
      </c>
      <c r="DH57" s="49">
        <f t="shared" si="1967"/>
        <v>6.2861019736842132E-5</v>
      </c>
      <c r="DI57" s="49">
        <f t="shared" si="1968"/>
        <v>1.3940243161094228E-4</v>
      </c>
      <c r="DJ57" s="49">
        <f t="shared" si="1969"/>
        <v>6.89675187969925E-5</v>
      </c>
      <c r="DK57" s="49">
        <f t="shared" si="1970"/>
        <v>0</v>
      </c>
      <c r="DL57" s="49">
        <f t="shared" si="1971"/>
        <v>0</v>
      </c>
      <c r="DO57" s="150" t="s">
        <v>66</v>
      </c>
      <c r="DP57" s="49">
        <f t="shared" si="1972"/>
        <v>4.1333070659311811E-4</v>
      </c>
      <c r="DQ57" s="49">
        <f t="shared" si="1973"/>
        <v>2.0448992852501623E-4</v>
      </c>
      <c r="DR57" s="49">
        <f t="shared" si="1974"/>
        <v>4.13330706593118E-4</v>
      </c>
      <c r="DS57" s="49">
        <f t="shared" si="1975"/>
        <v>2.0448992852501623E-4</v>
      </c>
      <c r="DT57" s="49">
        <f t="shared" si="1976"/>
        <v>4.1333070659311816E-4</v>
      </c>
      <c r="DU57" s="49">
        <f t="shared" si="1977"/>
        <v>2.0448992852501626E-4</v>
      </c>
      <c r="DV57" s="49">
        <f t="shared" si="1978"/>
        <v>3.2207587526736456E-4</v>
      </c>
      <c r="DW57" s="49">
        <f t="shared" si="1979"/>
        <v>1.5934280144806463E-4</v>
      </c>
      <c r="DX57" s="49">
        <f t="shared" si="1980"/>
        <v>2.6382811059135191E-4</v>
      </c>
      <c r="DY57" s="49">
        <f t="shared" si="1981"/>
        <v>1.3052548629256361E-4</v>
      </c>
      <c r="DZ57" s="49">
        <f t="shared" si="1982"/>
        <v>4.6499704491725777E-4</v>
      </c>
      <c r="EA57" s="49">
        <f t="shared" si="1983"/>
        <v>2.3005116959064334E-4</v>
      </c>
      <c r="EB57" s="49">
        <f t="shared" si="1984"/>
        <v>5.1016818642350562E-4</v>
      </c>
      <c r="EC57" s="49">
        <f t="shared" si="1985"/>
        <v>2.5239899749373435E-4</v>
      </c>
      <c r="ED57" s="49">
        <f t="shared" si="1986"/>
        <v>0</v>
      </c>
      <c r="EE57" s="49">
        <f t="shared" si="1987"/>
        <v>0</v>
      </c>
      <c r="EH57" s="150" t="s">
        <v>66</v>
      </c>
      <c r="EI57" s="49">
        <f t="shared" ref="EI57:ET61" si="2282">D57*$AB57</f>
        <v>6.5880450485946966E-5</v>
      </c>
      <c r="EJ57" s="49">
        <f t="shared" si="2282"/>
        <v>3.2593486029889537E-5</v>
      </c>
      <c r="EK57" s="49">
        <f t="shared" si="2282"/>
        <v>6.5880450485946953E-5</v>
      </c>
      <c r="EL57" s="49">
        <f t="shared" si="2282"/>
        <v>3.2593486029889537E-5</v>
      </c>
      <c r="EM57" s="49">
        <f t="shared" si="2282"/>
        <v>6.588045048594698E-5</v>
      </c>
      <c r="EN57" s="49">
        <f t="shared" si="2282"/>
        <v>3.2593486029889544E-5</v>
      </c>
      <c r="EO57" s="49">
        <f t="shared" si="2282"/>
        <v>5.1335415963075537E-5</v>
      </c>
      <c r="EP57" s="49">
        <f t="shared" si="2282"/>
        <v>2.5397521581732114E-5</v>
      </c>
      <c r="EQ57" s="49">
        <f t="shared" si="2282"/>
        <v>4.2051351374008693E-5</v>
      </c>
      <c r="ER57" s="49">
        <f t="shared" si="2282"/>
        <v>2.0804352785035884E-5</v>
      </c>
      <c r="ES57" s="49">
        <f t="shared" si="2282"/>
        <v>7.4115506796690325E-5</v>
      </c>
      <c r="ET57" s="49">
        <f t="shared" si="2282"/>
        <v>3.6667671783625743E-5</v>
      </c>
      <c r="EU57" s="49">
        <f t="shared" ref="EU57:EU61" si="2283">P57*$AB57</f>
        <v>8.1315298885511653E-5</v>
      </c>
      <c r="EV57" s="49">
        <f t="shared" ref="EV57:EV61" si="2284">Q57*$AB57</f>
        <v>4.0229674185463665E-5</v>
      </c>
      <c r="EW57" s="49">
        <f t="shared" ref="EW57:EW61" si="2285">R57*$AB57</f>
        <v>0</v>
      </c>
      <c r="EX57" s="49">
        <f t="shared" ref="EX57:EX61" si="2286">S57*$AB57</f>
        <v>0</v>
      </c>
      <c r="FA57" s="150" t="s">
        <v>66</v>
      </c>
      <c r="FB57" s="53">
        <f t="shared" ref="FB57:FM61" si="2287">D57*$AC57</f>
        <v>2.1461124244812196E-6</v>
      </c>
      <c r="FC57" s="53">
        <f t="shared" si="2287"/>
        <v>1.0617608836907082E-6</v>
      </c>
      <c r="FD57" s="53">
        <f t="shared" si="2287"/>
        <v>2.1461124244812192E-6</v>
      </c>
      <c r="FE57" s="53">
        <f t="shared" si="2287"/>
        <v>1.0617608836907082E-6</v>
      </c>
      <c r="FF57" s="53">
        <f t="shared" si="2287"/>
        <v>2.14611242448122E-6</v>
      </c>
      <c r="FG57" s="53">
        <f t="shared" si="2287"/>
        <v>1.0617608836907084E-6</v>
      </c>
      <c r="FH57" s="53">
        <f t="shared" si="2287"/>
        <v>1.6722953956996509E-6</v>
      </c>
      <c r="FI57" s="53">
        <f t="shared" si="2287"/>
        <v>8.2734614313561695E-7</v>
      </c>
      <c r="FJ57" s="53">
        <f t="shared" si="2287"/>
        <v>1.3698589943497144E-6</v>
      </c>
      <c r="FK57" s="53">
        <f t="shared" si="2287"/>
        <v>6.7771971299406931E-7</v>
      </c>
      <c r="FL57" s="53">
        <f t="shared" si="2287"/>
        <v>2.4143764775413716E-6</v>
      </c>
      <c r="FM57" s="53">
        <f t="shared" si="2287"/>
        <v>1.1944809941520471E-6</v>
      </c>
      <c r="FN57" s="53">
        <f t="shared" ref="FN57:FN61" si="2288">P57*$AC57</f>
        <v>2.6489159067882472E-6</v>
      </c>
      <c r="FO57" s="53">
        <f t="shared" ref="FO57:FO61" si="2289">Q57*$AC57</f>
        <v>1.3105162907268172E-6</v>
      </c>
      <c r="FP57" s="53">
        <f t="shared" ref="FP57:FP61" si="2290">R57*$AC57</f>
        <v>0</v>
      </c>
      <c r="FQ57" s="53">
        <f t="shared" ref="FQ57:FQ61" si="2291">S57*$AC57</f>
        <v>0</v>
      </c>
      <c r="FT57" s="150" t="s">
        <v>66</v>
      </c>
      <c r="FU57" s="49">
        <f t="shared" ref="FU57:GF61" si="2292">D57*$AD57</f>
        <v>8.0211945101129527E-4</v>
      </c>
      <c r="FV57" s="49">
        <f t="shared" si="2292"/>
        <v>3.9683804418453537E-4</v>
      </c>
      <c r="FW57" s="49">
        <f t="shared" si="2292"/>
        <v>8.0211945101129516E-4</v>
      </c>
      <c r="FX57" s="49">
        <f t="shared" si="2292"/>
        <v>3.9683804418453537E-4</v>
      </c>
      <c r="FY57" s="49">
        <f t="shared" si="2292"/>
        <v>8.0211945101129549E-4</v>
      </c>
      <c r="FZ57" s="49">
        <f t="shared" si="2292"/>
        <v>3.9683804418453548E-4</v>
      </c>
      <c r="GA57" s="49">
        <f t="shared" si="2292"/>
        <v>6.250281436451649E-4</v>
      </c>
      <c r="GB57" s="49">
        <f t="shared" si="2292"/>
        <v>3.0922445001392373E-4</v>
      </c>
      <c r="GC57" s="49">
        <f t="shared" si="2292"/>
        <v>5.1199113894337986E-4</v>
      </c>
      <c r="GD57" s="49">
        <f t="shared" si="2292"/>
        <v>2.5330087926672484E-4</v>
      </c>
      <c r="GE57" s="49">
        <f t="shared" si="2292"/>
        <v>9.02384382387707E-4</v>
      </c>
      <c r="GF57" s="49">
        <f t="shared" si="2292"/>
        <v>4.4644279970760246E-4</v>
      </c>
      <c r="GG57" s="49">
        <f t="shared" ref="GG57:GG61" si="2293">P57*$AD57</f>
        <v>9.9004457953394127E-4</v>
      </c>
      <c r="GH57" s="49">
        <f t="shared" ref="GH57:GH61" si="2294">Q57*$AD57</f>
        <v>4.898115288220552E-4</v>
      </c>
      <c r="GI57" s="49">
        <f t="shared" ref="GI57:GI61" si="2295">R57*$AD57</f>
        <v>0</v>
      </c>
      <c r="GJ57" s="49">
        <f t="shared" ref="GJ57:GJ61" si="2296">S57*$AD57</f>
        <v>0</v>
      </c>
      <c r="GM57" s="150" t="s">
        <v>66</v>
      </c>
      <c r="GN57" s="49">
        <f t="shared" ref="GN57:GY61" si="2297">D57*$AE57</f>
        <v>4.7837864460204913E-3</v>
      </c>
      <c r="GO57" s="49">
        <f t="shared" si="2297"/>
        <v>2.3667153996101364E-3</v>
      </c>
      <c r="GP57" s="49">
        <f t="shared" si="2297"/>
        <v>4.7837864460204904E-3</v>
      </c>
      <c r="GQ57" s="49">
        <f t="shared" si="2297"/>
        <v>2.3667153996101364E-3</v>
      </c>
      <c r="GR57" s="49">
        <f t="shared" si="2297"/>
        <v>4.7837864460204922E-3</v>
      </c>
      <c r="GS57" s="49">
        <f t="shared" si="2297"/>
        <v>2.3667153996101368E-3</v>
      </c>
      <c r="GT57" s="49">
        <f t="shared" si="2297"/>
        <v>3.7276258020938874E-3</v>
      </c>
      <c r="GU57" s="49">
        <f t="shared" si="2297"/>
        <v>1.844193817878029E-3</v>
      </c>
      <c r="GV57" s="49">
        <f t="shared" si="2297"/>
        <v>3.0534807102258446E-3</v>
      </c>
      <c r="GW57" s="49">
        <f t="shared" si="2297"/>
        <v>1.5106694040064709E-3</v>
      </c>
      <c r="GX57" s="49">
        <f t="shared" si="2297"/>
        <v>5.3817597517730516E-3</v>
      </c>
      <c r="GY57" s="49">
        <f t="shared" si="2297"/>
        <v>2.6625548245614045E-3</v>
      </c>
      <c r="GZ57" s="49">
        <f t="shared" ref="GZ57:GZ61" si="2298">P57*$AE57</f>
        <v>5.9045592705167186E-3</v>
      </c>
      <c r="HA57" s="49">
        <f t="shared" ref="HA57:HA61" si="2299">Q57*$AE57</f>
        <v>2.9212030075187979E-3</v>
      </c>
      <c r="HB57" s="49">
        <f t="shared" ref="HB57:HB61" si="2300">R57*$AE57</f>
        <v>0</v>
      </c>
      <c r="HC57" s="49">
        <f t="shared" ref="HC57:HC61" si="2301">S57*$AE57</f>
        <v>0</v>
      </c>
      <c r="HF57" s="150" t="s">
        <v>66</v>
      </c>
      <c r="HG57" s="49">
        <f t="shared" ref="HG57:HR61" si="2302">D57*$AF57</f>
        <v>1.3328867874967171E-2</v>
      </c>
      <c r="HH57" s="49">
        <f t="shared" si="2302"/>
        <v>6.5942820012995446E-3</v>
      </c>
      <c r="HI57" s="49">
        <f t="shared" si="2302"/>
        <v>1.3328867874967168E-2</v>
      </c>
      <c r="HJ57" s="49">
        <f t="shared" si="2302"/>
        <v>6.5942820012995446E-3</v>
      </c>
      <c r="HK57" s="49">
        <f t="shared" si="2302"/>
        <v>1.3328867874967173E-2</v>
      </c>
      <c r="HL57" s="49">
        <f t="shared" si="2302"/>
        <v>6.5942820012995455E-3</v>
      </c>
      <c r="HM57" s="49">
        <f t="shared" si="2302"/>
        <v>1.0386130811662725E-2</v>
      </c>
      <c r="HN57" s="49">
        <f t="shared" si="2302"/>
        <v>5.1384015594541921E-3</v>
      </c>
      <c r="HO57" s="49">
        <f t="shared" si="2302"/>
        <v>8.5077880052981929E-3</v>
      </c>
      <c r="HP57" s="49">
        <f t="shared" si="2302"/>
        <v>4.2091161710422643E-3</v>
      </c>
      <c r="HQ57" s="49">
        <f t="shared" si="2302"/>
        <v>1.4994976359338065E-2</v>
      </c>
      <c r="HR57" s="49">
        <f t="shared" si="2302"/>
        <v>7.4185672514619902E-3</v>
      </c>
      <c r="HS57" s="49">
        <f t="shared" ref="HS57:HS61" si="2303">P57*$AF57</f>
        <v>1.6451631205673761E-2</v>
      </c>
      <c r="HT57" s="49">
        <f t="shared" ref="HT57:HT61" si="2304">Q57*$AF57</f>
        <v>8.1392280701754402E-3</v>
      </c>
      <c r="HU57" s="49">
        <f t="shared" ref="HU57:HU61" si="2305">R57*$AF57</f>
        <v>0</v>
      </c>
      <c r="HV57" s="49">
        <f t="shared" ref="HV57:HV61" si="2306">S57*$AF57</f>
        <v>0</v>
      </c>
      <c r="HY57" s="344" t="s">
        <v>66</v>
      </c>
      <c r="HZ57" s="338">
        <f t="shared" ref="HZ57:IK61" si="2307">D57*$AG57</f>
        <v>5.6544030732860544E-5</v>
      </c>
      <c r="IA57" s="338">
        <f t="shared" si="2307"/>
        <v>2.7974415204678361E-5</v>
      </c>
      <c r="IB57" s="338">
        <f t="shared" si="2307"/>
        <v>5.6544030732860531E-5</v>
      </c>
      <c r="IC57" s="338">
        <f t="shared" si="2307"/>
        <v>2.7974415204678361E-5</v>
      </c>
      <c r="ID57" s="338">
        <f t="shared" si="2307"/>
        <v>5.6544030732860551E-5</v>
      </c>
      <c r="IE57" s="338">
        <f t="shared" si="2307"/>
        <v>2.7974415204678365E-5</v>
      </c>
      <c r="IF57" s="338">
        <f t="shared" si="2307"/>
        <v>4.4060283687943255E-5</v>
      </c>
      <c r="IG57" s="338">
        <f t="shared" si="2307"/>
        <v>2.1798245614035092E-5</v>
      </c>
      <c r="IH57" s="338">
        <f t="shared" si="2307"/>
        <v>3.6091934510336509E-5</v>
      </c>
      <c r="II57" s="338">
        <f t="shared" si="2307"/>
        <v>1.7856009705113855E-5</v>
      </c>
      <c r="IJ57" s="338">
        <f t="shared" si="2307"/>
        <v>6.3612034574468099E-5</v>
      </c>
      <c r="IK57" s="338">
        <f t="shared" si="2307"/>
        <v>3.1471217105263167E-5</v>
      </c>
      <c r="IL57" s="338">
        <f t="shared" ref="IL57:IL61" si="2308">P57*$AG57</f>
        <v>6.9791489361702131E-5</v>
      </c>
      <c r="IM57" s="338">
        <f t="shared" ref="IM57:IM61" si="2309">Q57*$AG57</f>
        <v>3.4528421052631582E-5</v>
      </c>
      <c r="IN57" s="338">
        <f t="shared" ref="IN57:IN61" si="2310">R57*$AG57</f>
        <v>0</v>
      </c>
      <c r="IO57" s="338">
        <f t="shared" ref="IO57:IO61" si="2311">S57*$AG57</f>
        <v>0</v>
      </c>
      <c r="IR57" s="344" t="s">
        <v>66</v>
      </c>
      <c r="IS57" s="338">
        <f t="shared" ref="IS57:JD61" si="2312">D57*$AH57</f>
        <v>3.2782210401891262E-2</v>
      </c>
      <c r="IT57" s="338">
        <f t="shared" si="2312"/>
        <v>1.6218567251461986E-2</v>
      </c>
      <c r="IU57" s="338">
        <f t="shared" si="2312"/>
        <v>3.2782210401891256E-2</v>
      </c>
      <c r="IV57" s="338">
        <f t="shared" si="2312"/>
        <v>1.6218567251461986E-2</v>
      </c>
      <c r="IW57" s="338">
        <f t="shared" si="2312"/>
        <v>3.2782210401891269E-2</v>
      </c>
      <c r="IX57" s="338">
        <f t="shared" si="2312"/>
        <v>1.621856725146199E-2</v>
      </c>
      <c r="IY57" s="338">
        <f t="shared" si="2312"/>
        <v>2.5544579533941233E-2</v>
      </c>
      <c r="IZ57" s="338">
        <f t="shared" si="2312"/>
        <v>1.2637844611528825E-2</v>
      </c>
      <c r="JA57" s="338">
        <f t="shared" si="2312"/>
        <v>2.0924815150143355E-2</v>
      </c>
      <c r="JB57" s="338">
        <f t="shared" si="2312"/>
        <v>1.0352276969018295E-2</v>
      </c>
      <c r="JC57" s="338">
        <f t="shared" si="2312"/>
        <v>3.6879986702127665E-2</v>
      </c>
      <c r="JD57" s="338">
        <f t="shared" si="2312"/>
        <v>1.8245888157894741E-2</v>
      </c>
      <c r="JE57" s="338">
        <f t="shared" ref="JE57:JE61" si="2313">P57*$AH57</f>
        <v>4.0462613981762922E-2</v>
      </c>
      <c r="JF57" s="338">
        <f t="shared" ref="JF57:JF61" si="2314">Q57*$AH57</f>
        <v>2.0018345864661658E-2</v>
      </c>
      <c r="JG57" s="338">
        <f t="shared" ref="JG57:JG61" si="2315">R57*$AH57</f>
        <v>0</v>
      </c>
      <c r="JH57" s="338">
        <f t="shared" ref="JH57:JH61" si="2316">S57*$AH57</f>
        <v>0</v>
      </c>
      <c r="JK57" s="344" t="s">
        <v>66</v>
      </c>
      <c r="JL57" s="338">
        <f t="shared" ref="JL57:JW61" si="2317">D57*$AI57</f>
        <v>3.5097353559233006E-4</v>
      </c>
      <c r="JM57" s="338">
        <f t="shared" si="2317"/>
        <v>1.7363953866146849E-4</v>
      </c>
      <c r="JN57" s="338">
        <f t="shared" si="2317"/>
        <v>3.5097353559233001E-4</v>
      </c>
      <c r="JO57" s="338">
        <f t="shared" si="2317"/>
        <v>1.7363953866146849E-4</v>
      </c>
      <c r="JP57" s="338">
        <f t="shared" si="2317"/>
        <v>3.5097353559233017E-4</v>
      </c>
      <c r="JQ57" s="338">
        <f t="shared" si="2317"/>
        <v>1.7363953866146852E-4</v>
      </c>
      <c r="JR57" s="338">
        <f t="shared" si="2317"/>
        <v>2.7348587189012722E-4</v>
      </c>
      <c r="JS57" s="338">
        <f t="shared" si="2317"/>
        <v>1.3530353661932613E-4</v>
      </c>
      <c r="JT57" s="338">
        <f t="shared" si="2317"/>
        <v>2.2402566101638086E-4</v>
      </c>
      <c r="JU57" s="338">
        <f t="shared" si="2317"/>
        <v>1.1083374808178845E-4</v>
      </c>
      <c r="JV57" s="338">
        <f t="shared" si="2317"/>
        <v>3.9484522754137128E-4</v>
      </c>
      <c r="JW57" s="338">
        <f t="shared" si="2317"/>
        <v>1.9534448099415211E-4</v>
      </c>
      <c r="JX57" s="338">
        <f t="shared" ref="JX57:JX61" si="2318">P57*$AI57</f>
        <v>4.3320162107396155E-4</v>
      </c>
      <c r="JY57" s="338">
        <f t="shared" ref="JY57:JY61" si="2319">Q57*$AI57</f>
        <v>2.1432080200501258E-4</v>
      </c>
      <c r="JZ57" s="338">
        <f t="shared" ref="JZ57:JZ61" si="2320">R57*$AI57</f>
        <v>0</v>
      </c>
      <c r="KA57" s="338">
        <f t="shared" ref="KA57:KA61" si="2321">S57*$AI57</f>
        <v>0</v>
      </c>
      <c r="KD57" s="344" t="s">
        <v>66</v>
      </c>
      <c r="KE57" s="338">
        <f t="shared" ref="KE57:KP61" si="2322">D57*$AJ57</f>
        <v>3.3876576044129255E-4</v>
      </c>
      <c r="KF57" s="338">
        <f t="shared" si="2322"/>
        <v>1.6759990253411306E-4</v>
      </c>
      <c r="KG57" s="338">
        <f t="shared" si="2322"/>
        <v>3.3876576044129244E-4</v>
      </c>
      <c r="KH57" s="338">
        <f t="shared" si="2322"/>
        <v>1.6759990253411306E-4</v>
      </c>
      <c r="KI57" s="338">
        <f t="shared" si="2322"/>
        <v>3.387657604412926E-4</v>
      </c>
      <c r="KJ57" s="338">
        <f t="shared" si="2322"/>
        <v>1.6759990253411308E-4</v>
      </c>
      <c r="KK57" s="338">
        <f t="shared" si="2322"/>
        <v>2.6397331982438364E-4</v>
      </c>
      <c r="KL57" s="338">
        <f t="shared" si="2322"/>
        <v>1.3059732664995826E-4</v>
      </c>
      <c r="KM57" s="338">
        <f t="shared" si="2322"/>
        <v>2.1623346411146327E-4</v>
      </c>
      <c r="KN57" s="338">
        <f t="shared" si="2322"/>
        <v>1.0697866119198711E-4</v>
      </c>
      <c r="KO57" s="338">
        <f t="shared" si="2322"/>
        <v>3.8111148049645404E-4</v>
      </c>
      <c r="KP57" s="338">
        <f t="shared" si="2322"/>
        <v>1.8854989035087727E-4</v>
      </c>
      <c r="KQ57" s="338">
        <f t="shared" ref="KQ57:KQ61" si="2323">P57*$AJ57</f>
        <v>4.1813373860182375E-4</v>
      </c>
      <c r="KR57" s="338">
        <f t="shared" ref="KR57:KR61" si="2324">Q57*$AJ57</f>
        <v>2.0686616541353388E-4</v>
      </c>
      <c r="KS57" s="338">
        <f t="shared" ref="KS57:KS61" si="2325">R57*$AJ57</f>
        <v>0</v>
      </c>
      <c r="KT57" s="338">
        <f t="shared" ref="KT57:KT61" si="2326">S57*$AJ57</f>
        <v>0</v>
      </c>
      <c r="KW57" s="344" t="s">
        <v>66</v>
      </c>
      <c r="KX57" s="338">
        <f t="shared" ref="KX57:LI61" si="2327">D57*$AK57</f>
        <v>1.3158934200157609E-3</v>
      </c>
      <c r="KY57" s="338">
        <f t="shared" si="2327"/>
        <v>6.5102095516569197E-4</v>
      </c>
      <c r="KZ57" s="338">
        <f t="shared" si="2327"/>
        <v>1.3158934200157607E-3</v>
      </c>
      <c r="LA57" s="338">
        <f t="shared" si="2327"/>
        <v>6.5102095516569197E-4</v>
      </c>
      <c r="LB57" s="338">
        <f t="shared" si="2327"/>
        <v>1.3158934200157614E-3</v>
      </c>
      <c r="LC57" s="338">
        <f t="shared" si="2327"/>
        <v>6.5102095516569208E-4</v>
      </c>
      <c r="LD57" s="338">
        <f t="shared" si="2327"/>
        <v>1.025371496116177E-3</v>
      </c>
      <c r="LE57" s="338">
        <f t="shared" si="2327"/>
        <v>5.0728905597326656E-4</v>
      </c>
      <c r="LF57" s="338">
        <f t="shared" si="2327"/>
        <v>8.3993197022282605E-4</v>
      </c>
      <c r="LG57" s="338">
        <f t="shared" si="2327"/>
        <v>4.1554529053129295E-4</v>
      </c>
      <c r="LH57" s="338">
        <f t="shared" si="2327"/>
        <v>1.480380097517731E-3</v>
      </c>
      <c r="LI57" s="338">
        <f t="shared" si="2327"/>
        <v>7.3239857456140376E-4</v>
      </c>
      <c r="LJ57" s="338">
        <f t="shared" ref="LJ57:LJ61" si="2328">P57*$AK57</f>
        <v>1.6241884498480244E-3</v>
      </c>
      <c r="LK57" s="338">
        <f t="shared" ref="LK57:LK61" si="2329">Q57*$AK57</f>
        <v>8.0354586466165425E-4</v>
      </c>
      <c r="LL57" s="338">
        <f t="shared" ref="LL57:LL61" si="2330">R57*$AK57</f>
        <v>0</v>
      </c>
      <c r="LM57" s="338">
        <f t="shared" ref="LM57:LM61" si="2331">S57*$AK57</f>
        <v>0</v>
      </c>
      <c r="LP57" s="344" t="s">
        <v>66</v>
      </c>
      <c r="LQ57" s="338">
        <f t="shared" ref="LQ57:MB61" si="2332">D57*$AL57</f>
        <v>6.8536905700026292E-7</v>
      </c>
      <c r="LR57" s="338">
        <f t="shared" si="2332"/>
        <v>3.3907732293697203E-7</v>
      </c>
      <c r="LS57" s="338">
        <f t="shared" si="2332"/>
        <v>6.8536905700026281E-7</v>
      </c>
      <c r="LT57" s="338">
        <f t="shared" si="2332"/>
        <v>3.3907732293697203E-7</v>
      </c>
      <c r="LU57" s="338">
        <f t="shared" si="2332"/>
        <v>6.8536905700026303E-7</v>
      </c>
      <c r="LV57" s="338">
        <f t="shared" si="2332"/>
        <v>3.3907732293697209E-7</v>
      </c>
      <c r="LW57" s="338">
        <f t="shared" si="2332"/>
        <v>5.3405381064955531E-7</v>
      </c>
      <c r="LX57" s="338">
        <f t="shared" si="2332"/>
        <v>2.6421609579504322E-7</v>
      </c>
      <c r="LY57" s="338">
        <f t="shared" si="2332"/>
        <v>4.3746961085123156E-7</v>
      </c>
      <c r="LZ57" s="338">
        <f t="shared" si="2332"/>
        <v>2.1643233378955671E-7</v>
      </c>
      <c r="MA57" s="338">
        <f t="shared" si="2332"/>
        <v>7.7104018912529565E-7</v>
      </c>
      <c r="MB57" s="338">
        <f t="shared" si="2332"/>
        <v>3.8146198830409366E-7</v>
      </c>
      <c r="MC57" s="338">
        <f t="shared" ref="MC57:MC61" si="2333">P57*$AL57</f>
        <v>8.4594123606889565E-7</v>
      </c>
      <c r="MD57" s="338">
        <f t="shared" ref="MD57:MD61" si="2334">Q57*$AL57</f>
        <v>4.1851829573934841E-7</v>
      </c>
      <c r="ME57" s="338">
        <f t="shared" ref="ME57:ME61" si="2335">R57*$AL57</f>
        <v>0</v>
      </c>
      <c r="MF57" s="338">
        <f t="shared" ref="MF57:MF61" si="2336">S57*$AL57</f>
        <v>0</v>
      </c>
      <c r="MI57" s="344" t="s">
        <v>66</v>
      </c>
      <c r="MJ57" s="338">
        <f t="shared" ref="MJ57:MU61" si="2337">D57*$AM57</f>
        <v>9.8586813764118774E-5</v>
      </c>
      <c r="MK57" s="338">
        <f t="shared" si="2337"/>
        <v>4.8774528914879787E-5</v>
      </c>
      <c r="ML57" s="338">
        <f t="shared" si="2337"/>
        <v>9.8586813764118747E-5</v>
      </c>
      <c r="MM57" s="338">
        <f t="shared" si="2337"/>
        <v>4.8774528914879787E-5</v>
      </c>
      <c r="MN57" s="338">
        <f t="shared" si="2337"/>
        <v>9.8586813764118788E-5</v>
      </c>
      <c r="MO57" s="338">
        <f t="shared" si="2337"/>
        <v>4.87745289148798E-5</v>
      </c>
      <c r="MP57" s="338">
        <f t="shared" si="2337"/>
        <v>7.6820893842170432E-5</v>
      </c>
      <c r="MQ57" s="338">
        <f t="shared" si="2337"/>
        <v>3.8006126427179064E-5</v>
      </c>
      <c r="MR57" s="338">
        <f t="shared" si="2337"/>
        <v>6.2927753466458783E-5</v>
      </c>
      <c r="MS57" s="338">
        <f t="shared" si="2337"/>
        <v>3.1132678030774348E-5</v>
      </c>
      <c r="MT57" s="338">
        <f t="shared" si="2337"/>
        <v>1.109101654846336E-4</v>
      </c>
      <c r="MU57" s="338">
        <f t="shared" si="2337"/>
        <v>5.4871345029239781E-5</v>
      </c>
      <c r="MV57" s="338">
        <f t="shared" ref="MV57:MV61" si="2338">P57*$AM57</f>
        <v>1.2168429584599798E-4</v>
      </c>
      <c r="MW57" s="338">
        <f t="shared" ref="MW57:MW61" si="2339">Q57*$AM57</f>
        <v>6.0201704260651636E-5</v>
      </c>
      <c r="MX57" s="338">
        <f t="shared" ref="MX57:MX61" si="2340">R57*$AM57</f>
        <v>0</v>
      </c>
      <c r="MY57" s="338">
        <f t="shared" ref="MY57:MY61" si="2341">S57*$AM57</f>
        <v>0</v>
      </c>
      <c r="NB57" s="344" t="s">
        <v>66</v>
      </c>
      <c r="NC57" s="338">
        <f t="shared" ref="NC57:NN61" si="2342">D57*$AN57</f>
        <v>8.2857565011820367E-5</v>
      </c>
      <c r="ND57" s="338">
        <f t="shared" si="2342"/>
        <v>4.0992690058479525E-5</v>
      </c>
      <c r="NE57" s="338">
        <f t="shared" si="2342"/>
        <v>8.285756501182034E-5</v>
      </c>
      <c r="NF57" s="338">
        <f t="shared" si="2342"/>
        <v>4.0992690058479525E-5</v>
      </c>
      <c r="NG57" s="338">
        <f t="shared" si="2342"/>
        <v>8.2857565011820381E-5</v>
      </c>
      <c r="NH57" s="338">
        <f t="shared" si="2342"/>
        <v>4.0992690058479538E-5</v>
      </c>
      <c r="NI57" s="338">
        <f t="shared" si="2342"/>
        <v>6.4564336372847003E-5</v>
      </c>
      <c r="NJ57" s="338">
        <f t="shared" si="2342"/>
        <v>3.1942355889724314E-5</v>
      </c>
      <c r="NK57" s="338">
        <f t="shared" si="2342"/>
        <v>5.2887807454353411E-5</v>
      </c>
      <c r="NL57" s="338">
        <f t="shared" si="2342"/>
        <v>2.6165546845838009E-5</v>
      </c>
      <c r="NM57" s="338">
        <f t="shared" si="2342"/>
        <v>9.3214760638297891E-5</v>
      </c>
      <c r="NN57" s="338">
        <f t="shared" si="2342"/>
        <v>4.6116776315789481E-5</v>
      </c>
      <c r="NO57" s="338">
        <f t="shared" ref="NO57:NO61" si="2343">P57*$AN57</f>
        <v>1.0226990881458967E-4</v>
      </c>
      <c r="NP57" s="338">
        <f t="shared" ref="NP57:NP61" si="2344">Q57*$AN57</f>
        <v>5.0596691729323311E-5</v>
      </c>
      <c r="NQ57" s="338">
        <f t="shared" ref="NQ57:NQ61" si="2345">R57*$AN57</f>
        <v>0</v>
      </c>
      <c r="NR57" s="338">
        <f t="shared" ref="NR57:NR61" si="2346">S57*$AN57</f>
        <v>0</v>
      </c>
    </row>
    <row r="58" spans="2:382" ht="12.75" customHeight="1" x14ac:dyDescent="0.2">
      <c r="B58" s="734"/>
      <c r="C58" s="150" t="s">
        <v>69</v>
      </c>
      <c r="D58" s="121">
        <f>'Cell parameters'!D100/1000</f>
        <v>3.6117677961649608E-2</v>
      </c>
      <c r="E58" s="116">
        <f>'Cell parameters'!E100/1000</f>
        <v>3.5737491877842753E-2</v>
      </c>
      <c r="F58" s="121">
        <f>'Cell parameters'!F100/1000</f>
        <v>3.6117677961649601E-2</v>
      </c>
      <c r="G58" s="116">
        <f>'Cell parameters'!G100/1000</f>
        <v>3.5737491877842753E-2</v>
      </c>
      <c r="H58" s="121">
        <f>'Cell parameters'!H100/1000</f>
        <v>3.6117677961649615E-2</v>
      </c>
      <c r="I58" s="116">
        <f>'Cell parameters'!I100/1000</f>
        <v>3.573749187784276E-2</v>
      </c>
      <c r="J58" s="121">
        <f>'Cell parameters'!J100/1000</f>
        <v>2.8143645164921759E-2</v>
      </c>
      <c r="K58" s="116">
        <f>'Cell parameters'!K100/1000</f>
        <v>2.7847396268448905E-2</v>
      </c>
      <c r="L58" s="121">
        <f>'Cell parameters'!L100/1000</f>
        <v>2.3053836996797618E-2</v>
      </c>
      <c r="M58" s="116">
        <f>'Cell parameters'!M100/1000</f>
        <v>2.2811165028410279E-2</v>
      </c>
      <c r="N58" s="121">
        <f>'Cell parameters'!N100/1000</f>
        <v>4.0632387706855802E-2</v>
      </c>
      <c r="O58" s="116">
        <f>'Cell parameters'!O100/1000</f>
        <v>4.0204678362573111E-2</v>
      </c>
      <c r="P58" s="121">
        <f>'Cell parameters'!P100/1000</f>
        <v>4.4579533941236073E-2</v>
      </c>
      <c r="Q58" s="116">
        <f>'Cell parameters'!Q100/1000</f>
        <v>4.4110275689223065E-2</v>
      </c>
      <c r="R58" s="193"/>
      <c r="S58" s="194"/>
      <c r="T58" s="318"/>
      <c r="U58" s="119"/>
      <c r="V58" s="150" t="s">
        <v>69</v>
      </c>
      <c r="W58" s="100">
        <f>'Ecoinvent 3.10'!M25</f>
        <v>25.495634586855505</v>
      </c>
      <c r="X58" s="100">
        <f>'Ecoinvent 3.10'!N25</f>
        <v>4.1076160000000002</v>
      </c>
      <c r="Y58" s="100">
        <f>'Ecoinvent 3.10'!O25</f>
        <v>30.489840000000001</v>
      </c>
      <c r="Z58" s="100">
        <f>'Ecoinvent 3.10'!P25</f>
        <v>1.317519E-2</v>
      </c>
      <c r="AA58" s="100">
        <f>'Ecoinvent 3.10'!Q25</f>
        <v>0.27159644000000005</v>
      </c>
      <c r="AB58" s="100">
        <f>'Ecoinvent 3.10'!R25</f>
        <v>3.1879940000000002E-2</v>
      </c>
      <c r="AC58" s="100">
        <f>'Ecoinvent 3.10'!S25</f>
        <v>1.2287545E-3</v>
      </c>
      <c r="AD58" s="100">
        <f>'Ecoinvent 3.10'!T25</f>
        <v>0.16421840000000001</v>
      </c>
      <c r="AE58" s="100">
        <f>'Ecoinvent 3.10'!U25</f>
        <v>0.6461437000000001</v>
      </c>
      <c r="AF58" s="100">
        <f>'Ecoinvent 3.10'!V25</f>
        <v>4.2203189999999999</v>
      </c>
      <c r="AG58" s="328">
        <f>'Ecoinvent 3.10'!W25</f>
        <v>6.4755979999999999E-3</v>
      </c>
      <c r="AH58" s="328">
        <f>'Ecoinvent 3.10'!X25</f>
        <v>1.4415819999999999</v>
      </c>
      <c r="AI58" s="328">
        <f>'Ecoinvent 3.10'!Y25</f>
        <v>0.28455640000000004</v>
      </c>
      <c r="AJ58" s="328">
        <f>'Ecoinvent 3.10'!Z25</f>
        <v>0.51108746999999999</v>
      </c>
      <c r="AK58" s="328">
        <f>'Ecoinvent 3.10'!AA25</f>
        <v>0.24145240000000001</v>
      </c>
      <c r="AL58" s="328">
        <f>'Ecoinvent 3.10'!AB25</f>
        <v>1.3999869000000002E-4</v>
      </c>
      <c r="AM58" s="328">
        <f>'Ecoinvent 3.10'!AC25</f>
        <v>1.0445266E-2</v>
      </c>
      <c r="AN58" s="328">
        <f>'Ecoinvent 3.10'!AD25</f>
        <v>9.708851000000001E-3</v>
      </c>
      <c r="AO58" s="119"/>
      <c r="AP58" s="8"/>
      <c r="AQ58" s="150" t="s">
        <v>69</v>
      </c>
      <c r="AR58" s="49">
        <f t="shared" si="1920"/>
        <v>0.92084311943594255</v>
      </c>
      <c r="AS58" s="50">
        <f t="shared" si="1920"/>
        <v>0.91115003396819538</v>
      </c>
      <c r="AT58" s="49">
        <f t="shared" si="1920"/>
        <v>0.92084311943594244</v>
      </c>
      <c r="AU58" s="50">
        <f t="shared" si="1920"/>
        <v>0.91115003396819538</v>
      </c>
      <c r="AV58" s="49">
        <f t="shared" si="1920"/>
        <v>0.92084311943594277</v>
      </c>
      <c r="AW58" s="50">
        <f t="shared" si="1920"/>
        <v>0.91115003396819561</v>
      </c>
      <c r="AX58" s="49">
        <f t="shared" si="1920"/>
        <v>0.71754009306696787</v>
      </c>
      <c r="AY58" s="50">
        <f t="shared" si="1920"/>
        <v>0.70998703945573682</v>
      </c>
      <c r="AZ58" s="49">
        <f t="shared" si="1920"/>
        <v>0.5877722038952824</v>
      </c>
      <c r="BA58" s="50">
        <f t="shared" si="1920"/>
        <v>0.58158512806480589</v>
      </c>
      <c r="BB58" s="49">
        <f t="shared" si="1920"/>
        <v>1.0359485093654353</v>
      </c>
      <c r="BC58" s="50">
        <f t="shared" si="1920"/>
        <v>1.0250437882142203</v>
      </c>
      <c r="BD58" s="49">
        <f t="shared" si="2278"/>
        <v>1.1365835074180772</v>
      </c>
      <c r="BE58" s="50">
        <f t="shared" si="2279"/>
        <v>1.1246194704978871</v>
      </c>
      <c r="BF58" s="49">
        <f t="shared" si="2280"/>
        <v>0</v>
      </c>
      <c r="BG58" s="50">
        <f t="shared" si="2281"/>
        <v>0</v>
      </c>
      <c r="BI58" s="156"/>
      <c r="BJ58" s="150" t="s">
        <v>69</v>
      </c>
      <c r="BK58" s="49">
        <f t="shared" si="1925"/>
        <v>0.14835755187811933</v>
      </c>
      <c r="BL58" s="49">
        <f t="shared" si="1926"/>
        <v>0.14679589343729693</v>
      </c>
      <c r="BM58" s="49">
        <f t="shared" si="1927"/>
        <v>0.1483575518781193</v>
      </c>
      <c r="BN58" s="49">
        <f t="shared" si="1928"/>
        <v>0.14679589343729693</v>
      </c>
      <c r="BO58" s="49">
        <f t="shared" si="1929"/>
        <v>0.14835755187811936</v>
      </c>
      <c r="BP58" s="49">
        <f t="shared" si="1930"/>
        <v>0.14679589343729696</v>
      </c>
      <c r="BQ58" s="49">
        <f t="shared" si="1931"/>
        <v>0.11560328717775525</v>
      </c>
      <c r="BR58" s="49">
        <f t="shared" si="1932"/>
        <v>0.11438641047062102</v>
      </c>
      <c r="BS58" s="49">
        <f t="shared" si="1933"/>
        <v>9.4696309709437848E-2</v>
      </c>
      <c r="BT58" s="49">
        <f t="shared" si="1934"/>
        <v>9.3699506449338527E-2</v>
      </c>
      <c r="BU58" s="49">
        <f t="shared" si="1935"/>
        <v>0.16690224586288421</v>
      </c>
      <c r="BV58" s="49">
        <f t="shared" si="2053"/>
        <v>0.16514538011695912</v>
      </c>
      <c r="BW58" s="49">
        <f t="shared" si="1936"/>
        <v>0.18311560688956435</v>
      </c>
      <c r="BX58" s="49">
        <f t="shared" si="1937"/>
        <v>0.1811880741854637</v>
      </c>
      <c r="BY58" s="49">
        <f t="shared" si="1938"/>
        <v>0</v>
      </c>
      <c r="BZ58" s="49">
        <f t="shared" si="1939"/>
        <v>0</v>
      </c>
      <c r="CA58" s="156"/>
      <c r="CB58" s="156"/>
      <c r="CC58" s="150" t="s">
        <v>69</v>
      </c>
      <c r="CD58" s="49">
        <f t="shared" si="1940"/>
        <v>1.1012222222222228</v>
      </c>
      <c r="CE58" s="49">
        <f t="shared" si="1941"/>
        <v>1.0896304093567251</v>
      </c>
      <c r="CF58" s="49">
        <f t="shared" si="1942"/>
        <v>1.1012222222222225</v>
      </c>
      <c r="CG58" s="49">
        <f t="shared" si="1943"/>
        <v>1.0896304093567251</v>
      </c>
      <c r="CH58" s="49">
        <f t="shared" si="1944"/>
        <v>1.101222222222223</v>
      </c>
      <c r="CI58" s="49">
        <f t="shared" si="1945"/>
        <v>1.0896304093567253</v>
      </c>
      <c r="CJ58" s="49">
        <f t="shared" si="1946"/>
        <v>0.85809523809523802</v>
      </c>
      <c r="CK58" s="49">
        <f t="shared" si="1947"/>
        <v>0.84906265664160419</v>
      </c>
      <c r="CL58" s="49">
        <f t="shared" si="1948"/>
        <v>0.70290780141843989</v>
      </c>
      <c r="CM58" s="49">
        <f t="shared" si="1949"/>
        <v>0.69550877192982485</v>
      </c>
      <c r="CN58" s="49">
        <f t="shared" si="1950"/>
        <v>1.2388750000000004</v>
      </c>
      <c r="CO58" s="220">
        <f t="shared" si="1951"/>
        <v>1.2258342105263162</v>
      </c>
      <c r="CP58" s="49">
        <f t="shared" si="1952"/>
        <v>1.3592228571428573</v>
      </c>
      <c r="CQ58" s="49">
        <f t="shared" si="1953"/>
        <v>1.3449152481203011</v>
      </c>
      <c r="CR58" s="49">
        <f t="shared" si="1954"/>
        <v>0</v>
      </c>
      <c r="CS58" s="220">
        <f t="shared" si="1955"/>
        <v>0</v>
      </c>
      <c r="CV58" s="150" t="s">
        <v>69</v>
      </c>
      <c r="CW58" s="49">
        <f t="shared" si="1956"/>
        <v>4.7585726950354632E-4</v>
      </c>
      <c r="CX58" s="49">
        <f t="shared" si="1957"/>
        <v>4.7084824561403508E-4</v>
      </c>
      <c r="CY58" s="49">
        <f t="shared" si="1958"/>
        <v>4.7585726950354621E-4</v>
      </c>
      <c r="CZ58" s="49">
        <f t="shared" si="1959"/>
        <v>4.7084824561403508E-4</v>
      </c>
      <c r="DA58" s="49">
        <f t="shared" si="1960"/>
        <v>4.7585726950354637E-4</v>
      </c>
      <c r="DB58" s="49">
        <f t="shared" si="1961"/>
        <v>4.7084824561403513E-4</v>
      </c>
      <c r="DC58" s="49">
        <f t="shared" si="1962"/>
        <v>3.707978723404255E-4</v>
      </c>
      <c r="DD58" s="49">
        <f t="shared" si="1963"/>
        <v>3.6689473684210533E-4</v>
      </c>
      <c r="DE58" s="49">
        <f t="shared" si="1964"/>
        <v>3.0373868266183799E-4</v>
      </c>
      <c r="DF58" s="49">
        <f t="shared" si="1965"/>
        <v>3.0054143337066084E-4</v>
      </c>
      <c r="DG58" s="49">
        <f t="shared" si="1966"/>
        <v>5.3533942819148945E-4</v>
      </c>
      <c r="DH58" s="49">
        <f t="shared" si="1967"/>
        <v>5.2970427631578957E-4</v>
      </c>
      <c r="DI58" s="49">
        <f t="shared" si="1968"/>
        <v>5.8734382978723409E-4</v>
      </c>
      <c r="DJ58" s="49">
        <f t="shared" si="1969"/>
        <v>5.8116126315789485E-4</v>
      </c>
      <c r="DK58" s="49">
        <f t="shared" si="1970"/>
        <v>0</v>
      </c>
      <c r="DL58" s="49">
        <f t="shared" si="1971"/>
        <v>0</v>
      </c>
      <c r="DO58" s="150" t="s">
        <v>69</v>
      </c>
      <c r="DP58" s="49">
        <f t="shared" si="1972"/>
        <v>9.809432755450492E-3</v>
      </c>
      <c r="DQ58" s="49">
        <f t="shared" si="1973"/>
        <v>9.7061755685510075E-3</v>
      </c>
      <c r="DR58" s="49">
        <f t="shared" si="1974"/>
        <v>9.8094327554504902E-3</v>
      </c>
      <c r="DS58" s="49">
        <f t="shared" si="1975"/>
        <v>9.7061755685510075E-3</v>
      </c>
      <c r="DT58" s="49">
        <f t="shared" si="1976"/>
        <v>9.8094327554504937E-3</v>
      </c>
      <c r="DU58" s="49">
        <f t="shared" si="1977"/>
        <v>9.706175568551011E-3</v>
      </c>
      <c r="DV58" s="49">
        <f t="shared" si="1978"/>
        <v>7.6437138354159637E-3</v>
      </c>
      <c r="DW58" s="49">
        <f t="shared" si="1979"/>
        <v>7.5632536897800081E-3</v>
      </c>
      <c r="DX58" s="49">
        <f t="shared" si="1980"/>
        <v>6.2613400566705257E-3</v>
      </c>
      <c r="DY58" s="49">
        <f t="shared" si="1981"/>
        <v>6.195431213968732E-3</v>
      </c>
      <c r="DZ58" s="49">
        <f t="shared" si="1982"/>
        <v>1.1035611849881801E-2</v>
      </c>
      <c r="EA58" s="49">
        <f t="shared" si="1983"/>
        <v>1.0919447514619889E-2</v>
      </c>
      <c r="EB58" s="49">
        <f t="shared" si="1984"/>
        <v>1.210764271529889E-2</v>
      </c>
      <c r="EC58" s="49">
        <f t="shared" si="1985"/>
        <v>1.1980193844611534E-2</v>
      </c>
      <c r="ED58" s="49">
        <f t="shared" si="1986"/>
        <v>0</v>
      </c>
      <c r="EE58" s="49">
        <f t="shared" si="1987"/>
        <v>0</v>
      </c>
      <c r="EH58" s="150" t="s">
        <v>69</v>
      </c>
      <c r="EI58" s="49">
        <f t="shared" si="2282"/>
        <v>1.151429406356712E-3</v>
      </c>
      <c r="EJ58" s="49">
        <f t="shared" si="2282"/>
        <v>1.1393090968161144E-3</v>
      </c>
      <c r="EK58" s="49">
        <f t="shared" si="2282"/>
        <v>1.1514294063567118E-3</v>
      </c>
      <c r="EL58" s="49">
        <f t="shared" si="2282"/>
        <v>1.1393090968161144E-3</v>
      </c>
      <c r="EM58" s="49">
        <f t="shared" si="2282"/>
        <v>1.1514294063567122E-3</v>
      </c>
      <c r="EN58" s="49">
        <f t="shared" si="2282"/>
        <v>1.1393090968161146E-3</v>
      </c>
      <c r="EO58" s="49">
        <f t="shared" si="2282"/>
        <v>8.9721771923899579E-4</v>
      </c>
      <c r="EP58" s="49">
        <f t="shared" si="2282"/>
        <v>8.8777332219437503E-4</v>
      </c>
      <c r="EQ58" s="49">
        <f t="shared" si="2282"/>
        <v>7.3495494022768825E-4</v>
      </c>
      <c r="ER58" s="49">
        <f t="shared" si="2282"/>
        <v>7.27218572435818E-4</v>
      </c>
      <c r="ES58" s="49">
        <f t="shared" si="2282"/>
        <v>1.2953580821513007E-3</v>
      </c>
      <c r="ET58" s="49">
        <f t="shared" si="2282"/>
        <v>1.2817227339181291E-3</v>
      </c>
      <c r="EU58" s="49">
        <f t="shared" si="2283"/>
        <v>1.4211928672745696E-3</v>
      </c>
      <c r="EV58" s="49">
        <f t="shared" si="2284"/>
        <v>1.40623294235589E-3</v>
      </c>
      <c r="EW58" s="49">
        <f t="shared" si="2285"/>
        <v>0</v>
      </c>
      <c r="EX58" s="49">
        <f t="shared" si="2286"/>
        <v>0</v>
      </c>
      <c r="FA58" s="150" t="s">
        <v>69</v>
      </c>
      <c r="FB58" s="53">
        <f t="shared" si="2287"/>
        <v>4.4379759324927787E-5</v>
      </c>
      <c r="FC58" s="53">
        <f t="shared" si="2287"/>
        <v>4.3912603963612733E-5</v>
      </c>
      <c r="FD58" s="53">
        <f t="shared" si="2287"/>
        <v>4.4379759324927774E-5</v>
      </c>
      <c r="FE58" s="53">
        <f t="shared" si="2287"/>
        <v>4.3912603963612733E-5</v>
      </c>
      <c r="FF58" s="53">
        <f t="shared" si="2287"/>
        <v>4.4379759324927794E-5</v>
      </c>
      <c r="FG58" s="53">
        <f t="shared" si="2287"/>
        <v>4.391260396361274E-5</v>
      </c>
      <c r="FH58" s="53">
        <f t="shared" si="2287"/>
        <v>3.4581630642800852E-5</v>
      </c>
      <c r="FI58" s="53">
        <f t="shared" si="2287"/>
        <v>3.4217613478139804E-5</v>
      </c>
      <c r="FJ58" s="53">
        <f t="shared" si="2287"/>
        <v>2.832750595208156E-5</v>
      </c>
      <c r="FK58" s="53">
        <f t="shared" si="2287"/>
        <v>2.8029321678901759E-5</v>
      </c>
      <c r="FL58" s="53">
        <f t="shared" si="2287"/>
        <v>4.9927229240543748E-5</v>
      </c>
      <c r="FM58" s="53">
        <f t="shared" si="2287"/>
        <v>4.9401679459064347E-5</v>
      </c>
      <c r="FN58" s="53">
        <f t="shared" si="2288"/>
        <v>5.4777302938196563E-5</v>
      </c>
      <c r="FO58" s="53">
        <f t="shared" si="2289"/>
        <v>5.4200699749373445E-5</v>
      </c>
      <c r="FP58" s="53">
        <f t="shared" si="2290"/>
        <v>0</v>
      </c>
      <c r="FQ58" s="53">
        <f t="shared" si="2291"/>
        <v>0</v>
      </c>
      <c r="FT58" s="150" t="s">
        <v>69</v>
      </c>
      <c r="FU58" s="49">
        <f t="shared" si="2292"/>
        <v>5.9311872865773609E-3</v>
      </c>
      <c r="FV58" s="49">
        <f t="shared" si="2292"/>
        <v>5.8687537361923328E-3</v>
      </c>
      <c r="FW58" s="49">
        <f t="shared" si="2292"/>
        <v>5.9311872865773592E-3</v>
      </c>
      <c r="FX58" s="49">
        <f t="shared" si="2292"/>
        <v>5.8687537361923328E-3</v>
      </c>
      <c r="FY58" s="49">
        <f t="shared" si="2292"/>
        <v>5.9311872865773618E-3</v>
      </c>
      <c r="FZ58" s="49">
        <f t="shared" si="2292"/>
        <v>5.8687537361923336E-3</v>
      </c>
      <c r="GA58" s="49">
        <f t="shared" si="2292"/>
        <v>4.6217043791511878E-3</v>
      </c>
      <c r="GB58" s="49">
        <f t="shared" si="2292"/>
        <v>4.5730548593706502E-3</v>
      </c>
      <c r="GC58" s="49">
        <f t="shared" si="2292"/>
        <v>3.7858642254749103E-3</v>
      </c>
      <c r="GD58" s="49">
        <f t="shared" si="2292"/>
        <v>3.7460130231014911E-3</v>
      </c>
      <c r="GE58" s="49">
        <f t="shared" si="2292"/>
        <v>6.6725856973995296E-3</v>
      </c>
      <c r="GF58" s="49">
        <f t="shared" si="2292"/>
        <v>6.6023479532163771E-3</v>
      </c>
      <c r="GG58" s="49">
        <f t="shared" si="2293"/>
        <v>7.3207797365754824E-3</v>
      </c>
      <c r="GH58" s="49">
        <f t="shared" si="2294"/>
        <v>7.2437188972431094E-3</v>
      </c>
      <c r="GI58" s="49">
        <f t="shared" si="2295"/>
        <v>0</v>
      </c>
      <c r="GJ58" s="49">
        <f t="shared" si="2296"/>
        <v>0</v>
      </c>
      <c r="GM58" s="150" t="s">
        <v>69</v>
      </c>
      <c r="GN58" s="49">
        <f t="shared" si="2297"/>
        <v>2.3337210073548741E-2</v>
      </c>
      <c r="GO58" s="49">
        <f t="shared" si="2297"/>
        <v>2.3091555230669268E-2</v>
      </c>
      <c r="GP58" s="49">
        <f t="shared" si="2297"/>
        <v>2.3337210073548734E-2</v>
      </c>
      <c r="GQ58" s="49">
        <f t="shared" si="2297"/>
        <v>2.3091555230669268E-2</v>
      </c>
      <c r="GR58" s="49">
        <f t="shared" si="2297"/>
        <v>2.3337210073548744E-2</v>
      </c>
      <c r="GS58" s="49">
        <f t="shared" si="2297"/>
        <v>2.3091555230669272E-2</v>
      </c>
      <c r="GT58" s="49">
        <f t="shared" si="2297"/>
        <v>1.818483901834966E-2</v>
      </c>
      <c r="GU58" s="49">
        <f t="shared" si="2297"/>
        <v>1.7993419660261772E-2</v>
      </c>
      <c r="GV58" s="49">
        <f t="shared" si="2297"/>
        <v>1.4896091536307703E-2</v>
      </c>
      <c r="GW58" s="49">
        <f t="shared" si="2297"/>
        <v>1.4739290572767625E-2</v>
      </c>
      <c r="GX58" s="49">
        <f t="shared" si="2297"/>
        <v>2.6254361332742327E-2</v>
      </c>
      <c r="GY58" s="49">
        <f t="shared" si="2297"/>
        <v>2.5977999634502934E-2</v>
      </c>
      <c r="GZ58" s="49">
        <f t="shared" si="2298"/>
        <v>2.8804785005065864E-2</v>
      </c>
      <c r="HA58" s="49">
        <f t="shared" si="2299"/>
        <v>2.8501576741854644E-2</v>
      </c>
      <c r="HB58" s="49">
        <f t="shared" si="2300"/>
        <v>0</v>
      </c>
      <c r="HC58" s="49">
        <f t="shared" si="2301"/>
        <v>0</v>
      </c>
      <c r="HF58" s="150" t="s">
        <v>69</v>
      </c>
      <c r="HG58" s="49">
        <f t="shared" si="2302"/>
        <v>0.1524281225374311</v>
      </c>
      <c r="HH58" s="49">
        <f t="shared" si="2302"/>
        <v>0.15082361598440544</v>
      </c>
      <c r="HI58" s="49">
        <f t="shared" si="2302"/>
        <v>0.15242812253743107</v>
      </c>
      <c r="HJ58" s="49">
        <f t="shared" si="2302"/>
        <v>0.15082361598440544</v>
      </c>
      <c r="HK58" s="49">
        <f t="shared" si="2302"/>
        <v>0.15242812253743113</v>
      </c>
      <c r="HL58" s="49">
        <f t="shared" si="2302"/>
        <v>0.15082361598440547</v>
      </c>
      <c r="HM58" s="49">
        <f t="shared" si="2302"/>
        <v>0.11877516041877743</v>
      </c>
      <c r="HN58" s="49">
        <f t="shared" si="2302"/>
        <v>0.11752489557226402</v>
      </c>
      <c r="HO58" s="49">
        <f t="shared" si="2302"/>
        <v>9.7294546300487922E-2</v>
      </c>
      <c r="HP58" s="49">
        <f t="shared" si="2302"/>
        <v>9.6270393181535435E-2</v>
      </c>
      <c r="HQ58" s="49">
        <f t="shared" si="2302"/>
        <v>0.17148163785460996</v>
      </c>
      <c r="HR58" s="49">
        <f t="shared" si="2302"/>
        <v>0.1696765679824562</v>
      </c>
      <c r="HS58" s="49">
        <f t="shared" si="2303"/>
        <v>0.18813985410334347</v>
      </c>
      <c r="HT58" s="49">
        <f t="shared" si="2304"/>
        <v>0.18615943458646619</v>
      </c>
      <c r="HU58" s="49">
        <f t="shared" si="2305"/>
        <v>0</v>
      </c>
      <c r="HV58" s="49">
        <f t="shared" si="2306"/>
        <v>0</v>
      </c>
      <c r="HY58" s="344" t="s">
        <v>69</v>
      </c>
      <c r="HZ58" s="338">
        <f t="shared" si="2307"/>
        <v>2.3388356317310228E-4</v>
      </c>
      <c r="IA58" s="338">
        <f t="shared" si="2307"/>
        <v>2.3142163092917478E-4</v>
      </c>
      <c r="IB58" s="338">
        <f t="shared" si="2307"/>
        <v>2.3388356317310222E-4</v>
      </c>
      <c r="IC58" s="338">
        <f t="shared" si="2307"/>
        <v>2.3142163092917478E-4</v>
      </c>
      <c r="ID58" s="338">
        <f t="shared" si="2307"/>
        <v>2.3388356317310233E-4</v>
      </c>
      <c r="IE58" s="338">
        <f t="shared" si="2307"/>
        <v>2.3142163092917481E-4</v>
      </c>
      <c r="IF58" s="338">
        <f t="shared" si="2307"/>
        <v>1.82246932342677E-4</v>
      </c>
      <c r="IG58" s="338">
        <f t="shared" si="2307"/>
        <v>1.8032854358117519E-4</v>
      </c>
      <c r="IH58" s="338">
        <f t="shared" si="2307"/>
        <v>1.4928738074878865E-4</v>
      </c>
      <c r="II58" s="338">
        <f t="shared" si="2307"/>
        <v>1.4771593463564354E-4</v>
      </c>
      <c r="IJ58" s="338">
        <f t="shared" si="2307"/>
        <v>2.6311900856974E-4</v>
      </c>
      <c r="IK58" s="338">
        <f t="shared" si="2307"/>
        <v>2.6034933479532173E-4</v>
      </c>
      <c r="IL58" s="338">
        <f t="shared" si="2308"/>
        <v>2.8867914083080044E-4</v>
      </c>
      <c r="IM58" s="338">
        <f t="shared" si="2309"/>
        <v>2.8564041303258148E-4</v>
      </c>
      <c r="IN58" s="338">
        <f t="shared" si="2310"/>
        <v>0</v>
      </c>
      <c r="IO58" s="338">
        <f t="shared" si="2311"/>
        <v>0</v>
      </c>
      <c r="IR58" s="344" t="s">
        <v>69</v>
      </c>
      <c r="IS58" s="338">
        <f t="shared" si="2312"/>
        <v>5.2066594431310766E-2</v>
      </c>
      <c r="IT58" s="338">
        <f t="shared" si="2312"/>
        <v>5.1518525016244307E-2</v>
      </c>
      <c r="IU58" s="338">
        <f t="shared" si="2312"/>
        <v>5.2066594431310752E-2</v>
      </c>
      <c r="IV58" s="338">
        <f t="shared" si="2312"/>
        <v>5.1518525016244307E-2</v>
      </c>
      <c r="IW58" s="338">
        <f t="shared" si="2312"/>
        <v>5.2066594431310773E-2</v>
      </c>
      <c r="IX58" s="338">
        <f t="shared" si="2312"/>
        <v>5.1518525016244321E-2</v>
      </c>
      <c r="IY58" s="338">
        <f t="shared" si="2312"/>
        <v>4.0571372284138235E-2</v>
      </c>
      <c r="IZ58" s="338">
        <f t="shared" si="2312"/>
        <v>4.0144305207463107E-2</v>
      </c>
      <c r="JA58" s="338">
        <f t="shared" si="2312"/>
        <v>3.32339964455175E-2</v>
      </c>
      <c r="JB58" s="338">
        <f t="shared" si="2312"/>
        <v>3.2884164903985748E-2</v>
      </c>
      <c r="JC58" s="338">
        <f t="shared" si="2312"/>
        <v>5.85749187352246E-2</v>
      </c>
      <c r="JD58" s="338">
        <f t="shared" si="2312"/>
        <v>5.7958340643274868E-2</v>
      </c>
      <c r="JE58" s="338">
        <f t="shared" si="2313"/>
        <v>6.4265053698074975E-2</v>
      </c>
      <c r="JF58" s="338">
        <f t="shared" si="2314"/>
        <v>6.3588579448621563E-2</v>
      </c>
      <c r="JG58" s="338">
        <f t="shared" si="2315"/>
        <v>0</v>
      </c>
      <c r="JH58" s="338">
        <f t="shared" si="2316"/>
        <v>0</v>
      </c>
      <c r="JK58" s="344" t="s">
        <v>69</v>
      </c>
      <c r="JL58" s="338">
        <f t="shared" si="2317"/>
        <v>1.0277516417126351E-2</v>
      </c>
      <c r="JM58" s="338">
        <f t="shared" si="2317"/>
        <v>1.0169332033788175E-2</v>
      </c>
      <c r="JN58" s="338">
        <f t="shared" si="2317"/>
        <v>1.027751641712635E-2</v>
      </c>
      <c r="JO58" s="338">
        <f t="shared" si="2317"/>
        <v>1.0169332033788175E-2</v>
      </c>
      <c r="JP58" s="338">
        <f t="shared" si="2317"/>
        <v>1.0277516417126355E-2</v>
      </c>
      <c r="JQ58" s="338">
        <f t="shared" si="2317"/>
        <v>1.0169332033788177E-2</v>
      </c>
      <c r="JR58" s="338">
        <f t="shared" si="2317"/>
        <v>8.0084543510075424E-3</v>
      </c>
      <c r="JS58" s="338">
        <f t="shared" si="2317"/>
        <v>7.9241548315232557E-3</v>
      </c>
      <c r="JT58" s="338">
        <f t="shared" si="2317"/>
        <v>6.560116861995543E-3</v>
      </c>
      <c r="JU58" s="338">
        <f t="shared" si="2317"/>
        <v>6.4910630002903277E-3</v>
      </c>
      <c r="JV58" s="338">
        <f t="shared" si="2317"/>
        <v>1.1562205969267145E-2</v>
      </c>
      <c r="JW58" s="338">
        <f t="shared" si="2317"/>
        <v>1.1440498538011701E-2</v>
      </c>
      <c r="JX58" s="338">
        <f t="shared" si="2318"/>
        <v>1.2685391691995951E-2</v>
      </c>
      <c r="JY58" s="338">
        <f t="shared" si="2319"/>
        <v>1.2551861253132837E-2</v>
      </c>
      <c r="JZ58" s="338">
        <f t="shared" si="2320"/>
        <v>0</v>
      </c>
      <c r="KA58" s="338">
        <f t="shared" si="2321"/>
        <v>0</v>
      </c>
      <c r="KD58" s="344" t="s">
        <v>69</v>
      </c>
      <c r="KE58" s="338">
        <f t="shared" si="2322"/>
        <v>1.8459292651694256E-2</v>
      </c>
      <c r="KF58" s="338">
        <f t="shared" si="2322"/>
        <v>1.8264984307992203E-2</v>
      </c>
      <c r="KG58" s="338">
        <f t="shared" si="2322"/>
        <v>1.8459292651694253E-2</v>
      </c>
      <c r="KH58" s="338">
        <f t="shared" si="2322"/>
        <v>1.8264984307992203E-2</v>
      </c>
      <c r="KI58" s="338">
        <f t="shared" si="2322"/>
        <v>1.845929265169426E-2</v>
      </c>
      <c r="KJ58" s="338">
        <f t="shared" si="2322"/>
        <v>1.8264984307992206E-2</v>
      </c>
      <c r="KK58" s="338">
        <f t="shared" si="2322"/>
        <v>1.4383864403917593E-2</v>
      </c>
      <c r="KL58" s="338">
        <f t="shared" si="2322"/>
        <v>1.4232455304928992E-2</v>
      </c>
      <c r="KM58" s="338">
        <f t="shared" si="2322"/>
        <v>1.1782527224485693E-2</v>
      </c>
      <c r="KN58" s="338">
        <f t="shared" si="2322"/>
        <v>1.1658500622122687E-2</v>
      </c>
      <c r="KO58" s="338">
        <f t="shared" si="2322"/>
        <v>2.0766704233156033E-2</v>
      </c>
      <c r="KP58" s="338">
        <f t="shared" si="2322"/>
        <v>2.0548107346491234E-2</v>
      </c>
      <c r="KQ58" s="338">
        <f t="shared" si="2323"/>
        <v>2.2784041215805472E-2</v>
      </c>
      <c r="KR58" s="338">
        <f t="shared" si="2324"/>
        <v>2.2544209203007523E-2</v>
      </c>
      <c r="KS58" s="338">
        <f t="shared" si="2325"/>
        <v>0</v>
      </c>
      <c r="KT58" s="338">
        <f t="shared" si="2326"/>
        <v>0</v>
      </c>
      <c r="KW58" s="344" t="s">
        <v>69</v>
      </c>
      <c r="KX58" s="338">
        <f t="shared" si="2327"/>
        <v>8.7207000262674063E-3</v>
      </c>
      <c r="KY58" s="338">
        <f t="shared" si="2327"/>
        <v>8.6289031838856396E-3</v>
      </c>
      <c r="KZ58" s="338">
        <f t="shared" si="2327"/>
        <v>8.7207000262674046E-3</v>
      </c>
      <c r="LA58" s="338">
        <f t="shared" si="2327"/>
        <v>8.6289031838856396E-3</v>
      </c>
      <c r="LB58" s="338">
        <f t="shared" si="2327"/>
        <v>8.720700026267408E-3</v>
      </c>
      <c r="LC58" s="338">
        <f t="shared" si="2327"/>
        <v>8.6289031838856414E-3</v>
      </c>
      <c r="LD58" s="338">
        <f t="shared" si="2327"/>
        <v>6.7953506698187546E-3</v>
      </c>
      <c r="LE58" s="338">
        <f t="shared" si="2327"/>
        <v>6.7238206627680324E-3</v>
      </c>
      <c r="LF58" s="338">
        <f t="shared" si="2327"/>
        <v>5.5664042720855776E-3</v>
      </c>
      <c r="LG58" s="338">
        <f t="shared" si="2327"/>
        <v>5.5078105429057301E-3</v>
      </c>
      <c r="LH58" s="338">
        <f t="shared" si="2327"/>
        <v>9.8107875295508299E-3</v>
      </c>
      <c r="LI58" s="338">
        <f t="shared" si="2327"/>
        <v>9.7075160818713476E-3</v>
      </c>
      <c r="LJ58" s="338">
        <f t="shared" si="2328"/>
        <v>1.076383546099291E-2</v>
      </c>
      <c r="LK58" s="338">
        <f t="shared" si="2329"/>
        <v>1.0650531929824564E-2</v>
      </c>
      <c r="LL58" s="338">
        <f t="shared" si="2330"/>
        <v>0</v>
      </c>
      <c r="LM58" s="338">
        <f t="shared" si="2331"/>
        <v>0</v>
      </c>
      <c r="LP58" s="344" t="s">
        <v>69</v>
      </c>
      <c r="LQ58" s="338">
        <f t="shared" si="2332"/>
        <v>5.0564276004728161E-6</v>
      </c>
      <c r="LR58" s="338">
        <f t="shared" si="2332"/>
        <v>5.0032020467836264E-6</v>
      </c>
      <c r="LS58" s="338">
        <f t="shared" si="2332"/>
        <v>5.0564276004728152E-6</v>
      </c>
      <c r="LT58" s="338">
        <f t="shared" si="2332"/>
        <v>5.0032020467836264E-6</v>
      </c>
      <c r="LU58" s="338">
        <f t="shared" si="2332"/>
        <v>5.0564276004728169E-6</v>
      </c>
      <c r="LV58" s="338">
        <f t="shared" si="2332"/>
        <v>5.0032020467836273E-6</v>
      </c>
      <c r="LW58" s="338">
        <f t="shared" si="2332"/>
        <v>3.940073454913881E-6</v>
      </c>
      <c r="LX58" s="338">
        <f t="shared" si="2332"/>
        <v>3.8985989974937354E-6</v>
      </c>
      <c r="LY58" s="338">
        <f t="shared" si="2332"/>
        <v>3.227506979025201E-6</v>
      </c>
      <c r="LZ58" s="338">
        <f t="shared" si="2332"/>
        <v>3.1935332213512524E-6</v>
      </c>
      <c r="MA58" s="338">
        <f t="shared" si="2332"/>
        <v>5.6884810505319167E-6</v>
      </c>
      <c r="MB58" s="338">
        <f t="shared" si="2332"/>
        <v>5.6286023026315815E-6</v>
      </c>
      <c r="MC58" s="338">
        <f t="shared" si="2333"/>
        <v>6.2410763525835879E-6</v>
      </c>
      <c r="MD58" s="338">
        <f t="shared" si="2334"/>
        <v>6.1753808120300769E-6</v>
      </c>
      <c r="ME58" s="338">
        <f t="shared" si="2335"/>
        <v>0</v>
      </c>
      <c r="MF58" s="338">
        <f t="shared" si="2336"/>
        <v>0</v>
      </c>
      <c r="MI58" s="344" t="s">
        <v>69</v>
      </c>
      <c r="MJ58" s="338">
        <f t="shared" si="2337"/>
        <v>3.7725875361176793E-4</v>
      </c>
      <c r="MK58" s="338">
        <f t="shared" si="2337"/>
        <v>3.7328760883690708E-4</v>
      </c>
      <c r="ML58" s="338">
        <f t="shared" si="2337"/>
        <v>3.7725875361176788E-4</v>
      </c>
      <c r="MM58" s="338">
        <f t="shared" si="2337"/>
        <v>3.7328760883690708E-4</v>
      </c>
      <c r="MN58" s="338">
        <f t="shared" si="2337"/>
        <v>3.7725875361176804E-4</v>
      </c>
      <c r="MO58" s="338">
        <f t="shared" si="2337"/>
        <v>3.7328760883690714E-4</v>
      </c>
      <c r="MP58" s="338">
        <f t="shared" si="2337"/>
        <v>2.9396785995722166E-4</v>
      </c>
      <c r="MQ58" s="338">
        <f t="shared" si="2337"/>
        <v>2.9087346143135621E-4</v>
      </c>
      <c r="MR58" s="338">
        <f t="shared" si="2337"/>
        <v>2.4080345975219225E-4</v>
      </c>
      <c r="MS58" s="338">
        <f t="shared" si="2337"/>
        <v>2.3826868649164291E-4</v>
      </c>
      <c r="MT58" s="338">
        <f t="shared" si="2337"/>
        <v>4.244160978132389E-4</v>
      </c>
      <c r="MU58" s="338">
        <f t="shared" si="2337"/>
        <v>4.1994855994152057E-4</v>
      </c>
      <c r="MV58" s="338">
        <f t="shared" si="2338"/>
        <v>4.6564509017223913E-4</v>
      </c>
      <c r="MW58" s="338">
        <f t="shared" si="2339"/>
        <v>4.6074356290726822E-4</v>
      </c>
      <c r="MX58" s="338">
        <f t="shared" si="2340"/>
        <v>0</v>
      </c>
      <c r="MY58" s="338">
        <f t="shared" si="2341"/>
        <v>0</v>
      </c>
      <c r="NB58" s="344" t="s">
        <v>69</v>
      </c>
      <c r="NC58" s="338">
        <f t="shared" si="2342"/>
        <v>3.5066115379563979E-4</v>
      </c>
      <c r="ND58" s="338">
        <f t="shared" si="2342"/>
        <v>3.4696998375568551E-4</v>
      </c>
      <c r="NE58" s="338">
        <f t="shared" si="2342"/>
        <v>3.5066115379563974E-4</v>
      </c>
      <c r="NF58" s="338">
        <f t="shared" si="2342"/>
        <v>3.4696998375568551E-4</v>
      </c>
      <c r="NG58" s="338">
        <f t="shared" si="2342"/>
        <v>3.5066115379563985E-4</v>
      </c>
      <c r="NH58" s="338">
        <f t="shared" si="2342"/>
        <v>3.4696998375568561E-4</v>
      </c>
      <c r="NI58" s="338">
        <f t="shared" si="2342"/>
        <v>2.7324245750309583E-4</v>
      </c>
      <c r="NJ58" s="338">
        <f t="shared" si="2342"/>
        <v>2.7036622110832644E-4</v>
      </c>
      <c r="NK58" s="338">
        <f t="shared" si="2342"/>
        <v>2.2382626838019558E-4</v>
      </c>
      <c r="NL58" s="338">
        <f t="shared" si="2342"/>
        <v>2.2147020239724619E-4</v>
      </c>
      <c r="NM58" s="338">
        <f t="shared" si="2342"/>
        <v>3.9449379802009471E-4</v>
      </c>
      <c r="NN58" s="338">
        <f t="shared" si="2342"/>
        <v>3.9034123172514634E-4</v>
      </c>
      <c r="NO58" s="338">
        <f t="shared" si="2343"/>
        <v>4.3281605268490384E-4</v>
      </c>
      <c r="NP58" s="338">
        <f t="shared" si="2344"/>
        <v>4.2826009423558908E-4</v>
      </c>
      <c r="NQ58" s="338">
        <f t="shared" si="2345"/>
        <v>0</v>
      </c>
      <c r="NR58" s="338">
        <f t="shared" si="2346"/>
        <v>0</v>
      </c>
    </row>
    <row r="59" spans="2:382" ht="12.75" customHeight="1" x14ac:dyDescent="0.2">
      <c r="B59" s="734"/>
      <c r="C59" s="150" t="s">
        <v>70</v>
      </c>
      <c r="D59" s="121">
        <f>'Cell parameters'!D113/1000</f>
        <v>0.90294194904124003</v>
      </c>
      <c r="E59" s="116">
        <f>'Cell parameters'!E113/1000</f>
        <v>0.89343729694606888</v>
      </c>
      <c r="F59" s="121">
        <f>'Cell parameters'!F113/1000</f>
        <v>0.9029419490412397</v>
      </c>
      <c r="G59" s="116">
        <f>'Cell parameters'!G113/1000</f>
        <v>0.89343729694606877</v>
      </c>
      <c r="H59" s="121">
        <f>'Cell parameters'!H113/1000</f>
        <v>0.90294194904124014</v>
      </c>
      <c r="I59" s="116">
        <f>'Cell parameters'!I113/1000</f>
        <v>0.89343729694606899</v>
      </c>
      <c r="J59" s="121">
        <f>'Cell parameters'!J113/1000</f>
        <v>0.70359112912304389</v>
      </c>
      <c r="K59" s="116">
        <f>'Cell parameters'!K113/1000</f>
        <v>0.69618490671122268</v>
      </c>
      <c r="L59" s="121">
        <f>'Cell parameters'!L113/1000</f>
        <v>0.57634592491994052</v>
      </c>
      <c r="M59" s="116">
        <f>'Cell parameters'!M113/1000</f>
        <v>0.57027912571025674</v>
      </c>
      <c r="N59" s="121">
        <f>'Cell parameters'!N113/1000</f>
        <v>1.0158096926713949</v>
      </c>
      <c r="O59" s="116">
        <f>'Cell parameters'!O113/1000</f>
        <v>1.0051169590643276</v>
      </c>
      <c r="P59" s="121">
        <f>'Cell parameters'!P113/1000</f>
        <v>1.1144883485309018</v>
      </c>
      <c r="Q59" s="116">
        <f>'Cell parameters'!Q113/1000</f>
        <v>1.1027568922305766</v>
      </c>
      <c r="R59" s="193"/>
      <c r="S59" s="194"/>
      <c r="T59" s="318"/>
      <c r="U59" s="119"/>
      <c r="V59" s="150" t="s">
        <v>70</v>
      </c>
      <c r="W59" s="100">
        <f>'Ecoinvent 3.10'!M26</f>
        <v>1.7398570160580278E-3</v>
      </c>
      <c r="X59" s="100">
        <f>'Ecoinvent 3.10'!N26</f>
        <v>4.2383999999999998E-4</v>
      </c>
      <c r="Y59" s="100">
        <f>'Ecoinvent 3.10'!O26</f>
        <v>5.8237000000000002E-3</v>
      </c>
      <c r="Z59" s="100">
        <f>'Ecoinvent 3.10'!P26</f>
        <v>3.1441000000000001E-6</v>
      </c>
      <c r="AA59" s="100">
        <f>'Ecoinvent 3.10'!Q26</f>
        <v>6.2706999999999994E-5</v>
      </c>
      <c r="AB59" s="100">
        <f>'Ecoinvent 3.10'!R26</f>
        <v>2.0772999999999999E-5</v>
      </c>
      <c r="AC59" s="100">
        <f>'Ecoinvent 3.10'!S26</f>
        <v>1.5632000000000001E-7</v>
      </c>
      <c r="AD59" s="100">
        <f>'Ecoinvent 3.10'!T26</f>
        <v>3.2746000000000001E-5</v>
      </c>
      <c r="AE59" s="100">
        <f>'Ecoinvent 3.10'!U26</f>
        <v>1.5087E-4</v>
      </c>
      <c r="AF59" s="100">
        <f>'Ecoinvent 3.10'!V26</f>
        <v>6.8725000000000004E-4</v>
      </c>
      <c r="AG59" s="328">
        <f>'Ecoinvent 3.10'!W26</f>
        <v>1.1093999999999999E-6</v>
      </c>
      <c r="AH59" s="328">
        <f>'Ecoinvent 3.10'!X26</f>
        <v>1.0284E-4</v>
      </c>
      <c r="AI59" s="328">
        <f>'Ecoinvent 3.10'!Y26</f>
        <v>4.5904E-5</v>
      </c>
      <c r="AJ59" s="328">
        <f>'Ecoinvent 3.10'!Z26</f>
        <v>9.8532000000000008E-6</v>
      </c>
      <c r="AK59" s="328">
        <f>'Ecoinvent 3.10'!AA26</f>
        <v>4.7926999999999997E-5</v>
      </c>
      <c r="AL59" s="328">
        <f>'Ecoinvent 3.10'!AB26</f>
        <v>2.1497000000000001E-8</v>
      </c>
      <c r="AM59" s="328">
        <f>'Ecoinvent 3.10'!AC26</f>
        <v>8.2900000000000002E-7</v>
      </c>
      <c r="AN59" s="328">
        <f>'Ecoinvent 3.10'!AD26</f>
        <v>7.9370999999999998E-7</v>
      </c>
      <c r="AO59" s="119"/>
      <c r="AP59" s="8"/>
      <c r="AQ59" s="150" t="s">
        <v>70</v>
      </c>
      <c r="AR59" s="49">
        <f t="shared" si="1920"/>
        <v>1.5709898851325116E-3</v>
      </c>
      <c r="AS59" s="50">
        <f t="shared" si="1920"/>
        <v>1.5544531494995374E-3</v>
      </c>
      <c r="AT59" s="49">
        <f t="shared" si="1920"/>
        <v>1.570989885132511E-3</v>
      </c>
      <c r="AU59" s="50">
        <f t="shared" si="1920"/>
        <v>1.5544531494995372E-3</v>
      </c>
      <c r="AV59" s="49">
        <f t="shared" si="1920"/>
        <v>1.5709898851325118E-3</v>
      </c>
      <c r="AW59" s="50">
        <f t="shared" si="1920"/>
        <v>1.5544531494995377E-3</v>
      </c>
      <c r="AX59" s="49">
        <f t="shared" si="1920"/>
        <v>1.2241479624409176E-3</v>
      </c>
      <c r="AY59" s="50">
        <f t="shared" si="1920"/>
        <v>1.2112621944152244E-3</v>
      </c>
      <c r="AZ59" s="49">
        <f t="shared" si="1920"/>
        <v>1.0027595011484118E-3</v>
      </c>
      <c r="BA59" s="50">
        <f t="shared" si="1920"/>
        <v>9.9220413797842816E-4</v>
      </c>
      <c r="BB59" s="49">
        <f t="shared" si="1920"/>
        <v>1.7673636207740752E-3</v>
      </c>
      <c r="BC59" s="50">
        <f t="shared" si="1920"/>
        <v>1.74875979318698E-3</v>
      </c>
      <c r="BD59" s="49">
        <f t="shared" si="2278"/>
        <v>1.9390503725064141E-3</v>
      </c>
      <c r="BE59" s="50">
        <f t="shared" si="2279"/>
        <v>1.9186393159537152E-3</v>
      </c>
      <c r="BF59" s="49">
        <f t="shared" si="2280"/>
        <v>0</v>
      </c>
      <c r="BG59" s="50">
        <f t="shared" si="2281"/>
        <v>0</v>
      </c>
      <c r="BI59" s="156"/>
      <c r="BJ59" s="150" t="s">
        <v>70</v>
      </c>
      <c r="BK59" s="49">
        <f t="shared" si="1925"/>
        <v>3.8270291568163914E-4</v>
      </c>
      <c r="BL59" s="49">
        <f t="shared" si="1926"/>
        <v>3.7867446393762184E-4</v>
      </c>
      <c r="BM59" s="49">
        <f t="shared" si="1927"/>
        <v>3.8270291568163903E-4</v>
      </c>
      <c r="BN59" s="49">
        <f t="shared" si="1928"/>
        <v>3.7867446393762179E-4</v>
      </c>
      <c r="BO59" s="49">
        <f t="shared" si="1929"/>
        <v>3.8270291568163919E-4</v>
      </c>
      <c r="BP59" s="49">
        <f t="shared" si="1930"/>
        <v>3.7867446393762184E-4</v>
      </c>
      <c r="BQ59" s="49">
        <f t="shared" si="1931"/>
        <v>2.9821006416751091E-4</v>
      </c>
      <c r="BR59" s="49">
        <f t="shared" si="1932"/>
        <v>2.950710108604846E-4</v>
      </c>
      <c r="BS59" s="49">
        <f t="shared" si="1933"/>
        <v>2.4427845681806759E-4</v>
      </c>
      <c r="BT59" s="49">
        <f t="shared" si="1934"/>
        <v>2.417071046410352E-4</v>
      </c>
      <c r="BU59" s="49">
        <f t="shared" si="1935"/>
        <v>4.3054078014184396E-4</v>
      </c>
      <c r="BV59" s="49">
        <f t="shared" si="2053"/>
        <v>4.260087719298246E-4</v>
      </c>
      <c r="BW59" s="49">
        <f t="shared" si="1936"/>
        <v>4.7236474164133739E-4</v>
      </c>
      <c r="BX59" s="49">
        <f t="shared" si="1937"/>
        <v>4.6739248120300758E-4</v>
      </c>
      <c r="BY59" s="49">
        <f t="shared" si="1938"/>
        <v>0</v>
      </c>
      <c r="BZ59" s="49">
        <f t="shared" si="1939"/>
        <v>0</v>
      </c>
      <c r="CA59" s="156"/>
      <c r="CB59" s="156"/>
      <c r="CC59" s="150" t="s">
        <v>70</v>
      </c>
      <c r="CD59" s="49">
        <f t="shared" si="1940"/>
        <v>5.2584630286314701E-3</v>
      </c>
      <c r="CE59" s="49">
        <f t="shared" si="1941"/>
        <v>5.2031107862248217E-3</v>
      </c>
      <c r="CF59" s="49">
        <f t="shared" si="1942"/>
        <v>5.2584630286314675E-3</v>
      </c>
      <c r="CG59" s="49">
        <f t="shared" si="1943"/>
        <v>5.2031107862248209E-3</v>
      </c>
      <c r="CH59" s="49">
        <f t="shared" si="1944"/>
        <v>5.2584630286314701E-3</v>
      </c>
      <c r="CI59" s="49">
        <f t="shared" si="1945"/>
        <v>5.2031107862248226E-3</v>
      </c>
      <c r="CJ59" s="49">
        <f t="shared" si="1946"/>
        <v>4.0975036586738713E-3</v>
      </c>
      <c r="CK59" s="49">
        <f t="shared" si="1947"/>
        <v>4.0543720412141481E-3</v>
      </c>
      <c r="CL59" s="49">
        <f t="shared" si="1948"/>
        <v>3.3564657629562579E-3</v>
      </c>
      <c r="CM59" s="49">
        <f t="shared" si="1949"/>
        <v>3.3211345443988224E-3</v>
      </c>
      <c r="CN59" s="49">
        <f t="shared" si="1950"/>
        <v>5.9157709072104022E-3</v>
      </c>
      <c r="CO59" s="220">
        <f t="shared" si="1951"/>
        <v>5.8534996345029249E-3</v>
      </c>
      <c r="CP59" s="49">
        <f t="shared" si="1952"/>
        <v>6.4904457953394133E-3</v>
      </c>
      <c r="CQ59" s="49">
        <f t="shared" si="1953"/>
        <v>6.4221253132832092E-3</v>
      </c>
      <c r="CR59" s="49">
        <f t="shared" si="1954"/>
        <v>0</v>
      </c>
      <c r="CS59" s="220">
        <f t="shared" si="1955"/>
        <v>0</v>
      </c>
      <c r="CV59" s="150" t="s">
        <v>70</v>
      </c>
      <c r="CW59" s="49">
        <f t="shared" si="1956"/>
        <v>2.8389397819805629E-6</v>
      </c>
      <c r="CX59" s="49">
        <f t="shared" si="1957"/>
        <v>2.8090562053281352E-6</v>
      </c>
      <c r="CY59" s="49">
        <f t="shared" si="1958"/>
        <v>2.838939781980562E-6</v>
      </c>
      <c r="CZ59" s="49">
        <f t="shared" si="1959"/>
        <v>2.8090562053281348E-6</v>
      </c>
      <c r="DA59" s="49">
        <f t="shared" si="1960"/>
        <v>2.8389397819805633E-6</v>
      </c>
      <c r="DB59" s="49">
        <f t="shared" si="1961"/>
        <v>2.8090562053281357E-6</v>
      </c>
      <c r="DC59" s="49">
        <f t="shared" si="1962"/>
        <v>2.2121608690757624E-6</v>
      </c>
      <c r="DD59" s="49">
        <f t="shared" si="1963"/>
        <v>2.1888749651907553E-6</v>
      </c>
      <c r="DE59" s="49">
        <f t="shared" si="1964"/>
        <v>1.8120892225407851E-6</v>
      </c>
      <c r="DF59" s="49">
        <f t="shared" si="1965"/>
        <v>1.7930145991456182E-6</v>
      </c>
      <c r="DG59" s="49">
        <f t="shared" si="1966"/>
        <v>3.1938072547281329E-6</v>
      </c>
      <c r="DH59" s="49">
        <f t="shared" si="1967"/>
        <v>3.1601882309941525E-6</v>
      </c>
      <c r="DI59" s="49">
        <f t="shared" si="1968"/>
        <v>3.5040628166160088E-6</v>
      </c>
      <c r="DJ59" s="49">
        <f t="shared" si="1969"/>
        <v>3.4671779448621559E-6</v>
      </c>
      <c r="DK59" s="49">
        <f t="shared" si="1970"/>
        <v>0</v>
      </c>
      <c r="DL59" s="49">
        <f t="shared" si="1971"/>
        <v>0</v>
      </c>
      <c r="DO59" s="150" t="s">
        <v>70</v>
      </c>
      <c r="DP59" s="49">
        <f t="shared" si="1972"/>
        <v>5.6620780798529032E-5</v>
      </c>
      <c r="DQ59" s="49">
        <f t="shared" si="1973"/>
        <v>5.6024772579597137E-5</v>
      </c>
      <c r="DR59" s="49">
        <f t="shared" si="1974"/>
        <v>5.6620780798529012E-5</v>
      </c>
      <c r="DS59" s="49">
        <f t="shared" si="1975"/>
        <v>5.602477257959713E-5</v>
      </c>
      <c r="DT59" s="49">
        <f t="shared" si="1976"/>
        <v>5.6620780798529039E-5</v>
      </c>
      <c r="DU59" s="49">
        <f t="shared" si="1977"/>
        <v>5.6024772579597144E-5</v>
      </c>
      <c r="DV59" s="49">
        <f t="shared" si="1978"/>
        <v>4.4120088933918712E-5</v>
      </c>
      <c r="DW59" s="49">
        <f t="shared" si="1979"/>
        <v>4.3655666945140636E-5</v>
      </c>
      <c r="DX59" s="49">
        <f t="shared" si="1980"/>
        <v>3.6140923913954704E-5</v>
      </c>
      <c r="DY59" s="49">
        <f t="shared" si="1981"/>
        <v>3.5760493135913069E-5</v>
      </c>
      <c r="DZ59" s="49">
        <f t="shared" si="1982"/>
        <v>6.3698378398345155E-5</v>
      </c>
      <c r="EA59" s="49">
        <f t="shared" si="1983"/>
        <v>6.3027869152046793E-5</v>
      </c>
      <c r="EB59" s="49">
        <f t="shared" si="1984"/>
        <v>6.9886220871327251E-5</v>
      </c>
      <c r="EC59" s="49">
        <f t="shared" si="1985"/>
        <v>6.9150576441102764E-5</v>
      </c>
      <c r="ED59" s="49">
        <f t="shared" si="1986"/>
        <v>0</v>
      </c>
      <c r="EE59" s="49">
        <f t="shared" si="1987"/>
        <v>0</v>
      </c>
      <c r="EH59" s="150" t="s">
        <v>70</v>
      </c>
      <c r="EI59" s="49">
        <f t="shared" si="2282"/>
        <v>1.875681310743368E-5</v>
      </c>
      <c r="EJ59" s="49">
        <f t="shared" si="2282"/>
        <v>1.8559372969460688E-5</v>
      </c>
      <c r="EK59" s="49">
        <f t="shared" si="2282"/>
        <v>1.8756813107433673E-5</v>
      </c>
      <c r="EL59" s="49">
        <f t="shared" si="2282"/>
        <v>1.8559372969460685E-5</v>
      </c>
      <c r="EM59" s="49">
        <f t="shared" si="2282"/>
        <v>1.875681310743368E-5</v>
      </c>
      <c r="EN59" s="49">
        <f t="shared" si="2282"/>
        <v>1.8559372969460691E-5</v>
      </c>
      <c r="EO59" s="49">
        <f t="shared" si="2282"/>
        <v>1.461569852527299E-5</v>
      </c>
      <c r="EP59" s="49">
        <f t="shared" si="2282"/>
        <v>1.4461849067112228E-5</v>
      </c>
      <c r="EQ59" s="49">
        <f t="shared" si="2282"/>
        <v>1.1972433898361923E-5</v>
      </c>
      <c r="ER59" s="49">
        <f t="shared" si="2282"/>
        <v>1.1846408278379163E-5</v>
      </c>
      <c r="ES59" s="49">
        <f t="shared" si="2282"/>
        <v>2.1101414745862884E-5</v>
      </c>
      <c r="ET59" s="49">
        <f t="shared" si="2282"/>
        <v>2.0879294590643276E-5</v>
      </c>
      <c r="EU59" s="49">
        <f t="shared" si="2283"/>
        <v>2.3151266464032424E-5</v>
      </c>
      <c r="EV59" s="49">
        <f t="shared" si="2284"/>
        <v>2.2907568922305767E-5</v>
      </c>
      <c r="EW59" s="49">
        <f t="shared" si="2285"/>
        <v>0</v>
      </c>
      <c r="EX59" s="49">
        <f t="shared" si="2286"/>
        <v>0</v>
      </c>
      <c r="FA59" s="150" t="s">
        <v>70</v>
      </c>
      <c r="FB59" s="53">
        <f t="shared" si="2287"/>
        <v>1.4114788547412666E-7</v>
      </c>
      <c r="FC59" s="53">
        <f t="shared" si="2287"/>
        <v>1.3966211825860951E-7</v>
      </c>
      <c r="FD59" s="53">
        <f t="shared" si="2287"/>
        <v>1.4114788547412661E-7</v>
      </c>
      <c r="FE59" s="53">
        <f t="shared" si="2287"/>
        <v>1.3966211825860948E-7</v>
      </c>
      <c r="FF59" s="53">
        <f t="shared" si="2287"/>
        <v>1.4114788547412666E-7</v>
      </c>
      <c r="FG59" s="53">
        <f t="shared" si="2287"/>
        <v>1.3966211825860951E-7</v>
      </c>
      <c r="FH59" s="53">
        <f t="shared" si="2287"/>
        <v>1.0998536530451424E-7</v>
      </c>
      <c r="FI59" s="53">
        <f t="shared" si="2287"/>
        <v>1.0882762461709834E-7</v>
      </c>
      <c r="FJ59" s="53">
        <f t="shared" si="2287"/>
        <v>9.009439498348511E-8</v>
      </c>
      <c r="FK59" s="53">
        <f t="shared" si="2287"/>
        <v>8.9146032931027335E-8</v>
      </c>
      <c r="FL59" s="53">
        <f t="shared" si="2287"/>
        <v>1.5879137115839247E-7</v>
      </c>
      <c r="FM59" s="53">
        <f t="shared" si="2287"/>
        <v>1.5711988304093572E-7</v>
      </c>
      <c r="FN59" s="53">
        <f t="shared" si="2288"/>
        <v>1.7421681864235059E-7</v>
      </c>
      <c r="FO59" s="53">
        <f t="shared" si="2289"/>
        <v>1.7238295739348375E-7</v>
      </c>
      <c r="FP59" s="53">
        <f t="shared" si="2290"/>
        <v>0</v>
      </c>
      <c r="FQ59" s="53">
        <f t="shared" si="2291"/>
        <v>0</v>
      </c>
      <c r="FT59" s="150" t="s">
        <v>70</v>
      </c>
      <c r="FU59" s="49">
        <f t="shared" si="2292"/>
        <v>2.9567737063304447E-5</v>
      </c>
      <c r="FV59" s="49">
        <f t="shared" si="2292"/>
        <v>2.9256497725795972E-5</v>
      </c>
      <c r="FW59" s="49">
        <f t="shared" si="2292"/>
        <v>2.9567737063304436E-5</v>
      </c>
      <c r="FX59" s="49">
        <f t="shared" si="2292"/>
        <v>2.9256497725795968E-5</v>
      </c>
      <c r="FY59" s="49">
        <f t="shared" si="2292"/>
        <v>2.956773706330445E-5</v>
      </c>
      <c r="FZ59" s="49">
        <f t="shared" si="2292"/>
        <v>2.9256497725795975E-5</v>
      </c>
      <c r="GA59" s="49">
        <f t="shared" si="2292"/>
        <v>2.3039795114263195E-5</v>
      </c>
      <c r="GB59" s="49">
        <f t="shared" si="2292"/>
        <v>2.2797270955165699E-5</v>
      </c>
      <c r="GC59" s="49">
        <f t="shared" si="2292"/>
        <v>1.8873023657428373E-5</v>
      </c>
      <c r="GD59" s="49">
        <f t="shared" si="2292"/>
        <v>1.8674360250508069E-5</v>
      </c>
      <c r="GE59" s="49">
        <f t="shared" si="2292"/>
        <v>3.3263704196217495E-5</v>
      </c>
      <c r="GF59" s="49">
        <f t="shared" si="2292"/>
        <v>3.2913559941520473E-5</v>
      </c>
      <c r="GG59" s="49">
        <f t="shared" si="2293"/>
        <v>3.6495035460992916E-5</v>
      </c>
      <c r="GH59" s="49">
        <f t="shared" si="2294"/>
        <v>3.6110877192982461E-5</v>
      </c>
      <c r="GI59" s="49">
        <f t="shared" si="2295"/>
        <v>0</v>
      </c>
      <c r="GJ59" s="49">
        <f t="shared" si="2296"/>
        <v>0</v>
      </c>
      <c r="GM59" s="150" t="s">
        <v>70</v>
      </c>
      <c r="GN59" s="49">
        <f t="shared" si="2297"/>
        <v>1.3622685185185187E-4</v>
      </c>
      <c r="GO59" s="49">
        <f t="shared" si="2297"/>
        <v>1.3479288499025342E-4</v>
      </c>
      <c r="GP59" s="49">
        <f t="shared" si="2297"/>
        <v>1.3622685185185184E-4</v>
      </c>
      <c r="GQ59" s="49">
        <f t="shared" si="2297"/>
        <v>1.347928849902534E-4</v>
      </c>
      <c r="GR59" s="49">
        <f t="shared" si="2297"/>
        <v>1.3622685185185189E-4</v>
      </c>
      <c r="GS59" s="49">
        <f t="shared" si="2297"/>
        <v>1.3479288499025342E-4</v>
      </c>
      <c r="GT59" s="49">
        <f t="shared" si="2297"/>
        <v>1.0615079365079364E-4</v>
      </c>
      <c r="GU59" s="49">
        <f t="shared" si="2297"/>
        <v>1.0503341687552216E-4</v>
      </c>
      <c r="GV59" s="49">
        <f t="shared" si="2297"/>
        <v>8.6953309692671429E-5</v>
      </c>
      <c r="GW59" s="49">
        <f t="shared" si="2297"/>
        <v>8.6038011695906429E-5</v>
      </c>
      <c r="GX59" s="49">
        <f t="shared" si="2297"/>
        <v>1.5325520833333334E-4</v>
      </c>
      <c r="GY59" s="49">
        <f t="shared" si="2297"/>
        <v>1.5164199561403511E-4</v>
      </c>
      <c r="GZ59" s="49">
        <f t="shared" si="2298"/>
        <v>1.6814285714285716E-4</v>
      </c>
      <c r="HA59" s="49">
        <f t="shared" si="2299"/>
        <v>1.663729323308271E-4</v>
      </c>
      <c r="HB59" s="49">
        <f t="shared" si="2300"/>
        <v>0</v>
      </c>
      <c r="HC59" s="49">
        <f t="shared" si="2301"/>
        <v>0</v>
      </c>
      <c r="HF59" s="150" t="s">
        <v>70</v>
      </c>
      <c r="HG59" s="49">
        <f t="shared" si="2302"/>
        <v>6.205468544785923E-4</v>
      </c>
      <c r="HH59" s="49">
        <f t="shared" si="2302"/>
        <v>6.140147823261859E-4</v>
      </c>
      <c r="HI59" s="49">
        <f t="shared" si="2302"/>
        <v>6.2054685447859197E-4</v>
      </c>
      <c r="HJ59" s="49">
        <f t="shared" si="2302"/>
        <v>6.1401478232618579E-4</v>
      </c>
      <c r="HK59" s="49">
        <f t="shared" si="2302"/>
        <v>6.205468544785923E-4</v>
      </c>
      <c r="HL59" s="49">
        <f t="shared" si="2302"/>
        <v>6.140147823261859E-4</v>
      </c>
      <c r="HM59" s="49">
        <f t="shared" si="2302"/>
        <v>4.8354300348981192E-4</v>
      </c>
      <c r="HN59" s="49">
        <f t="shared" si="2302"/>
        <v>4.7845307713728782E-4</v>
      </c>
      <c r="HO59" s="49">
        <f t="shared" si="2302"/>
        <v>3.9609373690122914E-4</v>
      </c>
      <c r="HP59" s="49">
        <f t="shared" si="2302"/>
        <v>3.9192432914437396E-4</v>
      </c>
      <c r="HQ59" s="49">
        <f t="shared" si="2302"/>
        <v>6.9811521128841615E-4</v>
      </c>
      <c r="HR59" s="49">
        <f t="shared" si="2302"/>
        <v>6.9076663011695915E-4</v>
      </c>
      <c r="HS59" s="49">
        <f t="shared" si="2303"/>
        <v>7.6593211752786232E-4</v>
      </c>
      <c r="HT59" s="49">
        <f t="shared" si="2304"/>
        <v>7.5786967418546385E-4</v>
      </c>
      <c r="HU59" s="49">
        <f t="shared" si="2305"/>
        <v>0</v>
      </c>
      <c r="HV59" s="49">
        <f t="shared" si="2306"/>
        <v>0</v>
      </c>
      <c r="HY59" s="344" t="s">
        <v>70</v>
      </c>
      <c r="HZ59" s="338">
        <f t="shared" si="2307"/>
        <v>1.0017237982663516E-6</v>
      </c>
      <c r="IA59" s="338">
        <f t="shared" si="2307"/>
        <v>9.911793372319687E-7</v>
      </c>
      <c r="IB59" s="338">
        <f t="shared" si="2307"/>
        <v>1.0017237982663512E-6</v>
      </c>
      <c r="IC59" s="338">
        <f t="shared" si="2307"/>
        <v>9.911793372319687E-7</v>
      </c>
      <c r="ID59" s="338">
        <f t="shared" si="2307"/>
        <v>1.0017237982663516E-6</v>
      </c>
      <c r="IE59" s="338">
        <f t="shared" si="2307"/>
        <v>9.9117933723196891E-7</v>
      </c>
      <c r="IF59" s="338">
        <f t="shared" si="2307"/>
        <v>7.8056399864910479E-7</v>
      </c>
      <c r="IG59" s="338">
        <f t="shared" si="2307"/>
        <v>7.7234753550543034E-7</v>
      </c>
      <c r="IH59" s="338">
        <f t="shared" si="2307"/>
        <v>6.3939816910618193E-7</v>
      </c>
      <c r="II59" s="338">
        <f t="shared" si="2307"/>
        <v>6.326676620629588E-7</v>
      </c>
      <c r="IJ59" s="338">
        <f t="shared" si="2307"/>
        <v>1.1269392730496455E-6</v>
      </c>
      <c r="IK59" s="338">
        <f t="shared" si="2307"/>
        <v>1.115076754385965E-6</v>
      </c>
      <c r="IL59" s="338">
        <f t="shared" si="2308"/>
        <v>1.2364133738601823E-6</v>
      </c>
      <c r="IM59" s="338">
        <f t="shared" si="2309"/>
        <v>1.2233984962406017E-6</v>
      </c>
      <c r="IN59" s="338">
        <f t="shared" si="2310"/>
        <v>0</v>
      </c>
      <c r="IO59" s="338">
        <f t="shared" si="2311"/>
        <v>0</v>
      </c>
      <c r="IR59" s="344" t="s">
        <v>70</v>
      </c>
      <c r="IS59" s="338">
        <f t="shared" si="2312"/>
        <v>9.2858550039401122E-5</v>
      </c>
      <c r="IT59" s="338">
        <f t="shared" si="2312"/>
        <v>9.1881091617933722E-5</v>
      </c>
      <c r="IU59" s="338">
        <f t="shared" si="2312"/>
        <v>9.2858550039401095E-5</v>
      </c>
      <c r="IV59" s="338">
        <f t="shared" si="2312"/>
        <v>9.1881091617933709E-5</v>
      </c>
      <c r="IW59" s="338">
        <f t="shared" si="2312"/>
        <v>9.2858550039401136E-5</v>
      </c>
      <c r="IX59" s="338">
        <f t="shared" si="2312"/>
        <v>9.1881091617933736E-5</v>
      </c>
      <c r="IY59" s="338">
        <f t="shared" si="2312"/>
        <v>7.2357311719013827E-5</v>
      </c>
      <c r="IZ59" s="338">
        <f t="shared" si="2312"/>
        <v>7.159565580618214E-5</v>
      </c>
      <c r="JA59" s="338">
        <f t="shared" si="2312"/>
        <v>5.9271414918766685E-5</v>
      </c>
      <c r="JB59" s="338">
        <f t="shared" si="2312"/>
        <v>5.8647505288042801E-5</v>
      </c>
      <c r="JC59" s="338">
        <f t="shared" si="2312"/>
        <v>1.0446586879432625E-4</v>
      </c>
      <c r="JD59" s="338">
        <f t="shared" si="2312"/>
        <v>1.0336622807017546E-4</v>
      </c>
      <c r="JE59" s="338">
        <f t="shared" si="2313"/>
        <v>1.1461398176291795E-4</v>
      </c>
      <c r="JF59" s="338">
        <f t="shared" si="2314"/>
        <v>1.134075187969925E-4</v>
      </c>
      <c r="JG59" s="338">
        <f t="shared" si="2315"/>
        <v>0</v>
      </c>
      <c r="JH59" s="338">
        <f t="shared" si="2316"/>
        <v>0</v>
      </c>
      <c r="JK59" s="344" t="s">
        <v>70</v>
      </c>
      <c r="JL59" s="338">
        <f t="shared" si="2317"/>
        <v>4.1448647228789085E-5</v>
      </c>
      <c r="JM59" s="338">
        <f t="shared" si="2317"/>
        <v>4.1012345679012344E-5</v>
      </c>
      <c r="JN59" s="338">
        <f t="shared" si="2317"/>
        <v>4.1448647228789064E-5</v>
      </c>
      <c r="JO59" s="338">
        <f t="shared" si="2317"/>
        <v>4.1012345679012338E-5</v>
      </c>
      <c r="JP59" s="338">
        <f t="shared" si="2317"/>
        <v>4.1448647228789085E-5</v>
      </c>
      <c r="JQ59" s="338">
        <f t="shared" si="2317"/>
        <v>4.1012345679012351E-5</v>
      </c>
      <c r="JR59" s="338">
        <f t="shared" si="2317"/>
        <v>3.2297647191264209E-5</v>
      </c>
      <c r="JS59" s="338">
        <f t="shared" si="2317"/>
        <v>3.1957671957671965E-5</v>
      </c>
      <c r="JT59" s="338">
        <f t="shared" si="2317"/>
        <v>2.645658333752495E-5</v>
      </c>
      <c r="JU59" s="338">
        <f t="shared" si="2317"/>
        <v>2.6178092986603625E-5</v>
      </c>
      <c r="JV59" s="338">
        <f t="shared" si="2317"/>
        <v>4.6629728132387707E-5</v>
      </c>
      <c r="JW59" s="338">
        <f t="shared" si="2317"/>
        <v>4.6138888888888898E-5</v>
      </c>
      <c r="JX59" s="338">
        <f t="shared" si="2318"/>
        <v>5.1159473150962518E-5</v>
      </c>
      <c r="JY59" s="338">
        <f t="shared" si="2319"/>
        <v>5.0620952380952388E-5</v>
      </c>
      <c r="JZ59" s="338">
        <f t="shared" si="2320"/>
        <v>0</v>
      </c>
      <c r="KA59" s="338">
        <f t="shared" si="2321"/>
        <v>0</v>
      </c>
      <c r="KD59" s="344" t="s">
        <v>70</v>
      </c>
      <c r="KE59" s="338">
        <f t="shared" si="2322"/>
        <v>8.8968676122931472E-6</v>
      </c>
      <c r="KF59" s="338">
        <f t="shared" si="2322"/>
        <v>8.8032163742690068E-6</v>
      </c>
      <c r="KG59" s="338">
        <f t="shared" si="2322"/>
        <v>8.8968676122931438E-6</v>
      </c>
      <c r="KH59" s="338">
        <f t="shared" si="2322"/>
        <v>8.8032163742690051E-6</v>
      </c>
      <c r="KI59" s="338">
        <f t="shared" si="2322"/>
        <v>8.8968676122931489E-6</v>
      </c>
      <c r="KJ59" s="338">
        <f t="shared" si="2322"/>
        <v>8.8032163742690085E-6</v>
      </c>
      <c r="KK59" s="338">
        <f t="shared" si="2322"/>
        <v>6.9326241134751762E-6</v>
      </c>
      <c r="KL59" s="338">
        <f t="shared" si="2322"/>
        <v>6.8596491228070196E-6</v>
      </c>
      <c r="KM59" s="338">
        <f t="shared" si="2322"/>
        <v>5.6788516674211584E-6</v>
      </c>
      <c r="KN59" s="338">
        <f t="shared" si="2322"/>
        <v>5.6190742814483018E-6</v>
      </c>
      <c r="KO59" s="338">
        <f t="shared" si="2322"/>
        <v>1.0008976063829789E-5</v>
      </c>
      <c r="KP59" s="338">
        <f t="shared" si="2322"/>
        <v>9.9036184210526331E-6</v>
      </c>
      <c r="KQ59" s="338">
        <f t="shared" si="2323"/>
        <v>1.0981276595744683E-5</v>
      </c>
      <c r="KR59" s="338">
        <f t="shared" si="2324"/>
        <v>1.0865684210526318E-5</v>
      </c>
      <c r="KS59" s="338">
        <f t="shared" si="2325"/>
        <v>0</v>
      </c>
      <c r="KT59" s="338">
        <f t="shared" si="2326"/>
        <v>0</v>
      </c>
      <c r="KW59" s="344" t="s">
        <v>70</v>
      </c>
      <c r="KX59" s="338">
        <f t="shared" si="2327"/>
        <v>4.3275298791699507E-5</v>
      </c>
      <c r="KY59" s="338">
        <f t="shared" si="2327"/>
        <v>4.2819769330734241E-5</v>
      </c>
      <c r="KZ59" s="338">
        <f t="shared" si="2327"/>
        <v>4.3275298791699493E-5</v>
      </c>
      <c r="LA59" s="338">
        <f t="shared" si="2327"/>
        <v>4.2819769330734234E-5</v>
      </c>
      <c r="LB59" s="338">
        <f t="shared" si="2327"/>
        <v>4.3275298791699514E-5</v>
      </c>
      <c r="LC59" s="338">
        <f t="shared" si="2327"/>
        <v>4.2819769330734248E-5</v>
      </c>
      <c r="LD59" s="338">
        <f t="shared" si="2327"/>
        <v>3.3721012045480124E-5</v>
      </c>
      <c r="LE59" s="338">
        <f t="shared" si="2327"/>
        <v>3.3366054023948765E-5</v>
      </c>
      <c r="LF59" s="338">
        <f t="shared" si="2327"/>
        <v>2.7622531143637987E-5</v>
      </c>
      <c r="LG59" s="338">
        <f t="shared" si="2327"/>
        <v>2.7331767657915472E-5</v>
      </c>
      <c r="LH59" s="338">
        <f t="shared" si="2327"/>
        <v>4.8684711140661939E-5</v>
      </c>
      <c r="LI59" s="338">
        <f t="shared" si="2327"/>
        <v>4.8172240497076029E-5</v>
      </c>
      <c r="LJ59" s="338">
        <f t="shared" si="2328"/>
        <v>5.3414083080040528E-5</v>
      </c>
      <c r="LK59" s="338">
        <f t="shared" si="2329"/>
        <v>5.2851829573934841E-5</v>
      </c>
      <c r="LL59" s="338">
        <f t="shared" si="2330"/>
        <v>0</v>
      </c>
      <c r="LM59" s="338">
        <f t="shared" si="2331"/>
        <v>0</v>
      </c>
      <c r="LP59" s="344" t="s">
        <v>70</v>
      </c>
      <c r="LQ59" s="338">
        <f t="shared" si="2332"/>
        <v>1.9410543078539536E-8</v>
      </c>
      <c r="LR59" s="338">
        <f t="shared" si="2332"/>
        <v>1.9206221572449642E-8</v>
      </c>
      <c r="LS59" s="338">
        <f t="shared" si="2332"/>
        <v>1.9410543078539529E-8</v>
      </c>
      <c r="LT59" s="338">
        <f t="shared" si="2332"/>
        <v>1.9206221572449639E-8</v>
      </c>
      <c r="LU59" s="338">
        <f t="shared" si="2332"/>
        <v>1.9410543078539539E-8</v>
      </c>
      <c r="LV59" s="338">
        <f t="shared" si="2332"/>
        <v>1.9206221572449646E-8</v>
      </c>
      <c r="LW59" s="338">
        <f t="shared" si="2332"/>
        <v>1.5125098502758076E-8</v>
      </c>
      <c r="LX59" s="338">
        <f t="shared" si="2332"/>
        <v>1.4965886939571154E-8</v>
      </c>
      <c r="LY59" s="338">
        <f t="shared" si="2332"/>
        <v>1.2389708348003961E-8</v>
      </c>
      <c r="LZ59" s="338">
        <f t="shared" si="2332"/>
        <v>1.2259290365393389E-8</v>
      </c>
      <c r="MA59" s="338">
        <f t="shared" si="2332"/>
        <v>2.1836860963356975E-8</v>
      </c>
      <c r="MB59" s="338">
        <f t="shared" si="2332"/>
        <v>2.1606999269005851E-8</v>
      </c>
      <c r="MC59" s="338">
        <f t="shared" si="2333"/>
        <v>2.3958156028368796E-8</v>
      </c>
      <c r="MD59" s="338">
        <f t="shared" si="2334"/>
        <v>2.3705964912280705E-8</v>
      </c>
      <c r="ME59" s="338">
        <f t="shared" si="2335"/>
        <v>0</v>
      </c>
      <c r="MF59" s="338">
        <f t="shared" si="2336"/>
        <v>0</v>
      </c>
      <c r="MI59" s="344" t="s">
        <v>70</v>
      </c>
      <c r="MJ59" s="338">
        <f t="shared" si="2337"/>
        <v>7.48538875755188E-7</v>
      </c>
      <c r="MK59" s="338">
        <f t="shared" si="2337"/>
        <v>7.4065951916829112E-7</v>
      </c>
      <c r="ML59" s="338">
        <f t="shared" si="2337"/>
        <v>7.4853887575518768E-7</v>
      </c>
      <c r="MM59" s="338">
        <f t="shared" si="2337"/>
        <v>7.4065951916829101E-7</v>
      </c>
      <c r="MN59" s="338">
        <f t="shared" si="2337"/>
        <v>7.4853887575518811E-7</v>
      </c>
      <c r="MO59" s="338">
        <f t="shared" si="2337"/>
        <v>7.4065951916829122E-7</v>
      </c>
      <c r="MP59" s="338">
        <f t="shared" si="2337"/>
        <v>5.8327704604300338E-7</v>
      </c>
      <c r="MQ59" s="338">
        <f t="shared" si="2337"/>
        <v>5.7713728766360362E-7</v>
      </c>
      <c r="MR59" s="338">
        <f t="shared" si="2337"/>
        <v>4.7779077175863075E-7</v>
      </c>
      <c r="MS59" s="338">
        <f t="shared" si="2337"/>
        <v>4.7276139521380285E-7</v>
      </c>
      <c r="MT59" s="338">
        <f t="shared" si="2337"/>
        <v>8.4210623522458635E-7</v>
      </c>
      <c r="MU59" s="338">
        <f t="shared" si="2337"/>
        <v>8.3324195906432768E-7</v>
      </c>
      <c r="MV59" s="338">
        <f t="shared" si="2338"/>
        <v>9.2391084093211761E-7</v>
      </c>
      <c r="MW59" s="338">
        <f t="shared" si="2339"/>
        <v>9.1418546365914798E-7</v>
      </c>
      <c r="MX59" s="338">
        <f t="shared" si="2340"/>
        <v>0</v>
      </c>
      <c r="MY59" s="338">
        <f t="shared" si="2341"/>
        <v>0</v>
      </c>
      <c r="NB59" s="344" t="s">
        <v>70</v>
      </c>
      <c r="NC59" s="338">
        <f t="shared" si="2342"/>
        <v>7.1667405437352264E-7</v>
      </c>
      <c r="ND59" s="338">
        <f t="shared" si="2342"/>
        <v>7.0913011695906427E-7</v>
      </c>
      <c r="NE59" s="338">
        <f t="shared" si="2342"/>
        <v>7.1667405437352233E-7</v>
      </c>
      <c r="NF59" s="338">
        <f t="shared" si="2342"/>
        <v>7.0913011695906427E-7</v>
      </c>
      <c r="NG59" s="338">
        <f t="shared" si="2342"/>
        <v>7.1667405437352264E-7</v>
      </c>
      <c r="NH59" s="338">
        <f t="shared" si="2342"/>
        <v>7.0913011695906438E-7</v>
      </c>
      <c r="NI59" s="338">
        <f t="shared" si="2342"/>
        <v>5.5844731509625114E-7</v>
      </c>
      <c r="NJ59" s="338">
        <f t="shared" si="2342"/>
        <v>5.5256892230576453E-7</v>
      </c>
      <c r="NK59" s="338">
        <f t="shared" si="2342"/>
        <v>4.5745152406820598E-7</v>
      </c>
      <c r="NL59" s="338">
        <f t="shared" si="2342"/>
        <v>4.5263624486748788E-7</v>
      </c>
      <c r="NM59" s="338">
        <f t="shared" si="2342"/>
        <v>8.0625831117021284E-7</v>
      </c>
      <c r="NN59" s="338">
        <f t="shared" si="2342"/>
        <v>7.9777138157894751E-7</v>
      </c>
      <c r="NO59" s="338">
        <f t="shared" si="2343"/>
        <v>8.8458054711246207E-7</v>
      </c>
      <c r="NP59" s="338">
        <f t="shared" si="2344"/>
        <v>8.7526917293233095E-7</v>
      </c>
      <c r="NQ59" s="338">
        <f t="shared" si="2345"/>
        <v>0</v>
      </c>
      <c r="NR59" s="338">
        <f t="shared" si="2346"/>
        <v>0</v>
      </c>
    </row>
    <row r="60" spans="2:382" ht="12.75" customHeight="1" x14ac:dyDescent="0.2">
      <c r="B60" s="734"/>
      <c r="C60" s="151" t="s">
        <v>60</v>
      </c>
      <c r="D60" s="136">
        <f>'Cell parameters'!D111/1000</f>
        <v>0.20727483484643591</v>
      </c>
      <c r="E60" s="120">
        <f>'Cell parameters'!E111/1000</f>
        <v>0.10594047114373389</v>
      </c>
      <c r="F60" s="136">
        <f>'Cell parameters'!F111/1000</f>
        <v>0.27231575129510488</v>
      </c>
      <c r="G60" s="120">
        <f>'Cell parameters'!G111/1000</f>
        <v>0.13918360621749801</v>
      </c>
      <c r="H60" s="136">
        <f>'Cell parameters'!H111/1000</f>
        <v>0.26442090985975919</v>
      </c>
      <c r="I60" s="120">
        <f>'Cell parameters'!I111/1000</f>
        <v>0.13514846503943251</v>
      </c>
      <c r="J60" s="136">
        <f>'Cell parameters'!J111/1000</f>
        <v>0.22126700776475461</v>
      </c>
      <c r="K60" s="120">
        <f>'Cell parameters'!K111/1000</f>
        <v>0.11309202619087456</v>
      </c>
      <c r="L60" s="136">
        <f>'Cell parameters'!L111/1000</f>
        <v>0.19984259888683736</v>
      </c>
      <c r="M60" s="120">
        <f>'Cell parameters'!M111/1000</f>
        <v>0.10214177276438353</v>
      </c>
      <c r="N60" s="136">
        <f>'Cell parameters'!N111/1000</f>
        <v>0.36928476406772531</v>
      </c>
      <c r="O60" s="120">
        <f>'Cell parameters'!O111/1000</f>
        <v>0.18874554607905955</v>
      </c>
      <c r="P60" s="136">
        <f>'Cell parameters'!P111/1000</f>
        <v>0.42368400287209623</v>
      </c>
      <c r="Q60" s="120">
        <f>'Cell parameters'!Q111/1000</f>
        <v>0.21654960146796029</v>
      </c>
      <c r="R60" s="193"/>
      <c r="S60" s="194"/>
      <c r="T60" s="358"/>
      <c r="U60" s="109"/>
      <c r="V60" s="151" t="s">
        <v>60</v>
      </c>
      <c r="W60" s="100">
        <f>'Ecoinvent 3.10'!M22</f>
        <v>27.481451955456471</v>
      </c>
      <c r="X60" s="100">
        <f>'Ecoinvent 3.10'!N22</f>
        <v>3.79454</v>
      </c>
      <c r="Y60" s="100">
        <f>'Ecoinvent 3.10'!O22</f>
        <v>30.333600000000001</v>
      </c>
      <c r="Z60" s="100">
        <f>'Ecoinvent 3.10'!P22</f>
        <v>8.9674999999999998E-3</v>
      </c>
      <c r="AA60" s="100">
        <f>'Ecoinvent 3.10'!Q22</f>
        <v>4.49489E-2</v>
      </c>
      <c r="AB60" s="100">
        <f>'Ecoinvent 3.10'!R22</f>
        <v>3.8390000000000001E-2</v>
      </c>
      <c r="AC60" s="100">
        <f>'Ecoinvent 3.10'!S22</f>
        <v>8.4480999999999998E-4</v>
      </c>
      <c r="AD60" s="100">
        <f>'Ecoinvent 3.10'!T22</f>
        <v>0.14163200000000001</v>
      </c>
      <c r="AE60" s="100">
        <f>'Ecoinvent 3.10'!U22</f>
        <v>0.70277900000000004</v>
      </c>
      <c r="AF60" s="100">
        <f>'Ecoinvent 3.10'!V22</f>
        <v>3.11463</v>
      </c>
      <c r="AG60" s="328">
        <f>'Ecoinvent 3.10'!W22</f>
        <v>4.3560999999999999E-3</v>
      </c>
      <c r="AH60" s="328">
        <f>'Ecoinvent 3.10'!X22</f>
        <v>1.97194</v>
      </c>
      <c r="AI60" s="328">
        <f>'Ecoinvent 3.10'!Y22</f>
        <v>0.18269200000000002</v>
      </c>
      <c r="AJ60" s="328">
        <f>'Ecoinvent 3.10'!Z22</f>
        <v>0.11455699999999999</v>
      </c>
      <c r="AK60" s="328">
        <f>'Ecoinvent 3.10'!AA22</f>
        <v>0.21262200000000001</v>
      </c>
      <c r="AL60" s="328">
        <f>'Ecoinvent 3.10'!AB22</f>
        <v>1.3184500000000001E-4</v>
      </c>
      <c r="AM60" s="328">
        <f>'Ecoinvent 3.10'!AC22</f>
        <v>9.1696999999999994E-3</v>
      </c>
      <c r="AN60" s="328">
        <f>'Ecoinvent 3.10'!AD22</f>
        <v>8.135100000000001E-3</v>
      </c>
      <c r="AO60" s="119"/>
      <c r="AP60" s="8"/>
      <c r="AQ60" s="151" t="s">
        <v>60</v>
      </c>
      <c r="AR60" s="49">
        <f t="shared" si="1920"/>
        <v>5.6962134154075033</v>
      </c>
      <c r="AS60" s="50">
        <f t="shared" si="1920"/>
        <v>2.9113979678749455</v>
      </c>
      <c r="AT60" s="49">
        <f t="shared" si="1920"/>
        <v>7.4836322359304583</v>
      </c>
      <c r="AU60" s="50">
        <f t="shared" si="1920"/>
        <v>3.8249675872533442</v>
      </c>
      <c r="AV60" s="49">
        <f t="shared" si="1920"/>
        <v>7.2666705303290584</v>
      </c>
      <c r="AW60" s="50">
        <f t="shared" si="1920"/>
        <v>3.714076048834853</v>
      </c>
      <c r="AX60" s="49">
        <f t="shared" si="1920"/>
        <v>6.0807386432147181</v>
      </c>
      <c r="AY60" s="50">
        <f t="shared" si="1920"/>
        <v>3.1079330843097441</v>
      </c>
      <c r="AZ60" s="49">
        <f t="shared" si="1920"/>
        <v>5.4919647799621796</v>
      </c>
      <c r="BA60" s="50">
        <f t="shared" si="1920"/>
        <v>2.8070042208695583</v>
      </c>
      <c r="BB60" s="49">
        <f t="shared" si="1920"/>
        <v>10.148481501609272</v>
      </c>
      <c r="BC60" s="50">
        <f t="shared" si="1920"/>
        <v>5.1870016563780705</v>
      </c>
      <c r="BD60" s="49">
        <f t="shared" si="2278"/>
        <v>11.643451569224995</v>
      </c>
      <c r="BE60" s="50">
        <f t="shared" si="2279"/>
        <v>5.9510974687149965</v>
      </c>
      <c r="BF60" s="49">
        <f t="shared" si="2280"/>
        <v>0</v>
      </c>
      <c r="BG60" s="50">
        <f t="shared" si="2281"/>
        <v>0</v>
      </c>
      <c r="BI60" s="156"/>
      <c r="BJ60" s="151" t="s">
        <v>60</v>
      </c>
      <c r="BK60" s="49">
        <f t="shared" si="1925"/>
        <v>0.78651265181819496</v>
      </c>
      <c r="BL60" s="49">
        <f t="shared" si="1926"/>
        <v>0.40199535537374403</v>
      </c>
      <c r="BM60" s="49">
        <f t="shared" si="1927"/>
        <v>1.0333130109193274</v>
      </c>
      <c r="BN60" s="49">
        <f t="shared" si="1928"/>
        <v>0.52813776113654487</v>
      </c>
      <c r="BO60" s="49">
        <f t="shared" si="1929"/>
        <v>1.0033557192992506</v>
      </c>
      <c r="BP60" s="49">
        <f t="shared" si="1930"/>
        <v>0.51282625653072822</v>
      </c>
      <c r="BQ60" s="49">
        <f t="shared" si="1931"/>
        <v>0.83960651164367195</v>
      </c>
      <c r="BR60" s="49">
        <f t="shared" si="1932"/>
        <v>0.42913221706232119</v>
      </c>
      <c r="BS60" s="49">
        <f t="shared" si="1933"/>
        <v>0.75831073518005987</v>
      </c>
      <c r="BT60" s="49">
        <f t="shared" si="1934"/>
        <v>0.3875810424253639</v>
      </c>
      <c r="BU60" s="49">
        <f t="shared" si="1935"/>
        <v>1.4012658086455465</v>
      </c>
      <c r="BV60" s="49">
        <f t="shared" si="2053"/>
        <v>0.71620252441883459</v>
      </c>
      <c r="BW60" s="49">
        <f t="shared" si="1936"/>
        <v>1.6076858962582841</v>
      </c>
      <c r="BX60" s="49">
        <f t="shared" si="1937"/>
        <v>0.82170612475423399</v>
      </c>
      <c r="BY60" s="49">
        <f t="shared" si="1938"/>
        <v>0</v>
      </c>
      <c r="BZ60" s="49">
        <f t="shared" si="1939"/>
        <v>0</v>
      </c>
      <c r="CA60" s="156"/>
      <c r="CB60" s="156"/>
      <c r="CC60" s="151" t="s">
        <v>60</v>
      </c>
      <c r="CD60" s="49">
        <f t="shared" si="1940"/>
        <v>6.2873919302978489</v>
      </c>
      <c r="CE60" s="49">
        <f t="shared" si="1941"/>
        <v>3.2135558754855666</v>
      </c>
      <c r="CF60" s="49">
        <f t="shared" si="1942"/>
        <v>8.2603170734851936</v>
      </c>
      <c r="CG60" s="49">
        <f t="shared" si="1943"/>
        <v>4.2219398375590975</v>
      </c>
      <c r="CH60" s="49">
        <f t="shared" si="1944"/>
        <v>8.0208381113219911</v>
      </c>
      <c r="CI60" s="49">
        <f t="shared" si="1945"/>
        <v>4.0995394791201303</v>
      </c>
      <c r="CJ60" s="49">
        <f t="shared" si="1946"/>
        <v>6.7118249067329607</v>
      </c>
      <c r="CK60" s="49">
        <f t="shared" si="1947"/>
        <v>3.4304882856635128</v>
      </c>
      <c r="CL60" s="49">
        <f t="shared" si="1948"/>
        <v>6.0619454575937697</v>
      </c>
      <c r="CM60" s="49">
        <f t="shared" si="1949"/>
        <v>3.0983276783257043</v>
      </c>
      <c r="CN60" s="49">
        <f t="shared" si="1950"/>
        <v>11.201736319324752</v>
      </c>
      <c r="CO60" s="220">
        <f t="shared" si="1951"/>
        <v>5.7253318965437607</v>
      </c>
      <c r="CP60" s="49">
        <f t="shared" si="1952"/>
        <v>12.851861069521018</v>
      </c>
      <c r="CQ60" s="49">
        <f t="shared" si="1953"/>
        <v>6.5687289910885207</v>
      </c>
      <c r="CR60" s="49">
        <f t="shared" si="1954"/>
        <v>0</v>
      </c>
      <c r="CS60" s="220">
        <f t="shared" si="1955"/>
        <v>0</v>
      </c>
      <c r="CV60" s="151" t="s">
        <v>60</v>
      </c>
      <c r="CW60" s="49">
        <f t="shared" si="1956"/>
        <v>1.858737081485414E-3</v>
      </c>
      <c r="CX60" s="49">
        <f t="shared" si="1957"/>
        <v>9.5002117498143364E-4</v>
      </c>
      <c r="CY60" s="49">
        <f t="shared" si="1958"/>
        <v>2.4419914997388529E-3</v>
      </c>
      <c r="CZ60" s="49">
        <f t="shared" si="1959"/>
        <v>1.2481289887554133E-3</v>
      </c>
      <c r="DA60" s="49">
        <f t="shared" si="1960"/>
        <v>2.3711945091673906E-3</v>
      </c>
      <c r="DB60" s="49">
        <f t="shared" si="1961"/>
        <v>1.211943860241111E-3</v>
      </c>
      <c r="DC60" s="49">
        <f t="shared" si="1962"/>
        <v>1.9842118921304368E-3</v>
      </c>
      <c r="DD60" s="49">
        <f t="shared" si="1963"/>
        <v>1.0141527448666676E-3</v>
      </c>
      <c r="DE60" s="49">
        <f t="shared" si="1964"/>
        <v>1.7920885055177141E-3</v>
      </c>
      <c r="DF60" s="49">
        <f t="shared" si="1965"/>
        <v>9.1595634726460932E-4</v>
      </c>
      <c r="DG60" s="49">
        <f t="shared" si="1966"/>
        <v>3.3115611217773267E-3</v>
      </c>
      <c r="DH60" s="49">
        <f t="shared" si="1967"/>
        <v>1.6925756844639664E-3</v>
      </c>
      <c r="DI60" s="49">
        <f t="shared" si="1968"/>
        <v>3.799386295755523E-3</v>
      </c>
      <c r="DJ60" s="49">
        <f t="shared" si="1969"/>
        <v>1.9419085511639339E-3</v>
      </c>
      <c r="DK60" s="49">
        <f t="shared" si="1970"/>
        <v>0</v>
      </c>
      <c r="DL60" s="49">
        <f t="shared" si="1971"/>
        <v>0</v>
      </c>
      <c r="DO60" s="151" t="s">
        <v>60</v>
      </c>
      <c r="DP60" s="49">
        <f t="shared" si="1972"/>
        <v>9.3167758240289625E-3</v>
      </c>
      <c r="DQ60" s="49">
        <f t="shared" si="1973"/>
        <v>4.7619076433925807E-3</v>
      </c>
      <c r="DR60" s="49">
        <f t="shared" si="1974"/>
        <v>1.2240293473388539E-2</v>
      </c>
      <c r="DS60" s="49">
        <f t="shared" si="1975"/>
        <v>6.2561499975096963E-3</v>
      </c>
      <c r="DT60" s="49">
        <f t="shared" si="1976"/>
        <v>1.188542903519533E-2</v>
      </c>
      <c r="DU60" s="49">
        <f t="shared" si="1977"/>
        <v>6.0747748402109475E-3</v>
      </c>
      <c r="DV60" s="49">
        <f t="shared" si="1978"/>
        <v>9.9457086053171776E-3</v>
      </c>
      <c r="DW60" s="49">
        <f t="shared" si="1979"/>
        <v>5.083362176051002E-3</v>
      </c>
      <c r="DX60" s="49">
        <f t="shared" si="1980"/>
        <v>8.9827049931045632E-3</v>
      </c>
      <c r="DY60" s="49">
        <f t="shared" si="1981"/>
        <v>4.5911603298089991E-3</v>
      </c>
      <c r="DZ60" s="49">
        <f t="shared" si="1982"/>
        <v>1.6598943931603778E-2</v>
      </c>
      <c r="EA60" s="49">
        <f t="shared" si="1983"/>
        <v>8.4839046761530403E-3</v>
      </c>
      <c r="EB60" s="49">
        <f t="shared" si="1984"/>
        <v>1.9044129876697565E-2</v>
      </c>
      <c r="EC60" s="49">
        <f t="shared" si="1985"/>
        <v>9.7336663814232005E-3</v>
      </c>
      <c r="ED60" s="49">
        <f t="shared" si="1986"/>
        <v>0</v>
      </c>
      <c r="EE60" s="49">
        <f t="shared" si="1987"/>
        <v>0</v>
      </c>
      <c r="EH60" s="151" t="s">
        <v>60</v>
      </c>
      <c r="EI60" s="49">
        <f t="shared" si="2282"/>
        <v>7.957280909754675E-3</v>
      </c>
      <c r="EJ60" s="49">
        <f t="shared" si="2282"/>
        <v>4.0670546872079438E-3</v>
      </c>
      <c r="EK60" s="49">
        <f t="shared" si="2282"/>
        <v>1.0454201692219077E-2</v>
      </c>
      <c r="EL60" s="49">
        <f t="shared" si="2282"/>
        <v>5.3432586426897487E-3</v>
      </c>
      <c r="EM60" s="49">
        <f t="shared" si="2282"/>
        <v>1.0151118729516155E-2</v>
      </c>
      <c r="EN60" s="49">
        <f t="shared" si="2282"/>
        <v>5.1883495728638138E-3</v>
      </c>
      <c r="EO60" s="49">
        <f t="shared" si="2282"/>
        <v>8.4944404280889296E-3</v>
      </c>
      <c r="EP60" s="49">
        <f t="shared" si="2282"/>
        <v>4.3416028854676748E-3</v>
      </c>
      <c r="EQ60" s="49">
        <f t="shared" si="2282"/>
        <v>7.6719573712656867E-3</v>
      </c>
      <c r="ER60" s="49">
        <f t="shared" si="2282"/>
        <v>3.921222656424684E-3</v>
      </c>
      <c r="ES60" s="49">
        <f t="shared" si="2282"/>
        <v>1.4176842092559976E-2</v>
      </c>
      <c r="ET60" s="49">
        <f t="shared" si="2282"/>
        <v>7.2459415139750965E-3</v>
      </c>
      <c r="EU60" s="49">
        <f t="shared" si="2283"/>
        <v>1.6265228870259774E-2</v>
      </c>
      <c r="EV60" s="49">
        <f t="shared" si="2284"/>
        <v>8.3133392003549959E-3</v>
      </c>
      <c r="EW60" s="49">
        <f t="shared" si="2285"/>
        <v>0</v>
      </c>
      <c r="EX60" s="49">
        <f t="shared" si="2286"/>
        <v>0</v>
      </c>
      <c r="FA60" s="151" t="s">
        <v>60</v>
      </c>
      <c r="FB60" s="53">
        <f t="shared" si="2287"/>
        <v>1.7510785322661751E-4</v>
      </c>
      <c r="FC60" s="53">
        <f t="shared" si="2287"/>
        <v>8.9499569426937831E-5</v>
      </c>
      <c r="FD60" s="53">
        <f t="shared" si="2287"/>
        <v>2.3005506985161755E-4</v>
      </c>
      <c r="FE60" s="53">
        <f t="shared" si="2287"/>
        <v>1.175837023686045E-4</v>
      </c>
      <c r="FF60" s="53">
        <f t="shared" si="2287"/>
        <v>2.2338542885862316E-4</v>
      </c>
      <c r="FG60" s="53">
        <f t="shared" si="2287"/>
        <v>1.1417477474996298E-4</v>
      </c>
      <c r="FH60" s="53">
        <f t="shared" si="2287"/>
        <v>1.8692858082974234E-4</v>
      </c>
      <c r="FI60" s="53">
        <f t="shared" si="2287"/>
        <v>9.5541274646312744E-5</v>
      </c>
      <c r="FJ60" s="53">
        <f t="shared" si="2287"/>
        <v>1.6882902596558906E-4</v>
      </c>
      <c r="FK60" s="53">
        <f t="shared" si="2287"/>
        <v>8.6290391049078849E-5</v>
      </c>
      <c r="FL60" s="53">
        <f t="shared" si="2287"/>
        <v>3.1197546153205501E-4</v>
      </c>
      <c r="FM60" s="53">
        <f t="shared" si="2287"/>
        <v>1.594541247830503E-4</v>
      </c>
      <c r="FN60" s="53">
        <f t="shared" si="2288"/>
        <v>3.5793248246637559E-4</v>
      </c>
      <c r="FO60" s="53">
        <f t="shared" si="2289"/>
        <v>1.8294326881614754E-4</v>
      </c>
      <c r="FP60" s="53">
        <f t="shared" si="2290"/>
        <v>0</v>
      </c>
      <c r="FQ60" s="53">
        <f t="shared" si="2291"/>
        <v>0</v>
      </c>
      <c r="FT60" s="151" t="s">
        <v>60</v>
      </c>
      <c r="FU60" s="49">
        <f t="shared" si="2292"/>
        <v>2.9356749408970415E-2</v>
      </c>
      <c r="FV60" s="49">
        <f t="shared" si="2292"/>
        <v>1.5004560809029319E-2</v>
      </c>
      <c r="FW60" s="49">
        <f t="shared" si="2292"/>
        <v>3.8568624487428295E-2</v>
      </c>
      <c r="FX60" s="49">
        <f t="shared" si="2292"/>
        <v>1.9712852515796679E-2</v>
      </c>
      <c r="FY60" s="49">
        <f t="shared" si="2292"/>
        <v>3.7450462305257413E-2</v>
      </c>
      <c r="FZ60" s="49">
        <f t="shared" si="2292"/>
        <v>1.9141347400464907E-2</v>
      </c>
      <c r="GA60" s="49">
        <f t="shared" si="2292"/>
        <v>3.1338488843737723E-2</v>
      </c>
      <c r="GB60" s="49">
        <f t="shared" si="2292"/>
        <v>1.6017449853465947E-2</v>
      </c>
      <c r="GC60" s="49">
        <f t="shared" si="2292"/>
        <v>2.8304106965540553E-2</v>
      </c>
      <c r="GD60" s="49">
        <f t="shared" si="2292"/>
        <v>1.446654356016517E-2</v>
      </c>
      <c r="GE60" s="49">
        <f t="shared" si="2292"/>
        <v>5.2302539704440078E-2</v>
      </c>
      <c r="GF60" s="49">
        <f t="shared" si="2292"/>
        <v>2.6732409182269365E-2</v>
      </c>
      <c r="GG60" s="49">
        <f t="shared" si="2293"/>
        <v>6.0007212694780737E-2</v>
      </c>
      <c r="GH60" s="49">
        <f t="shared" si="2294"/>
        <v>3.0670353155110155E-2</v>
      </c>
      <c r="GI60" s="49">
        <f t="shared" si="2295"/>
        <v>0</v>
      </c>
      <c r="GJ60" s="49">
        <f t="shared" si="2296"/>
        <v>0</v>
      </c>
      <c r="GM60" s="151" t="s">
        <v>60</v>
      </c>
      <c r="GN60" s="49">
        <f t="shared" si="2297"/>
        <v>0.1456684011585434</v>
      </c>
      <c r="GO60" s="49">
        <f t="shared" si="2297"/>
        <v>7.4452738369922167E-2</v>
      </c>
      <c r="GP60" s="49">
        <f t="shared" si="2297"/>
        <v>0.19137779137942251</v>
      </c>
      <c r="GQ60" s="49">
        <f t="shared" si="2297"/>
        <v>9.7815315593927032E-2</v>
      </c>
      <c r="GR60" s="49">
        <f t="shared" si="2297"/>
        <v>0.1858294626103317</v>
      </c>
      <c r="GS60" s="49">
        <f t="shared" si="2297"/>
        <v>9.4979503111947347E-2</v>
      </c>
      <c r="GT60" s="49">
        <f t="shared" si="2297"/>
        <v>0.15550180644990649</v>
      </c>
      <c r="GU60" s="49">
        <f t="shared" si="2297"/>
        <v>7.947870107439664E-2</v>
      </c>
      <c r="GV60" s="49">
        <f t="shared" si="2297"/>
        <v>0.14044518180309268</v>
      </c>
      <c r="GW60" s="49">
        <f t="shared" si="2297"/>
        <v>7.1783092921580693E-2</v>
      </c>
      <c r="GX60" s="49">
        <f t="shared" si="2297"/>
        <v>0.25952557720675196</v>
      </c>
      <c r="GY60" s="49">
        <f t="shared" si="2297"/>
        <v>0.13264640612789541</v>
      </c>
      <c r="GZ60" s="49">
        <f t="shared" si="2298"/>
        <v>0.29775621985444894</v>
      </c>
      <c r="HA60" s="49">
        <f t="shared" si="2299"/>
        <v>0.15218651237005168</v>
      </c>
      <c r="HB60" s="49">
        <f t="shared" si="2300"/>
        <v>0</v>
      </c>
      <c r="HC60" s="49">
        <f t="shared" si="2301"/>
        <v>0</v>
      </c>
      <c r="HF60" s="151" t="s">
        <v>60</v>
      </c>
      <c r="HG60" s="49">
        <f t="shared" si="2302"/>
        <v>0.64558441885775464</v>
      </c>
      <c r="HH60" s="49">
        <f t="shared" si="2302"/>
        <v>0.32996536963840789</v>
      </c>
      <c r="HI60" s="49">
        <f t="shared" si="2302"/>
        <v>0.84816280845627257</v>
      </c>
      <c r="HJ60" s="49">
        <f t="shared" si="2302"/>
        <v>0.4335054354332058</v>
      </c>
      <c r="HK60" s="49">
        <f t="shared" si="2302"/>
        <v>0.82357329847650174</v>
      </c>
      <c r="HL60" s="49">
        <f t="shared" si="2302"/>
        <v>0.42093746366576767</v>
      </c>
      <c r="HM60" s="49">
        <f t="shared" si="2302"/>
        <v>0.68916486039433766</v>
      </c>
      <c r="HN60" s="49">
        <f t="shared" si="2302"/>
        <v>0.35223981753488365</v>
      </c>
      <c r="HO60" s="49">
        <f t="shared" si="2302"/>
        <v>0.62243575377091021</v>
      </c>
      <c r="HP60" s="49">
        <f t="shared" si="2302"/>
        <v>0.31813382970513188</v>
      </c>
      <c r="HQ60" s="49">
        <f t="shared" si="2302"/>
        <v>1.1501854047082594</v>
      </c>
      <c r="HR60" s="49">
        <f t="shared" si="2302"/>
        <v>0.5878725401842213</v>
      </c>
      <c r="HS60" s="49">
        <f t="shared" si="2303"/>
        <v>1.319618905865517</v>
      </c>
      <c r="HT60" s="49">
        <f t="shared" si="2304"/>
        <v>0.67447188522015311</v>
      </c>
      <c r="HU60" s="49">
        <f t="shared" si="2305"/>
        <v>0</v>
      </c>
      <c r="HV60" s="49">
        <f t="shared" si="2306"/>
        <v>0</v>
      </c>
      <c r="HY60" s="345" t="s">
        <v>60</v>
      </c>
      <c r="HZ60" s="338">
        <f t="shared" si="2307"/>
        <v>9.0290990807455947E-4</v>
      </c>
      <c r="IA60" s="338">
        <f t="shared" si="2307"/>
        <v>4.6148728634921919E-4</v>
      </c>
      <c r="IB60" s="338">
        <f t="shared" si="2307"/>
        <v>1.1862346442166063E-3</v>
      </c>
      <c r="IC60" s="338">
        <f t="shared" si="2307"/>
        <v>6.062977070440431E-4</v>
      </c>
      <c r="ID60" s="338">
        <f t="shared" si="2307"/>
        <v>1.151843925440097E-3</v>
      </c>
      <c r="IE60" s="338">
        <f t="shared" si="2307"/>
        <v>5.8872022855827196E-4</v>
      </c>
      <c r="IF60" s="338">
        <f t="shared" si="2307"/>
        <v>9.6386121252404751E-4</v>
      </c>
      <c r="IG60" s="338">
        <f t="shared" si="2307"/>
        <v>4.9264017529006873E-4</v>
      </c>
      <c r="IH60" s="338">
        <f t="shared" si="2307"/>
        <v>8.7053434501095227E-4</v>
      </c>
      <c r="II60" s="338">
        <f t="shared" si="2307"/>
        <v>4.4493977633893112E-4</v>
      </c>
      <c r="IJ60" s="338">
        <f t="shared" si="2307"/>
        <v>1.6086413607554182E-3</v>
      </c>
      <c r="IK60" s="338">
        <f t="shared" si="2307"/>
        <v>8.221944732749913E-4</v>
      </c>
      <c r="IL60" s="338">
        <f t="shared" si="2308"/>
        <v>1.8456098849111383E-3</v>
      </c>
      <c r="IM60" s="338">
        <f t="shared" si="2309"/>
        <v>9.433117189545818E-4</v>
      </c>
      <c r="IN60" s="338">
        <f t="shared" si="2310"/>
        <v>0</v>
      </c>
      <c r="IO60" s="338">
        <f t="shared" si="2311"/>
        <v>0</v>
      </c>
      <c r="IR60" s="345" t="s">
        <v>60</v>
      </c>
      <c r="IS60" s="338">
        <f t="shared" si="2312"/>
        <v>0.40873353782708083</v>
      </c>
      <c r="IT60" s="338">
        <f t="shared" si="2312"/>
        <v>0.20890825266717461</v>
      </c>
      <c r="IU60" s="338">
        <f t="shared" si="2312"/>
        <v>0.53699032260886914</v>
      </c>
      <c r="IV60" s="338">
        <f t="shared" si="2312"/>
        <v>0.27446172044453304</v>
      </c>
      <c r="IW60" s="338">
        <f t="shared" si="2312"/>
        <v>0.52142216898885352</v>
      </c>
      <c r="IX60" s="338">
        <f t="shared" si="2312"/>
        <v>0.26650466414985852</v>
      </c>
      <c r="IY60" s="338">
        <f t="shared" si="2312"/>
        <v>0.43632526329163018</v>
      </c>
      <c r="IZ60" s="338">
        <f t="shared" si="2312"/>
        <v>0.22301069012683319</v>
      </c>
      <c r="JA60" s="338">
        <f t="shared" si="2312"/>
        <v>0.3940776144489101</v>
      </c>
      <c r="JB60" s="338">
        <f t="shared" si="2312"/>
        <v>0.20141744738499848</v>
      </c>
      <c r="JC60" s="338">
        <f t="shared" si="2312"/>
        <v>0.7282073976557103</v>
      </c>
      <c r="JD60" s="338">
        <f t="shared" si="2312"/>
        <v>0.37219489213514068</v>
      </c>
      <c r="JE60" s="338">
        <f t="shared" si="2313"/>
        <v>0.83547943262360147</v>
      </c>
      <c r="JF60" s="338">
        <f t="shared" si="2314"/>
        <v>0.42702282111872963</v>
      </c>
      <c r="JG60" s="338">
        <f t="shared" si="2315"/>
        <v>0</v>
      </c>
      <c r="JH60" s="338">
        <f t="shared" si="2316"/>
        <v>0</v>
      </c>
      <c r="JK60" s="345" t="s">
        <v>60</v>
      </c>
      <c r="JL60" s="338">
        <f t="shared" si="2317"/>
        <v>3.7867454127765071E-2</v>
      </c>
      <c r="JM60" s="338">
        <f t="shared" si="2317"/>
        <v>1.9354476554191036E-2</v>
      </c>
      <c r="JN60" s="338">
        <f t="shared" si="2317"/>
        <v>4.9749909235605308E-2</v>
      </c>
      <c r="JO60" s="338">
        <f t="shared" si="2317"/>
        <v>2.5427731387087149E-2</v>
      </c>
      <c r="JP60" s="338">
        <f t="shared" si="2317"/>
        <v>4.8307584864099133E-2</v>
      </c>
      <c r="JQ60" s="338">
        <f t="shared" si="2317"/>
        <v>2.4690543374984008E-2</v>
      </c>
      <c r="JR60" s="338">
        <f t="shared" si="2317"/>
        <v>4.0423712182558552E-2</v>
      </c>
      <c r="JS60" s="338">
        <f t="shared" si="2317"/>
        <v>2.0661008448863257E-2</v>
      </c>
      <c r="JT60" s="338">
        <f t="shared" si="2317"/>
        <v>3.6509644075834097E-2</v>
      </c>
      <c r="JU60" s="338">
        <f t="shared" si="2317"/>
        <v>1.8660484749870757E-2</v>
      </c>
      <c r="JV60" s="338">
        <f t="shared" si="2317"/>
        <v>6.7465372117060884E-2</v>
      </c>
      <c r="JW60" s="338">
        <f t="shared" si="2317"/>
        <v>3.4482301304275549E-2</v>
      </c>
      <c r="JX60" s="338">
        <f t="shared" si="2318"/>
        <v>7.7403677852709019E-2</v>
      </c>
      <c r="JY60" s="338">
        <f t="shared" si="2319"/>
        <v>3.9561879791384605E-2</v>
      </c>
      <c r="JZ60" s="338">
        <f t="shared" si="2320"/>
        <v>0</v>
      </c>
      <c r="KA60" s="338">
        <f t="shared" si="2321"/>
        <v>0</v>
      </c>
      <c r="KD60" s="345" t="s">
        <v>60</v>
      </c>
      <c r="KE60" s="338">
        <f t="shared" si="2322"/>
        <v>2.3744783255503159E-2</v>
      </c>
      <c r="KF60" s="338">
        <f t="shared" si="2322"/>
        <v>1.2136222552812723E-2</v>
      </c>
      <c r="KG60" s="338">
        <f t="shared" si="2322"/>
        <v>3.1195675521113329E-2</v>
      </c>
      <c r="KH60" s="338">
        <f t="shared" si="2322"/>
        <v>1.5944456377457918E-2</v>
      </c>
      <c r="KI60" s="338">
        <f t="shared" si="2322"/>
        <v>3.029126617080443E-2</v>
      </c>
      <c r="KJ60" s="338">
        <f t="shared" si="2322"/>
        <v>1.548220270952227E-2</v>
      </c>
      <c r="KK60" s="338">
        <f t="shared" si="2322"/>
        <v>2.5347684608506994E-2</v>
      </c>
      <c r="KL60" s="338">
        <f t="shared" si="2322"/>
        <v>1.2955483244348016E-2</v>
      </c>
      <c r="KM60" s="338">
        <f t="shared" si="2322"/>
        <v>2.2893368600679427E-2</v>
      </c>
      <c r="KN60" s="338">
        <f t="shared" si="2322"/>
        <v>1.1701055062569484E-2</v>
      </c>
      <c r="KO60" s="338">
        <f t="shared" si="2322"/>
        <v>4.2304154717306405E-2</v>
      </c>
      <c r="KP60" s="338">
        <f t="shared" si="2322"/>
        <v>2.1622123522178825E-2</v>
      </c>
      <c r="KQ60" s="338">
        <f t="shared" si="2323"/>
        <v>4.8535968317018723E-2</v>
      </c>
      <c r="KR60" s="338">
        <f t="shared" si="2324"/>
        <v>2.4807272695365125E-2</v>
      </c>
      <c r="KS60" s="338">
        <f t="shared" si="2325"/>
        <v>0</v>
      </c>
      <c r="KT60" s="338">
        <f t="shared" si="2326"/>
        <v>0</v>
      </c>
      <c r="KW60" s="345" t="s">
        <v>60</v>
      </c>
      <c r="KX60" s="338">
        <f t="shared" si="2327"/>
        <v>4.4071189934718896E-2</v>
      </c>
      <c r="KY60" s="338">
        <f t="shared" si="2327"/>
        <v>2.2525274855522987E-2</v>
      </c>
      <c r="KZ60" s="338">
        <f t="shared" si="2327"/>
        <v>5.7900319671867789E-2</v>
      </c>
      <c r="LA60" s="338">
        <f t="shared" si="2327"/>
        <v>2.9593496721176862E-2</v>
      </c>
      <c r="LB60" s="338">
        <f t="shared" si="2327"/>
        <v>5.622170269620172E-2</v>
      </c>
      <c r="LC60" s="338">
        <f t="shared" si="2327"/>
        <v>2.873553693361422E-2</v>
      </c>
      <c r="LD60" s="338">
        <f t="shared" si="2327"/>
        <v>4.7046233724957656E-2</v>
      </c>
      <c r="LE60" s="338">
        <f t="shared" si="2327"/>
        <v>2.4045852792756131E-2</v>
      </c>
      <c r="LF60" s="338">
        <f t="shared" si="2327"/>
        <v>4.2490933060517135E-2</v>
      </c>
      <c r="LG60" s="338">
        <f t="shared" si="2327"/>
        <v>2.1717588008708755E-2</v>
      </c>
      <c r="LH60" s="338">
        <f t="shared" si="2327"/>
        <v>7.8518065105607895E-2</v>
      </c>
      <c r="LI60" s="338">
        <f t="shared" si="2327"/>
        <v>4.01314554984218E-2</v>
      </c>
      <c r="LJ60" s="338">
        <f t="shared" si="2328"/>
        <v>9.0084540058670851E-2</v>
      </c>
      <c r="LK60" s="338">
        <f t="shared" si="2329"/>
        <v>4.6043209363320653E-2</v>
      </c>
      <c r="LL60" s="338">
        <f t="shared" si="2330"/>
        <v>0</v>
      </c>
      <c r="LM60" s="338">
        <f t="shared" si="2331"/>
        <v>0</v>
      </c>
      <c r="LP60" s="345" t="s">
        <v>60</v>
      </c>
      <c r="LQ60" s="338">
        <f t="shared" si="2332"/>
        <v>2.7328150600328344E-5</v>
      </c>
      <c r="LR60" s="338">
        <f t="shared" si="2332"/>
        <v>1.3967721417945596E-5</v>
      </c>
      <c r="LS60" s="338">
        <f t="shared" si="2332"/>
        <v>3.5903470229503107E-5</v>
      </c>
      <c r="LT60" s="338">
        <f t="shared" si="2332"/>
        <v>1.8350662561746026E-5</v>
      </c>
      <c r="LU60" s="338">
        <f t="shared" si="2332"/>
        <v>3.4862574860459954E-5</v>
      </c>
      <c r="LV60" s="338">
        <f t="shared" si="2332"/>
        <v>1.781864937312398E-5</v>
      </c>
      <c r="LW60" s="338">
        <f t="shared" si="2332"/>
        <v>2.9172948638744074E-5</v>
      </c>
      <c r="LX60" s="338">
        <f t="shared" si="2332"/>
        <v>1.4910618193135858E-5</v>
      </c>
      <c r="LY60" s="338">
        <f t="shared" si="2332"/>
        <v>2.6348247450235072E-5</v>
      </c>
      <c r="LZ60" s="338">
        <f t="shared" si="2332"/>
        <v>1.3466882030120148E-5</v>
      </c>
      <c r="MA60" s="338">
        <f t="shared" si="2332"/>
        <v>4.868834971850925E-5</v>
      </c>
      <c r="MB60" s="338">
        <f t="shared" si="2332"/>
        <v>2.4885156522793607E-5</v>
      </c>
      <c r="MC60" s="338">
        <f t="shared" si="2333"/>
        <v>5.5860617358671533E-5</v>
      </c>
      <c r="MD60" s="338">
        <f t="shared" si="2334"/>
        <v>2.8550982205543226E-5</v>
      </c>
      <c r="ME60" s="338">
        <f t="shared" si="2335"/>
        <v>0</v>
      </c>
      <c r="MF60" s="338">
        <f t="shared" si="2336"/>
        <v>0</v>
      </c>
      <c r="MI60" s="345" t="s">
        <v>60</v>
      </c>
      <c r="MJ60" s="338">
        <f t="shared" si="2337"/>
        <v>1.9006480530913633E-3</v>
      </c>
      <c r="MK60" s="338">
        <f t="shared" si="2337"/>
        <v>9.7144233824669659E-4</v>
      </c>
      <c r="ML60" s="338">
        <f t="shared" si="2337"/>
        <v>2.497053744650723E-3</v>
      </c>
      <c r="MM60" s="338">
        <f t="shared" si="2337"/>
        <v>1.2762719139325913E-3</v>
      </c>
      <c r="MN60" s="338">
        <f t="shared" si="2337"/>
        <v>2.4246604171410339E-3</v>
      </c>
      <c r="MO60" s="338">
        <f t="shared" si="2337"/>
        <v>1.2392708798720843E-3</v>
      </c>
      <c r="MP60" s="338">
        <f t="shared" si="2337"/>
        <v>2.0289520811004702E-3</v>
      </c>
      <c r="MQ60" s="338">
        <f t="shared" si="2337"/>
        <v>1.0370199525624624E-3</v>
      </c>
      <c r="MR60" s="338">
        <f t="shared" si="2337"/>
        <v>1.8324966790126324E-3</v>
      </c>
      <c r="MS60" s="338">
        <f t="shared" si="2337"/>
        <v>9.3660941371756761E-4</v>
      </c>
      <c r="MT60" s="338">
        <f t="shared" si="2337"/>
        <v>3.3862305010718204E-3</v>
      </c>
      <c r="MU60" s="338">
        <f t="shared" si="2337"/>
        <v>1.7307400338811522E-3</v>
      </c>
      <c r="MV60" s="338">
        <f t="shared" si="2338"/>
        <v>3.8850552011362605E-3</v>
      </c>
      <c r="MW60" s="338">
        <f t="shared" si="2339"/>
        <v>1.9856948805807555E-3</v>
      </c>
      <c r="MX60" s="338">
        <f t="shared" si="2340"/>
        <v>0</v>
      </c>
      <c r="MY60" s="338">
        <f t="shared" si="2341"/>
        <v>0</v>
      </c>
      <c r="NB60" s="345" t="s">
        <v>60</v>
      </c>
      <c r="NC60" s="338">
        <f t="shared" si="2342"/>
        <v>1.6862015089592411E-3</v>
      </c>
      <c r="ND60" s="338">
        <f t="shared" si="2342"/>
        <v>8.6183632680138971E-4</v>
      </c>
      <c r="NE60" s="338">
        <f t="shared" si="2342"/>
        <v>2.215315868360808E-3</v>
      </c>
      <c r="NF60" s="338">
        <f t="shared" si="2342"/>
        <v>1.1322725549399682E-3</v>
      </c>
      <c r="NG60" s="338">
        <f t="shared" si="2342"/>
        <v>2.1510905438001274E-3</v>
      </c>
      <c r="NH60" s="338">
        <f t="shared" si="2342"/>
        <v>1.0994462779422875E-3</v>
      </c>
      <c r="NI60" s="338">
        <f t="shared" si="2342"/>
        <v>1.8000292348670554E-3</v>
      </c>
      <c r="NJ60" s="338">
        <f t="shared" si="2342"/>
        <v>9.2001494226538381E-4</v>
      </c>
      <c r="NK60" s="338">
        <f t="shared" si="2342"/>
        <v>1.6257395262043108E-3</v>
      </c>
      <c r="NL60" s="338">
        <f t="shared" si="2342"/>
        <v>8.3093353561553658E-4</v>
      </c>
      <c r="NM60" s="338">
        <f t="shared" si="2342"/>
        <v>3.0041684841673527E-3</v>
      </c>
      <c r="NN60" s="338">
        <f t="shared" si="2342"/>
        <v>1.5354638919077574E-3</v>
      </c>
      <c r="NO60" s="338">
        <f t="shared" si="2343"/>
        <v>3.4467117317647906E-3</v>
      </c>
      <c r="NP60" s="338">
        <f t="shared" si="2344"/>
        <v>1.761652662902004E-3</v>
      </c>
      <c r="NQ60" s="338">
        <f t="shared" si="2345"/>
        <v>0</v>
      </c>
      <c r="NR60" s="338">
        <f t="shared" si="2346"/>
        <v>0</v>
      </c>
    </row>
    <row r="61" spans="2:382" ht="12.75" customHeight="1" x14ac:dyDescent="0.2">
      <c r="B61" s="734"/>
      <c r="C61" s="117" t="s">
        <v>621</v>
      </c>
      <c r="D61" s="136">
        <f>'Cell parameters'!D106/1000</f>
        <v>0.67183619539555894</v>
      </c>
      <c r="E61" s="120">
        <f>'Cell parameters'!E106/1000</f>
        <v>0.448758539640986</v>
      </c>
      <c r="F61" s="136">
        <f>'Cell parameters'!F106/1000</f>
        <v>0.77806969226171818</v>
      </c>
      <c r="G61" s="120">
        <f>'Cell parameters'!G106/1000</f>
        <v>0.51856912329589055</v>
      </c>
      <c r="H61" s="136">
        <f>'Cell parameters'!H106/1000</f>
        <v>0.76517478458398702</v>
      </c>
      <c r="I61" s="120">
        <f>'Cell parameters'!I106/1000</f>
        <v>0.51009532682195302</v>
      </c>
      <c r="J61" s="136">
        <f>'Cell parameters'!J106/1000</f>
        <v>0.62166618340370305</v>
      </c>
      <c r="K61" s="120">
        <f>'Cell parameters'!K106/1000</f>
        <v>0.41420128269456585</v>
      </c>
      <c r="L61" s="136">
        <f>'Cell parameters'!L106/1000</f>
        <v>0.54006396138710511</v>
      </c>
      <c r="M61" s="120">
        <f>'Cell parameters'!M106/1000</f>
        <v>0.35956316715500974</v>
      </c>
      <c r="N61" s="136">
        <f>'Cell parameters'!N106/1000</f>
        <v>0.97811332543362894</v>
      </c>
      <c r="O61" s="120">
        <f>'Cell parameters'!O106/1000</f>
        <v>0.6509346407850628</v>
      </c>
      <c r="P61" s="193"/>
      <c r="Q61" s="194"/>
      <c r="R61" s="193"/>
      <c r="S61" s="194"/>
      <c r="V61" s="117" t="s">
        <v>621</v>
      </c>
      <c r="W61" s="97">
        <f>'Ecoinvent 3.10'!M23</f>
        <v>24.978681642395721</v>
      </c>
      <c r="X61" s="97">
        <f>'Ecoinvent 3.10'!N23</f>
        <v>5.798</v>
      </c>
      <c r="Y61" s="97">
        <f>'Ecoinvent 3.10'!O23</f>
        <v>59.481000000000002</v>
      </c>
      <c r="Z61" s="97">
        <f>'Ecoinvent 3.10'!P23</f>
        <v>2.6009999999999998E-2</v>
      </c>
      <c r="AA61" s="97">
        <f>'Ecoinvent 3.10'!Q23</f>
        <v>7.3672000000000004</v>
      </c>
      <c r="AB61" s="97">
        <f>'Ecoinvent 3.10'!R23</f>
        <v>5.3903E-2</v>
      </c>
      <c r="AC61" s="97">
        <f>'Ecoinvent 3.10'!S23</f>
        <v>1.908E-3</v>
      </c>
      <c r="AD61" s="97">
        <f>'Ecoinvent 3.10'!T23</f>
        <v>0.51175999999999999</v>
      </c>
      <c r="AE61" s="97">
        <f>'Ecoinvent 3.10'!U23</f>
        <v>1.1276999999999999</v>
      </c>
      <c r="AF61" s="97">
        <f>'Ecoinvent 3.10'!V23</f>
        <v>10.42</v>
      </c>
      <c r="AG61" s="329">
        <f>'Ecoinvent 3.10'!W23</f>
        <v>1.0801E-2</v>
      </c>
      <c r="AH61" s="329">
        <f>'Ecoinvent 3.10'!X23</f>
        <v>1.6874</v>
      </c>
      <c r="AI61" s="329">
        <f>'Ecoinvent 3.10'!Y23</f>
        <v>0.31485999999999997</v>
      </c>
      <c r="AJ61" s="329">
        <f>'Ecoinvent 3.10'!Z23</f>
        <v>0.14602000000000001</v>
      </c>
      <c r="AK61" s="329">
        <f>'Ecoinvent 3.10'!AA23</f>
        <v>0.70140999999999998</v>
      </c>
      <c r="AL61" s="329">
        <f>'Ecoinvent 3.10'!AB23</f>
        <v>5.8177000000000001E-4</v>
      </c>
      <c r="AM61" s="329">
        <f>'Ecoinvent 3.10'!AC23</f>
        <v>1.3783E-2</v>
      </c>
      <c r="AN61" s="329">
        <f>'Ecoinvent 3.10'!AD23</f>
        <v>1.2945E-2</v>
      </c>
      <c r="AO61" s="109"/>
      <c r="AQ61" s="117" t="s">
        <v>621</v>
      </c>
      <c r="AR61" s="49">
        <f t="shared" si="1920"/>
        <v>16.781582440624032</v>
      </c>
      <c r="AS61" s="50">
        <f t="shared" si="1920"/>
        <v>11.20939669599861</v>
      </c>
      <c r="AT61" s="49">
        <f t="shared" si="1920"/>
        <v>19.435155138602269</v>
      </c>
      <c r="AU61" s="50">
        <f t="shared" si="1920"/>
        <v>12.953173040384304</v>
      </c>
      <c r="AV61" s="49">
        <f t="shared" si="1920"/>
        <v>19.113057344912136</v>
      </c>
      <c r="AW61" s="50">
        <f t="shared" si="1920"/>
        <v>12.741508775959364</v>
      </c>
      <c r="AX61" s="49">
        <f t="shared" si="1920"/>
        <v>15.528401683084288</v>
      </c>
      <c r="AY61" s="50">
        <f t="shared" si="1920"/>
        <v>10.346201976299513</v>
      </c>
      <c r="AZ61" s="49">
        <f t="shared" si="1920"/>
        <v>13.490085758019594</v>
      </c>
      <c r="BA61" s="50">
        <f t="shared" si="1920"/>
        <v>8.981413882696506</v>
      </c>
      <c r="BB61" s="49">
        <f t="shared" si="1920"/>
        <v>24.431981366191618</v>
      </c>
      <c r="BC61" s="50">
        <f t="shared" si="1920"/>
        <v>16.259489162177299</v>
      </c>
      <c r="BD61" s="49">
        <f t="shared" si="2278"/>
        <v>0</v>
      </c>
      <c r="BE61" s="50">
        <f t="shared" si="2279"/>
        <v>0</v>
      </c>
      <c r="BF61" s="49">
        <f t="shared" si="2280"/>
        <v>0</v>
      </c>
      <c r="BG61" s="50">
        <f t="shared" si="2281"/>
        <v>0</v>
      </c>
      <c r="BI61" s="156"/>
      <c r="BJ61" s="117" t="s">
        <v>621</v>
      </c>
      <c r="BK61" s="49">
        <f t="shared" si="1925"/>
        <v>3.895306260903451</v>
      </c>
      <c r="BL61" s="49">
        <f t="shared" si="1926"/>
        <v>2.6019020128384369</v>
      </c>
      <c r="BM61" s="49">
        <f t="shared" si="1927"/>
        <v>4.5112480757334419</v>
      </c>
      <c r="BN61" s="49">
        <f t="shared" si="1928"/>
        <v>3.0066637768695736</v>
      </c>
      <c r="BO61" s="49">
        <f t="shared" si="1929"/>
        <v>4.4364834010179566</v>
      </c>
      <c r="BP61" s="49">
        <f t="shared" si="1930"/>
        <v>2.9575327049136835</v>
      </c>
      <c r="BQ61" s="49">
        <f t="shared" si="1931"/>
        <v>3.6044205313746702</v>
      </c>
      <c r="BR61" s="49">
        <f t="shared" si="1932"/>
        <v>2.4015390370630927</v>
      </c>
      <c r="BS61" s="49">
        <f t="shared" si="1933"/>
        <v>3.1312908481224353</v>
      </c>
      <c r="BT61" s="49">
        <f t="shared" si="1934"/>
        <v>2.0847472431647467</v>
      </c>
      <c r="BU61" s="49">
        <f t="shared" si="1935"/>
        <v>5.6711010608641805</v>
      </c>
      <c r="BV61" s="49">
        <f t="shared" si="2053"/>
        <v>3.7741190472717943</v>
      </c>
      <c r="BW61" s="49">
        <f t="shared" si="1936"/>
        <v>0</v>
      </c>
      <c r="BX61" s="49">
        <f t="shared" si="1937"/>
        <v>0</v>
      </c>
      <c r="BY61" s="49">
        <f t="shared" si="1938"/>
        <v>0</v>
      </c>
      <c r="BZ61" s="49">
        <f t="shared" si="1939"/>
        <v>0</v>
      </c>
      <c r="CA61" s="156"/>
      <c r="CB61" s="156"/>
      <c r="CC61" s="117" t="s">
        <v>621</v>
      </c>
      <c r="CD61" s="49">
        <f t="shared" si="1940"/>
        <v>39.96148873832324</v>
      </c>
      <c r="CE61" s="49">
        <f t="shared" si="1941"/>
        <v>26.692606696385489</v>
      </c>
      <c r="CF61" s="49">
        <f t="shared" si="1942"/>
        <v>46.280363365419262</v>
      </c>
      <c r="CG61" s="49">
        <f t="shared" si="1943"/>
        <v>30.845010022762867</v>
      </c>
      <c r="CH61" s="49">
        <f t="shared" si="1944"/>
        <v>45.513361361840133</v>
      </c>
      <c r="CI61" s="49">
        <f t="shared" si="1945"/>
        <v>30.34098013469659</v>
      </c>
      <c r="CJ61" s="49">
        <f t="shared" si="1946"/>
        <v>36.977326255035663</v>
      </c>
      <c r="CK61" s="49">
        <f t="shared" si="1947"/>
        <v>24.637106495955472</v>
      </c>
      <c r="CL61" s="49">
        <f t="shared" si="1948"/>
        <v>32.1235444872664</v>
      </c>
      <c r="CM61" s="49">
        <f t="shared" si="1949"/>
        <v>21.387176745547134</v>
      </c>
      <c r="CN61" s="49">
        <f t="shared" si="1950"/>
        <v>58.179158710117683</v>
      </c>
      <c r="CO61" s="49">
        <f t="shared" si="1951"/>
        <v>38.718243368536321</v>
      </c>
      <c r="CP61" s="49">
        <f t="shared" si="1952"/>
        <v>0</v>
      </c>
      <c r="CQ61" s="49">
        <f t="shared" si="1953"/>
        <v>0</v>
      </c>
      <c r="CR61" s="49">
        <f t="shared" si="1954"/>
        <v>0</v>
      </c>
      <c r="CS61" s="49">
        <f t="shared" si="1955"/>
        <v>0</v>
      </c>
      <c r="CV61" s="117" t="s">
        <v>621</v>
      </c>
      <c r="CW61" s="49">
        <f t="shared" si="1956"/>
        <v>1.7474459442238487E-2</v>
      </c>
      <c r="CX61" s="49">
        <f t="shared" si="1957"/>
        <v>1.1672209616062044E-2</v>
      </c>
      <c r="CY61" s="49">
        <f t="shared" si="1958"/>
        <v>2.0237592695727287E-2</v>
      </c>
      <c r="CZ61" s="49">
        <f t="shared" si="1959"/>
        <v>1.3487982896926112E-2</v>
      </c>
      <c r="DA61" s="49">
        <f t="shared" si="1960"/>
        <v>1.99021961470295E-2</v>
      </c>
      <c r="DB61" s="49">
        <f t="shared" si="1961"/>
        <v>1.3267579450638996E-2</v>
      </c>
      <c r="DC61" s="49">
        <f t="shared" si="1962"/>
        <v>1.6169537430330314E-2</v>
      </c>
      <c r="DD61" s="49">
        <f t="shared" si="1963"/>
        <v>1.0773375362885657E-2</v>
      </c>
      <c r="DE61" s="49">
        <f t="shared" si="1964"/>
        <v>1.4047063635678604E-2</v>
      </c>
      <c r="DF61" s="49">
        <f t="shared" si="1965"/>
        <v>9.3522379777018026E-3</v>
      </c>
      <c r="DG61" s="49">
        <f t="shared" si="1966"/>
        <v>2.5440727594528686E-2</v>
      </c>
      <c r="DH61" s="49">
        <f t="shared" si="1967"/>
        <v>1.6930810006819483E-2</v>
      </c>
      <c r="DI61" s="49">
        <f t="shared" si="1968"/>
        <v>0</v>
      </c>
      <c r="DJ61" s="49">
        <f t="shared" si="1969"/>
        <v>0</v>
      </c>
      <c r="DK61" s="49">
        <f t="shared" si="1970"/>
        <v>0</v>
      </c>
      <c r="DL61" s="49">
        <f t="shared" si="1971"/>
        <v>0</v>
      </c>
      <c r="DO61" s="117" t="s">
        <v>621</v>
      </c>
      <c r="DP61" s="49">
        <f t="shared" si="1972"/>
        <v>4.9495516187181625</v>
      </c>
      <c r="DQ61" s="49">
        <f t="shared" si="1973"/>
        <v>3.3060939132430724</v>
      </c>
      <c r="DR61" s="49">
        <f t="shared" si="1974"/>
        <v>5.7321950368305306</v>
      </c>
      <c r="DS61" s="49">
        <f t="shared" si="1975"/>
        <v>3.820402445145485</v>
      </c>
      <c r="DT61" s="49">
        <f t="shared" si="1976"/>
        <v>5.6371956729871497</v>
      </c>
      <c r="DU61" s="49">
        <f t="shared" si="1977"/>
        <v>3.7579742917626926</v>
      </c>
      <c r="DV61" s="49">
        <f t="shared" si="1978"/>
        <v>4.5799391063717616</v>
      </c>
      <c r="DW61" s="49">
        <f t="shared" si="1979"/>
        <v>3.0515036898674057</v>
      </c>
      <c r="DX61" s="49">
        <f t="shared" si="1980"/>
        <v>3.9787592163310808</v>
      </c>
      <c r="DY61" s="49">
        <f t="shared" si="1981"/>
        <v>2.6489737650643881</v>
      </c>
      <c r="DZ61" s="49">
        <f t="shared" si="1982"/>
        <v>7.2059564911346312</v>
      </c>
      <c r="EA61" s="49">
        <f t="shared" si="1983"/>
        <v>4.7955656855917148</v>
      </c>
      <c r="EB61" s="49">
        <f t="shared" si="1984"/>
        <v>0</v>
      </c>
      <c r="EC61" s="49">
        <f t="shared" si="1985"/>
        <v>0</v>
      </c>
      <c r="ED61" s="49">
        <f t="shared" si="1986"/>
        <v>0</v>
      </c>
      <c r="EE61" s="49">
        <f t="shared" si="1987"/>
        <v>0</v>
      </c>
      <c r="EH61" s="117" t="s">
        <v>621</v>
      </c>
      <c r="EI61" s="49">
        <f t="shared" si="2282"/>
        <v>3.6213986440406812E-2</v>
      </c>
      <c r="EJ61" s="49">
        <f t="shared" si="2282"/>
        <v>2.418943156226807E-2</v>
      </c>
      <c r="EK61" s="49">
        <f t="shared" si="2282"/>
        <v>4.1940290621983393E-2</v>
      </c>
      <c r="EL61" s="49">
        <f t="shared" si="2282"/>
        <v>2.795243145301839E-2</v>
      </c>
      <c r="EM61" s="49">
        <f t="shared" si="2282"/>
        <v>4.1245216413430652E-2</v>
      </c>
      <c r="EN61" s="49">
        <f t="shared" si="2282"/>
        <v>2.7495668401683732E-2</v>
      </c>
      <c r="EO61" s="49">
        <f t="shared" si="2282"/>
        <v>3.3509672284009806E-2</v>
      </c>
      <c r="EP61" s="49">
        <f t="shared" si="2282"/>
        <v>2.2326691741085182E-2</v>
      </c>
      <c r="EQ61" s="49">
        <f t="shared" si="2282"/>
        <v>2.9111067710649127E-2</v>
      </c>
      <c r="ER61" s="49">
        <f t="shared" si="2282"/>
        <v>1.9381533399156489E-2</v>
      </c>
      <c r="ES61" s="49">
        <f t="shared" si="2282"/>
        <v>5.27232425808489E-2</v>
      </c>
      <c r="ET61" s="49">
        <f t="shared" si="2282"/>
        <v>3.508732994223724E-2</v>
      </c>
      <c r="EU61" s="49">
        <f t="shared" si="2283"/>
        <v>0</v>
      </c>
      <c r="EV61" s="49">
        <f t="shared" si="2284"/>
        <v>0</v>
      </c>
      <c r="EW61" s="49">
        <f t="shared" si="2285"/>
        <v>0</v>
      </c>
      <c r="EX61" s="49">
        <f t="shared" si="2286"/>
        <v>0</v>
      </c>
      <c r="FA61" s="117" t="s">
        <v>621</v>
      </c>
      <c r="FB61" s="53">
        <f t="shared" si="2287"/>
        <v>1.2818634608147265E-3</v>
      </c>
      <c r="FC61" s="53">
        <f t="shared" si="2287"/>
        <v>8.5623129363500124E-4</v>
      </c>
      <c r="FD61" s="53">
        <f t="shared" si="2287"/>
        <v>1.4845569728353582E-3</v>
      </c>
      <c r="FE61" s="53">
        <f t="shared" si="2287"/>
        <v>9.8942988724855913E-4</v>
      </c>
      <c r="FF61" s="53">
        <f t="shared" si="2287"/>
        <v>1.4599534889862473E-3</v>
      </c>
      <c r="FG61" s="53">
        <f t="shared" si="2287"/>
        <v>9.7326188357628636E-4</v>
      </c>
      <c r="FH61" s="53">
        <f t="shared" si="2287"/>
        <v>1.1861390779342655E-3</v>
      </c>
      <c r="FI61" s="53">
        <f t="shared" si="2287"/>
        <v>7.9029604738123165E-4</v>
      </c>
      <c r="FJ61" s="53">
        <f t="shared" si="2287"/>
        <v>1.0304420383265966E-3</v>
      </c>
      <c r="FK61" s="53">
        <f t="shared" si="2287"/>
        <v>6.860465229317586E-4</v>
      </c>
      <c r="FL61" s="53">
        <f t="shared" si="2287"/>
        <v>1.866240224927364E-3</v>
      </c>
      <c r="FM61" s="53">
        <f t="shared" si="2287"/>
        <v>1.2419832946178998E-3</v>
      </c>
      <c r="FN61" s="53">
        <f t="shared" si="2288"/>
        <v>0</v>
      </c>
      <c r="FO61" s="53">
        <f t="shared" si="2289"/>
        <v>0</v>
      </c>
      <c r="FP61" s="53">
        <f t="shared" si="2290"/>
        <v>0</v>
      </c>
      <c r="FQ61" s="53">
        <f t="shared" si="2291"/>
        <v>0</v>
      </c>
      <c r="FT61" s="117" t="s">
        <v>621</v>
      </c>
      <c r="FU61" s="49">
        <f t="shared" si="2292"/>
        <v>0.34381889135563126</v>
      </c>
      <c r="FV61" s="49">
        <f t="shared" si="2292"/>
        <v>0.229656670246671</v>
      </c>
      <c r="FW61" s="49">
        <f t="shared" si="2292"/>
        <v>0.39818494571185686</v>
      </c>
      <c r="FX61" s="49">
        <f t="shared" si="2292"/>
        <v>0.26538293453790496</v>
      </c>
      <c r="FY61" s="49">
        <f t="shared" si="2292"/>
        <v>0.3915858477587012</v>
      </c>
      <c r="FZ61" s="49">
        <f t="shared" si="2292"/>
        <v>0.26104638445440265</v>
      </c>
      <c r="GA61" s="49">
        <f t="shared" si="2292"/>
        <v>0.31814388601867905</v>
      </c>
      <c r="GB61" s="49">
        <f t="shared" si="2292"/>
        <v>0.21197164843177102</v>
      </c>
      <c r="GC61" s="49">
        <f t="shared" si="2292"/>
        <v>0.27638313287946492</v>
      </c>
      <c r="GD61" s="49">
        <f t="shared" si="2292"/>
        <v>0.18401004642324778</v>
      </c>
      <c r="GE61" s="49">
        <f t="shared" si="2292"/>
        <v>0.50055927542391399</v>
      </c>
      <c r="GF61" s="49">
        <f t="shared" si="2292"/>
        <v>0.33312231176816376</v>
      </c>
      <c r="GG61" s="49">
        <f t="shared" si="2293"/>
        <v>0</v>
      </c>
      <c r="GH61" s="49">
        <f t="shared" si="2294"/>
        <v>0</v>
      </c>
      <c r="GI61" s="49">
        <f t="shared" si="2295"/>
        <v>0</v>
      </c>
      <c r="GJ61" s="49">
        <f t="shared" si="2296"/>
        <v>0</v>
      </c>
      <c r="GM61" s="117" t="s">
        <v>621</v>
      </c>
      <c r="GN61" s="49">
        <f t="shared" si="2297"/>
        <v>0.75762967754757182</v>
      </c>
      <c r="GO61" s="49">
        <f t="shared" si="2297"/>
        <v>0.5060650051531399</v>
      </c>
      <c r="GP61" s="49">
        <f t="shared" si="2297"/>
        <v>0.87742919196353952</v>
      </c>
      <c r="GQ61" s="49">
        <f t="shared" si="2297"/>
        <v>0.58479040034077578</v>
      </c>
      <c r="GR61" s="49">
        <f t="shared" si="2297"/>
        <v>0.86288760457536207</v>
      </c>
      <c r="GS61" s="49">
        <f t="shared" si="2297"/>
        <v>0.5752345000571164</v>
      </c>
      <c r="GT61" s="49">
        <f t="shared" si="2297"/>
        <v>0.70105295502435594</v>
      </c>
      <c r="GU61" s="49">
        <f t="shared" si="2297"/>
        <v>0.46709478649466191</v>
      </c>
      <c r="GV61" s="49">
        <f t="shared" si="2297"/>
        <v>0.60903012925623834</v>
      </c>
      <c r="GW61" s="49">
        <f t="shared" si="2297"/>
        <v>0.40547938360070446</v>
      </c>
      <c r="GX61" s="49">
        <f t="shared" si="2297"/>
        <v>1.1030183970915033</v>
      </c>
      <c r="GY61" s="49">
        <f t="shared" si="2297"/>
        <v>0.73405899441331524</v>
      </c>
      <c r="GZ61" s="49">
        <f t="shared" si="2298"/>
        <v>0</v>
      </c>
      <c r="HA61" s="49">
        <f t="shared" si="2299"/>
        <v>0</v>
      </c>
      <c r="HB61" s="49">
        <f t="shared" si="2300"/>
        <v>0</v>
      </c>
      <c r="HC61" s="49">
        <f t="shared" si="2301"/>
        <v>0</v>
      </c>
      <c r="HF61" s="117" t="s">
        <v>621</v>
      </c>
      <c r="HG61" s="49">
        <f t="shared" si="2302"/>
        <v>7.0005331560217243</v>
      </c>
      <c r="HH61" s="49">
        <f t="shared" si="2302"/>
        <v>4.6760639830590742</v>
      </c>
      <c r="HI61" s="49">
        <f t="shared" si="2302"/>
        <v>8.1074861933671034</v>
      </c>
      <c r="HJ61" s="49">
        <f t="shared" si="2302"/>
        <v>5.4034902647431799</v>
      </c>
      <c r="HK61" s="49">
        <f t="shared" si="2302"/>
        <v>7.9731212553651449</v>
      </c>
      <c r="HL61" s="49">
        <f t="shared" si="2302"/>
        <v>5.3151933054847502</v>
      </c>
      <c r="HM61" s="49">
        <f t="shared" si="2302"/>
        <v>6.4777616310665858</v>
      </c>
      <c r="HN61" s="49">
        <f t="shared" si="2302"/>
        <v>4.3159773656773766</v>
      </c>
      <c r="HO61" s="49">
        <f t="shared" si="2302"/>
        <v>5.6274664776536349</v>
      </c>
      <c r="HP61" s="49">
        <f t="shared" si="2302"/>
        <v>3.7466482017552014</v>
      </c>
      <c r="HQ61" s="49">
        <f t="shared" si="2302"/>
        <v>10.191940851018414</v>
      </c>
      <c r="HR61" s="49">
        <f t="shared" si="2302"/>
        <v>6.7827389569803547</v>
      </c>
      <c r="HS61" s="49">
        <f t="shared" si="2303"/>
        <v>0</v>
      </c>
      <c r="HT61" s="49">
        <f t="shared" si="2304"/>
        <v>0</v>
      </c>
      <c r="HU61" s="49">
        <f t="shared" si="2305"/>
        <v>0</v>
      </c>
      <c r="HV61" s="49">
        <f t="shared" si="2306"/>
        <v>0</v>
      </c>
      <c r="HY61" s="343" t="s">
        <v>621</v>
      </c>
      <c r="HZ61" s="338">
        <f t="shared" si="2307"/>
        <v>7.2565027464674319E-3</v>
      </c>
      <c r="IA61" s="338">
        <f t="shared" si="2307"/>
        <v>4.8470409866622896E-3</v>
      </c>
      <c r="IB61" s="338">
        <f t="shared" si="2307"/>
        <v>8.4039307461188182E-3</v>
      </c>
      <c r="IC61" s="338">
        <f t="shared" si="2307"/>
        <v>5.6010651007189138E-3</v>
      </c>
      <c r="ID61" s="338">
        <f t="shared" si="2307"/>
        <v>8.2646528482916443E-3</v>
      </c>
      <c r="IE61" s="338">
        <f t="shared" si="2307"/>
        <v>5.5095396250039149E-3</v>
      </c>
      <c r="IF61" s="338">
        <f t="shared" si="2307"/>
        <v>6.7146164469433969E-3</v>
      </c>
      <c r="IG61" s="338">
        <f t="shared" si="2307"/>
        <v>4.4737880543840054E-3</v>
      </c>
      <c r="IH61" s="338">
        <f t="shared" si="2307"/>
        <v>5.8332308469421223E-3</v>
      </c>
      <c r="II61" s="338">
        <f t="shared" si="2307"/>
        <v>3.88364176844126E-3</v>
      </c>
      <c r="IJ61" s="338">
        <f t="shared" si="2307"/>
        <v>1.0564602028008626E-2</v>
      </c>
      <c r="IK61" s="338">
        <f t="shared" si="2307"/>
        <v>7.0307450551194634E-3</v>
      </c>
      <c r="IL61" s="338">
        <f t="shared" si="2308"/>
        <v>0</v>
      </c>
      <c r="IM61" s="338">
        <f t="shared" si="2309"/>
        <v>0</v>
      </c>
      <c r="IN61" s="338">
        <f t="shared" si="2310"/>
        <v>0</v>
      </c>
      <c r="IO61" s="338">
        <f t="shared" si="2311"/>
        <v>0</v>
      </c>
      <c r="IR61" s="343" t="s">
        <v>621</v>
      </c>
      <c r="IS61" s="338">
        <f t="shared" si="2312"/>
        <v>1.1336563961104662</v>
      </c>
      <c r="IT61" s="338">
        <f t="shared" si="2312"/>
        <v>0.75723515979019973</v>
      </c>
      <c r="IU61" s="338">
        <f t="shared" si="2312"/>
        <v>1.3129147987224232</v>
      </c>
      <c r="IV61" s="338">
        <f t="shared" si="2312"/>
        <v>0.87503353864948574</v>
      </c>
      <c r="IW61" s="338">
        <f t="shared" si="2312"/>
        <v>1.2911559315070198</v>
      </c>
      <c r="IX61" s="338">
        <f t="shared" si="2312"/>
        <v>0.86073485447936349</v>
      </c>
      <c r="IY61" s="338">
        <f t="shared" si="2312"/>
        <v>1.0489995178754086</v>
      </c>
      <c r="IZ61" s="338">
        <f t="shared" si="2312"/>
        <v>0.69892324441881037</v>
      </c>
      <c r="JA61" s="338">
        <f t="shared" si="2312"/>
        <v>0.91130392844460117</v>
      </c>
      <c r="JB61" s="338">
        <f t="shared" si="2312"/>
        <v>0.60672688825736343</v>
      </c>
      <c r="JC61" s="338">
        <f t="shared" si="2312"/>
        <v>1.6504684253367055</v>
      </c>
      <c r="JD61" s="338">
        <f t="shared" si="2312"/>
        <v>1.098387112860715</v>
      </c>
      <c r="JE61" s="338">
        <f t="shared" si="2313"/>
        <v>0</v>
      </c>
      <c r="JF61" s="338">
        <f t="shared" si="2314"/>
        <v>0</v>
      </c>
      <c r="JG61" s="338">
        <f t="shared" si="2315"/>
        <v>0</v>
      </c>
      <c r="JH61" s="338">
        <f t="shared" si="2316"/>
        <v>0</v>
      </c>
      <c r="JK61" s="343" t="s">
        <v>621</v>
      </c>
      <c r="JL61" s="338">
        <f t="shared" si="2317"/>
        <v>0.21153434448224567</v>
      </c>
      <c r="JM61" s="338">
        <f t="shared" si="2317"/>
        <v>0.14129611379136084</v>
      </c>
      <c r="JN61" s="338">
        <f t="shared" si="2317"/>
        <v>0.24498302330552457</v>
      </c>
      <c r="JO61" s="338">
        <f t="shared" si="2317"/>
        <v>0.16327667416094407</v>
      </c>
      <c r="JP61" s="338">
        <f t="shared" si="2317"/>
        <v>0.24092293267411413</v>
      </c>
      <c r="JQ61" s="338">
        <f t="shared" si="2317"/>
        <v>0.16060861460316012</v>
      </c>
      <c r="JR61" s="338">
        <f t="shared" si="2317"/>
        <v>0.19573781450648992</v>
      </c>
      <c r="JS61" s="338">
        <f t="shared" si="2317"/>
        <v>0.13041541586921099</v>
      </c>
      <c r="JT61" s="338">
        <f t="shared" si="2317"/>
        <v>0.17004453888234389</v>
      </c>
      <c r="JU61" s="338">
        <f t="shared" si="2317"/>
        <v>0.11321205881042636</v>
      </c>
      <c r="JV61" s="338">
        <f t="shared" si="2317"/>
        <v>0.30796876164603237</v>
      </c>
      <c r="JW61" s="338">
        <f t="shared" si="2317"/>
        <v>0.20495328099758486</v>
      </c>
      <c r="JX61" s="338">
        <f t="shared" si="2318"/>
        <v>0</v>
      </c>
      <c r="JY61" s="338">
        <f t="shared" si="2319"/>
        <v>0</v>
      </c>
      <c r="JZ61" s="338">
        <f t="shared" si="2320"/>
        <v>0</v>
      </c>
      <c r="KA61" s="338">
        <f t="shared" si="2321"/>
        <v>0</v>
      </c>
      <c r="KD61" s="343" t="s">
        <v>621</v>
      </c>
      <c r="KE61" s="338">
        <f t="shared" si="2322"/>
        <v>9.8101521251659524E-2</v>
      </c>
      <c r="KF61" s="338">
        <f t="shared" si="2322"/>
        <v>6.5527721958376778E-2</v>
      </c>
      <c r="KG61" s="338">
        <f t="shared" si="2322"/>
        <v>0.11361373646405609</v>
      </c>
      <c r="KH61" s="338">
        <f t="shared" si="2322"/>
        <v>7.5721463383665949E-2</v>
      </c>
      <c r="KI61" s="338">
        <f t="shared" si="2322"/>
        <v>0.1117308220449538</v>
      </c>
      <c r="KJ61" s="338">
        <f t="shared" si="2322"/>
        <v>7.4484119622541589E-2</v>
      </c>
      <c r="KK61" s="338">
        <f t="shared" si="2322"/>
        <v>9.0775696100608733E-2</v>
      </c>
      <c r="KL61" s="338">
        <f t="shared" si="2322"/>
        <v>6.0481671299060513E-2</v>
      </c>
      <c r="KM61" s="338">
        <f t="shared" si="2322"/>
        <v>7.8860139641745097E-2</v>
      </c>
      <c r="KN61" s="338">
        <f t="shared" si="2322"/>
        <v>5.2503413667974529E-2</v>
      </c>
      <c r="KO61" s="338">
        <f t="shared" si="2322"/>
        <v>0.14282410777981852</v>
      </c>
      <c r="KP61" s="338">
        <f t="shared" si="2322"/>
        <v>9.5049476247434872E-2</v>
      </c>
      <c r="KQ61" s="338">
        <f t="shared" si="2323"/>
        <v>0</v>
      </c>
      <c r="KR61" s="338">
        <f t="shared" si="2324"/>
        <v>0</v>
      </c>
      <c r="KS61" s="338">
        <f t="shared" si="2325"/>
        <v>0</v>
      </c>
      <c r="KT61" s="338">
        <f t="shared" si="2326"/>
        <v>0</v>
      </c>
      <c r="KW61" s="343" t="s">
        <v>621</v>
      </c>
      <c r="KX61" s="338">
        <f t="shared" si="2327"/>
        <v>0.471232625812399</v>
      </c>
      <c r="KY61" s="338">
        <f t="shared" si="2327"/>
        <v>0.31476372728958396</v>
      </c>
      <c r="KZ61" s="338">
        <f t="shared" si="2327"/>
        <v>0.54574586284929172</v>
      </c>
      <c r="LA61" s="338">
        <f t="shared" si="2327"/>
        <v>0.36372956877097057</v>
      </c>
      <c r="LB61" s="338">
        <f t="shared" si="2327"/>
        <v>0.53670124565505428</v>
      </c>
      <c r="LC61" s="338">
        <f t="shared" si="2327"/>
        <v>0.35778596318618605</v>
      </c>
      <c r="LD61" s="338">
        <f t="shared" si="2327"/>
        <v>0.43604287770119132</v>
      </c>
      <c r="LE61" s="338">
        <f t="shared" si="2327"/>
        <v>0.29052492169479543</v>
      </c>
      <c r="LF61" s="338">
        <f t="shared" si="2327"/>
        <v>0.37880626315652938</v>
      </c>
      <c r="LG61" s="338">
        <f t="shared" si="2327"/>
        <v>0.25220120107419536</v>
      </c>
      <c r="LH61" s="338">
        <f t="shared" si="2327"/>
        <v>0.68605846759240163</v>
      </c>
      <c r="LI61" s="338">
        <f t="shared" si="2327"/>
        <v>0.45657206639305087</v>
      </c>
      <c r="LJ61" s="338">
        <f t="shared" si="2328"/>
        <v>0</v>
      </c>
      <c r="LK61" s="338">
        <f t="shared" si="2329"/>
        <v>0</v>
      </c>
      <c r="LL61" s="338">
        <f t="shared" si="2330"/>
        <v>0</v>
      </c>
      <c r="LM61" s="338">
        <f t="shared" si="2331"/>
        <v>0</v>
      </c>
      <c r="LP61" s="343" t="s">
        <v>621</v>
      </c>
      <c r="LQ61" s="338">
        <f t="shared" si="2332"/>
        <v>3.9085414339527433E-4</v>
      </c>
      <c r="LR61" s="338">
        <f t="shared" si="2332"/>
        <v>2.6107425560693642E-4</v>
      </c>
      <c r="LS61" s="338">
        <f t="shared" si="2332"/>
        <v>4.5265760486709979E-4</v>
      </c>
      <c r="LT61" s="338">
        <f t="shared" si="2332"/>
        <v>3.0168795885985027E-4</v>
      </c>
      <c r="LU61" s="338">
        <f t="shared" si="2332"/>
        <v>4.4515573442742613E-4</v>
      </c>
      <c r="LV61" s="338">
        <f t="shared" si="2332"/>
        <v>2.9675815828520763E-4</v>
      </c>
      <c r="LW61" s="338">
        <f t="shared" si="2332"/>
        <v>3.6166673551877232E-4</v>
      </c>
      <c r="LX61" s="338">
        <f t="shared" si="2332"/>
        <v>2.4096988023321759E-4</v>
      </c>
      <c r="LY61" s="338">
        <f t="shared" si="2332"/>
        <v>3.1419301081617613E-4</v>
      </c>
      <c r="LZ61" s="338">
        <f t="shared" si="2332"/>
        <v>2.0918306375577002E-4</v>
      </c>
      <c r="MA61" s="338">
        <f t="shared" si="2332"/>
        <v>5.6903698933752237E-4</v>
      </c>
      <c r="MB61" s="338">
        <f t="shared" si="2332"/>
        <v>3.78694245969526E-4</v>
      </c>
      <c r="MC61" s="338">
        <f t="shared" si="2333"/>
        <v>0</v>
      </c>
      <c r="MD61" s="338">
        <f t="shared" si="2334"/>
        <v>0</v>
      </c>
      <c r="ME61" s="338">
        <f t="shared" si="2335"/>
        <v>0</v>
      </c>
      <c r="MF61" s="338">
        <f t="shared" si="2336"/>
        <v>0</v>
      </c>
      <c r="MI61" s="343" t="s">
        <v>621</v>
      </c>
      <c r="MJ61" s="338">
        <f t="shared" si="2337"/>
        <v>9.2599182811369894E-3</v>
      </c>
      <c r="MK61" s="338">
        <f t="shared" si="2337"/>
        <v>6.1852389518717099E-3</v>
      </c>
      <c r="ML61" s="338">
        <f t="shared" si="2337"/>
        <v>1.0724134568443261E-2</v>
      </c>
      <c r="MM61" s="338">
        <f t="shared" si="2337"/>
        <v>7.1474382263872595E-3</v>
      </c>
      <c r="MN61" s="338">
        <f t="shared" si="2337"/>
        <v>1.0546404055921093E-2</v>
      </c>
      <c r="MO61" s="338">
        <f t="shared" si="2337"/>
        <v>7.0306438895869783E-3</v>
      </c>
      <c r="MP61" s="338">
        <f t="shared" si="2337"/>
        <v>8.5684250058532391E-3</v>
      </c>
      <c r="MQ61" s="338">
        <f t="shared" si="2337"/>
        <v>5.7089362793792016E-3</v>
      </c>
      <c r="MR61" s="338">
        <f t="shared" si="2337"/>
        <v>7.4437015797984701E-3</v>
      </c>
      <c r="MS61" s="338">
        <f t="shared" si="2337"/>
        <v>4.9558591328974994E-3</v>
      </c>
      <c r="MT61" s="338">
        <f t="shared" si="2337"/>
        <v>1.3481335964451708E-2</v>
      </c>
      <c r="MU61" s="338">
        <f t="shared" si="2337"/>
        <v>8.9718321539405208E-3</v>
      </c>
      <c r="MV61" s="338">
        <f t="shared" si="2338"/>
        <v>0</v>
      </c>
      <c r="MW61" s="338">
        <f t="shared" si="2339"/>
        <v>0</v>
      </c>
      <c r="MX61" s="338">
        <f t="shared" si="2340"/>
        <v>0</v>
      </c>
      <c r="MY61" s="338">
        <f t="shared" si="2341"/>
        <v>0</v>
      </c>
      <c r="NB61" s="343" t="s">
        <v>621</v>
      </c>
      <c r="NC61" s="338">
        <f t="shared" si="2342"/>
        <v>8.6969195493955109E-3</v>
      </c>
      <c r="ND61" s="338">
        <f t="shared" si="2342"/>
        <v>5.8091792956525634E-3</v>
      </c>
      <c r="NE61" s="338">
        <f t="shared" si="2342"/>
        <v>1.0072112166327942E-2</v>
      </c>
      <c r="NF61" s="338">
        <f t="shared" si="2342"/>
        <v>6.7128773010653028E-3</v>
      </c>
      <c r="NG61" s="338">
        <f t="shared" si="2342"/>
        <v>9.9051875864397121E-3</v>
      </c>
      <c r="NH61" s="338">
        <f t="shared" si="2342"/>
        <v>6.6031840057101821E-3</v>
      </c>
      <c r="NI61" s="338">
        <f t="shared" si="2342"/>
        <v>8.0474687441609363E-3</v>
      </c>
      <c r="NJ61" s="338">
        <f t="shared" si="2342"/>
        <v>5.3618356044811549E-3</v>
      </c>
      <c r="NK61" s="338">
        <f t="shared" si="2342"/>
        <v>6.9911279801560759E-3</v>
      </c>
      <c r="NL61" s="338">
        <f t="shared" si="2342"/>
        <v>4.6545451988216011E-3</v>
      </c>
      <c r="NM61" s="338">
        <f t="shared" si="2342"/>
        <v>1.2661676997738326E-2</v>
      </c>
      <c r="NN61" s="338">
        <f t="shared" si="2342"/>
        <v>8.4263489249626379E-3</v>
      </c>
      <c r="NO61" s="338">
        <f t="shared" si="2343"/>
        <v>0</v>
      </c>
      <c r="NP61" s="338">
        <f t="shared" si="2344"/>
        <v>0</v>
      </c>
      <c r="NQ61" s="338">
        <f t="shared" si="2345"/>
        <v>0</v>
      </c>
      <c r="NR61" s="338">
        <f t="shared" si="2346"/>
        <v>0</v>
      </c>
    </row>
    <row r="62" spans="2:382" ht="12.75" customHeight="1" x14ac:dyDescent="0.2">
      <c r="B62" s="734"/>
      <c r="C62" s="117" t="s">
        <v>622</v>
      </c>
      <c r="D62" s="193"/>
      <c r="E62" s="194"/>
      <c r="F62" s="193"/>
      <c r="G62" s="194"/>
      <c r="H62" s="193"/>
      <c r="I62" s="194"/>
      <c r="J62" s="193"/>
      <c r="K62" s="194"/>
      <c r="L62" s="193"/>
      <c r="M62" s="194"/>
      <c r="N62" s="193"/>
      <c r="O62" s="194"/>
      <c r="P62" s="136">
        <f>'Cell parameters'!P106/1000</f>
        <v>1.2913272353975573</v>
      </c>
      <c r="Q62" s="120">
        <f>'Cell parameters'!Q106/1000</f>
        <v>0.86344052334056887</v>
      </c>
      <c r="R62" s="193"/>
      <c r="S62" s="194"/>
      <c r="V62" s="117" t="s">
        <v>622</v>
      </c>
      <c r="W62" s="97">
        <f>'Ecoinvent 3.10'!M23</f>
        <v>24.978681642395721</v>
      </c>
      <c r="X62" s="97">
        <f>'Ecoinvent 3.10'!N23</f>
        <v>5.798</v>
      </c>
      <c r="Y62" s="97">
        <f>'Ecoinvent 3.10'!O23</f>
        <v>59.481000000000002</v>
      </c>
      <c r="Z62" s="97">
        <f>'Ecoinvent 3.10'!P23</f>
        <v>2.6009999999999998E-2</v>
      </c>
      <c r="AA62" s="97">
        <f>'Ecoinvent 3.10'!Q23</f>
        <v>7.3672000000000004</v>
      </c>
      <c r="AB62" s="97">
        <f>'Ecoinvent 3.10'!R23</f>
        <v>5.3903E-2</v>
      </c>
      <c r="AC62" s="97">
        <f>'Ecoinvent 3.10'!S23</f>
        <v>1.908E-3</v>
      </c>
      <c r="AD62" s="97">
        <f>'Ecoinvent 3.10'!T23</f>
        <v>0.51175999999999999</v>
      </c>
      <c r="AE62" s="97">
        <f>'Ecoinvent 3.10'!U23</f>
        <v>1.1276999999999999</v>
      </c>
      <c r="AF62" s="97">
        <f>'Ecoinvent 3.10'!V23</f>
        <v>10.42</v>
      </c>
      <c r="AG62" s="329">
        <f>'Ecoinvent 3.10'!W23</f>
        <v>1.0801E-2</v>
      </c>
      <c r="AH62" s="329">
        <f>'Ecoinvent 3.10'!X23</f>
        <v>1.6874</v>
      </c>
      <c r="AI62" s="329">
        <f>'Ecoinvent 3.10'!Y23</f>
        <v>0.31485999999999997</v>
      </c>
      <c r="AJ62" s="329">
        <f>'Ecoinvent 3.10'!Z23</f>
        <v>0.14602000000000001</v>
      </c>
      <c r="AK62" s="329">
        <f>'Ecoinvent 3.10'!AA23</f>
        <v>0.70140999999999998</v>
      </c>
      <c r="AL62" s="329">
        <f>'Ecoinvent 3.10'!AB23</f>
        <v>5.8177000000000001E-4</v>
      </c>
      <c r="AM62" s="329">
        <f>'Ecoinvent 3.10'!AC23</f>
        <v>1.3783E-2</v>
      </c>
      <c r="AN62" s="329">
        <f>'Ecoinvent 3.10'!AD23</f>
        <v>1.2945E-2</v>
      </c>
      <c r="AO62" s="109"/>
      <c r="AQ62" s="117" t="s">
        <v>622</v>
      </c>
      <c r="AR62" s="49">
        <f t="shared" ref="AR62:AR63" si="2347">D62*$W62</f>
        <v>0</v>
      </c>
      <c r="AS62" s="50">
        <f t="shared" ref="AS62:AS63" si="2348">E62*$W62</f>
        <v>0</v>
      </c>
      <c r="AT62" s="49">
        <f t="shared" ref="AT62:AT63" si="2349">F62*$W62</f>
        <v>0</v>
      </c>
      <c r="AU62" s="50">
        <f t="shared" ref="AU62:AU63" si="2350">G62*$W62</f>
        <v>0</v>
      </c>
      <c r="AV62" s="49">
        <f t="shared" ref="AV62:AV63" si="2351">H62*$W62</f>
        <v>0</v>
      </c>
      <c r="AW62" s="50">
        <f t="shared" ref="AW62:AW63" si="2352">I62*$W62</f>
        <v>0</v>
      </c>
      <c r="AX62" s="49">
        <f t="shared" ref="AX62:AX63" si="2353">J62*$W62</f>
        <v>0</v>
      </c>
      <c r="AY62" s="50">
        <f t="shared" ref="AY62:AY63" si="2354">K62*$W62</f>
        <v>0</v>
      </c>
      <c r="AZ62" s="49">
        <f t="shared" ref="AZ62:AZ63" si="2355">L62*$W62</f>
        <v>0</v>
      </c>
      <c r="BA62" s="50">
        <f t="shared" ref="BA62:BA63" si="2356">M62*$W62</f>
        <v>0</v>
      </c>
      <c r="BB62" s="49">
        <f t="shared" ref="BB62:BB63" si="2357">N62*$W62</f>
        <v>0</v>
      </c>
      <c r="BC62" s="50">
        <f t="shared" ref="BC62:BC63" si="2358">O62*$W62</f>
        <v>0</v>
      </c>
      <c r="BD62" s="49">
        <f t="shared" ref="BD62:BD63" si="2359">P62*$W62</f>
        <v>32.255651909150586</v>
      </c>
      <c r="BE62" s="50">
        <f t="shared" ref="BE62:BE63" si="2360">Q62*$W62</f>
        <v>21.56760594966762</v>
      </c>
      <c r="BF62" s="49">
        <f t="shared" ref="BF62:BF63" si="2361">R62*$W62</f>
        <v>0</v>
      </c>
      <c r="BG62" s="50">
        <f t="shared" ref="BG62:BG63" si="2362">S62*$W62</f>
        <v>0</v>
      </c>
      <c r="BI62" s="156"/>
      <c r="BJ62" s="117" t="s">
        <v>622</v>
      </c>
      <c r="BK62" s="49">
        <f t="shared" ref="BK62:BK63" si="2363">D62*$X62</f>
        <v>0</v>
      </c>
      <c r="BL62" s="49">
        <f t="shared" ref="BL62:BL63" si="2364">E62*$X62</f>
        <v>0</v>
      </c>
      <c r="BM62" s="49">
        <f t="shared" ref="BM62:BM63" si="2365">F62*$X62</f>
        <v>0</v>
      </c>
      <c r="BN62" s="49">
        <f t="shared" ref="BN62:BN63" si="2366">G62*$X62</f>
        <v>0</v>
      </c>
      <c r="BO62" s="49">
        <f t="shared" ref="BO62:BO63" si="2367">H62*$X62</f>
        <v>0</v>
      </c>
      <c r="BP62" s="49">
        <f t="shared" ref="BP62:BP63" si="2368">I62*$X62</f>
        <v>0</v>
      </c>
      <c r="BQ62" s="49">
        <f t="shared" ref="BQ62:BQ63" si="2369">J62*$X62</f>
        <v>0</v>
      </c>
      <c r="BR62" s="49">
        <f t="shared" ref="BR62:BR63" si="2370">K62*$X62</f>
        <v>0</v>
      </c>
      <c r="BS62" s="49">
        <f t="shared" ref="BS62:BS63" si="2371">L62*$X62</f>
        <v>0</v>
      </c>
      <c r="BT62" s="49">
        <f t="shared" ref="BT62:BT63" si="2372">M62*$X62</f>
        <v>0</v>
      </c>
      <c r="BU62" s="49">
        <f t="shared" ref="BU62:BU63" si="2373">N62*$X62</f>
        <v>0</v>
      </c>
      <c r="BV62" s="49">
        <f t="shared" ref="BV62:BV63" si="2374">O62*$X62</f>
        <v>0</v>
      </c>
      <c r="BW62" s="49">
        <f t="shared" ref="BW62:BW63" si="2375">P62*$X62</f>
        <v>7.4871153108350379</v>
      </c>
      <c r="BX62" s="49">
        <f t="shared" ref="BX62:BX63" si="2376">Q62*$X62</f>
        <v>5.0062281543286185</v>
      </c>
      <c r="BY62" s="49">
        <f t="shared" ref="BY62:BY63" si="2377">R62*$X62</f>
        <v>0</v>
      </c>
      <c r="BZ62" s="49">
        <f t="shared" ref="BZ62:BZ63" si="2378">S62*$X62</f>
        <v>0</v>
      </c>
      <c r="CA62" s="156"/>
      <c r="CB62" s="156"/>
      <c r="CC62" s="117" t="s">
        <v>622</v>
      </c>
      <c r="CD62" s="49">
        <f t="shared" ref="CD62:CD63" si="2379">D62*$Y62</f>
        <v>0</v>
      </c>
      <c r="CE62" s="49">
        <f t="shared" ref="CE62:CE63" si="2380">E62*$Y62</f>
        <v>0</v>
      </c>
      <c r="CF62" s="49">
        <f t="shared" ref="CF62:CF63" si="2381">F62*$Y62</f>
        <v>0</v>
      </c>
      <c r="CG62" s="49">
        <f t="shared" ref="CG62:CG63" si="2382">G62*$Y62</f>
        <v>0</v>
      </c>
      <c r="CH62" s="49">
        <f t="shared" ref="CH62:CH63" si="2383">H62*$Y62</f>
        <v>0</v>
      </c>
      <c r="CI62" s="49">
        <f t="shared" ref="CI62:CI63" si="2384">I62*$Y62</f>
        <v>0</v>
      </c>
      <c r="CJ62" s="49">
        <f t="shared" ref="CJ62:CJ63" si="2385">J62*$Y62</f>
        <v>0</v>
      </c>
      <c r="CK62" s="49">
        <f t="shared" ref="CK62:CK63" si="2386">K62*$Y62</f>
        <v>0</v>
      </c>
      <c r="CL62" s="49">
        <f t="shared" ref="CL62:CL63" si="2387">L62*$Y62</f>
        <v>0</v>
      </c>
      <c r="CM62" s="49">
        <f t="shared" ref="CM62:CM63" si="2388">M62*$Y62</f>
        <v>0</v>
      </c>
      <c r="CN62" s="49">
        <f t="shared" ref="CN62:CN63" si="2389">N62*$Y62</f>
        <v>0</v>
      </c>
      <c r="CO62" s="49">
        <f t="shared" ref="CO62:CO63" si="2390">O62*$Y62</f>
        <v>0</v>
      </c>
      <c r="CP62" s="49">
        <f t="shared" ref="CP62:CP63" si="2391">P62*$Y62</f>
        <v>76.80943528868211</v>
      </c>
      <c r="CQ62" s="49">
        <f t="shared" ref="CQ62:CQ63" si="2392">Q62*$Y62</f>
        <v>51.358305768820379</v>
      </c>
      <c r="CR62" s="49">
        <f t="shared" ref="CR62:CR63" si="2393">R62*$Y62</f>
        <v>0</v>
      </c>
      <c r="CS62" s="49">
        <f t="shared" ref="CS62:CS63" si="2394">S62*$Y62</f>
        <v>0</v>
      </c>
      <c r="CV62" s="117" t="s">
        <v>622</v>
      </c>
      <c r="CW62" s="49">
        <f t="shared" ref="CW62:CW63" si="2395">D62*$Z62</f>
        <v>0</v>
      </c>
      <c r="CX62" s="49">
        <f t="shared" ref="CX62:CX63" si="2396">E62*$Z62</f>
        <v>0</v>
      </c>
      <c r="CY62" s="49">
        <f t="shared" ref="CY62:CY63" si="2397">F62*$Z62</f>
        <v>0</v>
      </c>
      <c r="CZ62" s="49">
        <f t="shared" ref="CZ62:CZ63" si="2398">G62*$Z62</f>
        <v>0</v>
      </c>
      <c r="DA62" s="49">
        <f t="shared" ref="DA62:DA63" si="2399">H62*$Z62</f>
        <v>0</v>
      </c>
      <c r="DB62" s="49">
        <f t="shared" ref="DB62:DB63" si="2400">I62*$Z62</f>
        <v>0</v>
      </c>
      <c r="DC62" s="49">
        <f t="shared" ref="DC62:DC63" si="2401">J62*$Z62</f>
        <v>0</v>
      </c>
      <c r="DD62" s="49">
        <f t="shared" ref="DD62:DD63" si="2402">K62*$Z62</f>
        <v>0</v>
      </c>
      <c r="DE62" s="49">
        <f t="shared" ref="DE62:DE63" si="2403">L62*$Z62</f>
        <v>0</v>
      </c>
      <c r="DF62" s="49">
        <f t="shared" ref="DF62:DF63" si="2404">M62*$Z62</f>
        <v>0</v>
      </c>
      <c r="DG62" s="49">
        <f t="shared" ref="DG62:DG63" si="2405">N62*$Z62</f>
        <v>0</v>
      </c>
      <c r="DH62" s="49">
        <f t="shared" ref="DH62:DH63" si="2406">O62*$Z62</f>
        <v>0</v>
      </c>
      <c r="DI62" s="49">
        <f t="shared" ref="DI62:DI63" si="2407">P62*$Z62</f>
        <v>3.3587421392690463E-2</v>
      </c>
      <c r="DJ62" s="49">
        <f t="shared" ref="DJ62:DJ63" si="2408">Q62*$Z62</f>
        <v>2.2458088012088196E-2</v>
      </c>
      <c r="DK62" s="49">
        <f t="shared" ref="DK62:DK63" si="2409">R62*$Z62</f>
        <v>0</v>
      </c>
      <c r="DL62" s="49">
        <f t="shared" ref="DL62:DL63" si="2410">S62*$Z62</f>
        <v>0</v>
      </c>
      <c r="DO62" s="117" t="s">
        <v>622</v>
      </c>
      <c r="DP62" s="49">
        <f t="shared" ref="DP62:DP63" si="2411">D62*$AA62</f>
        <v>0</v>
      </c>
      <c r="DQ62" s="49">
        <f t="shared" ref="DQ62:DQ63" si="2412">E62*$AA62</f>
        <v>0</v>
      </c>
      <c r="DR62" s="49">
        <f t="shared" ref="DR62:DR63" si="2413">F62*$AA62</f>
        <v>0</v>
      </c>
      <c r="DS62" s="49">
        <f t="shared" ref="DS62:DS63" si="2414">G62*$AA62</f>
        <v>0</v>
      </c>
      <c r="DT62" s="49">
        <f t="shared" ref="DT62:DT63" si="2415">H62*$AA62</f>
        <v>0</v>
      </c>
      <c r="DU62" s="49">
        <f t="shared" ref="DU62:DU63" si="2416">I62*$AA62</f>
        <v>0</v>
      </c>
      <c r="DV62" s="49">
        <f t="shared" ref="DV62:DV63" si="2417">J62*$AA62</f>
        <v>0</v>
      </c>
      <c r="DW62" s="49">
        <f t="shared" ref="DW62:DW63" si="2418">K62*$AA62</f>
        <v>0</v>
      </c>
      <c r="DX62" s="49">
        <f t="shared" ref="DX62:DX63" si="2419">L62*$AA62</f>
        <v>0</v>
      </c>
      <c r="DY62" s="49">
        <f t="shared" ref="DY62:DY63" si="2420">M62*$AA62</f>
        <v>0</v>
      </c>
      <c r="DZ62" s="49">
        <f t="shared" ref="DZ62:DZ63" si="2421">N62*$AA62</f>
        <v>0</v>
      </c>
      <c r="EA62" s="49">
        <f t="shared" ref="EA62:EA63" si="2422">O62*$AA62</f>
        <v>0</v>
      </c>
      <c r="EB62" s="49">
        <f t="shared" ref="EB62:EB63" si="2423">P62*$AA62</f>
        <v>9.5134660086208847</v>
      </c>
      <c r="EC62" s="49">
        <f t="shared" ref="EC62:EC63" si="2424">Q62*$AA62</f>
        <v>6.3611390235546397</v>
      </c>
      <c r="ED62" s="49">
        <f t="shared" ref="ED62:ED63" si="2425">R62*$AA62</f>
        <v>0</v>
      </c>
      <c r="EE62" s="49">
        <f t="shared" ref="EE62:EE63" si="2426">S62*$AA62</f>
        <v>0</v>
      </c>
      <c r="EH62" s="117" t="s">
        <v>622</v>
      </c>
      <c r="EI62" s="49">
        <f t="shared" ref="EI62:EI63" si="2427">D62*$AB62</f>
        <v>0</v>
      </c>
      <c r="EJ62" s="49">
        <f t="shared" ref="EJ62:EJ63" si="2428">E62*$AB62</f>
        <v>0</v>
      </c>
      <c r="EK62" s="49">
        <f t="shared" ref="EK62:EK63" si="2429">F62*$AB62</f>
        <v>0</v>
      </c>
      <c r="EL62" s="49">
        <f t="shared" ref="EL62:EL63" si="2430">G62*$AB62</f>
        <v>0</v>
      </c>
      <c r="EM62" s="49">
        <f t="shared" ref="EM62:EM63" si="2431">H62*$AB62</f>
        <v>0</v>
      </c>
      <c r="EN62" s="49">
        <f t="shared" ref="EN62:EN63" si="2432">I62*$AB62</f>
        <v>0</v>
      </c>
      <c r="EO62" s="49">
        <f t="shared" ref="EO62:EO63" si="2433">J62*$AB62</f>
        <v>0</v>
      </c>
      <c r="EP62" s="49">
        <f t="shared" ref="EP62:EP63" si="2434">K62*$AB62</f>
        <v>0</v>
      </c>
      <c r="EQ62" s="49">
        <f t="shared" ref="EQ62:EQ63" si="2435">L62*$AB62</f>
        <v>0</v>
      </c>
      <c r="ER62" s="49">
        <f t="shared" ref="ER62:ER63" si="2436">M62*$AB62</f>
        <v>0</v>
      </c>
      <c r="ES62" s="49">
        <f t="shared" ref="ES62:ES63" si="2437">N62*$AB62</f>
        <v>0</v>
      </c>
      <c r="ET62" s="49">
        <f t="shared" ref="ET62:ET63" si="2438">O62*$AB62</f>
        <v>0</v>
      </c>
      <c r="EU62" s="49">
        <f t="shared" ref="EU62:EU63" si="2439">P62*$AB62</f>
        <v>6.9606411969634532E-2</v>
      </c>
      <c r="EV62" s="49">
        <f t="shared" ref="EV62:EV63" si="2440">Q62*$AB62</f>
        <v>4.6542034529626686E-2</v>
      </c>
      <c r="EW62" s="49">
        <f t="shared" ref="EW62:EW63" si="2441">R62*$AB62</f>
        <v>0</v>
      </c>
      <c r="EX62" s="49">
        <f t="shared" ref="EX62:EX63" si="2442">S62*$AB62</f>
        <v>0</v>
      </c>
      <c r="FA62" s="117" t="s">
        <v>622</v>
      </c>
      <c r="FB62" s="53">
        <f t="shared" ref="FB62:FB63" si="2443">D62*$AC62</f>
        <v>0</v>
      </c>
      <c r="FC62" s="53">
        <f t="shared" ref="FC62:FC63" si="2444">E62*$AC62</f>
        <v>0</v>
      </c>
      <c r="FD62" s="53">
        <f t="shared" ref="FD62:FD63" si="2445">F62*$AC62</f>
        <v>0</v>
      </c>
      <c r="FE62" s="53">
        <f t="shared" ref="FE62:FE63" si="2446">G62*$AC62</f>
        <v>0</v>
      </c>
      <c r="FF62" s="53">
        <f t="shared" ref="FF62:FF63" si="2447">H62*$AC62</f>
        <v>0</v>
      </c>
      <c r="FG62" s="53">
        <f t="shared" ref="FG62:FG63" si="2448">I62*$AC62</f>
        <v>0</v>
      </c>
      <c r="FH62" s="53">
        <f t="shared" ref="FH62:FH63" si="2449">J62*$AC62</f>
        <v>0</v>
      </c>
      <c r="FI62" s="53">
        <f t="shared" ref="FI62:FI63" si="2450">K62*$AC62</f>
        <v>0</v>
      </c>
      <c r="FJ62" s="53">
        <f t="shared" ref="FJ62:FJ63" si="2451">L62*$AC62</f>
        <v>0</v>
      </c>
      <c r="FK62" s="53">
        <f t="shared" ref="FK62:FK63" si="2452">M62*$AC62</f>
        <v>0</v>
      </c>
      <c r="FL62" s="53">
        <f t="shared" ref="FL62:FL63" si="2453">N62*$AC62</f>
        <v>0</v>
      </c>
      <c r="FM62" s="53">
        <f t="shared" ref="FM62:FM63" si="2454">O62*$AC62</f>
        <v>0</v>
      </c>
      <c r="FN62" s="53">
        <f t="shared" ref="FN62:FN63" si="2455">P62*$AC62</f>
        <v>2.4638523651385395E-3</v>
      </c>
      <c r="FO62" s="53">
        <f t="shared" ref="FO62:FO63" si="2456">Q62*$AC62</f>
        <v>1.6474445185338054E-3</v>
      </c>
      <c r="FP62" s="53">
        <f t="shared" ref="FP62:FP63" si="2457">R62*$AC62</f>
        <v>0</v>
      </c>
      <c r="FQ62" s="53">
        <f t="shared" ref="FQ62:FQ63" si="2458">S62*$AC62</f>
        <v>0</v>
      </c>
      <c r="FT62" s="117" t="s">
        <v>622</v>
      </c>
      <c r="FU62" s="49">
        <f t="shared" ref="FU62:FU63" si="2459">D62*$AD62</f>
        <v>0</v>
      </c>
      <c r="FV62" s="49">
        <f t="shared" ref="FV62:FV63" si="2460">E62*$AD62</f>
        <v>0</v>
      </c>
      <c r="FW62" s="49">
        <f t="shared" ref="FW62:FW63" si="2461">F62*$AD62</f>
        <v>0</v>
      </c>
      <c r="FX62" s="49">
        <f t="shared" ref="FX62:FX63" si="2462">G62*$AD62</f>
        <v>0</v>
      </c>
      <c r="FY62" s="49">
        <f t="shared" ref="FY62:FY63" si="2463">H62*$AD62</f>
        <v>0</v>
      </c>
      <c r="FZ62" s="49">
        <f t="shared" ref="FZ62:FZ63" si="2464">I62*$AD62</f>
        <v>0</v>
      </c>
      <c r="GA62" s="49">
        <f t="shared" ref="GA62:GA63" si="2465">J62*$AD62</f>
        <v>0</v>
      </c>
      <c r="GB62" s="49">
        <f t="shared" ref="GB62:GB63" si="2466">K62*$AD62</f>
        <v>0</v>
      </c>
      <c r="GC62" s="49">
        <f t="shared" ref="GC62:GC63" si="2467">L62*$AD62</f>
        <v>0</v>
      </c>
      <c r="GD62" s="49">
        <f t="shared" ref="GD62:GD63" si="2468">M62*$AD62</f>
        <v>0</v>
      </c>
      <c r="GE62" s="49">
        <f t="shared" ref="GE62:GE63" si="2469">N62*$AD62</f>
        <v>0</v>
      </c>
      <c r="GF62" s="49">
        <f t="shared" ref="GF62:GF63" si="2470">O62*$AD62</f>
        <v>0</v>
      </c>
      <c r="GG62" s="49">
        <f t="shared" ref="GG62:GG63" si="2471">P62*$AD62</f>
        <v>0.66084962598705388</v>
      </c>
      <c r="GH62" s="49">
        <f t="shared" ref="GH62:GH63" si="2472">Q62*$AD62</f>
        <v>0.44187432222476952</v>
      </c>
      <c r="GI62" s="49">
        <f t="shared" ref="GI62:GI63" si="2473">R62*$AD62</f>
        <v>0</v>
      </c>
      <c r="GJ62" s="49">
        <f t="shared" ref="GJ62:GJ63" si="2474">S62*$AD62</f>
        <v>0</v>
      </c>
      <c r="GM62" s="117" t="s">
        <v>622</v>
      </c>
      <c r="GN62" s="49">
        <f t="shared" ref="GN62:GN63" si="2475">D62*$AE62</f>
        <v>0</v>
      </c>
      <c r="GO62" s="49">
        <f t="shared" ref="GO62:GO63" si="2476">E62*$AE62</f>
        <v>0</v>
      </c>
      <c r="GP62" s="49">
        <f t="shared" ref="GP62:GP63" si="2477">F62*$AE62</f>
        <v>0</v>
      </c>
      <c r="GQ62" s="49">
        <f t="shared" ref="GQ62:GQ63" si="2478">G62*$AE62</f>
        <v>0</v>
      </c>
      <c r="GR62" s="49">
        <f t="shared" ref="GR62:GR63" si="2479">H62*$AE62</f>
        <v>0</v>
      </c>
      <c r="GS62" s="49">
        <f t="shared" ref="GS62:GS63" si="2480">I62*$AE62</f>
        <v>0</v>
      </c>
      <c r="GT62" s="49">
        <f t="shared" ref="GT62:GT63" si="2481">J62*$AE62</f>
        <v>0</v>
      </c>
      <c r="GU62" s="49">
        <f t="shared" ref="GU62:GU63" si="2482">K62*$AE62</f>
        <v>0</v>
      </c>
      <c r="GV62" s="49">
        <f t="shared" ref="GV62:GV63" si="2483">L62*$AE62</f>
        <v>0</v>
      </c>
      <c r="GW62" s="49">
        <f t="shared" ref="GW62:GW63" si="2484">M62*$AE62</f>
        <v>0</v>
      </c>
      <c r="GX62" s="49">
        <f t="shared" ref="GX62:GX63" si="2485">N62*$AE62</f>
        <v>0</v>
      </c>
      <c r="GY62" s="49">
        <f t="shared" ref="GY62:GY63" si="2486">O62*$AE62</f>
        <v>0</v>
      </c>
      <c r="GZ62" s="49">
        <f t="shared" ref="GZ62:GZ63" si="2487">P62*$AE62</f>
        <v>1.4562297233578254</v>
      </c>
      <c r="HA62" s="49">
        <f t="shared" ref="HA62:HA63" si="2488">Q62*$AE62</f>
        <v>0.9737018781711595</v>
      </c>
      <c r="HB62" s="49">
        <f t="shared" ref="HB62:HB63" si="2489">R62*$AE62</f>
        <v>0</v>
      </c>
      <c r="HC62" s="49">
        <f t="shared" ref="HC62:HC63" si="2490">S62*$AE62</f>
        <v>0</v>
      </c>
      <c r="HF62" s="117" t="s">
        <v>622</v>
      </c>
      <c r="HG62" s="49">
        <f t="shared" ref="HG62:HG63" si="2491">D62*$AF62</f>
        <v>0</v>
      </c>
      <c r="HH62" s="49">
        <f t="shared" ref="HH62:HH63" si="2492">E62*$AF62</f>
        <v>0</v>
      </c>
      <c r="HI62" s="49">
        <f t="shared" ref="HI62:HI63" si="2493">F62*$AF62</f>
        <v>0</v>
      </c>
      <c r="HJ62" s="49">
        <f t="shared" ref="HJ62:HJ63" si="2494">G62*$AF62</f>
        <v>0</v>
      </c>
      <c r="HK62" s="49">
        <f t="shared" ref="HK62:HK63" si="2495">H62*$AF62</f>
        <v>0</v>
      </c>
      <c r="HL62" s="49">
        <f t="shared" ref="HL62:HL63" si="2496">I62*$AF62</f>
        <v>0</v>
      </c>
      <c r="HM62" s="49">
        <f t="shared" ref="HM62:HM63" si="2497">J62*$AF62</f>
        <v>0</v>
      </c>
      <c r="HN62" s="49">
        <f t="shared" ref="HN62:HN63" si="2498">K62*$AF62</f>
        <v>0</v>
      </c>
      <c r="HO62" s="49">
        <f t="shared" ref="HO62:HO63" si="2499">L62*$AF62</f>
        <v>0</v>
      </c>
      <c r="HP62" s="49">
        <f t="shared" ref="HP62:HP63" si="2500">M62*$AF62</f>
        <v>0</v>
      </c>
      <c r="HQ62" s="49">
        <f t="shared" ref="HQ62:HQ63" si="2501">N62*$AF62</f>
        <v>0</v>
      </c>
      <c r="HR62" s="49">
        <f t="shared" ref="HR62:HR63" si="2502">O62*$AF62</f>
        <v>0</v>
      </c>
      <c r="HS62" s="49">
        <f t="shared" ref="HS62:HS63" si="2503">P62*$AF62</f>
        <v>13.455629792842547</v>
      </c>
      <c r="HT62" s="49">
        <f t="shared" ref="HT62:HT63" si="2504">Q62*$AF62</f>
        <v>8.9970502532087266</v>
      </c>
      <c r="HU62" s="49">
        <f t="shared" ref="HU62:HU63" si="2505">R62*$AF62</f>
        <v>0</v>
      </c>
      <c r="HV62" s="49">
        <f t="shared" ref="HV62:HV63" si="2506">S62*$AF62</f>
        <v>0</v>
      </c>
      <c r="HY62" s="343" t="s">
        <v>622</v>
      </c>
      <c r="HZ62" s="338">
        <f t="shared" ref="HZ62:HZ63" si="2507">D62*$AG62</f>
        <v>0</v>
      </c>
      <c r="IA62" s="338">
        <f t="shared" ref="IA62:IA63" si="2508">E62*$AG62</f>
        <v>0</v>
      </c>
      <c r="IB62" s="338">
        <f t="shared" ref="IB62:IB63" si="2509">F62*$AG62</f>
        <v>0</v>
      </c>
      <c r="IC62" s="338">
        <f t="shared" ref="IC62:IC63" si="2510">G62*$AG62</f>
        <v>0</v>
      </c>
      <c r="ID62" s="338">
        <f t="shared" ref="ID62:ID63" si="2511">H62*$AG62</f>
        <v>0</v>
      </c>
      <c r="IE62" s="338">
        <f t="shared" ref="IE62:IE63" si="2512">I62*$AG62</f>
        <v>0</v>
      </c>
      <c r="IF62" s="338">
        <f t="shared" ref="IF62:IF63" si="2513">J62*$AG62</f>
        <v>0</v>
      </c>
      <c r="IG62" s="338">
        <f t="shared" ref="IG62:IG63" si="2514">K62*$AG62</f>
        <v>0</v>
      </c>
      <c r="IH62" s="338">
        <f t="shared" ref="IH62:IH63" si="2515">L62*$AG62</f>
        <v>0</v>
      </c>
      <c r="II62" s="338">
        <f t="shared" ref="II62:II63" si="2516">M62*$AG62</f>
        <v>0</v>
      </c>
      <c r="IJ62" s="338">
        <f t="shared" ref="IJ62:IJ63" si="2517">N62*$AG62</f>
        <v>0</v>
      </c>
      <c r="IK62" s="338">
        <f t="shared" ref="IK62:IK63" si="2518">O62*$AG62</f>
        <v>0</v>
      </c>
      <c r="IL62" s="338">
        <f t="shared" ref="IL62:IL63" si="2519">P62*$AG62</f>
        <v>1.3947625469529016E-2</v>
      </c>
      <c r="IM62" s="338">
        <f t="shared" ref="IM62:IM63" si="2520">Q62*$AG62</f>
        <v>9.3260210926014841E-3</v>
      </c>
      <c r="IN62" s="338">
        <f t="shared" ref="IN62:IN63" si="2521">R62*$AG62</f>
        <v>0</v>
      </c>
      <c r="IO62" s="338">
        <f t="shared" ref="IO62:IO63" si="2522">S62*$AG62</f>
        <v>0</v>
      </c>
      <c r="IR62" s="343" t="s">
        <v>622</v>
      </c>
      <c r="IS62" s="338">
        <f t="shared" ref="IS62:IS63" si="2523">D62*$AH62</f>
        <v>0</v>
      </c>
      <c r="IT62" s="338">
        <f t="shared" ref="IT62:IT63" si="2524">E62*$AH62</f>
        <v>0</v>
      </c>
      <c r="IU62" s="338">
        <f t="shared" ref="IU62:IU63" si="2525">F62*$AH62</f>
        <v>0</v>
      </c>
      <c r="IV62" s="338">
        <f t="shared" ref="IV62:IV63" si="2526">G62*$AH62</f>
        <v>0</v>
      </c>
      <c r="IW62" s="338">
        <f t="shared" ref="IW62:IW63" si="2527">H62*$AH62</f>
        <v>0</v>
      </c>
      <c r="IX62" s="338">
        <f t="shared" ref="IX62:IX63" si="2528">I62*$AH62</f>
        <v>0</v>
      </c>
      <c r="IY62" s="338">
        <f t="shared" ref="IY62:IY63" si="2529">J62*$AH62</f>
        <v>0</v>
      </c>
      <c r="IZ62" s="338">
        <f t="shared" ref="IZ62:IZ63" si="2530">K62*$AH62</f>
        <v>0</v>
      </c>
      <c r="JA62" s="338">
        <f t="shared" ref="JA62:JA63" si="2531">L62*$AH62</f>
        <v>0</v>
      </c>
      <c r="JB62" s="338">
        <f t="shared" ref="JB62:JB63" si="2532">M62*$AH62</f>
        <v>0</v>
      </c>
      <c r="JC62" s="338">
        <f t="shared" ref="JC62:JC63" si="2533">N62*$AH62</f>
        <v>0</v>
      </c>
      <c r="JD62" s="338">
        <f t="shared" ref="JD62:JD63" si="2534">O62*$AH62</f>
        <v>0</v>
      </c>
      <c r="JE62" s="338">
        <f t="shared" ref="JE62:JE63" si="2535">P62*$AH62</f>
        <v>2.1789855770098381</v>
      </c>
      <c r="JF62" s="338">
        <f t="shared" ref="JF62:JF63" si="2536">Q62*$AH62</f>
        <v>1.4569695390848758</v>
      </c>
      <c r="JG62" s="338">
        <f t="shared" ref="JG62:JG63" si="2537">R62*$AH62</f>
        <v>0</v>
      </c>
      <c r="JH62" s="338">
        <f t="shared" ref="JH62:JH63" si="2538">S62*$AH62</f>
        <v>0</v>
      </c>
      <c r="JK62" s="343" t="s">
        <v>622</v>
      </c>
      <c r="JL62" s="338">
        <f t="shared" ref="JL62:JL63" si="2539">D62*$AI62</f>
        <v>0</v>
      </c>
      <c r="JM62" s="338">
        <f t="shared" ref="JM62:JM63" si="2540">E62*$AI62</f>
        <v>0</v>
      </c>
      <c r="JN62" s="338">
        <f t="shared" ref="JN62:JN63" si="2541">F62*$AI62</f>
        <v>0</v>
      </c>
      <c r="JO62" s="338">
        <f t="shared" ref="JO62:JO63" si="2542">G62*$AI62</f>
        <v>0</v>
      </c>
      <c r="JP62" s="338">
        <f t="shared" ref="JP62:JP63" si="2543">H62*$AI62</f>
        <v>0</v>
      </c>
      <c r="JQ62" s="338">
        <f t="shared" ref="JQ62:JQ63" si="2544">I62*$AI62</f>
        <v>0</v>
      </c>
      <c r="JR62" s="338">
        <f t="shared" ref="JR62:JR63" si="2545">J62*$AI62</f>
        <v>0</v>
      </c>
      <c r="JS62" s="338">
        <f t="shared" ref="JS62:JS63" si="2546">K62*$AI62</f>
        <v>0</v>
      </c>
      <c r="JT62" s="338">
        <f t="shared" ref="JT62:JT63" si="2547">L62*$AI62</f>
        <v>0</v>
      </c>
      <c r="JU62" s="338">
        <f t="shared" ref="JU62:JU63" si="2548">M62*$AI62</f>
        <v>0</v>
      </c>
      <c r="JV62" s="338">
        <f t="shared" ref="JV62:JV63" si="2549">N62*$AI62</f>
        <v>0</v>
      </c>
      <c r="JW62" s="338">
        <f t="shared" ref="JW62:JW63" si="2550">O62*$AI62</f>
        <v>0</v>
      </c>
      <c r="JX62" s="338">
        <f t="shared" ref="JX62:JX63" si="2551">P62*$AI62</f>
        <v>0.40658729333727489</v>
      </c>
      <c r="JY62" s="338">
        <f t="shared" ref="JY62:JY63" si="2552">Q62*$AI62</f>
        <v>0.27186288317901147</v>
      </c>
      <c r="JZ62" s="338">
        <f t="shared" ref="JZ62:JZ63" si="2553">R62*$AI62</f>
        <v>0</v>
      </c>
      <c r="KA62" s="338">
        <f t="shared" ref="KA62:KA63" si="2554">S62*$AI62</f>
        <v>0</v>
      </c>
      <c r="KD62" s="343" t="s">
        <v>622</v>
      </c>
      <c r="KE62" s="338">
        <f t="shared" ref="KE62:KE63" si="2555">D62*$AJ62</f>
        <v>0</v>
      </c>
      <c r="KF62" s="338">
        <f t="shared" ref="KF62:KF63" si="2556">E62*$AJ62</f>
        <v>0</v>
      </c>
      <c r="KG62" s="338">
        <f t="shared" ref="KG62:KG63" si="2557">F62*$AJ62</f>
        <v>0</v>
      </c>
      <c r="KH62" s="338">
        <f t="shared" ref="KH62:KH63" si="2558">G62*$AJ62</f>
        <v>0</v>
      </c>
      <c r="KI62" s="338">
        <f t="shared" ref="KI62:KI63" si="2559">H62*$AJ62</f>
        <v>0</v>
      </c>
      <c r="KJ62" s="338">
        <f t="shared" ref="KJ62:KJ63" si="2560">I62*$AJ62</f>
        <v>0</v>
      </c>
      <c r="KK62" s="338">
        <f t="shared" ref="KK62:KK63" si="2561">J62*$AJ62</f>
        <v>0</v>
      </c>
      <c r="KL62" s="338">
        <f t="shared" ref="KL62:KL63" si="2562">K62*$AJ62</f>
        <v>0</v>
      </c>
      <c r="KM62" s="338">
        <f t="shared" ref="KM62:KM63" si="2563">L62*$AJ62</f>
        <v>0</v>
      </c>
      <c r="KN62" s="338">
        <f t="shared" ref="KN62:KN63" si="2564">M62*$AJ62</f>
        <v>0</v>
      </c>
      <c r="KO62" s="338">
        <f t="shared" ref="KO62:KO63" si="2565">N62*$AJ62</f>
        <v>0</v>
      </c>
      <c r="KP62" s="338">
        <f t="shared" ref="KP62:KP63" si="2566">O62*$AJ62</f>
        <v>0</v>
      </c>
      <c r="KQ62" s="338">
        <f t="shared" ref="KQ62:KQ63" si="2567">P62*$AJ62</f>
        <v>0.18855960291275134</v>
      </c>
      <c r="KR62" s="338">
        <f t="shared" ref="KR62:KR63" si="2568">Q62*$AJ62</f>
        <v>0.12607958521818988</v>
      </c>
      <c r="KS62" s="338">
        <f t="shared" ref="KS62:KS63" si="2569">R62*$AJ62</f>
        <v>0</v>
      </c>
      <c r="KT62" s="338">
        <f t="shared" ref="KT62:KT63" si="2570">S62*$AJ62</f>
        <v>0</v>
      </c>
      <c r="KW62" s="343" t="s">
        <v>622</v>
      </c>
      <c r="KX62" s="338">
        <f t="shared" ref="KX62:KX63" si="2571">D62*$AK62</f>
        <v>0</v>
      </c>
      <c r="KY62" s="338">
        <f t="shared" ref="KY62:KY63" si="2572">E62*$AK62</f>
        <v>0</v>
      </c>
      <c r="KZ62" s="338">
        <f t="shared" ref="KZ62:KZ63" si="2573">F62*$AK62</f>
        <v>0</v>
      </c>
      <c r="LA62" s="338">
        <f t="shared" ref="LA62:LA63" si="2574">G62*$AK62</f>
        <v>0</v>
      </c>
      <c r="LB62" s="338">
        <f t="shared" ref="LB62:LB63" si="2575">H62*$AK62</f>
        <v>0</v>
      </c>
      <c r="LC62" s="338">
        <f t="shared" ref="LC62:LC63" si="2576">I62*$AK62</f>
        <v>0</v>
      </c>
      <c r="LD62" s="338">
        <f t="shared" ref="LD62:LD63" si="2577">J62*$AK62</f>
        <v>0</v>
      </c>
      <c r="LE62" s="338">
        <f t="shared" ref="LE62:LE63" si="2578">K62*$AK62</f>
        <v>0</v>
      </c>
      <c r="LF62" s="338">
        <f t="shared" ref="LF62:LF63" si="2579">L62*$AK62</f>
        <v>0</v>
      </c>
      <c r="LG62" s="338">
        <f t="shared" ref="LG62:LG63" si="2580">M62*$AK62</f>
        <v>0</v>
      </c>
      <c r="LH62" s="338">
        <f t="shared" ref="LH62:LH63" si="2581">N62*$AK62</f>
        <v>0</v>
      </c>
      <c r="LI62" s="338">
        <f t="shared" ref="LI62:LI63" si="2582">O62*$AK62</f>
        <v>0</v>
      </c>
      <c r="LJ62" s="338">
        <f t="shared" ref="LJ62:LJ63" si="2583">P62*$AK62</f>
        <v>0.90574983618020066</v>
      </c>
      <c r="LK62" s="338">
        <f t="shared" ref="LK62:LK63" si="2584">Q62*$AK62</f>
        <v>0.60562581747630839</v>
      </c>
      <c r="LL62" s="338">
        <f t="shared" ref="LL62:LL63" si="2585">R62*$AK62</f>
        <v>0</v>
      </c>
      <c r="LM62" s="338">
        <f t="shared" ref="LM62:LM63" si="2586">S62*$AK62</f>
        <v>0</v>
      </c>
      <c r="LP62" s="343" t="s">
        <v>622</v>
      </c>
      <c r="LQ62" s="338">
        <f t="shared" ref="LQ62:LQ63" si="2587">D62*$AL62</f>
        <v>0</v>
      </c>
      <c r="LR62" s="338">
        <f t="shared" ref="LR62:LR63" si="2588">E62*$AL62</f>
        <v>0</v>
      </c>
      <c r="LS62" s="338">
        <f t="shared" ref="LS62:LS63" si="2589">F62*$AL62</f>
        <v>0</v>
      </c>
      <c r="LT62" s="338">
        <f t="shared" ref="LT62:LT63" si="2590">G62*$AL62</f>
        <v>0</v>
      </c>
      <c r="LU62" s="338">
        <f t="shared" ref="LU62:LU63" si="2591">H62*$AL62</f>
        <v>0</v>
      </c>
      <c r="LV62" s="338">
        <f t="shared" ref="LV62:LV63" si="2592">I62*$AL62</f>
        <v>0</v>
      </c>
      <c r="LW62" s="338">
        <f t="shared" ref="LW62:LW63" si="2593">J62*$AL62</f>
        <v>0</v>
      </c>
      <c r="LX62" s="338">
        <f t="shared" ref="LX62:LX63" si="2594">K62*$AL62</f>
        <v>0</v>
      </c>
      <c r="LY62" s="338">
        <f t="shared" ref="LY62:LY63" si="2595">L62*$AL62</f>
        <v>0</v>
      </c>
      <c r="LZ62" s="338">
        <f t="shared" ref="LZ62:LZ63" si="2596">M62*$AL62</f>
        <v>0</v>
      </c>
      <c r="MA62" s="338">
        <f t="shared" ref="MA62:MA63" si="2597">N62*$AL62</f>
        <v>0</v>
      </c>
      <c r="MB62" s="338">
        <f t="shared" ref="MB62:MB63" si="2598">O62*$AL62</f>
        <v>0</v>
      </c>
      <c r="MC62" s="338">
        <f t="shared" ref="MC62:MC63" si="2599">P62*$AL62</f>
        <v>7.5125544573723699E-4</v>
      </c>
      <c r="MD62" s="338">
        <f t="shared" ref="MD62:MD63" si="2600">Q62*$AL62</f>
        <v>5.0232379326384279E-4</v>
      </c>
      <c r="ME62" s="338">
        <f t="shared" ref="ME62:ME63" si="2601">R62*$AL62</f>
        <v>0</v>
      </c>
      <c r="MF62" s="338">
        <f t="shared" ref="MF62:MF63" si="2602">S62*$AL62</f>
        <v>0</v>
      </c>
      <c r="MI62" s="343" t="s">
        <v>622</v>
      </c>
      <c r="MJ62" s="338">
        <f t="shared" ref="MJ62:MJ63" si="2603">D62*$AM62</f>
        <v>0</v>
      </c>
      <c r="MK62" s="338">
        <f t="shared" ref="MK62:MK63" si="2604">E62*$AM62</f>
        <v>0</v>
      </c>
      <c r="ML62" s="338">
        <f t="shared" ref="ML62:ML63" si="2605">F62*$AM62</f>
        <v>0</v>
      </c>
      <c r="MM62" s="338">
        <f t="shared" ref="MM62:MM63" si="2606">G62*$AM62</f>
        <v>0</v>
      </c>
      <c r="MN62" s="338">
        <f t="shared" ref="MN62:MN63" si="2607">H62*$AM62</f>
        <v>0</v>
      </c>
      <c r="MO62" s="338">
        <f t="shared" ref="MO62:MO63" si="2608">I62*$AM62</f>
        <v>0</v>
      </c>
      <c r="MP62" s="338">
        <f t="shared" ref="MP62:MP63" si="2609">J62*$AM62</f>
        <v>0</v>
      </c>
      <c r="MQ62" s="338">
        <f t="shared" ref="MQ62:MQ63" si="2610">K62*$AM62</f>
        <v>0</v>
      </c>
      <c r="MR62" s="338">
        <f t="shared" ref="MR62:MR63" si="2611">L62*$AM62</f>
        <v>0</v>
      </c>
      <c r="MS62" s="338">
        <f t="shared" ref="MS62:MS63" si="2612">M62*$AM62</f>
        <v>0</v>
      </c>
      <c r="MT62" s="338">
        <f t="shared" ref="MT62:MT63" si="2613">N62*$AM62</f>
        <v>0</v>
      </c>
      <c r="MU62" s="338">
        <f t="shared" ref="MU62:MU63" si="2614">O62*$AM62</f>
        <v>0</v>
      </c>
      <c r="MV62" s="338">
        <f t="shared" ref="MV62:MV63" si="2615">P62*$AM62</f>
        <v>1.7798363285484533E-2</v>
      </c>
      <c r="MW62" s="338">
        <f t="shared" ref="MW62:MW63" si="2616">Q62*$AM62</f>
        <v>1.190080073320306E-2</v>
      </c>
      <c r="MX62" s="338">
        <f t="shared" ref="MX62:MX63" si="2617">R62*$AM62</f>
        <v>0</v>
      </c>
      <c r="MY62" s="338">
        <f t="shared" ref="MY62:MY63" si="2618">S62*$AM62</f>
        <v>0</v>
      </c>
      <c r="NB62" s="343" t="s">
        <v>622</v>
      </c>
      <c r="NC62" s="338">
        <f t="shared" ref="NC62:NC63" si="2619">D62*$AN62</f>
        <v>0</v>
      </c>
      <c r="ND62" s="338">
        <f t="shared" ref="ND62:ND63" si="2620">E62*$AN62</f>
        <v>0</v>
      </c>
      <c r="NE62" s="338">
        <f t="shared" ref="NE62:NE63" si="2621">F62*$AN62</f>
        <v>0</v>
      </c>
      <c r="NF62" s="338">
        <f t="shared" ref="NF62:NF63" si="2622">G62*$AN62</f>
        <v>0</v>
      </c>
      <c r="NG62" s="338">
        <f t="shared" ref="NG62:NG63" si="2623">H62*$AN62</f>
        <v>0</v>
      </c>
      <c r="NH62" s="338">
        <f t="shared" ref="NH62:NH63" si="2624">I62*$AN62</f>
        <v>0</v>
      </c>
      <c r="NI62" s="338">
        <f t="shared" ref="NI62:NI63" si="2625">J62*$AN62</f>
        <v>0</v>
      </c>
      <c r="NJ62" s="338">
        <f t="shared" ref="NJ62:NJ63" si="2626">K62*$AN62</f>
        <v>0</v>
      </c>
      <c r="NK62" s="338">
        <f t="shared" ref="NK62:NK63" si="2627">L62*$AN62</f>
        <v>0</v>
      </c>
      <c r="NL62" s="338">
        <f t="shared" ref="NL62:NL63" si="2628">M62*$AN62</f>
        <v>0</v>
      </c>
      <c r="NM62" s="338">
        <f t="shared" ref="NM62:NM63" si="2629">N62*$AN62</f>
        <v>0</v>
      </c>
      <c r="NN62" s="338">
        <f t="shared" ref="NN62:NN63" si="2630">O62*$AN62</f>
        <v>0</v>
      </c>
      <c r="NO62" s="338">
        <f t="shared" ref="NO62:NO63" si="2631">P62*$AN62</f>
        <v>1.6716231062221379E-2</v>
      </c>
      <c r="NP62" s="338">
        <f t="shared" ref="NP62:NP63" si="2632">Q62*$AN62</f>
        <v>1.1177237574643664E-2</v>
      </c>
      <c r="NQ62" s="338">
        <f t="shared" ref="NQ62:NQ63" si="2633">R62*$AN62</f>
        <v>0</v>
      </c>
      <c r="NR62" s="338">
        <f t="shared" ref="NR62:NR63" si="2634">S62*$AN62</f>
        <v>0</v>
      </c>
    </row>
    <row r="63" spans="2:382" ht="12.75" customHeight="1" x14ac:dyDescent="0.2">
      <c r="B63" s="734"/>
      <c r="C63" s="117" t="s">
        <v>623</v>
      </c>
      <c r="D63" s="193"/>
      <c r="E63" s="194"/>
      <c r="F63" s="193"/>
      <c r="G63" s="194"/>
      <c r="H63" s="193"/>
      <c r="I63" s="194"/>
      <c r="J63" s="193"/>
      <c r="K63" s="194"/>
      <c r="L63" s="193"/>
      <c r="M63" s="194"/>
      <c r="N63" s="193"/>
      <c r="O63" s="194"/>
      <c r="P63" s="193"/>
      <c r="Q63" s="194"/>
      <c r="R63" s="136">
        <f>'Cell parameters'!R107/1000</f>
        <v>0.5764108690054941</v>
      </c>
      <c r="S63" s="136">
        <f>'Cell parameters'!S107/1000</f>
        <v>0.3842739126703294</v>
      </c>
      <c r="V63" s="117" t="s">
        <v>623</v>
      </c>
      <c r="W63" s="97">
        <f>'Ecoinvent 3.10'!M24</f>
        <v>31.54472452473761</v>
      </c>
      <c r="X63" s="97">
        <f>'Ecoinvent 3.10'!N24</f>
        <v>5.7489473993358686</v>
      </c>
      <c r="Y63" s="97">
        <f>'Ecoinvent 3.10'!O24</f>
        <v>55.21913928420328</v>
      </c>
      <c r="Z63" s="97">
        <f>'Ecoinvent 3.10'!P24</f>
        <v>4.7702083932300486E-2</v>
      </c>
      <c r="AA63" s="97">
        <f>'Ecoinvent 3.10'!Q24</f>
        <v>3.6140927779007304</v>
      </c>
      <c r="AB63" s="97">
        <f>'Ecoinvent 3.10'!R24</f>
        <v>0.15891144507523214</v>
      </c>
      <c r="AC63" s="97">
        <f>'Ecoinvent 3.10'!S24</f>
        <v>3.9670699619067081E-3</v>
      </c>
      <c r="AD63" s="97">
        <f>'Ecoinvent 3.10'!T24</f>
        <v>0.57401524652027491</v>
      </c>
      <c r="AE63" s="97">
        <f>'Ecoinvent 3.10'!U24</f>
        <v>4.2038068596027331</v>
      </c>
      <c r="AF63" s="97">
        <f>'Ecoinvent 3.10'!V24</f>
        <v>12.763650267982332</v>
      </c>
      <c r="AG63" s="329">
        <f>'Ecoinvent 3.10'!W24</f>
        <v>1.6244734515508657E-2</v>
      </c>
      <c r="AH63" s="329">
        <f>'Ecoinvent 3.10'!X24</f>
        <v>1.5457032856406729</v>
      </c>
      <c r="AI63" s="329">
        <f>'Ecoinvent 3.10'!Y24</f>
        <v>1.4202704987504569</v>
      </c>
      <c r="AJ63" s="329">
        <f>'Ecoinvent 3.10'!Z24</f>
        <v>0.42317993446148416</v>
      </c>
      <c r="AK63" s="329">
        <f>'Ecoinvent 3.10'!AA24</f>
        <v>0.80241576138963433</v>
      </c>
      <c r="AL63" s="329">
        <f>'Ecoinvent 3.10'!AB24</f>
        <v>1.0700978486372695E-3</v>
      </c>
      <c r="AM63" s="329">
        <f>'Ecoinvent 3.10'!AC24</f>
        <v>1.3904077859778222E-2</v>
      </c>
      <c r="AN63" s="329">
        <f>'Ecoinvent 3.10'!AD24</f>
        <v>1.3384274597010996E-2</v>
      </c>
      <c r="AO63" s="109"/>
      <c r="AQ63" s="117" t="s">
        <v>623</v>
      </c>
      <c r="AR63" s="49">
        <f t="shared" si="2347"/>
        <v>0</v>
      </c>
      <c r="AS63" s="50">
        <f t="shared" si="2348"/>
        <v>0</v>
      </c>
      <c r="AT63" s="49">
        <f t="shared" si="2349"/>
        <v>0</v>
      </c>
      <c r="AU63" s="50">
        <f t="shared" si="2350"/>
        <v>0</v>
      </c>
      <c r="AV63" s="49">
        <f t="shared" si="2351"/>
        <v>0</v>
      </c>
      <c r="AW63" s="50">
        <f t="shared" si="2352"/>
        <v>0</v>
      </c>
      <c r="AX63" s="49">
        <f t="shared" si="2353"/>
        <v>0</v>
      </c>
      <c r="AY63" s="50">
        <f t="shared" si="2354"/>
        <v>0</v>
      </c>
      <c r="AZ63" s="49">
        <f t="shared" si="2355"/>
        <v>0</v>
      </c>
      <c r="BA63" s="50">
        <f t="shared" si="2356"/>
        <v>0</v>
      </c>
      <c r="BB63" s="49">
        <f t="shared" si="2357"/>
        <v>0</v>
      </c>
      <c r="BC63" s="50">
        <f t="shared" si="2358"/>
        <v>0</v>
      </c>
      <c r="BD63" s="49">
        <f t="shared" si="2359"/>
        <v>0</v>
      </c>
      <c r="BE63" s="50">
        <f t="shared" si="2360"/>
        <v>0</v>
      </c>
      <c r="BF63" s="49">
        <f t="shared" si="2361"/>
        <v>18.182722075842928</v>
      </c>
      <c r="BG63" s="50">
        <f t="shared" si="2362"/>
        <v>12.121814717228618</v>
      </c>
      <c r="BI63" s="156"/>
      <c r="BJ63" s="117" t="s">
        <v>623</v>
      </c>
      <c r="BK63" s="49">
        <f t="shared" si="2363"/>
        <v>0</v>
      </c>
      <c r="BL63" s="49">
        <f t="shared" si="2364"/>
        <v>0</v>
      </c>
      <c r="BM63" s="49">
        <f t="shared" si="2365"/>
        <v>0</v>
      </c>
      <c r="BN63" s="49">
        <f t="shared" si="2366"/>
        <v>0</v>
      </c>
      <c r="BO63" s="49">
        <f t="shared" si="2367"/>
        <v>0</v>
      </c>
      <c r="BP63" s="49">
        <f t="shared" si="2368"/>
        <v>0</v>
      </c>
      <c r="BQ63" s="49">
        <f t="shared" si="2369"/>
        <v>0</v>
      </c>
      <c r="BR63" s="49">
        <f t="shared" si="2370"/>
        <v>0</v>
      </c>
      <c r="BS63" s="49">
        <f t="shared" si="2371"/>
        <v>0</v>
      </c>
      <c r="BT63" s="49">
        <f t="shared" si="2372"/>
        <v>0</v>
      </c>
      <c r="BU63" s="49">
        <f t="shared" si="2373"/>
        <v>0</v>
      </c>
      <c r="BV63" s="49">
        <f t="shared" si="2374"/>
        <v>0</v>
      </c>
      <c r="BW63" s="49">
        <f t="shared" si="2375"/>
        <v>0</v>
      </c>
      <c r="BX63" s="49">
        <f t="shared" si="2376"/>
        <v>0</v>
      </c>
      <c r="BY63" s="49">
        <f t="shared" si="2377"/>
        <v>3.3137557663180632</v>
      </c>
      <c r="BZ63" s="49">
        <f t="shared" si="2378"/>
        <v>2.209170510878709</v>
      </c>
      <c r="CA63" s="156"/>
      <c r="CB63" s="156"/>
      <c r="CC63" s="117" t="s">
        <v>623</v>
      </c>
      <c r="CD63" s="49">
        <f t="shared" si="2379"/>
        <v>0</v>
      </c>
      <c r="CE63" s="49">
        <f t="shared" si="2380"/>
        <v>0</v>
      </c>
      <c r="CF63" s="49">
        <f t="shared" si="2381"/>
        <v>0</v>
      </c>
      <c r="CG63" s="49">
        <f t="shared" si="2382"/>
        <v>0</v>
      </c>
      <c r="CH63" s="49">
        <f t="shared" si="2383"/>
        <v>0</v>
      </c>
      <c r="CI63" s="49">
        <f t="shared" si="2384"/>
        <v>0</v>
      </c>
      <c r="CJ63" s="49">
        <f t="shared" si="2385"/>
        <v>0</v>
      </c>
      <c r="CK63" s="49">
        <f t="shared" si="2386"/>
        <v>0</v>
      </c>
      <c r="CL63" s="49">
        <f t="shared" si="2387"/>
        <v>0</v>
      </c>
      <c r="CM63" s="49">
        <f t="shared" si="2388"/>
        <v>0</v>
      </c>
      <c r="CN63" s="49">
        <f t="shared" si="2389"/>
        <v>0</v>
      </c>
      <c r="CO63" s="49">
        <f t="shared" si="2390"/>
        <v>0</v>
      </c>
      <c r="CP63" s="49">
        <f t="shared" si="2391"/>
        <v>0</v>
      </c>
      <c r="CQ63" s="49">
        <f t="shared" si="2392"/>
        <v>0</v>
      </c>
      <c r="CR63" s="49">
        <f t="shared" si="2393"/>
        <v>31.828912060543029</v>
      </c>
      <c r="CS63" s="49">
        <f t="shared" si="2394"/>
        <v>21.219274707028685</v>
      </c>
      <c r="CV63" s="117" t="s">
        <v>623</v>
      </c>
      <c r="CW63" s="49">
        <f t="shared" si="2395"/>
        <v>0</v>
      </c>
      <c r="CX63" s="49">
        <f t="shared" si="2396"/>
        <v>0</v>
      </c>
      <c r="CY63" s="49">
        <f t="shared" si="2397"/>
        <v>0</v>
      </c>
      <c r="CZ63" s="49">
        <f t="shared" si="2398"/>
        <v>0</v>
      </c>
      <c r="DA63" s="49">
        <f t="shared" si="2399"/>
        <v>0</v>
      </c>
      <c r="DB63" s="49">
        <f t="shared" si="2400"/>
        <v>0</v>
      </c>
      <c r="DC63" s="49">
        <f t="shared" si="2401"/>
        <v>0</v>
      </c>
      <c r="DD63" s="49">
        <f t="shared" si="2402"/>
        <v>0</v>
      </c>
      <c r="DE63" s="49">
        <f t="shared" si="2403"/>
        <v>0</v>
      </c>
      <c r="DF63" s="49">
        <f t="shared" si="2404"/>
        <v>0</v>
      </c>
      <c r="DG63" s="49">
        <f t="shared" si="2405"/>
        <v>0</v>
      </c>
      <c r="DH63" s="49">
        <f t="shared" si="2406"/>
        <v>0</v>
      </c>
      <c r="DI63" s="49">
        <f t="shared" si="2407"/>
        <v>0</v>
      </c>
      <c r="DJ63" s="49">
        <f t="shared" si="2408"/>
        <v>0</v>
      </c>
      <c r="DK63" s="49">
        <f t="shared" si="2409"/>
        <v>2.7495999652790339E-2</v>
      </c>
      <c r="DL63" s="49">
        <f t="shared" si="2410"/>
        <v>1.8330666435193561E-2</v>
      </c>
      <c r="DO63" s="117" t="s">
        <v>623</v>
      </c>
      <c r="DP63" s="49">
        <f t="shared" si="2411"/>
        <v>0</v>
      </c>
      <c r="DQ63" s="49">
        <f t="shared" si="2412"/>
        <v>0</v>
      </c>
      <c r="DR63" s="49">
        <f t="shared" si="2413"/>
        <v>0</v>
      </c>
      <c r="DS63" s="49">
        <f t="shared" si="2414"/>
        <v>0</v>
      </c>
      <c r="DT63" s="49">
        <f t="shared" si="2415"/>
        <v>0</v>
      </c>
      <c r="DU63" s="49">
        <f t="shared" si="2416"/>
        <v>0</v>
      </c>
      <c r="DV63" s="49">
        <f t="shared" si="2417"/>
        <v>0</v>
      </c>
      <c r="DW63" s="49">
        <f t="shared" si="2418"/>
        <v>0</v>
      </c>
      <c r="DX63" s="49">
        <f t="shared" si="2419"/>
        <v>0</v>
      </c>
      <c r="DY63" s="49">
        <f t="shared" si="2420"/>
        <v>0</v>
      </c>
      <c r="DZ63" s="49">
        <f t="shared" si="2421"/>
        <v>0</v>
      </c>
      <c r="EA63" s="49">
        <f t="shared" si="2422"/>
        <v>0</v>
      </c>
      <c r="EB63" s="49">
        <f t="shared" si="2423"/>
        <v>0</v>
      </c>
      <c r="EC63" s="49">
        <f t="shared" si="2424"/>
        <v>0</v>
      </c>
      <c r="ED63" s="49">
        <f t="shared" si="2425"/>
        <v>2.0832023587762403</v>
      </c>
      <c r="EE63" s="49">
        <f t="shared" si="2426"/>
        <v>1.3888015725174934</v>
      </c>
      <c r="EH63" s="117" t="s">
        <v>623</v>
      </c>
      <c r="EI63" s="49">
        <f t="shared" si="2427"/>
        <v>0</v>
      </c>
      <c r="EJ63" s="49">
        <f t="shared" si="2428"/>
        <v>0</v>
      </c>
      <c r="EK63" s="49">
        <f t="shared" si="2429"/>
        <v>0</v>
      </c>
      <c r="EL63" s="49">
        <f t="shared" si="2430"/>
        <v>0</v>
      </c>
      <c r="EM63" s="49">
        <f t="shared" si="2431"/>
        <v>0</v>
      </c>
      <c r="EN63" s="49">
        <f t="shared" si="2432"/>
        <v>0</v>
      </c>
      <c r="EO63" s="49">
        <f t="shared" si="2433"/>
        <v>0</v>
      </c>
      <c r="EP63" s="49">
        <f t="shared" si="2434"/>
        <v>0</v>
      </c>
      <c r="EQ63" s="49">
        <f t="shared" si="2435"/>
        <v>0</v>
      </c>
      <c r="ER63" s="49">
        <f t="shared" si="2436"/>
        <v>0</v>
      </c>
      <c r="ES63" s="49">
        <f t="shared" si="2437"/>
        <v>0</v>
      </c>
      <c r="ET63" s="49">
        <f t="shared" si="2438"/>
        <v>0</v>
      </c>
      <c r="EU63" s="49">
        <f t="shared" si="2439"/>
        <v>0</v>
      </c>
      <c r="EV63" s="49">
        <f t="shared" si="2440"/>
        <v>0</v>
      </c>
      <c r="EW63" s="49">
        <f t="shared" si="2441"/>
        <v>9.15982841507334E-2</v>
      </c>
      <c r="EX63" s="49">
        <f t="shared" si="2442"/>
        <v>6.10655227671556E-2</v>
      </c>
      <c r="FA63" s="117" t="s">
        <v>623</v>
      </c>
      <c r="FB63" s="53">
        <f t="shared" si="2443"/>
        <v>0</v>
      </c>
      <c r="FC63" s="53">
        <f t="shared" si="2444"/>
        <v>0</v>
      </c>
      <c r="FD63" s="53">
        <f t="shared" si="2445"/>
        <v>0</v>
      </c>
      <c r="FE63" s="53">
        <f t="shared" si="2446"/>
        <v>0</v>
      </c>
      <c r="FF63" s="53">
        <f t="shared" si="2447"/>
        <v>0</v>
      </c>
      <c r="FG63" s="53">
        <f t="shared" si="2448"/>
        <v>0</v>
      </c>
      <c r="FH63" s="53">
        <f t="shared" si="2449"/>
        <v>0</v>
      </c>
      <c r="FI63" s="53">
        <f t="shared" si="2450"/>
        <v>0</v>
      </c>
      <c r="FJ63" s="53">
        <f t="shared" si="2451"/>
        <v>0</v>
      </c>
      <c r="FK63" s="53">
        <f t="shared" si="2452"/>
        <v>0</v>
      </c>
      <c r="FL63" s="53">
        <f t="shared" si="2453"/>
        <v>0</v>
      </c>
      <c r="FM63" s="53">
        <f t="shared" si="2454"/>
        <v>0</v>
      </c>
      <c r="FN63" s="53">
        <f t="shared" si="2455"/>
        <v>0</v>
      </c>
      <c r="FO63" s="53">
        <f t="shared" si="2456"/>
        <v>0</v>
      </c>
      <c r="FP63" s="53">
        <f t="shared" si="2457"/>
        <v>2.2866622441482382E-3</v>
      </c>
      <c r="FQ63" s="53">
        <f t="shared" si="2458"/>
        <v>1.5244414960988253E-3</v>
      </c>
      <c r="FT63" s="117" t="s">
        <v>623</v>
      </c>
      <c r="FU63" s="49">
        <f t="shared" si="2459"/>
        <v>0</v>
      </c>
      <c r="FV63" s="49">
        <f t="shared" si="2460"/>
        <v>0</v>
      </c>
      <c r="FW63" s="49">
        <f t="shared" si="2461"/>
        <v>0</v>
      </c>
      <c r="FX63" s="49">
        <f t="shared" si="2462"/>
        <v>0</v>
      </c>
      <c r="FY63" s="49">
        <f t="shared" si="2463"/>
        <v>0</v>
      </c>
      <c r="FZ63" s="49">
        <f t="shared" si="2464"/>
        <v>0</v>
      </c>
      <c r="GA63" s="49">
        <f t="shared" si="2465"/>
        <v>0</v>
      </c>
      <c r="GB63" s="49">
        <f t="shared" si="2466"/>
        <v>0</v>
      </c>
      <c r="GC63" s="49">
        <f t="shared" si="2467"/>
        <v>0</v>
      </c>
      <c r="GD63" s="49">
        <f t="shared" si="2468"/>
        <v>0</v>
      </c>
      <c r="GE63" s="49">
        <f t="shared" si="2469"/>
        <v>0</v>
      </c>
      <c r="GF63" s="49">
        <f t="shared" si="2470"/>
        <v>0</v>
      </c>
      <c r="GG63" s="49">
        <f t="shared" si="2471"/>
        <v>0</v>
      </c>
      <c r="GH63" s="49">
        <f t="shared" si="2472"/>
        <v>0</v>
      </c>
      <c r="GI63" s="49">
        <f t="shared" si="2473"/>
        <v>0.3308686270691546</v>
      </c>
      <c r="GJ63" s="49">
        <f t="shared" si="2474"/>
        <v>0.22057908471276971</v>
      </c>
      <c r="GM63" s="117" t="s">
        <v>623</v>
      </c>
      <c r="GN63" s="49">
        <f t="shared" si="2475"/>
        <v>0</v>
      </c>
      <c r="GO63" s="49">
        <f t="shared" si="2476"/>
        <v>0</v>
      </c>
      <c r="GP63" s="49">
        <f t="shared" si="2477"/>
        <v>0</v>
      </c>
      <c r="GQ63" s="49">
        <f t="shared" si="2478"/>
        <v>0</v>
      </c>
      <c r="GR63" s="49">
        <f t="shared" si="2479"/>
        <v>0</v>
      </c>
      <c r="GS63" s="49">
        <f t="shared" si="2480"/>
        <v>0</v>
      </c>
      <c r="GT63" s="49">
        <f t="shared" si="2481"/>
        <v>0</v>
      </c>
      <c r="GU63" s="49">
        <f t="shared" si="2482"/>
        <v>0</v>
      </c>
      <c r="GV63" s="49">
        <f t="shared" si="2483"/>
        <v>0</v>
      </c>
      <c r="GW63" s="49">
        <f t="shared" si="2484"/>
        <v>0</v>
      </c>
      <c r="GX63" s="49">
        <f t="shared" si="2485"/>
        <v>0</v>
      </c>
      <c r="GY63" s="49">
        <f t="shared" si="2486"/>
        <v>0</v>
      </c>
      <c r="GZ63" s="49">
        <f t="shared" si="2487"/>
        <v>0</v>
      </c>
      <c r="HA63" s="49">
        <f t="shared" si="2488"/>
        <v>0</v>
      </c>
      <c r="HB63" s="49">
        <f t="shared" si="2489"/>
        <v>2.4231199650748687</v>
      </c>
      <c r="HC63" s="49">
        <f t="shared" si="2490"/>
        <v>1.6154133100499124</v>
      </c>
      <c r="HF63" s="117" t="s">
        <v>623</v>
      </c>
      <c r="HG63" s="49">
        <f t="shared" si="2491"/>
        <v>0</v>
      </c>
      <c r="HH63" s="49">
        <f t="shared" si="2492"/>
        <v>0</v>
      </c>
      <c r="HI63" s="49">
        <f t="shared" si="2493"/>
        <v>0</v>
      </c>
      <c r="HJ63" s="49">
        <f t="shared" si="2494"/>
        <v>0</v>
      </c>
      <c r="HK63" s="49">
        <f t="shared" si="2495"/>
        <v>0</v>
      </c>
      <c r="HL63" s="49">
        <f t="shared" si="2496"/>
        <v>0</v>
      </c>
      <c r="HM63" s="49">
        <f t="shared" si="2497"/>
        <v>0</v>
      </c>
      <c r="HN63" s="49">
        <f t="shared" si="2498"/>
        <v>0</v>
      </c>
      <c r="HO63" s="49">
        <f t="shared" si="2499"/>
        <v>0</v>
      </c>
      <c r="HP63" s="49">
        <f t="shared" si="2500"/>
        <v>0</v>
      </c>
      <c r="HQ63" s="49">
        <f t="shared" si="2501"/>
        <v>0</v>
      </c>
      <c r="HR63" s="49">
        <f t="shared" si="2502"/>
        <v>0</v>
      </c>
      <c r="HS63" s="49">
        <f t="shared" si="2503"/>
        <v>0</v>
      </c>
      <c r="HT63" s="49">
        <f t="shared" si="2504"/>
        <v>0</v>
      </c>
      <c r="HU63" s="49">
        <f t="shared" si="2505"/>
        <v>7.3571067426499033</v>
      </c>
      <c r="HV63" s="49">
        <f t="shared" si="2506"/>
        <v>4.9047378284332686</v>
      </c>
      <c r="HY63" s="343" t="s">
        <v>623</v>
      </c>
      <c r="HZ63" s="338">
        <f t="shared" si="2507"/>
        <v>0</v>
      </c>
      <c r="IA63" s="338">
        <f t="shared" si="2508"/>
        <v>0</v>
      </c>
      <c r="IB63" s="338">
        <f t="shared" si="2509"/>
        <v>0</v>
      </c>
      <c r="IC63" s="338">
        <f t="shared" si="2510"/>
        <v>0</v>
      </c>
      <c r="ID63" s="338">
        <f t="shared" si="2511"/>
        <v>0</v>
      </c>
      <c r="IE63" s="338">
        <f t="shared" si="2512"/>
        <v>0</v>
      </c>
      <c r="IF63" s="338">
        <f t="shared" si="2513"/>
        <v>0</v>
      </c>
      <c r="IG63" s="338">
        <f t="shared" si="2514"/>
        <v>0</v>
      </c>
      <c r="IH63" s="338">
        <f t="shared" si="2515"/>
        <v>0</v>
      </c>
      <c r="II63" s="338">
        <f t="shared" si="2516"/>
        <v>0</v>
      </c>
      <c r="IJ63" s="338">
        <f t="shared" si="2517"/>
        <v>0</v>
      </c>
      <c r="IK63" s="338">
        <f t="shared" si="2518"/>
        <v>0</v>
      </c>
      <c r="IL63" s="338">
        <f t="shared" si="2519"/>
        <v>0</v>
      </c>
      <c r="IM63" s="338">
        <f t="shared" si="2520"/>
        <v>0</v>
      </c>
      <c r="IN63" s="338">
        <f t="shared" si="2521"/>
        <v>9.3636415388478889E-3</v>
      </c>
      <c r="IO63" s="338">
        <f t="shared" si="2522"/>
        <v>6.2424276925652595E-3</v>
      </c>
      <c r="IR63" s="343" t="s">
        <v>623</v>
      </c>
      <c r="IS63" s="338">
        <f t="shared" si="2523"/>
        <v>0</v>
      </c>
      <c r="IT63" s="338">
        <f t="shared" si="2524"/>
        <v>0</v>
      </c>
      <c r="IU63" s="338">
        <f t="shared" si="2525"/>
        <v>0</v>
      </c>
      <c r="IV63" s="338">
        <f t="shared" si="2526"/>
        <v>0</v>
      </c>
      <c r="IW63" s="338">
        <f t="shared" si="2527"/>
        <v>0</v>
      </c>
      <c r="IX63" s="338">
        <f t="shared" si="2528"/>
        <v>0</v>
      </c>
      <c r="IY63" s="338">
        <f t="shared" si="2529"/>
        <v>0</v>
      </c>
      <c r="IZ63" s="338">
        <f t="shared" si="2530"/>
        <v>0</v>
      </c>
      <c r="JA63" s="338">
        <f t="shared" si="2531"/>
        <v>0</v>
      </c>
      <c r="JB63" s="338">
        <f t="shared" si="2532"/>
        <v>0</v>
      </c>
      <c r="JC63" s="338">
        <f t="shared" si="2533"/>
        <v>0</v>
      </c>
      <c r="JD63" s="338">
        <f t="shared" si="2534"/>
        <v>0</v>
      </c>
      <c r="JE63" s="338">
        <f t="shared" si="2535"/>
        <v>0</v>
      </c>
      <c r="JF63" s="338">
        <f t="shared" si="2536"/>
        <v>0</v>
      </c>
      <c r="JG63" s="338">
        <f t="shared" si="2537"/>
        <v>0.89096017410078776</v>
      </c>
      <c r="JH63" s="338">
        <f t="shared" si="2538"/>
        <v>0.59397344940052521</v>
      </c>
      <c r="JK63" s="343" t="s">
        <v>623</v>
      </c>
      <c r="JL63" s="338">
        <f t="shared" si="2539"/>
        <v>0</v>
      </c>
      <c r="JM63" s="338">
        <f t="shared" si="2540"/>
        <v>0</v>
      </c>
      <c r="JN63" s="338">
        <f t="shared" si="2541"/>
        <v>0</v>
      </c>
      <c r="JO63" s="338">
        <f t="shared" si="2542"/>
        <v>0</v>
      </c>
      <c r="JP63" s="338">
        <f t="shared" si="2543"/>
        <v>0</v>
      </c>
      <c r="JQ63" s="338">
        <f t="shared" si="2544"/>
        <v>0</v>
      </c>
      <c r="JR63" s="338">
        <f t="shared" si="2545"/>
        <v>0</v>
      </c>
      <c r="JS63" s="338">
        <f t="shared" si="2546"/>
        <v>0</v>
      </c>
      <c r="JT63" s="338">
        <f t="shared" si="2547"/>
        <v>0</v>
      </c>
      <c r="JU63" s="338">
        <f t="shared" si="2548"/>
        <v>0</v>
      </c>
      <c r="JV63" s="338">
        <f t="shared" si="2549"/>
        <v>0</v>
      </c>
      <c r="JW63" s="338">
        <f t="shared" si="2550"/>
        <v>0</v>
      </c>
      <c r="JX63" s="338">
        <f t="shared" si="2551"/>
        <v>0</v>
      </c>
      <c r="JY63" s="338">
        <f t="shared" si="2552"/>
        <v>0</v>
      </c>
      <c r="JZ63" s="338">
        <f t="shared" si="2553"/>
        <v>0.81865935240761734</v>
      </c>
      <c r="KA63" s="338">
        <f t="shared" si="2554"/>
        <v>0.54577290160507819</v>
      </c>
      <c r="KD63" s="343" t="s">
        <v>623</v>
      </c>
      <c r="KE63" s="338">
        <f t="shared" si="2555"/>
        <v>0</v>
      </c>
      <c r="KF63" s="338">
        <f t="shared" si="2556"/>
        <v>0</v>
      </c>
      <c r="KG63" s="338">
        <f t="shared" si="2557"/>
        <v>0</v>
      </c>
      <c r="KH63" s="338">
        <f t="shared" si="2558"/>
        <v>0</v>
      </c>
      <c r="KI63" s="338">
        <f t="shared" si="2559"/>
        <v>0</v>
      </c>
      <c r="KJ63" s="338">
        <f t="shared" si="2560"/>
        <v>0</v>
      </c>
      <c r="KK63" s="338">
        <f t="shared" si="2561"/>
        <v>0</v>
      </c>
      <c r="KL63" s="338">
        <f t="shared" si="2562"/>
        <v>0</v>
      </c>
      <c r="KM63" s="338">
        <f t="shared" si="2563"/>
        <v>0</v>
      </c>
      <c r="KN63" s="338">
        <f t="shared" si="2564"/>
        <v>0</v>
      </c>
      <c r="KO63" s="338">
        <f t="shared" si="2565"/>
        <v>0</v>
      </c>
      <c r="KP63" s="338">
        <f t="shared" si="2566"/>
        <v>0</v>
      </c>
      <c r="KQ63" s="338">
        <f t="shared" si="2567"/>
        <v>0</v>
      </c>
      <c r="KR63" s="338">
        <f t="shared" si="2568"/>
        <v>0</v>
      </c>
      <c r="KS63" s="338">
        <f t="shared" si="2569"/>
        <v>0.24392551376863211</v>
      </c>
      <c r="KT63" s="338">
        <f t="shared" si="2570"/>
        <v>0.16261700917908808</v>
      </c>
      <c r="KW63" s="343" t="s">
        <v>623</v>
      </c>
      <c r="KX63" s="338">
        <f t="shared" si="2571"/>
        <v>0</v>
      </c>
      <c r="KY63" s="338">
        <f t="shared" si="2572"/>
        <v>0</v>
      </c>
      <c r="KZ63" s="338">
        <f t="shared" si="2573"/>
        <v>0</v>
      </c>
      <c r="LA63" s="338">
        <f t="shared" si="2574"/>
        <v>0</v>
      </c>
      <c r="LB63" s="338">
        <f t="shared" si="2575"/>
        <v>0</v>
      </c>
      <c r="LC63" s="338">
        <f t="shared" si="2576"/>
        <v>0</v>
      </c>
      <c r="LD63" s="338">
        <f t="shared" si="2577"/>
        <v>0</v>
      </c>
      <c r="LE63" s="338">
        <f t="shared" si="2578"/>
        <v>0</v>
      </c>
      <c r="LF63" s="338">
        <f t="shared" si="2579"/>
        <v>0</v>
      </c>
      <c r="LG63" s="338">
        <f t="shared" si="2580"/>
        <v>0</v>
      </c>
      <c r="LH63" s="338">
        <f t="shared" si="2581"/>
        <v>0</v>
      </c>
      <c r="LI63" s="338">
        <f t="shared" si="2582"/>
        <v>0</v>
      </c>
      <c r="LJ63" s="338">
        <f t="shared" si="2583"/>
        <v>0</v>
      </c>
      <c r="LK63" s="338">
        <f t="shared" si="2584"/>
        <v>0</v>
      </c>
      <c r="LL63" s="338">
        <f t="shared" si="2585"/>
        <v>0.4625211663263043</v>
      </c>
      <c r="LM63" s="338">
        <f t="shared" si="2586"/>
        <v>0.30834744421753624</v>
      </c>
      <c r="LP63" s="343" t="s">
        <v>623</v>
      </c>
      <c r="LQ63" s="338">
        <f t="shared" si="2587"/>
        <v>0</v>
      </c>
      <c r="LR63" s="338">
        <f t="shared" si="2588"/>
        <v>0</v>
      </c>
      <c r="LS63" s="338">
        <f t="shared" si="2589"/>
        <v>0</v>
      </c>
      <c r="LT63" s="338">
        <f t="shared" si="2590"/>
        <v>0</v>
      </c>
      <c r="LU63" s="338">
        <f t="shared" si="2591"/>
        <v>0</v>
      </c>
      <c r="LV63" s="338">
        <f t="shared" si="2592"/>
        <v>0</v>
      </c>
      <c r="LW63" s="338">
        <f t="shared" si="2593"/>
        <v>0</v>
      </c>
      <c r="LX63" s="338">
        <f t="shared" si="2594"/>
        <v>0</v>
      </c>
      <c r="LY63" s="338">
        <f t="shared" si="2595"/>
        <v>0</v>
      </c>
      <c r="LZ63" s="338">
        <f t="shared" si="2596"/>
        <v>0</v>
      </c>
      <c r="MA63" s="338">
        <f t="shared" si="2597"/>
        <v>0</v>
      </c>
      <c r="MB63" s="338">
        <f t="shared" si="2598"/>
        <v>0</v>
      </c>
      <c r="MC63" s="338">
        <f t="shared" si="2599"/>
        <v>0</v>
      </c>
      <c r="MD63" s="338">
        <f t="shared" si="2600"/>
        <v>0</v>
      </c>
      <c r="ME63" s="338">
        <f t="shared" si="2601"/>
        <v>6.1681603085391823E-4</v>
      </c>
      <c r="MF63" s="338">
        <f t="shared" si="2602"/>
        <v>4.1121068723594547E-4</v>
      </c>
      <c r="MI63" s="343" t="s">
        <v>623</v>
      </c>
      <c r="MJ63" s="338">
        <f t="shared" si="2603"/>
        <v>0</v>
      </c>
      <c r="MK63" s="338">
        <f t="shared" si="2604"/>
        <v>0</v>
      </c>
      <c r="ML63" s="338">
        <f t="shared" si="2605"/>
        <v>0</v>
      </c>
      <c r="MM63" s="338">
        <f t="shared" si="2606"/>
        <v>0</v>
      </c>
      <c r="MN63" s="338">
        <f t="shared" si="2607"/>
        <v>0</v>
      </c>
      <c r="MO63" s="338">
        <f t="shared" si="2608"/>
        <v>0</v>
      </c>
      <c r="MP63" s="338">
        <f t="shared" si="2609"/>
        <v>0</v>
      </c>
      <c r="MQ63" s="338">
        <f t="shared" si="2610"/>
        <v>0</v>
      </c>
      <c r="MR63" s="338">
        <f t="shared" si="2611"/>
        <v>0</v>
      </c>
      <c r="MS63" s="338">
        <f t="shared" si="2612"/>
        <v>0</v>
      </c>
      <c r="MT63" s="338">
        <f t="shared" si="2613"/>
        <v>0</v>
      </c>
      <c r="MU63" s="338">
        <f t="shared" si="2614"/>
        <v>0</v>
      </c>
      <c r="MV63" s="338">
        <f t="shared" si="2615"/>
        <v>0</v>
      </c>
      <c r="MW63" s="338">
        <f t="shared" si="2616"/>
        <v>0</v>
      </c>
      <c r="MX63" s="338">
        <f t="shared" si="2617"/>
        <v>8.0144616018748144E-3</v>
      </c>
      <c r="MY63" s="338">
        <f t="shared" si="2618"/>
        <v>5.3429744012498765E-3</v>
      </c>
      <c r="NB63" s="343" t="s">
        <v>623</v>
      </c>
      <c r="NC63" s="338">
        <f t="shared" si="2619"/>
        <v>0</v>
      </c>
      <c r="ND63" s="338">
        <f t="shared" si="2620"/>
        <v>0</v>
      </c>
      <c r="NE63" s="338">
        <f t="shared" si="2621"/>
        <v>0</v>
      </c>
      <c r="NF63" s="338">
        <f t="shared" si="2622"/>
        <v>0</v>
      </c>
      <c r="NG63" s="338">
        <f t="shared" si="2623"/>
        <v>0</v>
      </c>
      <c r="NH63" s="338">
        <f t="shared" si="2624"/>
        <v>0</v>
      </c>
      <c r="NI63" s="338">
        <f t="shared" si="2625"/>
        <v>0</v>
      </c>
      <c r="NJ63" s="338">
        <f t="shared" si="2626"/>
        <v>0</v>
      </c>
      <c r="NK63" s="338">
        <f t="shared" si="2627"/>
        <v>0</v>
      </c>
      <c r="NL63" s="338">
        <f t="shared" si="2628"/>
        <v>0</v>
      </c>
      <c r="NM63" s="338">
        <f t="shared" si="2629"/>
        <v>0</v>
      </c>
      <c r="NN63" s="338">
        <f t="shared" si="2630"/>
        <v>0</v>
      </c>
      <c r="NO63" s="338">
        <f t="shared" si="2631"/>
        <v>0</v>
      </c>
      <c r="NP63" s="338">
        <f t="shared" si="2632"/>
        <v>0</v>
      </c>
      <c r="NQ63" s="338">
        <f t="shared" si="2633"/>
        <v>7.7148413514712679E-3</v>
      </c>
      <c r="NR63" s="338">
        <f t="shared" si="2634"/>
        <v>5.1432275676475117E-3</v>
      </c>
    </row>
    <row r="64" spans="2:382" ht="12.75" customHeight="1" x14ac:dyDescent="0.2">
      <c r="B64" s="734"/>
      <c r="C64" s="151" t="s">
        <v>548</v>
      </c>
      <c r="D64" s="136">
        <f>'Cell parameters'!D28/1000</f>
        <v>0.55996198666994146</v>
      </c>
      <c r="E64" s="136">
        <f>'Cell parameters'!E28/1000</f>
        <v>0.46098182831402679</v>
      </c>
      <c r="F64" s="136">
        <f>'Cell parameters'!F28/1000</f>
        <v>0.63769278917692063</v>
      </c>
      <c r="G64" s="136">
        <f>'Cell parameters'!G28/1000</f>
        <v>0.52105830229481276</v>
      </c>
      <c r="H64" s="136">
        <f>'Cell parameters'!H28/1000</f>
        <v>0.6412208471922175</v>
      </c>
      <c r="I64" s="136">
        <f>'Cell parameters'!I28/1000</f>
        <v>0.52456700575460757</v>
      </c>
      <c r="J64" s="136">
        <f>'Cell parameters'!J28/1000</f>
        <v>0.5222363725354161</v>
      </c>
      <c r="K64" s="136">
        <f>'Cell parameters'!K28/1000</f>
        <v>0.42642813290442216</v>
      </c>
      <c r="L64" s="136">
        <f>'Cell parameters'!L28/1000</f>
        <v>0.45328499882606255</v>
      </c>
      <c r="M64" s="136">
        <f>'Cell parameters'!M28/1000</f>
        <v>0.36919022211508962</v>
      </c>
      <c r="N64" s="136">
        <f>'Cell parameters'!N28/1000</f>
        <v>0.82397804885768955</v>
      </c>
      <c r="O64" s="136">
        <f>'Cell parameters'!O28/1000</f>
        <v>0.66999771889041049</v>
      </c>
      <c r="P64" s="136">
        <f>'Cell parameters'!P28/1000</f>
        <v>1.0928571662407991</v>
      </c>
      <c r="Q64" s="142">
        <f>'Cell parameters'!Q28/1000</f>
        <v>0.8945010251756853</v>
      </c>
      <c r="R64" s="142">
        <f>'Cell parameters'!R28/1000</f>
        <v>0.34623984846084715</v>
      </c>
      <c r="S64" s="142">
        <f>'Cell parameters'!S28/1000</f>
        <v>0.25087338994176367</v>
      </c>
      <c r="V64" s="151" t="s">
        <v>548</v>
      </c>
      <c r="W64" s="97">
        <f>'Ecoinvent 3.10'!M33</f>
        <v>1.5183374941547387</v>
      </c>
      <c r="X64" s="97">
        <f>'Ecoinvent 3.10'!N33</f>
        <v>0.39843000000000001</v>
      </c>
      <c r="Y64" s="97">
        <f>'Ecoinvent 3.10'!O33</f>
        <v>42.142000000000003</v>
      </c>
      <c r="Z64" s="97">
        <f>'Ecoinvent 3.10'!P33</f>
        <v>1.0785E-3</v>
      </c>
      <c r="AA64" s="97">
        <f>'Ecoinvent 3.10'!Q33</f>
        <v>6.2304999999999999E-2</v>
      </c>
      <c r="AB64" s="97">
        <f>'Ecoinvent 3.10'!R33</f>
        <v>7.3108000000000001E-3</v>
      </c>
      <c r="AC64" s="97">
        <f>'Ecoinvent 3.10'!S33</f>
        <v>1.3838000000000001E-4</v>
      </c>
      <c r="AD64" s="97">
        <f>'Ecoinvent 3.10'!T33</f>
        <v>4.6913999999999997E-2</v>
      </c>
      <c r="AE64" s="97">
        <f>'Ecoinvent 3.10'!U33</f>
        <v>0.83779999999999999</v>
      </c>
      <c r="AF64" s="97">
        <f>'Ecoinvent 3.10'!V33</f>
        <v>0.36719000000000002</v>
      </c>
      <c r="AG64" s="329">
        <f>'Ecoinvent 3.10'!W33</f>
        <v>5.8617000000000001E-4</v>
      </c>
      <c r="AH64" s="329">
        <f>'Ecoinvent 3.10'!X33</f>
        <v>9.9793999999999994E-2</v>
      </c>
      <c r="AI64" s="329">
        <f>'Ecoinvent 3.10'!Y33</f>
        <v>2.5309999999999999E-2</v>
      </c>
      <c r="AJ64" s="329">
        <f>'Ecoinvent 3.10'!Z33</f>
        <v>7.2392000000000003E-3</v>
      </c>
      <c r="AK64" s="329">
        <f>'Ecoinvent 3.10'!AA33</f>
        <v>0.1065</v>
      </c>
      <c r="AL64" s="329">
        <f>'Ecoinvent 3.10'!AB33</f>
        <v>1.0696000000000001E-5</v>
      </c>
      <c r="AM64" s="329">
        <f>'Ecoinvent 3.10'!AC33</f>
        <v>9.6261000000000003E-4</v>
      </c>
      <c r="AN64" s="329">
        <f>'Ecoinvent 3.10'!AD33</f>
        <v>9.2363999999999999E-4</v>
      </c>
      <c r="AO64" s="109"/>
      <c r="AQ64" s="151" t="s">
        <v>548</v>
      </c>
      <c r="AR64" s="49">
        <f t="shared" ref="AR64:BC64" si="2635">D64*$W64</f>
        <v>0.85021127966234811</v>
      </c>
      <c r="AS64" s="49">
        <f t="shared" si="2635"/>
        <v>0.69992599405318945</v>
      </c>
      <c r="AT64" s="49">
        <f t="shared" si="2635"/>
        <v>0.96823287155943172</v>
      </c>
      <c r="AU64" s="49">
        <f t="shared" si="2635"/>
        <v>0.79114235701482838</v>
      </c>
      <c r="AV64" s="49">
        <f t="shared" si="2635"/>
        <v>0.97358965432561018</v>
      </c>
      <c r="AW64" s="49">
        <f t="shared" si="2635"/>
        <v>0.79646975303370526</v>
      </c>
      <c r="AX64" s="49">
        <f t="shared" si="2635"/>
        <v>0.79293106523188428</v>
      </c>
      <c r="AY64" s="49">
        <f t="shared" si="2635"/>
        <v>0.64746182275118425</v>
      </c>
      <c r="AZ64" s="49">
        <f t="shared" si="2635"/>
        <v>0.68823960925549754</v>
      </c>
      <c r="BA64" s="49">
        <f t="shared" si="2635"/>
        <v>0.56055535671265655</v>
      </c>
      <c r="BB64" s="49">
        <f t="shared" si="2635"/>
        <v>1.2510767659410953</v>
      </c>
      <c r="BC64" s="49">
        <f t="shared" si="2635"/>
        <v>1.0172826575894569</v>
      </c>
      <c r="BD64" s="49">
        <f t="shared" ref="BD64" si="2636">P64*$W64</f>
        <v>1.6593260112591037</v>
      </c>
      <c r="BE64" s="49">
        <f t="shared" ref="BE64" si="2637">Q64*$W64</f>
        <v>1.358154445084095</v>
      </c>
      <c r="BF64" s="49">
        <f t="shared" ref="BF64" si="2638">R64*$W64</f>
        <v>0.52570894388855915</v>
      </c>
      <c r="BG64" s="49">
        <f t="shared" ref="BG64" si="2639">S64*$W64</f>
        <v>0.38091047423428209</v>
      </c>
      <c r="BI64" s="156"/>
      <c r="BJ64" s="151" t="s">
        <v>548</v>
      </c>
      <c r="BK64" s="49">
        <f t="shared" ref="BK64:BZ64" si="2640">D64*$X64</f>
        <v>0.22310565434890478</v>
      </c>
      <c r="BL64" s="49">
        <f t="shared" si="2640"/>
        <v>0.1836689898551577</v>
      </c>
      <c r="BM64" s="49">
        <f t="shared" si="2640"/>
        <v>0.25407593799176048</v>
      </c>
      <c r="BN64" s="49">
        <f t="shared" si="2640"/>
        <v>0.20760525938332225</v>
      </c>
      <c r="BO64" s="49">
        <f t="shared" si="2640"/>
        <v>0.25548162214679521</v>
      </c>
      <c r="BP64" s="49">
        <f t="shared" si="2640"/>
        <v>0.2090032321028083</v>
      </c>
      <c r="BQ64" s="49">
        <f t="shared" si="2640"/>
        <v>0.20807463790928585</v>
      </c>
      <c r="BR64" s="49">
        <f t="shared" si="2640"/>
        <v>0.16990176099310891</v>
      </c>
      <c r="BS64" s="49">
        <f t="shared" si="2640"/>
        <v>0.18060234208226811</v>
      </c>
      <c r="BT64" s="49">
        <f t="shared" si="2640"/>
        <v>0.14709646019731515</v>
      </c>
      <c r="BU64" s="49">
        <f t="shared" si="2640"/>
        <v>0.32829757400636927</v>
      </c>
      <c r="BV64" s="49">
        <f t="shared" si="2640"/>
        <v>0.26694719113750626</v>
      </c>
      <c r="BW64" s="49">
        <f t="shared" si="2640"/>
        <v>0.4354270807453216</v>
      </c>
      <c r="BX64" s="49">
        <f t="shared" si="2640"/>
        <v>0.35639604346074832</v>
      </c>
      <c r="BY64" s="49">
        <f t="shared" si="2640"/>
        <v>0.13795234282225532</v>
      </c>
      <c r="BZ64" s="49">
        <f t="shared" si="2640"/>
        <v>9.9955484754496907E-2</v>
      </c>
      <c r="CA64" s="156"/>
      <c r="CB64" s="156"/>
      <c r="CC64" s="151" t="s">
        <v>548</v>
      </c>
      <c r="CD64" s="49">
        <f t="shared" ref="CD64:CS64" si="2641">D64*$Y64</f>
        <v>23.597918042244675</v>
      </c>
      <c r="CE64" s="49">
        <f t="shared" si="2641"/>
        <v>19.426696208809719</v>
      </c>
      <c r="CF64" s="49">
        <f t="shared" si="2641"/>
        <v>26.873649521493792</v>
      </c>
      <c r="CG64" s="49">
        <f t="shared" si="2641"/>
        <v>21.958438975308002</v>
      </c>
      <c r="CH64" s="49">
        <f t="shared" si="2641"/>
        <v>27.022328942374433</v>
      </c>
      <c r="CI64" s="49">
        <f t="shared" si="2641"/>
        <v>22.106302756510672</v>
      </c>
      <c r="CJ64" s="49">
        <f t="shared" si="2641"/>
        <v>22.008085211387506</v>
      </c>
      <c r="CK64" s="49">
        <f t="shared" si="2641"/>
        <v>17.970534376858161</v>
      </c>
      <c r="CL64" s="49">
        <f t="shared" si="2641"/>
        <v>19.10233642052793</v>
      </c>
      <c r="CM64" s="49">
        <f t="shared" si="2641"/>
        <v>15.558414340374108</v>
      </c>
      <c r="CN64" s="49">
        <f t="shared" si="2641"/>
        <v>34.724082934960755</v>
      </c>
      <c r="CO64" s="49">
        <f t="shared" si="2641"/>
        <v>28.235043869479682</v>
      </c>
      <c r="CP64" s="49">
        <f t="shared" si="2641"/>
        <v>46.055186699719762</v>
      </c>
      <c r="CQ64" s="49">
        <f t="shared" si="2641"/>
        <v>37.696062202953733</v>
      </c>
      <c r="CR64" s="49">
        <f t="shared" si="2641"/>
        <v>14.591239693837021</v>
      </c>
      <c r="CS64" s="49">
        <f t="shared" si="2641"/>
        <v>10.572306398925805</v>
      </c>
      <c r="CV64" s="151" t="s">
        <v>548</v>
      </c>
      <c r="CW64" s="49">
        <f t="shared" ref="CW64:DL64" si="2642">D64*$Z64</f>
        <v>6.0391900262353189E-4</v>
      </c>
      <c r="CX64" s="49">
        <f t="shared" si="2642"/>
        <v>4.9716890183667791E-4</v>
      </c>
      <c r="CY64" s="49">
        <f t="shared" si="2642"/>
        <v>6.8775167312730889E-4</v>
      </c>
      <c r="CZ64" s="49">
        <f t="shared" si="2642"/>
        <v>5.6196137902495555E-4</v>
      </c>
      <c r="DA64" s="49">
        <f t="shared" si="2642"/>
        <v>6.915566836968066E-4</v>
      </c>
      <c r="DB64" s="49">
        <f t="shared" si="2642"/>
        <v>5.6574551570634426E-4</v>
      </c>
      <c r="DC64" s="49">
        <f t="shared" si="2642"/>
        <v>5.6323192777944623E-4</v>
      </c>
      <c r="DD64" s="49">
        <f t="shared" si="2642"/>
        <v>4.5990274133741934E-4</v>
      </c>
      <c r="DE64" s="49">
        <f t="shared" si="2642"/>
        <v>4.8886787123390851E-4</v>
      </c>
      <c r="DF64" s="49">
        <f t="shared" si="2642"/>
        <v>3.9817165455112414E-4</v>
      </c>
      <c r="DG64" s="49">
        <f t="shared" si="2642"/>
        <v>8.8866032569301823E-4</v>
      </c>
      <c r="DH64" s="49">
        <f t="shared" si="2642"/>
        <v>7.2259253982330778E-4</v>
      </c>
      <c r="DI64" s="49">
        <f t="shared" si="2642"/>
        <v>1.1786464537907018E-3</v>
      </c>
      <c r="DJ64" s="49">
        <f t="shared" si="2642"/>
        <v>9.6471935565197668E-4</v>
      </c>
      <c r="DK64" s="49">
        <f t="shared" si="2642"/>
        <v>3.7341967656502367E-4</v>
      </c>
      <c r="DL64" s="49">
        <f t="shared" si="2642"/>
        <v>2.705669510521921E-4</v>
      </c>
      <c r="DO64" s="151" t="s">
        <v>548</v>
      </c>
      <c r="DP64" s="49">
        <f t="shared" ref="DP64:EE64" si="2643">D64*$AA64</f>
        <v>3.4888431579470705E-2</v>
      </c>
      <c r="DQ64" s="49">
        <f t="shared" si="2643"/>
        <v>2.8721472813105439E-2</v>
      </c>
      <c r="DR64" s="49">
        <f t="shared" si="2643"/>
        <v>3.9731449229668037E-2</v>
      </c>
      <c r="DS64" s="49">
        <f t="shared" si="2643"/>
        <v>3.246453752447831E-2</v>
      </c>
      <c r="DT64" s="49">
        <f t="shared" si="2643"/>
        <v>3.9951264884311111E-2</v>
      </c>
      <c r="DU64" s="49">
        <f t="shared" si="2643"/>
        <v>3.2683147293540826E-2</v>
      </c>
      <c r="DV64" s="49">
        <f t="shared" si="2643"/>
        <v>3.25379371908191E-2</v>
      </c>
      <c r="DW64" s="49">
        <f t="shared" si="2643"/>
        <v>2.6568604820610024E-2</v>
      </c>
      <c r="DX64" s="49">
        <f t="shared" si="2643"/>
        <v>2.8241921851857827E-2</v>
      </c>
      <c r="DY64" s="49">
        <f t="shared" si="2643"/>
        <v>2.3002396788880657E-2</v>
      </c>
      <c r="DZ64" s="49">
        <f t="shared" si="2643"/>
        <v>5.1337952334078348E-2</v>
      </c>
      <c r="EA64" s="49">
        <f t="shared" si="2643"/>
        <v>4.1744207875467024E-2</v>
      </c>
      <c r="EB64" s="49">
        <f t="shared" si="2643"/>
        <v>6.8090465742632986E-2</v>
      </c>
      <c r="EC64" s="49">
        <f t="shared" si="2643"/>
        <v>5.5731886373571071E-2</v>
      </c>
      <c r="ED64" s="49">
        <f t="shared" si="2643"/>
        <v>2.1572473758353083E-2</v>
      </c>
      <c r="EE64" s="49">
        <f t="shared" si="2643"/>
        <v>1.5630666560321586E-2</v>
      </c>
      <c r="EH64" s="151" t="s">
        <v>548</v>
      </c>
      <c r="EI64" s="49">
        <f t="shared" ref="EI64:ET64" si="2644">D64*$AB64</f>
        <v>4.0937700921466081E-3</v>
      </c>
      <c r="EJ64" s="49">
        <f t="shared" si="2644"/>
        <v>3.3701459504381871E-3</v>
      </c>
      <c r="EK64" s="49">
        <f t="shared" si="2644"/>
        <v>4.6620444431146315E-3</v>
      </c>
      <c r="EL64" s="49">
        <f t="shared" si="2644"/>
        <v>3.8093530364169174E-3</v>
      </c>
      <c r="EM64" s="49">
        <f t="shared" si="2644"/>
        <v>4.6878373696528641E-3</v>
      </c>
      <c r="EN64" s="49">
        <f t="shared" si="2644"/>
        <v>3.8350044656707853E-3</v>
      </c>
      <c r="EO64" s="49">
        <f t="shared" si="2644"/>
        <v>3.8179656723319202E-3</v>
      </c>
      <c r="EP64" s="49">
        <f t="shared" si="2644"/>
        <v>3.1175307940376497E-3</v>
      </c>
      <c r="EQ64" s="49">
        <f t="shared" si="2644"/>
        <v>3.3138759694175783E-3</v>
      </c>
      <c r="ER64" s="49">
        <f t="shared" si="2644"/>
        <v>2.6990758758389972E-3</v>
      </c>
      <c r="ES64" s="49">
        <f t="shared" si="2644"/>
        <v>6.0239387195887969E-3</v>
      </c>
      <c r="ET64" s="49">
        <f t="shared" si="2644"/>
        <v>4.8982193232640133E-3</v>
      </c>
      <c r="EU64" s="49">
        <f t="shared" ref="EU64" si="2645">P64*$AB64</f>
        <v>7.9896601709532333E-3</v>
      </c>
      <c r="EV64" s="49">
        <f t="shared" ref="EV64" si="2646">Q64*$AB64</f>
        <v>6.5395180948544006E-3</v>
      </c>
      <c r="EW64" s="49">
        <f t="shared" ref="EW64" si="2647">R64*$AB64</f>
        <v>2.5312902841275616E-3</v>
      </c>
      <c r="EX64" s="49">
        <f t="shared" ref="EX64" si="2648">S64*$AB64</f>
        <v>1.8340851791862458E-3</v>
      </c>
      <c r="FA64" s="151" t="s">
        <v>548</v>
      </c>
      <c r="FB64" s="53">
        <f t="shared" ref="FB64:FM64" si="2649">D64*$AC64</f>
        <v>7.7487539715386504E-5</v>
      </c>
      <c r="FC64" s="53">
        <f t="shared" si="2649"/>
        <v>6.3790665402095034E-5</v>
      </c>
      <c r="FD64" s="53">
        <f t="shared" si="2649"/>
        <v>8.8243928166302282E-5</v>
      </c>
      <c r="FE64" s="53">
        <f t="shared" si="2649"/>
        <v>7.2104047871556192E-5</v>
      </c>
      <c r="FF64" s="53">
        <f t="shared" si="2649"/>
        <v>8.8732140834459061E-5</v>
      </c>
      <c r="FG64" s="53">
        <f t="shared" si="2649"/>
        <v>7.2589582256322603E-5</v>
      </c>
      <c r="FH64" s="53">
        <f t="shared" si="2649"/>
        <v>7.2267069231450885E-5</v>
      </c>
      <c r="FI64" s="53">
        <f t="shared" si="2649"/>
        <v>5.9009125031313946E-5</v>
      </c>
      <c r="FJ64" s="53">
        <f t="shared" si="2649"/>
        <v>6.2725578137550535E-5</v>
      </c>
      <c r="FK64" s="53">
        <f t="shared" si="2649"/>
        <v>5.1088542936286109E-5</v>
      </c>
      <c r="FL64" s="53">
        <f t="shared" si="2649"/>
        <v>1.1402208240092709E-4</v>
      </c>
      <c r="FM64" s="53">
        <f t="shared" si="2649"/>
        <v>9.2714284340055008E-5</v>
      </c>
      <c r="FN64" s="53">
        <f t="shared" ref="FN64" si="2650">P64*$AC64</f>
        <v>1.512295746644018E-4</v>
      </c>
      <c r="FO64" s="53">
        <f t="shared" ref="FO64" si="2651">Q64*$AC64</f>
        <v>1.2378105186381134E-4</v>
      </c>
      <c r="FP64" s="53">
        <f t="shared" ref="FP64" si="2652">R64*$AC64</f>
        <v>4.7912670230012031E-5</v>
      </c>
      <c r="FQ64" s="53">
        <f t="shared" ref="FQ64" si="2653">S64*$AC64</f>
        <v>3.4715859700141258E-5</v>
      </c>
      <c r="FT64" s="151" t="s">
        <v>548</v>
      </c>
      <c r="FU64" s="49">
        <f t="shared" ref="FU64:GF64" si="2654">D64*$AD64</f>
        <v>2.6270056642633634E-2</v>
      </c>
      <c r="FV64" s="49">
        <f t="shared" si="2654"/>
        <v>2.1626501493524252E-2</v>
      </c>
      <c r="FW64" s="49">
        <f t="shared" si="2654"/>
        <v>2.9916719511446054E-2</v>
      </c>
      <c r="FX64" s="49">
        <f t="shared" si="2654"/>
        <v>2.4444929193858843E-2</v>
      </c>
      <c r="FY64" s="49">
        <f t="shared" si="2654"/>
        <v>3.0082234825175691E-2</v>
      </c>
      <c r="FZ64" s="49">
        <f t="shared" si="2654"/>
        <v>2.4609536507971659E-2</v>
      </c>
      <c r="GA64" s="49">
        <f t="shared" si="2654"/>
        <v>2.4500197181126511E-2</v>
      </c>
      <c r="GB64" s="49">
        <f t="shared" si="2654"/>
        <v>2.0005449427078062E-2</v>
      </c>
      <c r="GC64" s="49">
        <f t="shared" si="2654"/>
        <v>2.1265412434925898E-2</v>
      </c>
      <c r="GD64" s="49">
        <f t="shared" si="2654"/>
        <v>1.7320190080307312E-2</v>
      </c>
      <c r="GE64" s="49">
        <f t="shared" si="2654"/>
        <v>3.8656106184109647E-2</v>
      </c>
      <c r="GF64" s="49">
        <f t="shared" si="2654"/>
        <v>3.1432272984024713E-2</v>
      </c>
      <c r="GG64" s="49">
        <f t="shared" ref="GG64" si="2655">P64*$AD64</f>
        <v>5.1270301097020847E-2</v>
      </c>
      <c r="GH64" s="49">
        <f t="shared" ref="GH64" si="2656">Q64*$AD64</f>
        <v>4.1964621095092101E-2</v>
      </c>
      <c r="GI64" s="49">
        <f t="shared" ref="GI64" si="2657">R64*$AD64</f>
        <v>1.6243496250692182E-2</v>
      </c>
      <c r="GJ64" s="49">
        <f t="shared" ref="GJ64" si="2658">S64*$AD64</f>
        <v>1.1769474215727899E-2</v>
      </c>
      <c r="GM64" s="151" t="s">
        <v>548</v>
      </c>
      <c r="GN64" s="49">
        <f t="shared" ref="GN64:GY64" si="2659">D64*$AE64</f>
        <v>0.46913615243207696</v>
      </c>
      <c r="GO64" s="49">
        <f t="shared" si="2659"/>
        <v>0.38621057576149165</v>
      </c>
      <c r="GP64" s="49">
        <f t="shared" si="2659"/>
        <v>0.5342590187724241</v>
      </c>
      <c r="GQ64" s="49">
        <f t="shared" si="2659"/>
        <v>0.4365426456625941</v>
      </c>
      <c r="GR64" s="49">
        <f t="shared" si="2659"/>
        <v>0.53721482577763979</v>
      </c>
      <c r="GS64" s="49">
        <f t="shared" si="2659"/>
        <v>0.43948223742121023</v>
      </c>
      <c r="GT64" s="49">
        <f t="shared" si="2659"/>
        <v>0.43752963291017161</v>
      </c>
      <c r="GU64" s="49">
        <f t="shared" si="2659"/>
        <v>0.35726148974732486</v>
      </c>
      <c r="GV64" s="49">
        <f t="shared" si="2659"/>
        <v>0.37976217201647522</v>
      </c>
      <c r="GW64" s="49">
        <f t="shared" si="2659"/>
        <v>0.30930756808802207</v>
      </c>
      <c r="GX64" s="49">
        <f t="shared" si="2659"/>
        <v>0.69032880933297225</v>
      </c>
      <c r="GY64" s="49">
        <f t="shared" si="2659"/>
        <v>0.56132408888638585</v>
      </c>
      <c r="GZ64" s="49">
        <f t="shared" ref="GZ64" si="2660">P64*$AE64</f>
        <v>0.91559573387654147</v>
      </c>
      <c r="HA64" s="49">
        <f t="shared" ref="HA64" si="2661">Q64*$AE64</f>
        <v>0.74941295889218917</v>
      </c>
      <c r="HB64" s="49">
        <f t="shared" ref="HB64" si="2662">R64*$AE64</f>
        <v>0.29007974504049772</v>
      </c>
      <c r="HC64" s="49">
        <f t="shared" ref="HC64" si="2663">S64*$AE64</f>
        <v>0.21018172609320959</v>
      </c>
      <c r="HF64" s="151" t="s">
        <v>548</v>
      </c>
      <c r="HG64" s="49">
        <f t="shared" ref="HG64:HR64" si="2664">D64*$AF64</f>
        <v>0.20561244188533581</v>
      </c>
      <c r="HH64" s="49">
        <f t="shared" si="2664"/>
        <v>0.16926791753862749</v>
      </c>
      <c r="HI64" s="49">
        <f t="shared" si="2664"/>
        <v>0.2341544152578735</v>
      </c>
      <c r="HJ64" s="49">
        <f t="shared" si="2664"/>
        <v>0.19132739801963231</v>
      </c>
      <c r="HK64" s="49">
        <f t="shared" si="2664"/>
        <v>0.23544988288051036</v>
      </c>
      <c r="HL64" s="49">
        <f t="shared" si="2664"/>
        <v>0.19261575884303436</v>
      </c>
      <c r="HM64" s="49">
        <f t="shared" si="2664"/>
        <v>0.19175997363127945</v>
      </c>
      <c r="HN64" s="49">
        <f t="shared" si="2664"/>
        <v>0.15658014612117477</v>
      </c>
      <c r="HO64" s="49">
        <f t="shared" si="2664"/>
        <v>0.16644171871894192</v>
      </c>
      <c r="HP64" s="49">
        <f t="shared" si="2664"/>
        <v>0.13556295765843976</v>
      </c>
      <c r="HQ64" s="49">
        <f t="shared" si="2664"/>
        <v>0.30255649976005505</v>
      </c>
      <c r="HR64" s="49">
        <f t="shared" si="2664"/>
        <v>0.24601646239936983</v>
      </c>
      <c r="HS64" s="49">
        <f t="shared" ref="HS64" si="2665">P64*$AF64</f>
        <v>0.40128622287195903</v>
      </c>
      <c r="HT64" s="49">
        <f t="shared" ref="HT64" si="2666">Q64*$AF64</f>
        <v>0.32845183143425988</v>
      </c>
      <c r="HU64" s="49">
        <f t="shared" ref="HU64" si="2667">R64*$AF64</f>
        <v>0.12713580995633847</v>
      </c>
      <c r="HV64" s="49">
        <f t="shared" ref="HV64" si="2668">S64*$AF64</f>
        <v>9.2118200052716204E-2</v>
      </c>
      <c r="HY64" s="345" t="s">
        <v>548</v>
      </c>
      <c r="HZ64" s="338">
        <f t="shared" ref="HZ64:IK64" si="2669">D64*$AG64</f>
        <v>3.282329177263196E-4</v>
      </c>
      <c r="IA64" s="338">
        <f t="shared" si="2669"/>
        <v>2.7021371830283306E-4</v>
      </c>
      <c r="IB64" s="338">
        <f t="shared" si="2669"/>
        <v>3.7379638223183556E-4</v>
      </c>
      <c r="IC64" s="338">
        <f t="shared" si="2669"/>
        <v>3.0542874505615041E-4</v>
      </c>
      <c r="ID64" s="338">
        <f t="shared" si="2669"/>
        <v>3.7586442399866214E-4</v>
      </c>
      <c r="IE64" s="338">
        <f t="shared" si="2669"/>
        <v>3.0748544176317831E-4</v>
      </c>
      <c r="IF64" s="338">
        <f t="shared" si="2669"/>
        <v>3.0611929448908485E-4</v>
      </c>
      <c r="IG64" s="338">
        <f t="shared" si="2669"/>
        <v>2.4995937866458516E-4</v>
      </c>
      <c r="IH64" s="338">
        <f t="shared" si="2669"/>
        <v>2.6570206776187308E-4</v>
      </c>
      <c r="II64" s="338">
        <f t="shared" si="2669"/>
        <v>2.1640823249720209E-4</v>
      </c>
      <c r="IJ64" s="338">
        <f t="shared" si="2669"/>
        <v>4.8299121289891188E-4</v>
      </c>
      <c r="IK64" s="338">
        <f t="shared" si="2669"/>
        <v>3.9273256288199191E-4</v>
      </c>
      <c r="IL64" s="338">
        <f t="shared" ref="IL64" si="2670">P64*$AG64</f>
        <v>6.406000851353692E-4</v>
      </c>
      <c r="IM64" s="338">
        <f t="shared" ref="IM64" si="2671">Q64*$AG64</f>
        <v>5.2432966592723146E-4</v>
      </c>
      <c r="IN64" s="338">
        <f t="shared" ref="IN64" si="2672">R64*$AG64</f>
        <v>2.0295541197229479E-4</v>
      </c>
      <c r="IO64" s="338">
        <f t="shared" ref="IO64" si="2673">S64*$AG64</f>
        <v>1.470544549821636E-4</v>
      </c>
      <c r="IR64" s="345" t="s">
        <v>548</v>
      </c>
      <c r="IS64" s="338">
        <f t="shared" ref="IS64:JD64" si="2674">D64*$AH64</f>
        <v>5.5880846497740132E-2</v>
      </c>
      <c r="IT64" s="338">
        <f t="shared" si="2674"/>
        <v>4.6003220574769986E-2</v>
      </c>
      <c r="IU64" s="338">
        <f t="shared" si="2674"/>
        <v>6.3637914203121607E-2</v>
      </c>
      <c r="IV64" s="338">
        <f t="shared" si="2674"/>
        <v>5.1998492219208541E-2</v>
      </c>
      <c r="IW64" s="338">
        <f t="shared" si="2674"/>
        <v>6.3989993224700156E-2</v>
      </c>
      <c r="IX64" s="338">
        <f t="shared" si="2674"/>
        <v>5.2348639772275302E-2</v>
      </c>
      <c r="IY64" s="338">
        <f t="shared" si="2674"/>
        <v>5.2116056560799311E-2</v>
      </c>
      <c r="IZ64" s="338">
        <f t="shared" si="2674"/>
        <v>4.2554969095063906E-2</v>
      </c>
      <c r="JA64" s="338">
        <f t="shared" si="2674"/>
        <v>4.5235123172848085E-2</v>
      </c>
      <c r="JB64" s="338">
        <f t="shared" si="2674"/>
        <v>3.684296902575325E-2</v>
      </c>
      <c r="JC64" s="338">
        <f t="shared" si="2674"/>
        <v>8.2228065407704262E-2</v>
      </c>
      <c r="JD64" s="338">
        <f t="shared" si="2674"/>
        <v>6.6861752358949617E-2</v>
      </c>
      <c r="JE64" s="338">
        <f t="shared" ref="JE64" si="2675">P64*$AH64</f>
        <v>0.10906058804783429</v>
      </c>
      <c r="JF64" s="338">
        <f t="shared" ref="JF64" si="2676">Q64*$AH64</f>
        <v>8.9265835306382338E-2</v>
      </c>
      <c r="JG64" s="338">
        <f t="shared" ref="JG64" si="2677">R64*$AH64</f>
        <v>3.4552659437301778E-2</v>
      </c>
      <c r="JH64" s="338">
        <f t="shared" ref="JH64" si="2678">S64*$AH64</f>
        <v>2.5035659075848361E-2</v>
      </c>
      <c r="JK64" s="345" t="s">
        <v>548</v>
      </c>
      <c r="JL64" s="338">
        <f t="shared" ref="JL64:JW64" si="2679">D64*$AI64</f>
        <v>1.4172637882616218E-2</v>
      </c>
      <c r="JM64" s="338">
        <f t="shared" si="2679"/>
        <v>1.1667450074628018E-2</v>
      </c>
      <c r="JN64" s="338">
        <f t="shared" si="2679"/>
        <v>1.6140004494067859E-2</v>
      </c>
      <c r="JO64" s="338">
        <f t="shared" si="2679"/>
        <v>1.318798563108171E-2</v>
      </c>
      <c r="JP64" s="338">
        <f t="shared" si="2679"/>
        <v>1.6229299642435024E-2</v>
      </c>
      <c r="JQ64" s="338">
        <f t="shared" si="2679"/>
        <v>1.3276790915649117E-2</v>
      </c>
      <c r="JR64" s="338">
        <f t="shared" si="2679"/>
        <v>1.3217802588871381E-2</v>
      </c>
      <c r="JS64" s="338">
        <f t="shared" si="2679"/>
        <v>1.0792896043810925E-2</v>
      </c>
      <c r="JT64" s="338">
        <f t="shared" si="2679"/>
        <v>1.1472643320287643E-2</v>
      </c>
      <c r="JU64" s="338">
        <f t="shared" si="2679"/>
        <v>9.3442045217329173E-3</v>
      </c>
      <c r="JV64" s="338">
        <f t="shared" si="2679"/>
        <v>2.0854884416588122E-2</v>
      </c>
      <c r="JW64" s="338">
        <f t="shared" si="2679"/>
        <v>1.6957642265116288E-2</v>
      </c>
      <c r="JX64" s="338">
        <f t="shared" ref="JX64" si="2680">P64*$AI64</f>
        <v>2.7660214877554625E-2</v>
      </c>
      <c r="JY64" s="338">
        <f t="shared" ref="JY64" si="2681">Q64*$AI64</f>
        <v>2.2639820947196593E-2</v>
      </c>
      <c r="JZ64" s="338">
        <f t="shared" ref="JZ64" si="2682">R64*$AI64</f>
        <v>8.7633305645440415E-3</v>
      </c>
      <c r="KA64" s="338">
        <f t="shared" ref="KA64" si="2683">S64*$AI64</f>
        <v>6.3496054994260382E-3</v>
      </c>
      <c r="KD64" s="345" t="s">
        <v>548</v>
      </c>
      <c r="KE64" s="338">
        <f t="shared" ref="KE64:KP64" si="2684">D64*$AJ64</f>
        <v>4.0536768139010403E-3</v>
      </c>
      <c r="KF64" s="338">
        <f t="shared" si="2684"/>
        <v>3.3371396515309028E-3</v>
      </c>
      <c r="KG64" s="338">
        <f t="shared" si="2684"/>
        <v>4.6163856394095641E-3</v>
      </c>
      <c r="KH64" s="338">
        <f t="shared" si="2684"/>
        <v>3.7720452619726089E-3</v>
      </c>
      <c r="KI64" s="338">
        <f t="shared" si="2684"/>
        <v>4.6419259569939015E-3</v>
      </c>
      <c r="KJ64" s="338">
        <f t="shared" si="2684"/>
        <v>3.7974454680587554E-3</v>
      </c>
      <c r="KK64" s="338">
        <f t="shared" si="2684"/>
        <v>3.7805735480583844E-3</v>
      </c>
      <c r="KL64" s="338">
        <f t="shared" si="2684"/>
        <v>3.0869985397216932E-3</v>
      </c>
      <c r="KM64" s="338">
        <f t="shared" si="2684"/>
        <v>3.2814207635016323E-3</v>
      </c>
      <c r="KN64" s="338">
        <f t="shared" si="2684"/>
        <v>2.6726418559355567E-3</v>
      </c>
      <c r="KO64" s="338">
        <f t="shared" si="2684"/>
        <v>5.9649418912905861E-3</v>
      </c>
      <c r="KP64" s="338">
        <f t="shared" si="2684"/>
        <v>4.8502474865914601E-3</v>
      </c>
      <c r="KQ64" s="338">
        <f t="shared" ref="KQ64" si="2685">P64*$AJ64</f>
        <v>7.9114115978503926E-3</v>
      </c>
      <c r="KR64" s="338">
        <f t="shared" ref="KR64" si="2686">Q64*$AJ64</f>
        <v>6.4754718214518215E-3</v>
      </c>
      <c r="KS64" s="338">
        <f t="shared" ref="KS64" si="2687">R64*$AJ64</f>
        <v>2.506499510977765E-3</v>
      </c>
      <c r="KT64" s="338">
        <f t="shared" ref="KT64" si="2688">S64*$AJ64</f>
        <v>1.8161226444664157E-3</v>
      </c>
      <c r="KW64" s="345" t="s">
        <v>548</v>
      </c>
      <c r="KX64" s="338">
        <f t="shared" ref="KX64:LI64" si="2689">D64*$AK64</f>
        <v>5.9635951580348762E-2</v>
      </c>
      <c r="KY64" s="338">
        <f t="shared" si="2689"/>
        <v>4.909456471544385E-2</v>
      </c>
      <c r="KZ64" s="338">
        <f t="shared" si="2689"/>
        <v>6.7914282047342039E-2</v>
      </c>
      <c r="LA64" s="338">
        <f t="shared" si="2689"/>
        <v>5.5492709194397555E-2</v>
      </c>
      <c r="LB64" s="338">
        <f t="shared" si="2689"/>
        <v>6.8290020225971165E-2</v>
      </c>
      <c r="LC64" s="338">
        <f t="shared" si="2689"/>
        <v>5.5866386112865707E-2</v>
      </c>
      <c r="LD64" s="338">
        <f t="shared" si="2689"/>
        <v>5.5618173675021816E-2</v>
      </c>
      <c r="LE64" s="338">
        <f t="shared" si="2689"/>
        <v>4.541459615432096E-2</v>
      </c>
      <c r="LF64" s="338">
        <f t="shared" si="2689"/>
        <v>4.8274852374975662E-2</v>
      </c>
      <c r="LG64" s="338">
        <f t="shared" si="2689"/>
        <v>3.9318758655257045E-2</v>
      </c>
      <c r="LH64" s="338">
        <f t="shared" si="2689"/>
        <v>8.7753662203343935E-2</v>
      </c>
      <c r="LI64" s="338">
        <f t="shared" si="2689"/>
        <v>7.1354757061828714E-2</v>
      </c>
      <c r="LJ64" s="338">
        <f t="shared" ref="LJ64" si="2690">P64*$AK64</f>
        <v>0.1163892882046451</v>
      </c>
      <c r="LK64" s="338">
        <f t="shared" ref="LK64" si="2691">Q64*$AK64</f>
        <v>9.5264359181210484E-2</v>
      </c>
      <c r="LL64" s="338">
        <f t="shared" ref="LL64" si="2692">R64*$AK64</f>
        <v>3.6874543861080224E-2</v>
      </c>
      <c r="LM64" s="338">
        <f t="shared" ref="LM64" si="2693">S64*$AK64</f>
        <v>2.6718016028797829E-2</v>
      </c>
      <c r="LP64" s="345" t="s">
        <v>548</v>
      </c>
      <c r="LQ64" s="338">
        <f t="shared" ref="LQ64:MB64" si="2694">D64*$AL64</f>
        <v>5.9893534094216942E-6</v>
      </c>
      <c r="LR64" s="338">
        <f t="shared" si="2694"/>
        <v>4.9306616356468307E-6</v>
      </c>
      <c r="LS64" s="338">
        <f t="shared" si="2694"/>
        <v>6.8207620730363436E-6</v>
      </c>
      <c r="LT64" s="338">
        <f t="shared" si="2694"/>
        <v>5.5732396013453178E-6</v>
      </c>
      <c r="LU64" s="338">
        <f t="shared" si="2694"/>
        <v>6.858498181567959E-6</v>
      </c>
      <c r="LV64" s="338">
        <f t="shared" si="2694"/>
        <v>5.6107686935512833E-6</v>
      </c>
      <c r="LW64" s="338">
        <f t="shared" si="2694"/>
        <v>5.5858402406388113E-6</v>
      </c>
      <c r="LX64" s="338">
        <f t="shared" si="2694"/>
        <v>4.5610753095456997E-6</v>
      </c>
      <c r="LY64" s="338">
        <f t="shared" si="2694"/>
        <v>4.8483363474435654E-6</v>
      </c>
      <c r="LZ64" s="338">
        <f t="shared" si="2694"/>
        <v>3.9488586157429986E-6</v>
      </c>
      <c r="MA64" s="338">
        <f t="shared" si="2694"/>
        <v>8.813269210581848E-6</v>
      </c>
      <c r="MB64" s="338">
        <f t="shared" si="2694"/>
        <v>7.1662956012518313E-6</v>
      </c>
      <c r="MC64" s="338">
        <f t="shared" ref="MC64" si="2695">P64*$AL64</f>
        <v>1.1689200250111587E-5</v>
      </c>
      <c r="MD64" s="338">
        <f t="shared" ref="MD64" si="2696">Q64*$AL64</f>
        <v>9.56758296527913E-6</v>
      </c>
      <c r="ME64" s="338">
        <f t="shared" ref="ME64" si="2697">R64*$AL64</f>
        <v>3.7033814191372215E-6</v>
      </c>
      <c r="MF64" s="338">
        <f t="shared" ref="MF64" si="2698">S64*$AL64</f>
        <v>2.6833417788171042E-6</v>
      </c>
      <c r="MI64" s="345" t="s">
        <v>548</v>
      </c>
      <c r="MJ64" s="338">
        <f t="shared" ref="MJ64:MU64" si="2699">D64*$AM64</f>
        <v>5.3902500798835233E-4</v>
      </c>
      <c r="MK64" s="338">
        <f t="shared" si="2699"/>
        <v>4.4374571775336532E-4</v>
      </c>
      <c r="ML64" s="338">
        <f t="shared" si="2699"/>
        <v>6.138494557895956E-4</v>
      </c>
      <c r="MM64" s="338">
        <f t="shared" si="2699"/>
        <v>5.0157593237200977E-4</v>
      </c>
      <c r="MN64" s="338">
        <f t="shared" si="2699"/>
        <v>6.1724559971570048E-4</v>
      </c>
      <c r="MO64" s="338">
        <f t="shared" si="2699"/>
        <v>5.0495344540944277E-4</v>
      </c>
      <c r="MP64" s="338">
        <f t="shared" si="2699"/>
        <v>5.0270995456631689E-4</v>
      </c>
      <c r="MQ64" s="338">
        <f t="shared" si="2699"/>
        <v>4.1048398501512584E-4</v>
      </c>
      <c r="MR64" s="338">
        <f t="shared" si="2699"/>
        <v>4.3633667271995608E-4</v>
      </c>
      <c r="MS64" s="338">
        <f t="shared" si="2699"/>
        <v>3.5538619971020645E-4</v>
      </c>
      <c r="MT64" s="338">
        <f t="shared" si="2699"/>
        <v>7.9316950961090061E-4</v>
      </c>
      <c r="MU64" s="338">
        <f t="shared" si="2699"/>
        <v>6.449465041810981E-4</v>
      </c>
      <c r="MV64" s="338">
        <f t="shared" ref="MV64" si="2700">P64*$AM64</f>
        <v>1.0519952367950556E-3</v>
      </c>
      <c r="MW64" s="338">
        <f t="shared" ref="MW64" si="2701">Q64*$AM64</f>
        <v>8.6105563184436643E-4</v>
      </c>
      <c r="MX64" s="338">
        <f t="shared" ref="MX64" si="2702">R64*$AM64</f>
        <v>3.3329394052689608E-4</v>
      </c>
      <c r="MY64" s="338">
        <f t="shared" ref="MY64" si="2703">S64*$AM64</f>
        <v>2.4149323389184113E-4</v>
      </c>
      <c r="NB64" s="345" t="s">
        <v>548</v>
      </c>
      <c r="NC64" s="338">
        <f t="shared" ref="NC64:NN64" si="2704">D64*$AN64</f>
        <v>5.1720328936782477E-4</v>
      </c>
      <c r="ND64" s="338">
        <f t="shared" si="2704"/>
        <v>4.2578125590396769E-4</v>
      </c>
      <c r="NE64" s="338">
        <f t="shared" si="2704"/>
        <v>5.8899856779537092E-4</v>
      </c>
      <c r="NF64" s="338">
        <f t="shared" si="2704"/>
        <v>4.8127029033158083E-4</v>
      </c>
      <c r="NG64" s="338">
        <f t="shared" si="2704"/>
        <v>5.9225722330061975E-4</v>
      </c>
      <c r="NH64" s="338">
        <f t="shared" si="2704"/>
        <v>4.8451106919518574E-4</v>
      </c>
      <c r="NI64" s="338">
        <f t="shared" si="2704"/>
        <v>4.8235840312861172E-4</v>
      </c>
      <c r="NJ64" s="338">
        <f t="shared" si="2704"/>
        <v>3.9386608067584051E-4</v>
      </c>
      <c r="NK64" s="338">
        <f t="shared" si="2704"/>
        <v>4.1867215631570439E-4</v>
      </c>
      <c r="NL64" s="338">
        <f t="shared" si="2704"/>
        <v>3.4099885675438138E-4</v>
      </c>
      <c r="NM64" s="338">
        <f t="shared" si="2704"/>
        <v>7.6105908504691636E-4</v>
      </c>
      <c r="NN64" s="338">
        <f t="shared" si="2704"/>
        <v>6.1883669307593876E-4</v>
      </c>
      <c r="NO64" s="338">
        <f t="shared" ref="NO64" si="2705">P64*$AN64</f>
        <v>1.0094065930266517E-3</v>
      </c>
      <c r="NP64" s="338">
        <f t="shared" ref="NP64" si="2706">Q64*$AN64</f>
        <v>8.2619692689327E-4</v>
      </c>
      <c r="NQ64" s="338">
        <f t="shared" ref="NQ64" si="2707">R64*$AN64</f>
        <v>3.1980097363237684E-4</v>
      </c>
      <c r="NR64" s="338">
        <f t="shared" ref="NR64" si="2708">S64*$AN64</f>
        <v>2.3171669788581059E-4</v>
      </c>
    </row>
    <row r="65" spans="2:382" ht="12.75" customHeight="1" x14ac:dyDescent="0.2">
      <c r="B65" s="734"/>
      <c r="C65" s="117" t="s">
        <v>446</v>
      </c>
      <c r="D65" s="142">
        <f t="shared" ref="D65:O65" si="2709">SUM(D66:D67)</f>
        <v>27.311172386176857</v>
      </c>
      <c r="E65" s="125">
        <f t="shared" si="2709"/>
        <v>21.880539909758987</v>
      </c>
      <c r="F65" s="142">
        <f t="shared" si="2709"/>
        <v>32.991559907765264</v>
      </c>
      <c r="G65" s="125">
        <f t="shared" si="2709"/>
        <v>25.857234511649633</v>
      </c>
      <c r="H65" s="142">
        <f t="shared" si="2709"/>
        <v>32.302059186943637</v>
      </c>
      <c r="I65" s="125">
        <f t="shared" si="2709"/>
        <v>25.374532621317272</v>
      </c>
      <c r="J65" s="142">
        <f t="shared" si="2709"/>
        <v>28.507387660672329</v>
      </c>
      <c r="K65" s="125">
        <f t="shared" si="2709"/>
        <v>22.710513381500235</v>
      </c>
      <c r="L65" s="142">
        <f t="shared" si="2709"/>
        <v>26.619806997039447</v>
      </c>
      <c r="M65" s="125">
        <f t="shared" si="2709"/>
        <v>21.384300695476057</v>
      </c>
      <c r="N65" s="124">
        <f t="shared" si="2709"/>
        <v>41.475130787754608</v>
      </c>
      <c r="O65" s="125">
        <f t="shared" si="2709"/>
        <v>31.800627453086626</v>
      </c>
      <c r="P65" s="142">
        <f>SUM(P66:P67)</f>
        <v>47.648928632885145</v>
      </c>
      <c r="Q65" s="125">
        <f t="shared" ref="Q65" si="2710">SUM(Q66:Q67)</f>
        <v>36.548602010118998</v>
      </c>
      <c r="R65" s="142">
        <f>SUM(R66:R67)</f>
        <v>27.745750521560762</v>
      </c>
      <c r="S65" s="125">
        <f>SUM(S66:S67)</f>
        <v>20.207865093194638</v>
      </c>
      <c r="T65" s="109"/>
      <c r="U65" s="109"/>
      <c r="V65" s="117" t="s">
        <v>446</v>
      </c>
      <c r="W65" s="97"/>
      <c r="X65" s="97"/>
      <c r="Y65" s="97"/>
      <c r="Z65" s="97"/>
      <c r="AA65" s="97"/>
      <c r="AB65" s="97"/>
      <c r="AC65" s="97"/>
      <c r="AD65" s="97"/>
      <c r="AE65" s="97"/>
      <c r="AF65" s="97"/>
      <c r="AG65" s="329"/>
      <c r="AH65" s="329"/>
      <c r="AI65" s="329"/>
      <c r="AJ65" s="329"/>
      <c r="AK65" s="329"/>
      <c r="AL65" s="329"/>
      <c r="AM65" s="329"/>
      <c r="AN65" s="329"/>
      <c r="AO65" s="109"/>
      <c r="AQ65" s="117" t="s">
        <v>446</v>
      </c>
      <c r="AR65" s="56">
        <f>AR66+AR67</f>
        <v>52.454659193574955</v>
      </c>
      <c r="AS65" s="57">
        <f t="shared" ref="AS65" si="2711">AS66+AS67</f>
        <v>43.954124230728951</v>
      </c>
      <c r="AT65" s="56">
        <f>AT66+AT67</f>
        <v>61.154218670648973</v>
      </c>
      <c r="AU65" s="57">
        <f t="shared" ref="AU65" si="2712">AU66+AU67</f>
        <v>49.987339729021414</v>
      </c>
      <c r="AV65" s="56">
        <f>AV66+AV67</f>
        <v>60.098242734592446</v>
      </c>
      <c r="AW65" s="57">
        <f t="shared" ref="AW65" si="2713">AW66+AW67</f>
        <v>49.255011799080883</v>
      </c>
      <c r="AX65" s="56">
        <f>AX66+AX67</f>
        <v>54.256898377811439</v>
      </c>
      <c r="AY65" s="57">
        <f t="shared" ref="AY65" si="2714">AY66+AY67</f>
        <v>45.183485422077837</v>
      </c>
      <c r="AZ65" s="56">
        <f>AZ66+AZ67</f>
        <v>51.347049384048091</v>
      </c>
      <c r="BA65" s="57">
        <f t="shared" ref="BA65" si="2715">BA66+BA67</f>
        <v>43.152392815016839</v>
      </c>
      <c r="BB65" s="56">
        <f>BB66+BB67</f>
        <v>74.16386837264595</v>
      </c>
      <c r="BC65" s="57">
        <f t="shared" ref="BC65:BE65" si="2716">BC66+BC67</f>
        <v>59.021341031384345</v>
      </c>
      <c r="BD65" s="56">
        <f>BD66+BD67</f>
        <v>85.261092832491826</v>
      </c>
      <c r="BE65" s="57">
        <f t="shared" si="2716"/>
        <v>67.886111616804087</v>
      </c>
      <c r="BF65" s="56">
        <f>BF66+BF67</f>
        <v>41.57974490327932</v>
      </c>
      <c r="BG65" s="57">
        <f t="shared" ref="BG65" si="2717">BG66+BG67</f>
        <v>29.568170131777386</v>
      </c>
      <c r="BI65" s="156"/>
      <c r="BJ65" s="117" t="s">
        <v>446</v>
      </c>
      <c r="BK65" s="56">
        <f t="shared" ref="BK65" si="2718">BK66+BK67</f>
        <v>7.3527671227617848</v>
      </c>
      <c r="BL65" s="56">
        <f t="shared" ref="BL65:BM65" si="2719">BL66+BL67</f>
        <v>6.0199291587964092</v>
      </c>
      <c r="BM65" s="56">
        <f t="shared" si="2719"/>
        <v>8.7340522315752409</v>
      </c>
      <c r="BN65" s="56">
        <f t="shared" ref="BN65:BV65" si="2720">BN66+BN67</f>
        <v>6.9831067778048732</v>
      </c>
      <c r="BO65" s="56">
        <f t="shared" si="2720"/>
        <v>8.5663881286302477</v>
      </c>
      <c r="BP65" s="56">
        <f t="shared" si="2720"/>
        <v>6.8661936869177413</v>
      </c>
      <c r="BQ65" s="56">
        <f t="shared" si="2720"/>
        <v>7.6416540916905511</v>
      </c>
      <c r="BR65" s="56">
        <f t="shared" si="2720"/>
        <v>6.2189561973541485</v>
      </c>
      <c r="BS65" s="56">
        <f t="shared" si="2720"/>
        <v>7.1813835438557128</v>
      </c>
      <c r="BT65" s="56">
        <f t="shared" si="2720"/>
        <v>5.8964653572946322</v>
      </c>
      <c r="BU65" s="56">
        <f t="shared" si="2720"/>
        <v>10.798117923569805</v>
      </c>
      <c r="BV65" s="56">
        <f t="shared" si="2720"/>
        <v>8.4237694959069813</v>
      </c>
      <c r="BW65" s="56">
        <f t="shared" ref="BW65:BZ65" si="2721">BW66+BW67</f>
        <v>12.409328375937806</v>
      </c>
      <c r="BX65" s="56">
        <f t="shared" si="2721"/>
        <v>9.6849990849127554</v>
      </c>
      <c r="BY65" s="56">
        <f t="shared" si="2721"/>
        <v>6.6857237776507956</v>
      </c>
      <c r="BZ65" s="56">
        <f t="shared" si="2721"/>
        <v>4.8214704575564857</v>
      </c>
      <c r="CA65" s="156"/>
      <c r="CB65" s="156"/>
      <c r="CC65" s="117" t="s">
        <v>446</v>
      </c>
      <c r="CD65" s="56">
        <f t="shared" ref="CD65:CO65" si="2722">CD66+CD67</f>
        <v>30.525898549987488</v>
      </c>
      <c r="CE65" s="56">
        <f t="shared" si="2722"/>
        <v>25.383616947865832</v>
      </c>
      <c r="CF65" s="56">
        <f t="shared" si="2722"/>
        <v>35.812423234070351</v>
      </c>
      <c r="CG65" s="56">
        <f t="shared" si="2722"/>
        <v>29.057119391241422</v>
      </c>
      <c r="CH65" s="56">
        <f t="shared" si="2722"/>
        <v>35.170730644178676</v>
      </c>
      <c r="CI65" s="56">
        <f t="shared" si="2722"/>
        <v>28.611219780867795</v>
      </c>
      <c r="CJ65" s="56">
        <f t="shared" si="2722"/>
        <v>31.624859489139311</v>
      </c>
      <c r="CK65" s="56">
        <f t="shared" si="2722"/>
        <v>26.135973778843614</v>
      </c>
      <c r="CL65" s="56">
        <f t="shared" si="2722"/>
        <v>29.85902372502747</v>
      </c>
      <c r="CM65" s="56">
        <f t="shared" si="2722"/>
        <v>24.901723304779832</v>
      </c>
      <c r="CN65" s="56">
        <f t="shared" si="2722"/>
        <v>43.715933945630127</v>
      </c>
      <c r="CO65" s="221">
        <f t="shared" si="2722"/>
        <v>34.555557165802661</v>
      </c>
      <c r="CP65" s="56">
        <f t="shared" ref="CP65:CS65" si="2723">CP66+CP67</f>
        <v>50.250941696619364</v>
      </c>
      <c r="CQ65" s="56">
        <f t="shared" si="2723"/>
        <v>39.740149916786308</v>
      </c>
      <c r="CR65" s="56">
        <f t="shared" si="2723"/>
        <v>25.383023702440635</v>
      </c>
      <c r="CS65" s="221">
        <f t="shared" si="2723"/>
        <v>18.143199212482969</v>
      </c>
      <c r="CV65" s="117" t="s">
        <v>446</v>
      </c>
      <c r="CW65" s="56">
        <f t="shared" ref="CW65:DG65" si="2724">CW66+CW67</f>
        <v>1.7451159687107559E-2</v>
      </c>
      <c r="CX65" s="56">
        <f t="shared" si="2724"/>
        <v>1.5132036799739786E-2</v>
      </c>
      <c r="CY65" s="56">
        <f t="shared" si="2724"/>
        <v>1.9762476529042727E-2</v>
      </c>
      <c r="CZ65" s="56">
        <f t="shared" si="2724"/>
        <v>1.6716060547487904E-2</v>
      </c>
      <c r="DA65" s="56">
        <f t="shared" si="2724"/>
        <v>1.9481922672020702E-2</v>
      </c>
      <c r="DB65" s="56">
        <f t="shared" si="2724"/>
        <v>1.6523787483067556E-2</v>
      </c>
      <c r="DC65" s="56">
        <f t="shared" si="2724"/>
        <v>1.7920134783414369E-2</v>
      </c>
      <c r="DD65" s="56">
        <f t="shared" si="2724"/>
        <v>1.544484764910534E-2</v>
      </c>
      <c r="DE65" s="56">
        <f t="shared" si="2724"/>
        <v>1.7140754765269571E-2</v>
      </c>
      <c r="DF65" s="56">
        <f t="shared" si="2724"/>
        <v>1.4905227043591729E-2</v>
      </c>
      <c r="DG65" s="56">
        <f t="shared" si="2724"/>
        <v>2.3224527005002563E-2</v>
      </c>
      <c r="DH65" s="56">
        <f>DH66+DH67</f>
        <v>1.9093625480544225E-2</v>
      </c>
      <c r="DI65" s="56">
        <f t="shared" ref="DI65:DL65" si="2725">DI66+DI67</f>
        <v>2.67159363761592E-2</v>
      </c>
      <c r="DJ65" s="56">
        <f t="shared" si="2725"/>
        <v>2.1975773805738126E-2</v>
      </c>
      <c r="DK65" s="56">
        <f t="shared" si="2725"/>
        <v>1.0744994570944267E-2</v>
      </c>
      <c r="DL65" s="56">
        <f t="shared" si="2725"/>
        <v>7.3991990459830771E-3</v>
      </c>
      <c r="DO65" s="117" t="s">
        <v>446</v>
      </c>
      <c r="DP65" s="56">
        <f t="shared" ref="DP65:EA65" si="2726">DP66+DP67</f>
        <v>4.445006325681973E-2</v>
      </c>
      <c r="DQ65" s="56">
        <f t="shared" si="2726"/>
        <v>3.6500125174765322E-2</v>
      </c>
      <c r="DR65" s="56">
        <f t="shared" si="2726"/>
        <v>5.2677240927944374E-2</v>
      </c>
      <c r="DS65" s="56">
        <f t="shared" si="2726"/>
        <v>4.2233456457033955E-2</v>
      </c>
      <c r="DT65" s="56">
        <f t="shared" si="2726"/>
        <v>5.1678603966467888E-2</v>
      </c>
      <c r="DU65" s="56">
        <f t="shared" si="2726"/>
        <v>4.1537529280092342E-2</v>
      </c>
      <c r="DV65" s="56">
        <f t="shared" si="2726"/>
        <v>4.6168887981376534E-2</v>
      </c>
      <c r="DW65" s="56">
        <f t="shared" si="2726"/>
        <v>3.7682989434262834E-2</v>
      </c>
      <c r="DX65" s="56">
        <f t="shared" si="2726"/>
        <v>4.3426262938322101E-2</v>
      </c>
      <c r="DY65" s="56">
        <f t="shared" si="2726"/>
        <v>3.5762177919156396E-2</v>
      </c>
      <c r="DZ65" s="56">
        <f t="shared" si="2726"/>
        <v>6.4972228530029513E-2</v>
      </c>
      <c r="EA65" s="56">
        <f t="shared" si="2726"/>
        <v>5.0810080403406163E-2</v>
      </c>
      <c r="EB65" s="56">
        <f t="shared" ref="EB65:EE65" si="2727">EB66+EB67</f>
        <v>7.4670190058261421E-2</v>
      </c>
      <c r="EC65" s="56">
        <f t="shared" si="2727"/>
        <v>5.8420483717029972E-2</v>
      </c>
      <c r="ED65" s="56">
        <f t="shared" si="2727"/>
        <v>3.9765013669320573E-2</v>
      </c>
      <c r="EE65" s="56">
        <f t="shared" si="2727"/>
        <v>2.8632364355810836E-2</v>
      </c>
      <c r="EH65" s="117" t="s">
        <v>446</v>
      </c>
      <c r="EI65" s="56">
        <f t="shared" ref="EI65:ET65" si="2728">EI66+EI67</f>
        <v>7.2256656751001028E-2</v>
      </c>
      <c r="EJ65" s="56">
        <f t="shared" si="2728"/>
        <v>6.3097337330594319E-2</v>
      </c>
      <c r="EK65" s="56">
        <f t="shared" si="2728"/>
        <v>8.1319219891835229E-2</v>
      </c>
      <c r="EL65" s="56">
        <f t="shared" si="2728"/>
        <v>6.9287623818461028E-2</v>
      </c>
      <c r="EM65" s="56">
        <f t="shared" si="2728"/>
        <v>8.021918159438661E-2</v>
      </c>
      <c r="EN65" s="56">
        <f t="shared" si="2728"/>
        <v>6.8536230189196287E-2</v>
      </c>
      <c r="EO65" s="56">
        <f t="shared" si="2728"/>
        <v>7.4084751245560174E-2</v>
      </c>
      <c r="EP65" s="56">
        <f t="shared" si="2728"/>
        <v>6.4308801653103889E-2</v>
      </c>
      <c r="EQ65" s="56">
        <f t="shared" si="2728"/>
        <v>7.1021987861751068E-2</v>
      </c>
      <c r="ER65" s="56">
        <f t="shared" si="2728"/>
        <v>6.2192979622176806E-2</v>
      </c>
      <c r="ES65" s="56">
        <f t="shared" si="2728"/>
        <v>9.4899880957491231E-2</v>
      </c>
      <c r="ET65" s="56">
        <f t="shared" si="2728"/>
        <v>7.8585299200759018E-2</v>
      </c>
      <c r="EU65" s="56">
        <f t="shared" ref="EU65:EX65" si="2729">EU66+EU67</f>
        <v>0.10918152250586885</v>
      </c>
      <c r="EV65" s="56">
        <f t="shared" si="2729"/>
        <v>9.0460465532560347E-2</v>
      </c>
      <c r="EW65" s="56">
        <f t="shared" si="2729"/>
        <v>4.1801412415958618E-2</v>
      </c>
      <c r="EX65" s="56">
        <f t="shared" si="2729"/>
        <v>2.8514252704397679E-2</v>
      </c>
      <c r="FA65" s="117" t="s">
        <v>446</v>
      </c>
      <c r="FB65" s="485">
        <f t="shared" ref="FB65:FM65" si="2730">FB66+FB67</f>
        <v>4.2312655498053442E-3</v>
      </c>
      <c r="FC65" s="485">
        <f t="shared" si="2730"/>
        <v>3.7068901081128932E-3</v>
      </c>
      <c r="FD65" s="485">
        <f t="shared" si="2730"/>
        <v>4.7482321164288646E-3</v>
      </c>
      <c r="FE65" s="485">
        <f t="shared" si="2730"/>
        <v>4.059421700980578E-3</v>
      </c>
      <c r="FF65" s="485">
        <f t="shared" si="2730"/>
        <v>4.6854813236400106E-3</v>
      </c>
      <c r="FG65" s="485">
        <f t="shared" si="2730"/>
        <v>4.0166304677291724E-3</v>
      </c>
      <c r="FH65" s="485">
        <f t="shared" si="2730"/>
        <v>4.3352410966574885E-3</v>
      </c>
      <c r="FI65" s="485">
        <f t="shared" si="2730"/>
        <v>3.7755671582001909E-3</v>
      </c>
      <c r="FJ65" s="485">
        <f t="shared" si="2730"/>
        <v>4.1603325359086431E-3</v>
      </c>
      <c r="FK65" s="485">
        <f t="shared" si="2730"/>
        <v>3.654871938331479E-3</v>
      </c>
      <c r="FL65" s="485">
        <f t="shared" si="2730"/>
        <v>5.523104905705822E-3</v>
      </c>
      <c r="FM65" s="485">
        <f t="shared" si="2730"/>
        <v>4.5890961389887502E-3</v>
      </c>
      <c r="FN65" s="485">
        <f t="shared" ref="FN65:FQ65" si="2731">FN66+FN67</f>
        <v>6.3546992894562377E-3</v>
      </c>
      <c r="FO65" s="485">
        <f t="shared" si="2731"/>
        <v>5.2829126037859013E-3</v>
      </c>
      <c r="FP65" s="485">
        <f t="shared" si="2731"/>
        <v>2.3751244027163335E-3</v>
      </c>
      <c r="FQ65" s="485">
        <f t="shared" si="2731"/>
        <v>1.6123573834378141E-3</v>
      </c>
      <c r="FT65" s="117" t="s">
        <v>446</v>
      </c>
      <c r="FU65" s="56">
        <f t="shared" ref="FU65:GF65" si="2732">FU66+FU67</f>
        <v>0.16828009370246294</v>
      </c>
      <c r="FV65" s="56">
        <f t="shared" si="2732"/>
        <v>0.14614674172343931</v>
      </c>
      <c r="FW65" s="56">
        <f t="shared" si="2732"/>
        <v>0.1903047557030714</v>
      </c>
      <c r="FX65" s="56">
        <f t="shared" si="2732"/>
        <v>0.16123030799694565</v>
      </c>
      <c r="FY65" s="56">
        <f t="shared" si="2732"/>
        <v>0.18763134297065531</v>
      </c>
      <c r="FZ65" s="56">
        <f t="shared" si="2732"/>
        <v>0.15939942413935365</v>
      </c>
      <c r="GA65" s="56">
        <f t="shared" si="2732"/>
        <v>0.17274341547570304</v>
      </c>
      <c r="GB65" s="56">
        <f t="shared" si="2732"/>
        <v>0.14911972685945532</v>
      </c>
      <c r="GC65" s="56">
        <f t="shared" si="2732"/>
        <v>0.16531310826588061</v>
      </c>
      <c r="GD65" s="56">
        <f t="shared" si="2732"/>
        <v>0.14397765560705608</v>
      </c>
      <c r="GE65" s="56">
        <f t="shared" si="2732"/>
        <v>0.22329799727207578</v>
      </c>
      <c r="GF65" s="56">
        <f t="shared" si="2732"/>
        <v>0.1838734712573647</v>
      </c>
      <c r="GG65" s="56">
        <f t="shared" ref="GG65:GJ65" si="2733">GG66+GG67</f>
        <v>0.25687483838757358</v>
      </c>
      <c r="GH65" s="56">
        <f t="shared" si="2733"/>
        <v>0.21163550795730107</v>
      </c>
      <c r="GI65" s="56">
        <f t="shared" si="2733"/>
        <v>0.10221890224585564</v>
      </c>
      <c r="GJ65" s="56">
        <f t="shared" si="2733"/>
        <v>7.0249274658025787E-2</v>
      </c>
      <c r="GM65" s="117" t="s">
        <v>446</v>
      </c>
      <c r="GN65" s="56">
        <f t="shared" ref="GN65:GY65" si="2734">GN66+GN67</f>
        <v>0.74585361756253943</v>
      </c>
      <c r="GO65" s="56">
        <f t="shared" si="2734"/>
        <v>0.6317423961478823</v>
      </c>
      <c r="GP65" s="56">
        <f t="shared" si="2734"/>
        <v>0.86181186169453505</v>
      </c>
      <c r="GQ65" s="56">
        <f t="shared" si="2734"/>
        <v>0.71190949910399892</v>
      </c>
      <c r="GR65" s="56">
        <f t="shared" si="2734"/>
        <v>0.84773653802861326</v>
      </c>
      <c r="GS65" s="56">
        <f t="shared" si="2734"/>
        <v>0.702178600452393</v>
      </c>
      <c r="GT65" s="56">
        <f t="shared" si="2734"/>
        <v>0.76974527416964744</v>
      </c>
      <c r="GU65" s="56">
        <f t="shared" si="2734"/>
        <v>0.64794544614949345</v>
      </c>
      <c r="GV65" s="56">
        <f t="shared" si="2734"/>
        <v>0.73087582597189804</v>
      </c>
      <c r="GW65" s="56">
        <f t="shared" si="2734"/>
        <v>0.62087264531250197</v>
      </c>
      <c r="GX65" s="56">
        <f t="shared" si="2734"/>
        <v>1.0352948264188433</v>
      </c>
      <c r="GY65" s="56">
        <f t="shared" si="2734"/>
        <v>0.83202538725457587</v>
      </c>
      <c r="GZ65" s="56">
        <f t="shared" ref="GZ65:HC65" si="2735">GZ66+GZ67</f>
        <v>1.1904235820120326</v>
      </c>
      <c r="HA65" s="56">
        <f t="shared" si="2735"/>
        <v>0.95718300033030157</v>
      </c>
      <c r="HB65" s="56">
        <f t="shared" si="2735"/>
        <v>0.55021485786045354</v>
      </c>
      <c r="HC65" s="56">
        <f t="shared" si="2735"/>
        <v>0.38805798346872444</v>
      </c>
      <c r="HF65" s="117" t="s">
        <v>446</v>
      </c>
      <c r="HG65" s="56">
        <f t="shared" ref="HG65:HR65" si="2736">HG66+HG67</f>
        <v>5.75558351898359</v>
      </c>
      <c r="HH65" s="56">
        <f t="shared" si="2736"/>
        <v>5.0289581036140696</v>
      </c>
      <c r="HI65" s="56">
        <f t="shared" si="2736"/>
        <v>6.4740716797880449</v>
      </c>
      <c r="HJ65" s="56">
        <f t="shared" si="2736"/>
        <v>5.5195843980400472</v>
      </c>
      <c r="HK65" s="56">
        <f t="shared" si="2736"/>
        <v>6.3868596536905828</v>
      </c>
      <c r="HL65" s="56">
        <f t="shared" si="2736"/>
        <v>5.4600308583607413</v>
      </c>
      <c r="HM65" s="56">
        <f t="shared" si="2736"/>
        <v>5.9004408208606476</v>
      </c>
      <c r="HN65" s="56">
        <f t="shared" si="2736"/>
        <v>5.1248979728813699</v>
      </c>
      <c r="HO65" s="56">
        <f t="shared" si="2736"/>
        <v>5.6575738829968421</v>
      </c>
      <c r="HP65" s="56">
        <f t="shared" si="2736"/>
        <v>4.9571537310162404</v>
      </c>
      <c r="HQ65" s="56">
        <f t="shared" si="2736"/>
        <v>7.5508018974611346</v>
      </c>
      <c r="HR65" s="56">
        <f t="shared" si="2736"/>
        <v>6.25653874132444</v>
      </c>
      <c r="HS65" s="56">
        <f t="shared" ref="HS65:HV65" si="2737">HS66+HS67</f>
        <v>8.687236638047187</v>
      </c>
      <c r="HT65" s="56">
        <f t="shared" si="2737"/>
        <v>7.202061945560791</v>
      </c>
      <c r="HU65" s="56">
        <f t="shared" si="2737"/>
        <v>3.3117328472373173</v>
      </c>
      <c r="HV65" s="56">
        <f t="shared" si="2737"/>
        <v>2.2571273168116388</v>
      </c>
      <c r="HY65" s="343" t="s">
        <v>446</v>
      </c>
      <c r="HZ65" s="340">
        <f t="shared" ref="HZ65:IK65" si="2738">HZ66+HZ67</f>
        <v>7.1611042605452761E-3</v>
      </c>
      <c r="IA65" s="340">
        <f t="shared" si="2738"/>
        <v>6.2114508375148616E-3</v>
      </c>
      <c r="IB65" s="340">
        <f t="shared" si="2738"/>
        <v>8.1072633686005476E-3</v>
      </c>
      <c r="IC65" s="340">
        <f t="shared" si="2738"/>
        <v>6.8597926925415493E-3</v>
      </c>
      <c r="ID65" s="340">
        <f t="shared" si="2738"/>
        <v>7.992416030362326E-3</v>
      </c>
      <c r="IE65" s="340">
        <f t="shared" si="2738"/>
        <v>6.7810952137725778E-3</v>
      </c>
      <c r="IF65" s="340">
        <f t="shared" si="2738"/>
        <v>7.3530350960751313E-3</v>
      </c>
      <c r="IG65" s="340">
        <f t="shared" si="2738"/>
        <v>6.3394348765882999E-3</v>
      </c>
      <c r="IH65" s="340">
        <f t="shared" si="2738"/>
        <v>7.0339576634687716E-3</v>
      </c>
      <c r="II65" s="340">
        <f t="shared" si="2738"/>
        <v>6.1185361693529196E-3</v>
      </c>
      <c r="IJ65" s="340">
        <f t="shared" si="2738"/>
        <v>9.5245136991675191E-3</v>
      </c>
      <c r="IK65" s="340">
        <f t="shared" si="2738"/>
        <v>7.8329597449853516E-3</v>
      </c>
      <c r="IL65" s="340">
        <f t="shared" ref="IL65:IO65" si="2739">IL66+IL67</f>
        <v>1.0956429092406097E-2</v>
      </c>
      <c r="IM65" s="340">
        <f t="shared" si="2739"/>
        <v>9.0153889733463333E-3</v>
      </c>
      <c r="IN65" s="340">
        <f t="shared" si="2739"/>
        <v>4.3970765517790406E-3</v>
      </c>
      <c r="IO65" s="340">
        <f t="shared" si="2739"/>
        <v>3.0266829282403107E-3</v>
      </c>
      <c r="IR65" s="343" t="s">
        <v>446</v>
      </c>
      <c r="IS65" s="340">
        <f t="shared" ref="IS65:JD65" si="2740">IS66+IS67</f>
        <v>2.2524170777911365</v>
      </c>
      <c r="IT65" s="340">
        <f t="shared" si="2740"/>
        <v>1.8204395697761364</v>
      </c>
      <c r="IU65" s="340">
        <f t="shared" si="2740"/>
        <v>2.7026799797794658</v>
      </c>
      <c r="IV65" s="340">
        <f t="shared" si="2740"/>
        <v>2.1351864849698745</v>
      </c>
      <c r="IW65" s="340">
        <f t="shared" si="2740"/>
        <v>2.6480258572745674</v>
      </c>
      <c r="IX65" s="340">
        <f t="shared" si="2740"/>
        <v>2.0969816575566593</v>
      </c>
      <c r="IY65" s="340">
        <f t="shared" si="2740"/>
        <v>2.3469912304467178</v>
      </c>
      <c r="IZ65" s="340">
        <f t="shared" si="2740"/>
        <v>1.8858844427096422</v>
      </c>
      <c r="JA65" s="340">
        <f t="shared" si="2740"/>
        <v>2.1972132467104233</v>
      </c>
      <c r="JB65" s="340">
        <f t="shared" si="2740"/>
        <v>1.7807606692737059</v>
      </c>
      <c r="JC65" s="340">
        <f t="shared" si="2740"/>
        <v>3.3752806636994128</v>
      </c>
      <c r="JD65" s="340">
        <f t="shared" si="2740"/>
        <v>2.6057336451233399</v>
      </c>
      <c r="JE65" s="340">
        <f t="shared" ref="JE65:JH65" si="2741">JE66+JE67</f>
        <v>3.8781834927283776</v>
      </c>
      <c r="JF65" s="340">
        <f t="shared" si="2741"/>
        <v>2.9952148039919098</v>
      </c>
      <c r="JG65" s="340">
        <f t="shared" si="2741"/>
        <v>2.1917776479697801</v>
      </c>
      <c r="JH65" s="340">
        <f t="shared" si="2741"/>
        <v>1.5904280860023758</v>
      </c>
      <c r="JK65" s="343" t="s">
        <v>446</v>
      </c>
      <c r="JL65" s="340">
        <f t="shared" ref="JL65:JW65" si="2742">JL66+JL67</f>
        <v>2.9688958014243632</v>
      </c>
      <c r="JM65" s="340">
        <f t="shared" si="2742"/>
        <v>2.6039137073639997</v>
      </c>
      <c r="JN65" s="340">
        <f t="shared" si="2742"/>
        <v>3.3282504309608201</v>
      </c>
      <c r="JO65" s="340">
        <f t="shared" si="2742"/>
        <v>2.8488174000778979</v>
      </c>
      <c r="JP65" s="340">
        <f t="shared" si="2742"/>
        <v>3.2846309991607368</v>
      </c>
      <c r="JQ65" s="340">
        <f t="shared" si="2742"/>
        <v>2.8190903309270081</v>
      </c>
      <c r="JR65" s="340">
        <f t="shared" si="2742"/>
        <v>3.041093980045432</v>
      </c>
      <c r="JS65" s="340">
        <f t="shared" si="2742"/>
        <v>2.6515439782980539</v>
      </c>
      <c r="JT65" s="340">
        <f t="shared" si="2742"/>
        <v>2.9194618136648005</v>
      </c>
      <c r="JU65" s="340">
        <f t="shared" si="2742"/>
        <v>2.567646156800667</v>
      </c>
      <c r="JV65" s="340">
        <f t="shared" si="2742"/>
        <v>3.8669254605081815</v>
      </c>
      <c r="JW65" s="340">
        <f t="shared" si="2742"/>
        <v>3.2168276955192123</v>
      </c>
      <c r="JX65" s="340">
        <f t="shared" ref="JX65:KA65" si="2743">JX66+JX67</f>
        <v>4.4492570616706182</v>
      </c>
      <c r="JY65" s="340">
        <f t="shared" si="2743"/>
        <v>3.7032599299996765</v>
      </c>
      <c r="JZ65" s="340">
        <f t="shared" si="2743"/>
        <v>1.6486244726556667</v>
      </c>
      <c r="KA65" s="340">
        <f t="shared" si="2743"/>
        <v>1.1171929060457466</v>
      </c>
      <c r="KD65" s="343" t="s">
        <v>446</v>
      </c>
      <c r="KE65" s="340">
        <f t="shared" ref="KE65:KP65" si="2744">KE66+KE67</f>
        <v>0.17142210920064235</v>
      </c>
      <c r="KF65" s="340">
        <f t="shared" si="2744"/>
        <v>0.14996558664953022</v>
      </c>
      <c r="KG65" s="340">
        <f t="shared" si="2744"/>
        <v>0.19260936601729015</v>
      </c>
      <c r="KH65" s="340">
        <f t="shared" si="2744"/>
        <v>0.16442437602580334</v>
      </c>
      <c r="KI65" s="340">
        <f t="shared" si="2744"/>
        <v>0.19003759977919618</v>
      </c>
      <c r="KJ65" s="340">
        <f t="shared" si="2744"/>
        <v>0.16266932926900024</v>
      </c>
      <c r="KK65" s="340">
        <f t="shared" si="2744"/>
        <v>0.17568900150000863</v>
      </c>
      <c r="KL65" s="340">
        <f t="shared" si="2744"/>
        <v>0.15278805613866614</v>
      </c>
      <c r="KM65" s="340">
        <f t="shared" si="2744"/>
        <v>0.16852414396703319</v>
      </c>
      <c r="KN65" s="340">
        <f t="shared" si="2744"/>
        <v>0.14784150440685229</v>
      </c>
      <c r="KO65" s="340">
        <f t="shared" si="2744"/>
        <v>0.2243634172690098</v>
      </c>
      <c r="KP65" s="340">
        <f t="shared" si="2744"/>
        <v>0.18614525708361221</v>
      </c>
      <c r="KQ65" s="340">
        <f t="shared" ref="KQ65:KT65" si="2745">KQ66+KQ67</f>
        <v>0.25813765697185548</v>
      </c>
      <c r="KR65" s="340">
        <f t="shared" si="2745"/>
        <v>0.21428197598621559</v>
      </c>
      <c r="KS65" s="340">
        <f t="shared" si="2745"/>
        <v>9.7512721649679224E-2</v>
      </c>
      <c r="KT65" s="340">
        <f t="shared" si="2745"/>
        <v>6.6339174257504158E-2</v>
      </c>
      <c r="KW65" s="343" t="s">
        <v>446</v>
      </c>
      <c r="KX65" s="340">
        <f t="shared" ref="KX65:LI65" si="2746">KX66+KX67</f>
        <v>0.25777491651535839</v>
      </c>
      <c r="KY65" s="340">
        <f t="shared" si="2746"/>
        <v>0.2225109772615039</v>
      </c>
      <c r="KZ65" s="340">
        <f t="shared" si="2746"/>
        <v>0.29307010933800737</v>
      </c>
      <c r="LA65" s="340">
        <f t="shared" si="2746"/>
        <v>0.24674681250310662</v>
      </c>
      <c r="LB65" s="340">
        <f t="shared" si="2746"/>
        <v>0.28878588386918774</v>
      </c>
      <c r="LC65" s="340">
        <f t="shared" si="2746"/>
        <v>0.24380500161339352</v>
      </c>
      <c r="LD65" s="340">
        <f t="shared" si="2746"/>
        <v>0.26496086285589576</v>
      </c>
      <c r="LE65" s="340">
        <f t="shared" si="2746"/>
        <v>0.2273220224116797</v>
      </c>
      <c r="LF65" s="340">
        <f t="shared" si="2746"/>
        <v>0.25307484682359005</v>
      </c>
      <c r="LG65" s="340">
        <f t="shared" si="2746"/>
        <v>0.21908168194934771</v>
      </c>
      <c r="LH65" s="340">
        <f t="shared" si="2746"/>
        <v>0.34592376003232334</v>
      </c>
      <c r="LI65" s="340">
        <f t="shared" si="2746"/>
        <v>0.28310970481923053</v>
      </c>
      <c r="LJ65" s="340">
        <f t="shared" ref="LJ65:LM65" si="2747">LJ66+LJ67</f>
        <v>0.39789318435520604</v>
      </c>
      <c r="LK65" s="340">
        <f t="shared" si="2747"/>
        <v>0.32581536039309955</v>
      </c>
      <c r="LL65" s="340">
        <f t="shared" si="2747"/>
        <v>0.16483126888041602</v>
      </c>
      <c r="LM65" s="340">
        <f t="shared" si="2747"/>
        <v>0.11412211850343244</v>
      </c>
      <c r="LP65" s="343" t="s">
        <v>446</v>
      </c>
      <c r="LQ65" s="340">
        <f t="shared" ref="LQ65:MB65" si="2748">LQ66+LQ67</f>
        <v>3.6934460993972982E-4</v>
      </c>
      <c r="LR65" s="340">
        <f t="shared" si="2748"/>
        <v>3.1894643412867172E-4</v>
      </c>
      <c r="LS65" s="340">
        <f t="shared" si="2748"/>
        <v>4.19768856488861E-4</v>
      </c>
      <c r="LT65" s="340">
        <f t="shared" si="2748"/>
        <v>3.5356501715328039E-4</v>
      </c>
      <c r="LU65" s="340">
        <f t="shared" si="2748"/>
        <v>4.1364822577302015E-4</v>
      </c>
      <c r="LV65" s="340">
        <f t="shared" si="2748"/>
        <v>3.493629204022094E-4</v>
      </c>
      <c r="LW65" s="340">
        <f t="shared" si="2748"/>
        <v>3.7960775019006969E-4</v>
      </c>
      <c r="LX65" s="340">
        <f t="shared" si="2748"/>
        <v>3.2581547461885233E-4</v>
      </c>
      <c r="LY65" s="340">
        <f t="shared" si="2748"/>
        <v>3.6262494667370338E-4</v>
      </c>
      <c r="LZ65" s="340">
        <f t="shared" si="2748"/>
        <v>3.1404296737538932E-4</v>
      </c>
      <c r="MA65" s="340">
        <f t="shared" si="2748"/>
        <v>4.9527959980343386E-4</v>
      </c>
      <c r="MB65" s="340">
        <f t="shared" si="2748"/>
        <v>4.055077039649131E-4</v>
      </c>
      <c r="MC65" s="340">
        <f t="shared" ref="MC65:MF65" si="2749">MC66+MC67</f>
        <v>5.6969165237394717E-4</v>
      </c>
      <c r="MD65" s="340">
        <f t="shared" si="2749"/>
        <v>4.6668019283332605E-4</v>
      </c>
      <c r="ME65" s="340">
        <f t="shared" si="2749"/>
        <v>2.3539265209679785E-4</v>
      </c>
      <c r="MF65" s="340">
        <f t="shared" si="2749"/>
        <v>1.6290004147751245E-4</v>
      </c>
      <c r="MI65" s="343" t="s">
        <v>446</v>
      </c>
      <c r="MJ65" s="340">
        <f t="shared" ref="MJ65:MU65" si="2750">MJ66+MJ67</f>
        <v>1.1248861408946348E-2</v>
      </c>
      <c r="MK65" s="340">
        <f t="shared" si="2750"/>
        <v>9.4391782350051103E-3</v>
      </c>
      <c r="ML65" s="340">
        <f t="shared" si="2750"/>
        <v>1.3099298106809184E-2</v>
      </c>
      <c r="MM65" s="340">
        <f t="shared" si="2750"/>
        <v>1.0721979291144846E-2</v>
      </c>
      <c r="MN65" s="340">
        <f t="shared" si="2750"/>
        <v>1.2874687121702585E-2</v>
      </c>
      <c r="MO65" s="340">
        <f t="shared" si="2750"/>
        <v>1.0566269447491124E-2</v>
      </c>
      <c r="MP65" s="340">
        <f t="shared" si="2750"/>
        <v>1.1631949668173353E-2</v>
      </c>
      <c r="MQ65" s="340">
        <f t="shared" si="2750"/>
        <v>9.7003095627226556E-3</v>
      </c>
      <c r="MR65" s="340">
        <f t="shared" si="2750"/>
        <v>1.1012847633224894E-2</v>
      </c>
      <c r="MS65" s="340">
        <f t="shared" si="2750"/>
        <v>9.2682868443858622E-3</v>
      </c>
      <c r="MT65" s="340">
        <f t="shared" si="2750"/>
        <v>1.5866657328896475E-2</v>
      </c>
      <c r="MU65" s="340">
        <f t="shared" si="2750"/>
        <v>1.2642964733061647E-2</v>
      </c>
      <c r="MV65" s="340">
        <f t="shared" ref="MV65:MY65" si="2751">MV66+MV67</f>
        <v>1.8241227709390923E-2</v>
      </c>
      <c r="MW65" s="340">
        <f t="shared" si="2751"/>
        <v>1.4542261645474716E-2</v>
      </c>
      <c r="MX65" s="340">
        <f t="shared" si="2751"/>
        <v>8.8363421898138388E-3</v>
      </c>
      <c r="MY65" s="340">
        <f t="shared" si="2751"/>
        <v>6.2774010597116368E-3</v>
      </c>
      <c r="NB65" s="343" t="s">
        <v>446</v>
      </c>
      <c r="NC65" s="340">
        <f t="shared" ref="NC65:NN65" si="2752">NC66+NC67</f>
        <v>1.0652951416204294E-2</v>
      </c>
      <c r="ND65" s="340">
        <f t="shared" si="2752"/>
        <v>8.9685701563232394E-3</v>
      </c>
      <c r="NE65" s="340">
        <f t="shared" si="2752"/>
        <v>1.2371646335708942E-2</v>
      </c>
      <c r="NF65" s="340">
        <f t="shared" si="2752"/>
        <v>1.0158940570955908E-2</v>
      </c>
      <c r="NG65" s="340">
        <f t="shared" si="2752"/>
        <v>1.2163026522119263E-2</v>
      </c>
      <c r="NH65" s="340">
        <f t="shared" si="2752"/>
        <v>1.0014450207258952E-2</v>
      </c>
      <c r="NI65" s="340">
        <f t="shared" si="2752"/>
        <v>1.1008191515052768E-2</v>
      </c>
      <c r="NJ65" s="340">
        <f t="shared" si="2752"/>
        <v>9.2103050880206691E-3</v>
      </c>
      <c r="NK65" s="340">
        <f t="shared" si="2752"/>
        <v>1.043279993194262E-2</v>
      </c>
      <c r="NL65" s="340">
        <f t="shared" si="2752"/>
        <v>8.8090404605391092E-3</v>
      </c>
      <c r="NM65" s="340">
        <f t="shared" si="2752"/>
        <v>1.4942311211469652E-2</v>
      </c>
      <c r="NN65" s="340">
        <f t="shared" si="2752"/>
        <v>1.1941843307958531E-2</v>
      </c>
      <c r="NO65" s="340">
        <f t="shared" ref="NO65:NR65" si="2753">NO66+NO67</f>
        <v>1.7179490679091511E-2</v>
      </c>
      <c r="NP65" s="340">
        <f t="shared" si="2753"/>
        <v>1.3736645379089274E-2</v>
      </c>
      <c r="NQ65" s="340">
        <f t="shared" si="2753"/>
        <v>8.1896297495494194E-3</v>
      </c>
      <c r="NR65" s="340">
        <f t="shared" si="2753"/>
        <v>5.8038614340934196E-3</v>
      </c>
    </row>
    <row r="66" spans="2:382" ht="12.75" customHeight="1" x14ac:dyDescent="0.2">
      <c r="B66" s="734"/>
      <c r="C66" s="123" t="s">
        <v>333</v>
      </c>
      <c r="D66" s="143">
        <f>Summary!E3</f>
        <v>14.929516907783942</v>
      </c>
      <c r="E66" s="127">
        <f>Summary!E4</f>
        <v>13.104564832956919</v>
      </c>
      <c r="F66" s="143">
        <f>Summary!E5</f>
        <v>16.724656034105294</v>
      </c>
      <c r="G66" s="127">
        <f>Summary!E6</f>
        <v>14.327440032946839</v>
      </c>
      <c r="H66" s="143">
        <f>Summary!E7</f>
        <v>16.506757217014108</v>
      </c>
      <c r="I66" s="127">
        <f>Summary!E8</f>
        <v>14.179004150946986</v>
      </c>
      <c r="J66" s="143">
        <f>Summary!E9</f>
        <v>15.289903440227466</v>
      </c>
      <c r="K66" s="127">
        <f>Summary!E10</f>
        <v>13.342112500125969</v>
      </c>
      <c r="L66" s="143">
        <f>Summary!E11</f>
        <v>14.682119476233128</v>
      </c>
      <c r="M66" s="127">
        <f>Summary!E12</f>
        <v>12.92300500363007</v>
      </c>
      <c r="N66" s="126">
        <f>Summary!E13</f>
        <v>19.415739325719592</v>
      </c>
      <c r="O66" s="127">
        <f>Summary!E14</f>
        <v>16.165184355992228</v>
      </c>
      <c r="P66" s="143">
        <f>Summary!E15</f>
        <v>22.339974175604901</v>
      </c>
      <c r="Q66" s="127">
        <f>Summary!E16</f>
        <v>18.609906015499138</v>
      </c>
      <c r="R66" s="143">
        <f>Summary!E17</f>
        <v>8.2271596092032695</v>
      </c>
      <c r="S66" s="127">
        <f>Summary!E18</f>
        <v>5.5680859470179049</v>
      </c>
      <c r="T66" s="109"/>
      <c r="U66" s="109"/>
      <c r="V66" s="123" t="s">
        <v>333</v>
      </c>
      <c r="W66" s="97">
        <f>'Ecoinvent 3.10'!M34</f>
        <v>2.6855664780405388</v>
      </c>
      <c r="X66" s="97">
        <f>'Ecoinvent 3.10'!N34</f>
        <v>0.32044</v>
      </c>
      <c r="Y66" s="97">
        <f>'Ecoinvent 3.10'!O34</f>
        <v>1.4854000000000001</v>
      </c>
      <c r="Z66" s="97">
        <f>'Ecoinvent 3.10'!P34</f>
        <v>1.0951999999999999E-3</v>
      </c>
      <c r="AA66" s="97">
        <f>'Ecoinvent 3.10'!Q34</f>
        <v>1.9797999999999999E-3</v>
      </c>
      <c r="AB66" s="97">
        <f>'Ecoinvent 3.10'!R34</f>
        <v>4.7102999999999997E-3</v>
      </c>
      <c r="AC66" s="97">
        <f>'Ecoinvent 3.10'!S34</f>
        <v>2.8058E-4</v>
      </c>
      <c r="AD66" s="97">
        <f>'Ecoinvent 3.10'!T34</f>
        <v>1.0652E-2</v>
      </c>
      <c r="AE66" s="97">
        <f>'Ecoinvent 3.10'!U34</f>
        <v>4.0864999999999999E-2</v>
      </c>
      <c r="AF66" s="97">
        <f>'Ecoinvent 3.10'!V34</f>
        <v>0.37636999999999998</v>
      </c>
      <c r="AG66" s="329">
        <f>'Ecoinvent 3.10'!W34</f>
        <v>4.5020999999999999E-4</v>
      </c>
      <c r="AH66" s="329">
        <f>'Ecoinvent 3.10'!X34</f>
        <v>8.8775000000000007E-2</v>
      </c>
      <c r="AI66" s="329">
        <f>'Ecoinvent 3.10'!Y34</f>
        <v>0.19803999999999999</v>
      </c>
      <c r="AJ66" s="329">
        <f>'Ecoinvent 3.10'!Z34</f>
        <v>1.1283E-2</v>
      </c>
      <c r="AK66" s="329">
        <f>'Ecoinvent 3.10'!AA34</f>
        <v>1.5778E-2</v>
      </c>
      <c r="AL66" s="329">
        <f>'Ecoinvent 3.10'!AB34</f>
        <v>2.2657999999999999E-5</v>
      </c>
      <c r="AM66" s="329">
        <f>'Ecoinvent 3.10'!AC34</f>
        <v>5.8116999999999999E-4</v>
      </c>
      <c r="AN66" s="329">
        <f>'Ecoinvent 3.10'!AD34</f>
        <v>5.6205000000000003E-4</v>
      </c>
      <c r="AO66" s="109"/>
      <c r="AQ66" s="123" t="s">
        <v>333</v>
      </c>
      <c r="AR66" s="49">
        <f t="shared" ref="AR66:BC67" si="2754">D66*$W66</f>
        <v>40.094210140883995</v>
      </c>
      <c r="AS66" s="50">
        <f t="shared" si="2754"/>
        <v>35.193180024698016</v>
      </c>
      <c r="AT66" s="49">
        <f t="shared" si="2754"/>
        <v>44.915175601951603</v>
      </c>
      <c r="AU66" s="50">
        <f t="shared" si="2754"/>
        <v>38.477292668618063</v>
      </c>
      <c r="AV66" s="49">
        <f t="shared" si="2754"/>
        <v>44.329993843166825</v>
      </c>
      <c r="AW66" s="50">
        <f t="shared" si="2754"/>
        <v>38.078658239780879</v>
      </c>
      <c r="AX66" s="49">
        <f t="shared" si="2754"/>
        <v>41.062052131551596</v>
      </c>
      <c r="AY66" s="50">
        <f t="shared" si="2754"/>
        <v>35.831130076583946</v>
      </c>
      <c r="AZ66" s="49">
        <f t="shared" si="2754"/>
        <v>39.4298078919578</v>
      </c>
      <c r="BA66" s="50">
        <f t="shared" si="2754"/>
        <v>34.70558903329907</v>
      </c>
      <c r="BB66" s="49">
        <f t="shared" si="2754"/>
        <v>52.142258679525952</v>
      </c>
      <c r="BC66" s="50">
        <f t="shared" si="2754"/>
        <v>43.412677217798063</v>
      </c>
      <c r="BD66" s="49">
        <f t="shared" ref="BD66:BD67" si="2755">P66*$W66</f>
        <v>59.995485766295843</v>
      </c>
      <c r="BE66" s="50">
        <f t="shared" ref="BE66:BE67" si="2756">Q66*$W66</f>
        <v>49.97813975470946</v>
      </c>
      <c r="BF66" s="49">
        <f>R66*$W66</f>
        <v>22.094584055965399</v>
      </c>
      <c r="BG66" s="50">
        <f t="shared" ref="BG66:BG67" si="2757">S66*$W66</f>
        <v>14.953464966159894</v>
      </c>
      <c r="BI66" s="156"/>
      <c r="BJ66" s="123" t="s">
        <v>333</v>
      </c>
      <c r="BK66" s="49">
        <f t="shared" ref="BK66:BZ67" si="2758">D66*$X66</f>
        <v>4.784014397930286</v>
      </c>
      <c r="BL66" s="49">
        <f t="shared" si="2758"/>
        <v>4.1992267550727149</v>
      </c>
      <c r="BM66" s="49">
        <f t="shared" si="2758"/>
        <v>5.3592487795687003</v>
      </c>
      <c r="BN66" s="49">
        <f t="shared" si="2758"/>
        <v>4.5910848841574854</v>
      </c>
      <c r="BO66" s="49">
        <f t="shared" si="2758"/>
        <v>5.2894252826200008</v>
      </c>
      <c r="BP66" s="49">
        <f t="shared" si="2758"/>
        <v>4.5435200901294523</v>
      </c>
      <c r="BQ66" s="49">
        <f t="shared" si="2758"/>
        <v>4.8994966583864894</v>
      </c>
      <c r="BR66" s="49">
        <f t="shared" si="2758"/>
        <v>4.2753465295403652</v>
      </c>
      <c r="BS66" s="49">
        <f t="shared" si="2758"/>
        <v>4.7047383649641432</v>
      </c>
      <c r="BT66" s="49">
        <f t="shared" si="2758"/>
        <v>4.1410477233632195</v>
      </c>
      <c r="BU66" s="49">
        <f t="shared" si="2758"/>
        <v>6.2215795095335862</v>
      </c>
      <c r="BV66" s="49">
        <f t="shared" si="2758"/>
        <v>5.1799716750341496</v>
      </c>
      <c r="BW66" s="49">
        <f t="shared" si="2758"/>
        <v>7.1586213248308344</v>
      </c>
      <c r="BX66" s="49">
        <f t="shared" si="2758"/>
        <v>5.963358283606544</v>
      </c>
      <c r="BY66" s="49">
        <f t="shared" si="2758"/>
        <v>2.6363110251730957</v>
      </c>
      <c r="BZ66" s="49">
        <f t="shared" si="2758"/>
        <v>1.7842374608624174</v>
      </c>
      <c r="CA66" s="156"/>
      <c r="CB66" s="156"/>
      <c r="CC66" s="123" t="s">
        <v>333</v>
      </c>
      <c r="CD66" s="49">
        <f t="shared" ref="CD66:CS67" si="2759">D66*$Y66</f>
        <v>22.176304414822269</v>
      </c>
      <c r="CE66" s="49">
        <f t="shared" si="2759"/>
        <v>19.465520602874207</v>
      </c>
      <c r="CF66" s="49">
        <f t="shared" si="2759"/>
        <v>24.842804073060005</v>
      </c>
      <c r="CG66" s="49">
        <f t="shared" si="2759"/>
        <v>21.281979424939237</v>
      </c>
      <c r="CH66" s="49">
        <f t="shared" si="2759"/>
        <v>24.519137170152757</v>
      </c>
      <c r="CI66" s="49">
        <f t="shared" si="2759"/>
        <v>21.061492765816652</v>
      </c>
      <c r="CJ66" s="49">
        <f t="shared" si="2759"/>
        <v>22.711622570113878</v>
      </c>
      <c r="CK66" s="49">
        <f t="shared" si="2759"/>
        <v>19.818373907687114</v>
      </c>
      <c r="CL66" s="49">
        <f t="shared" si="2759"/>
        <v>21.808820269996687</v>
      </c>
      <c r="CM66" s="49">
        <f t="shared" si="2759"/>
        <v>19.195831632392107</v>
      </c>
      <c r="CN66" s="49">
        <f t="shared" si="2759"/>
        <v>28.840139194423884</v>
      </c>
      <c r="CO66" s="220">
        <f t="shared" si="2759"/>
        <v>24.011764842390857</v>
      </c>
      <c r="CP66" s="49">
        <f t="shared" si="2759"/>
        <v>33.183797640443522</v>
      </c>
      <c r="CQ66" s="49">
        <f t="shared" si="2759"/>
        <v>27.643154395422421</v>
      </c>
      <c r="CR66" s="49">
        <f t="shared" si="2759"/>
        <v>12.220622883510536</v>
      </c>
      <c r="CS66" s="220">
        <f t="shared" si="2759"/>
        <v>8.2708348657003956</v>
      </c>
      <c r="CV66" s="123" t="s">
        <v>333</v>
      </c>
      <c r="CW66" s="49">
        <f t="shared" ref="CW66:DL67" si="2760">D66*$Z66</f>
        <v>1.6350806917404974E-2</v>
      </c>
      <c r="CX66" s="49">
        <f t="shared" si="2760"/>
        <v>1.4352119405054417E-2</v>
      </c>
      <c r="CY66" s="49">
        <f t="shared" si="2760"/>
        <v>1.8316843288552116E-2</v>
      </c>
      <c r="CZ66" s="49">
        <f t="shared" si="2760"/>
        <v>1.5691412324083377E-2</v>
      </c>
      <c r="DA66" s="49">
        <f t="shared" si="2760"/>
        <v>1.8078200504073851E-2</v>
      </c>
      <c r="DB66" s="49">
        <f t="shared" si="2760"/>
        <v>1.5528845346117138E-2</v>
      </c>
      <c r="DC66" s="49">
        <f t="shared" si="2760"/>
        <v>1.6745502247737121E-2</v>
      </c>
      <c r="DD66" s="49">
        <f t="shared" si="2760"/>
        <v>1.4612281610137961E-2</v>
      </c>
      <c r="DE66" s="49">
        <f t="shared" si="2760"/>
        <v>1.6079857250370522E-2</v>
      </c>
      <c r="DF66" s="49">
        <f t="shared" si="2760"/>
        <v>1.4153275079975653E-2</v>
      </c>
      <c r="DG66" s="49">
        <f t="shared" si="2760"/>
        <v>2.1264117709528095E-2</v>
      </c>
      <c r="DH66" s="49">
        <f t="shared" si="2760"/>
        <v>1.7704109906682686E-2</v>
      </c>
      <c r="DI66" s="49">
        <f t="shared" si="2760"/>
        <v>2.4466739717122488E-2</v>
      </c>
      <c r="DJ66" s="49">
        <f t="shared" si="2760"/>
        <v>2.0381569068174656E-2</v>
      </c>
      <c r="DK66" s="49">
        <f t="shared" si="2760"/>
        <v>9.0103852039994208E-3</v>
      </c>
      <c r="DL66" s="49">
        <f t="shared" si="2760"/>
        <v>6.0981677291740092E-3</v>
      </c>
      <c r="DO66" s="123" t="s">
        <v>333</v>
      </c>
      <c r="DP66" s="49">
        <f t="shared" ref="DP66:EE67" si="2761">D66*$AA66</f>
        <v>2.9557457574030645E-2</v>
      </c>
      <c r="DQ66" s="49">
        <f t="shared" si="2761"/>
        <v>2.5944417456288109E-2</v>
      </c>
      <c r="DR66" s="49">
        <f t="shared" si="2761"/>
        <v>3.3111474016321661E-2</v>
      </c>
      <c r="DS66" s="49">
        <f t="shared" si="2761"/>
        <v>2.8365465777228149E-2</v>
      </c>
      <c r="DT66" s="49">
        <f t="shared" si="2761"/>
        <v>3.2680077938244532E-2</v>
      </c>
      <c r="DU66" s="49">
        <f t="shared" si="2761"/>
        <v>2.8071592418044841E-2</v>
      </c>
      <c r="DV66" s="49">
        <f t="shared" si="2761"/>
        <v>3.0270950830962335E-2</v>
      </c>
      <c r="DW66" s="49">
        <f t="shared" si="2761"/>
        <v>2.6414714327749392E-2</v>
      </c>
      <c r="DX66" s="49">
        <f t="shared" si="2761"/>
        <v>2.9067660139046346E-2</v>
      </c>
      <c r="DY66" s="49">
        <f t="shared" si="2761"/>
        <v>2.5584965306186813E-2</v>
      </c>
      <c r="DZ66" s="49">
        <f t="shared" si="2761"/>
        <v>3.8439280717059647E-2</v>
      </c>
      <c r="EA66" s="49">
        <f t="shared" si="2761"/>
        <v>3.2003831987993413E-2</v>
      </c>
      <c r="EB66" s="49">
        <f t="shared" si="2761"/>
        <v>4.422868087286258E-2</v>
      </c>
      <c r="EC66" s="49">
        <f t="shared" si="2761"/>
        <v>3.6843891929485194E-2</v>
      </c>
      <c r="ED66" s="49">
        <f t="shared" si="2761"/>
        <v>1.6288130594300631E-2</v>
      </c>
      <c r="EE66" s="49">
        <f t="shared" si="2761"/>
        <v>1.1023696557906047E-2</v>
      </c>
      <c r="EH66" s="123" t="s">
        <v>333</v>
      </c>
      <c r="EI66" s="49">
        <f t="shared" ref="EI66:ET67" si="2762">D66*$AB66</f>
        <v>7.0322503490734697E-2</v>
      </c>
      <c r="EJ66" s="49">
        <f t="shared" si="2762"/>
        <v>6.1726431732676973E-2</v>
      </c>
      <c r="EK66" s="49">
        <f t="shared" si="2762"/>
        <v>7.8778147317446159E-2</v>
      </c>
      <c r="EL66" s="49">
        <f t="shared" si="2762"/>
        <v>6.7486540787189492E-2</v>
      </c>
      <c r="EM66" s="49">
        <f t="shared" si="2762"/>
        <v>7.7751778519301554E-2</v>
      </c>
      <c r="EN66" s="49">
        <f t="shared" si="2762"/>
        <v>6.6787363252205578E-2</v>
      </c>
      <c r="EO66" s="49">
        <f t="shared" si="2762"/>
        <v>7.2020032174503423E-2</v>
      </c>
      <c r="EP66" s="49">
        <f t="shared" si="2762"/>
        <v>6.2845352509343352E-2</v>
      </c>
      <c r="EQ66" s="49">
        <f t="shared" si="2762"/>
        <v>6.9157187368900891E-2</v>
      </c>
      <c r="ER66" s="49">
        <f t="shared" si="2762"/>
        <v>6.0871230468598714E-2</v>
      </c>
      <c r="ES66" s="49">
        <f t="shared" si="2762"/>
        <v>9.1453956945936984E-2</v>
      </c>
      <c r="ET66" s="49">
        <f t="shared" si="2762"/>
        <v>7.6142867872030187E-2</v>
      </c>
      <c r="EU66" s="49">
        <f t="shared" ref="EU66:EU67" si="2763">P66*$AB66</f>
        <v>0.10522798035935176</v>
      </c>
      <c r="EV66" s="49">
        <f t="shared" ref="EV66:EV67" si="2764">Q66*$AB66</f>
        <v>8.7658240304805582E-2</v>
      </c>
      <c r="EW66" s="49">
        <f t="shared" ref="EW66:EW67" si="2765">R66*$AB66</f>
        <v>3.8752389907230157E-2</v>
      </c>
      <c r="EX66" s="49">
        <f t="shared" ref="EX66:EX67" si="2766">S66*$AB66</f>
        <v>2.6227355236238436E-2</v>
      </c>
      <c r="FA66" s="123" t="s">
        <v>333</v>
      </c>
      <c r="FB66" s="53">
        <f t="shared" ref="FB66:FM67" si="2767">D66*$AC66</f>
        <v>4.188923853986018E-3</v>
      </c>
      <c r="FC66" s="53">
        <f t="shared" si="2767"/>
        <v>3.6768788008310523E-3</v>
      </c>
      <c r="FD66" s="53">
        <f t="shared" si="2767"/>
        <v>4.6926039900492631E-3</v>
      </c>
      <c r="FE66" s="53">
        <f t="shared" si="2767"/>
        <v>4.0199931244442244E-3</v>
      </c>
      <c r="FF66" s="53">
        <f t="shared" si="2767"/>
        <v>4.6314659399498189E-3</v>
      </c>
      <c r="FG66" s="53">
        <f t="shared" si="2767"/>
        <v>3.9783449846727053E-3</v>
      </c>
      <c r="FH66" s="53">
        <f t="shared" si="2767"/>
        <v>4.2900411072590225E-3</v>
      </c>
      <c r="FI66" s="53">
        <f t="shared" si="2767"/>
        <v>3.7435299252853447E-3</v>
      </c>
      <c r="FJ66" s="53">
        <f t="shared" si="2767"/>
        <v>4.1195090826414912E-3</v>
      </c>
      <c r="FK66" s="53">
        <f t="shared" si="2767"/>
        <v>3.625936743918525E-3</v>
      </c>
      <c r="FL66" s="53">
        <f t="shared" si="2767"/>
        <v>5.4476681400104036E-3</v>
      </c>
      <c r="FM66" s="53">
        <f t="shared" si="2767"/>
        <v>4.5356274266042992E-3</v>
      </c>
      <c r="FN66" s="53">
        <f t="shared" ref="FN66:FN67" si="2768">P66*$AC66</f>
        <v>6.2681499541912232E-3</v>
      </c>
      <c r="FO66" s="53">
        <f t="shared" ref="FO66:FO67" si="2769">Q66*$AC66</f>
        <v>5.221567429828748E-3</v>
      </c>
      <c r="FP66" s="53">
        <f t="shared" ref="FP66:FP67" si="2770">R66*$AC66</f>
        <v>2.3083764431502535E-3</v>
      </c>
      <c r="FQ66" s="53">
        <f t="shared" ref="FQ66:FQ67" si="2771">S66*$AC66</f>
        <v>1.5622935550142839E-3</v>
      </c>
      <c r="FT66" s="123" t="s">
        <v>333</v>
      </c>
      <c r="FU66" s="49">
        <f t="shared" ref="FU66:GF67" si="2772">D66*$AD66</f>
        <v>0.15902921410171456</v>
      </c>
      <c r="FV66" s="49">
        <f t="shared" si="2772"/>
        <v>0.13958982460065711</v>
      </c>
      <c r="FW66" s="49">
        <f t="shared" si="2772"/>
        <v>0.17815103607528959</v>
      </c>
      <c r="FX66" s="49">
        <f t="shared" si="2772"/>
        <v>0.15261589123094974</v>
      </c>
      <c r="FY66" s="49">
        <f t="shared" si="2772"/>
        <v>0.17582997787563429</v>
      </c>
      <c r="FZ66" s="49">
        <f t="shared" si="2772"/>
        <v>0.1510347522158873</v>
      </c>
      <c r="GA66" s="49">
        <f t="shared" si="2772"/>
        <v>0.16286805144530297</v>
      </c>
      <c r="GB66" s="49">
        <f t="shared" si="2772"/>
        <v>0.14212018235134183</v>
      </c>
      <c r="GC66" s="49">
        <f t="shared" si="2772"/>
        <v>0.15639393666083529</v>
      </c>
      <c r="GD66" s="49">
        <f t="shared" si="2772"/>
        <v>0.1376558492986675</v>
      </c>
      <c r="GE66" s="49">
        <f t="shared" si="2772"/>
        <v>0.20681645529756509</v>
      </c>
      <c r="GF66" s="49">
        <f t="shared" si="2772"/>
        <v>0.17219154376002921</v>
      </c>
      <c r="GG66" s="49">
        <f t="shared" ref="GG66:GG67" si="2773">P66*$AD66</f>
        <v>0.2379654049185434</v>
      </c>
      <c r="GH66" s="49">
        <f t="shared" ref="GH66:GH67" si="2774">Q66*$AD66</f>
        <v>0.19823271887709681</v>
      </c>
      <c r="GI66" s="49">
        <f t="shared" ref="GI66:GI67" si="2775">R66*$AD66</f>
        <v>8.7635704157233221E-2</v>
      </c>
      <c r="GJ66" s="49">
        <f t="shared" ref="GJ66:GJ67" si="2776">S66*$AD66</f>
        <v>5.9311251507634721E-2</v>
      </c>
      <c r="GM66" s="123" t="s">
        <v>333</v>
      </c>
      <c r="GN66" s="49">
        <f t="shared" ref="GN66:GY67" si="2777">D66*$AE66</f>
        <v>0.61009470843659075</v>
      </c>
      <c r="GO66" s="49">
        <f t="shared" si="2777"/>
        <v>0.53551804189878449</v>
      </c>
      <c r="GP66" s="49">
        <f t="shared" si="2777"/>
        <v>0.68345306883371282</v>
      </c>
      <c r="GQ66" s="49">
        <f t="shared" si="2777"/>
        <v>0.58549083694637261</v>
      </c>
      <c r="GR66" s="49">
        <f t="shared" si="2777"/>
        <v>0.67454863367328155</v>
      </c>
      <c r="GS66" s="49">
        <f t="shared" si="2777"/>
        <v>0.57942500462844859</v>
      </c>
      <c r="GT66" s="49">
        <f t="shared" si="2777"/>
        <v>0.62482190408489535</v>
      </c>
      <c r="GU66" s="49">
        <f t="shared" si="2777"/>
        <v>0.54522542731764767</v>
      </c>
      <c r="GV66" s="49">
        <f t="shared" si="2777"/>
        <v>0.59998481239626678</v>
      </c>
      <c r="GW66" s="49">
        <f t="shared" si="2777"/>
        <v>0.52809859947334281</v>
      </c>
      <c r="GX66" s="49">
        <f t="shared" si="2777"/>
        <v>0.79342418754553112</v>
      </c>
      <c r="GY66" s="49">
        <f t="shared" si="2777"/>
        <v>0.66059025870762234</v>
      </c>
      <c r="GZ66" s="49">
        <f t="shared" ref="GZ66:GZ67" si="2778">P66*$AE66</f>
        <v>0.9129230446860942</v>
      </c>
      <c r="HA66" s="49">
        <f t="shared" ref="HA66:HA67" si="2779">Q66*$AE66</f>
        <v>0.76049380932337229</v>
      </c>
      <c r="HB66" s="49">
        <f t="shared" ref="HB66:HB67" si="2780">R66*$AE66</f>
        <v>0.33620287743009158</v>
      </c>
      <c r="HC66" s="49">
        <f t="shared" ref="HC66:HC67" si="2781">S66*$AE66</f>
        <v>0.22753983222488669</v>
      </c>
      <c r="HF66" s="123" t="s">
        <v>333</v>
      </c>
      <c r="HG66" s="49">
        <f t="shared" ref="HG66:HR67" si="2782">D66*$AF66</f>
        <v>5.6190222785826416</v>
      </c>
      <c r="HH66" s="49">
        <f t="shared" si="2782"/>
        <v>4.9321650661799952</v>
      </c>
      <c r="HI66" s="49">
        <f t="shared" si="2782"/>
        <v>6.2946587915562091</v>
      </c>
      <c r="HJ66" s="49">
        <f t="shared" si="2782"/>
        <v>5.3924186052002012</v>
      </c>
      <c r="HK66" s="49">
        <f t="shared" si="2782"/>
        <v>6.2126482137675998</v>
      </c>
      <c r="HL66" s="49">
        <f t="shared" si="2782"/>
        <v>5.3365517922919166</v>
      </c>
      <c r="HM66" s="49">
        <f t="shared" si="2782"/>
        <v>5.7546609577984107</v>
      </c>
      <c r="HN66" s="49">
        <f t="shared" si="2782"/>
        <v>5.0215708816724112</v>
      </c>
      <c r="HO66" s="49">
        <f t="shared" si="2782"/>
        <v>5.5259093072698624</v>
      </c>
      <c r="HP66" s="49">
        <f t="shared" si="2782"/>
        <v>4.8638313932162491</v>
      </c>
      <c r="HQ66" s="49">
        <f t="shared" si="2782"/>
        <v>7.3075018100210825</v>
      </c>
      <c r="HR66" s="49">
        <f t="shared" si="2782"/>
        <v>6.0840904360647947</v>
      </c>
      <c r="HS66" s="49">
        <f t="shared" ref="HS66:HS67" si="2783">P66*$AF66</f>
        <v>8.4080960804724167</v>
      </c>
      <c r="HT66" s="49">
        <f t="shared" ref="HT66:HT67" si="2784">Q66*$AF66</f>
        <v>7.0042103270534106</v>
      </c>
      <c r="HU66" s="49">
        <f t="shared" ref="HU66:HU67" si="2785">R66*$AF66</f>
        <v>3.0964560621158346</v>
      </c>
      <c r="HV66" s="49">
        <f t="shared" ref="HV66:HV67" si="2786">S66*$AF66</f>
        <v>2.0956605078791286</v>
      </c>
      <c r="HY66" s="337" t="s">
        <v>333</v>
      </c>
      <c r="HZ66" s="338">
        <f t="shared" ref="HZ66:IK67" si="2787">D66*$AG66</f>
        <v>6.721417807053408E-3</v>
      </c>
      <c r="IA66" s="338">
        <f t="shared" si="2787"/>
        <v>5.8998061334455346E-3</v>
      </c>
      <c r="IB66" s="338">
        <f t="shared" si="2787"/>
        <v>7.5296073931145442E-3</v>
      </c>
      <c r="IC66" s="338">
        <f t="shared" si="2787"/>
        <v>6.4503567772329967E-3</v>
      </c>
      <c r="ID66" s="338">
        <f t="shared" si="2787"/>
        <v>7.4315071666719214E-3</v>
      </c>
      <c r="IE66" s="338">
        <f t="shared" si="2787"/>
        <v>6.3835294587978424E-3</v>
      </c>
      <c r="IF66" s="338">
        <f t="shared" si="2787"/>
        <v>6.8836674278248073E-3</v>
      </c>
      <c r="IG66" s="338">
        <f t="shared" si="2787"/>
        <v>6.0067524686817121E-3</v>
      </c>
      <c r="IH66" s="338">
        <f t="shared" si="2787"/>
        <v>6.6100370093949163E-3</v>
      </c>
      <c r="II66" s="338">
        <f t="shared" si="2787"/>
        <v>5.8180660826842936E-3</v>
      </c>
      <c r="IJ66" s="338">
        <f t="shared" si="2787"/>
        <v>8.741160001832218E-3</v>
      </c>
      <c r="IK66" s="338">
        <f t="shared" si="2787"/>
        <v>7.277727648911261E-3</v>
      </c>
      <c r="IL66" s="338">
        <f t="shared" ref="IL66:IL67" si="2788">P66*$AG66</f>
        <v>1.0057679773599082E-2</v>
      </c>
      <c r="IM66" s="338">
        <f t="shared" ref="IM66:IM67" si="2789">Q66*$AG66</f>
        <v>8.3783657872378674E-3</v>
      </c>
      <c r="IN66" s="338">
        <f t="shared" ref="IN66:IN67" si="2790">R66*$AG66</f>
        <v>3.7039495276594038E-3</v>
      </c>
      <c r="IO66" s="338">
        <f t="shared" ref="IO66:IO67" si="2791">S66*$AG66</f>
        <v>2.5068079742069311E-3</v>
      </c>
      <c r="IR66" s="337" t="s">
        <v>333</v>
      </c>
      <c r="IS66" s="338">
        <f t="shared" ref="IS66:JD67" si="2792">D66*$AH66</f>
        <v>1.3253678634885195</v>
      </c>
      <c r="IT66" s="338">
        <f t="shared" si="2792"/>
        <v>1.1633577430457507</v>
      </c>
      <c r="IU66" s="338">
        <f t="shared" si="2792"/>
        <v>1.4847313394276975</v>
      </c>
      <c r="IV66" s="338">
        <f t="shared" si="2792"/>
        <v>1.2719184889248558</v>
      </c>
      <c r="IW66" s="338">
        <f t="shared" si="2792"/>
        <v>1.4653873719404276</v>
      </c>
      <c r="IX66" s="338">
        <f t="shared" si="2792"/>
        <v>1.2587410935003187</v>
      </c>
      <c r="IY66" s="338">
        <f t="shared" si="2792"/>
        <v>1.3573611779061934</v>
      </c>
      <c r="IZ66" s="338">
        <f t="shared" si="2792"/>
        <v>1.1844460371986829</v>
      </c>
      <c r="JA66" s="338">
        <f t="shared" si="2792"/>
        <v>1.3034051565025959</v>
      </c>
      <c r="JB66" s="338">
        <f t="shared" si="2792"/>
        <v>1.1472397691972596</v>
      </c>
      <c r="JC66" s="338">
        <f t="shared" si="2792"/>
        <v>1.7236322586407569</v>
      </c>
      <c r="JD66" s="338">
        <f t="shared" si="2792"/>
        <v>1.4350642412032102</v>
      </c>
      <c r="JE66" s="338">
        <f t="shared" ref="JE66:JE67" si="2793">P66*$AH66</f>
        <v>1.9832312074393252</v>
      </c>
      <c r="JF66" s="338">
        <f t="shared" ref="JF66:JF67" si="2794">Q66*$AH66</f>
        <v>1.6520944065259362</v>
      </c>
      <c r="JG66" s="338">
        <f t="shared" ref="JG66:JG67" si="2795">R66*$AH66</f>
        <v>0.73036609430702026</v>
      </c>
      <c r="JH66" s="338">
        <f t="shared" ref="JH66:JH67" si="2796">S66*$AH66</f>
        <v>0.49430682994651454</v>
      </c>
      <c r="JK66" s="337" t="s">
        <v>333</v>
      </c>
      <c r="JL66" s="338">
        <f t="shared" ref="JL66:JW67" si="2797">D66*$AI66</f>
        <v>2.9566415284175318</v>
      </c>
      <c r="JM66" s="338">
        <f t="shared" si="2797"/>
        <v>2.595228019518788</v>
      </c>
      <c r="JN66" s="338">
        <f t="shared" si="2797"/>
        <v>3.3121508809942122</v>
      </c>
      <c r="JO66" s="338">
        <f t="shared" si="2797"/>
        <v>2.8374062241247922</v>
      </c>
      <c r="JP66" s="338">
        <f t="shared" si="2797"/>
        <v>3.2689981992574739</v>
      </c>
      <c r="JQ66" s="338">
        <f t="shared" si="2797"/>
        <v>2.8080099820535409</v>
      </c>
      <c r="JR66" s="338">
        <f t="shared" si="2797"/>
        <v>3.0280124773026471</v>
      </c>
      <c r="JS66" s="338">
        <f t="shared" si="2797"/>
        <v>2.6422719595249471</v>
      </c>
      <c r="JT66" s="338">
        <f t="shared" si="2797"/>
        <v>2.9076469410732084</v>
      </c>
      <c r="JU66" s="338">
        <f t="shared" si="2797"/>
        <v>2.5592719109188988</v>
      </c>
      <c r="JV66" s="338">
        <f t="shared" si="2797"/>
        <v>3.8450930160655079</v>
      </c>
      <c r="JW66" s="338">
        <f t="shared" si="2797"/>
        <v>3.2013531098607007</v>
      </c>
      <c r="JX66" s="338">
        <f t="shared" ref="JX66:JX67" si="2798">P66*$AI66</f>
        <v>4.424208485736794</v>
      </c>
      <c r="JY66" s="338">
        <f t="shared" ref="JY66:JY67" si="2799">Q66*$AI66</f>
        <v>3.6855057873094492</v>
      </c>
      <c r="JZ66" s="338">
        <f t="shared" ref="JZ66:JZ67" si="2800">R66*$AI66</f>
        <v>1.6293066890066155</v>
      </c>
      <c r="KA66" s="338">
        <f t="shared" ref="KA66:KA67" si="2801">S66*$AI66</f>
        <v>1.1027037409474258</v>
      </c>
      <c r="KD66" s="337" t="s">
        <v>333</v>
      </c>
      <c r="KE66" s="338">
        <f t="shared" ref="KE66:KP67" si="2802">D66*$AJ66</f>
        <v>0.1684497392705262</v>
      </c>
      <c r="KF66" s="338">
        <f t="shared" si="2802"/>
        <v>0.14785880501025292</v>
      </c>
      <c r="KG66" s="338">
        <f t="shared" si="2802"/>
        <v>0.18870429403281003</v>
      </c>
      <c r="KH66" s="338">
        <f t="shared" si="2802"/>
        <v>0.16165650589173919</v>
      </c>
      <c r="KI66" s="338">
        <f t="shared" si="2802"/>
        <v>0.18624574167957017</v>
      </c>
      <c r="KJ66" s="338">
        <f t="shared" si="2802"/>
        <v>0.15998170383513483</v>
      </c>
      <c r="KK66" s="338">
        <f t="shared" si="2802"/>
        <v>0.17251598051608649</v>
      </c>
      <c r="KL66" s="338">
        <f t="shared" si="2802"/>
        <v>0.15053905533892131</v>
      </c>
      <c r="KM66" s="338">
        <f t="shared" si="2802"/>
        <v>0.16565835405033838</v>
      </c>
      <c r="KN66" s="338">
        <f t="shared" si="2802"/>
        <v>0.14581026545595807</v>
      </c>
      <c r="KO66" s="338">
        <f t="shared" si="2802"/>
        <v>0.21906778681209416</v>
      </c>
      <c r="KP66" s="338">
        <f t="shared" si="2802"/>
        <v>0.18239177508866031</v>
      </c>
      <c r="KQ66" s="338">
        <f t="shared" ref="KQ66:KQ67" si="2803">P66*$AJ66</f>
        <v>0.25206192862335008</v>
      </c>
      <c r="KR66" s="338">
        <f t="shared" ref="KR66:KR67" si="2804">Q66*$AJ66</f>
        <v>0.20997556957287677</v>
      </c>
      <c r="KS66" s="338">
        <f t="shared" ref="KS66:KS67" si="2805">R66*$AJ66</f>
        <v>9.2827041870640489E-2</v>
      </c>
      <c r="KT66" s="338">
        <f t="shared" ref="KT66:KT67" si="2806">S66*$AJ66</f>
        <v>6.2824713740203014E-2</v>
      </c>
      <c r="KW66" s="337" t="s">
        <v>333</v>
      </c>
      <c r="KX66" s="338">
        <f t="shared" ref="KX66:LI67" si="2807">D66*$AK66</f>
        <v>0.23555791777101504</v>
      </c>
      <c r="KY66" s="338">
        <f t="shared" si="2807"/>
        <v>0.20676382393439427</v>
      </c>
      <c r="KZ66" s="338">
        <f t="shared" si="2807"/>
        <v>0.26388162290611333</v>
      </c>
      <c r="LA66" s="338">
        <f t="shared" si="2807"/>
        <v>0.22605834883983522</v>
      </c>
      <c r="LB66" s="338">
        <f t="shared" si="2807"/>
        <v>0.26044361537004862</v>
      </c>
      <c r="LC66" s="338">
        <f t="shared" si="2807"/>
        <v>0.22371632749364154</v>
      </c>
      <c r="LD66" s="338">
        <f t="shared" si="2807"/>
        <v>0.24124409647990896</v>
      </c>
      <c r="LE66" s="338">
        <f t="shared" si="2807"/>
        <v>0.21051185102698755</v>
      </c>
      <c r="LF66" s="338">
        <f t="shared" si="2807"/>
        <v>0.23165448109600628</v>
      </c>
      <c r="LG66" s="338">
        <f t="shared" si="2807"/>
        <v>0.20389917294727525</v>
      </c>
      <c r="LH66" s="338">
        <f t="shared" si="2807"/>
        <v>0.30634153508120371</v>
      </c>
      <c r="LI66" s="338">
        <f t="shared" si="2807"/>
        <v>0.2550542787688454</v>
      </c>
      <c r="LJ66" s="338">
        <f t="shared" ref="LJ66:LJ67" si="2808">P66*$AK66</f>
        <v>0.35248011254269412</v>
      </c>
      <c r="LK66" s="338">
        <f t="shared" ref="LK66:LK67" si="2809">Q66*$AK66</f>
        <v>0.29362709711254542</v>
      </c>
      <c r="LL66" s="338">
        <f t="shared" ref="LL66:LL67" si="2810">R66*$AK66</f>
        <v>0.12980812431400918</v>
      </c>
      <c r="LM66" s="338">
        <f t="shared" ref="LM66:LM67" si="2811">S66*$AK66</f>
        <v>8.7853260072048509E-2</v>
      </c>
      <c r="LP66" s="337" t="s">
        <v>333</v>
      </c>
      <c r="LQ66" s="338">
        <f t="shared" ref="LQ66:MB67" si="2812">D66*$AL66</f>
        <v>3.3827299409656855E-4</v>
      </c>
      <c r="LR66" s="338">
        <f t="shared" si="2812"/>
        <v>2.9692322998513786E-4</v>
      </c>
      <c r="LS66" s="338">
        <f t="shared" si="2812"/>
        <v>3.7894725642075776E-4</v>
      </c>
      <c r="LT66" s="338">
        <f t="shared" si="2812"/>
        <v>3.2463113626650944E-4</v>
      </c>
      <c r="LU66" s="338">
        <f t="shared" si="2812"/>
        <v>3.7401010502310564E-4</v>
      </c>
      <c r="LV66" s="338">
        <f t="shared" si="2812"/>
        <v>3.2126787605215679E-4</v>
      </c>
      <c r="LW66" s="338">
        <f t="shared" si="2812"/>
        <v>3.4643863214867392E-4</v>
      </c>
      <c r="LX66" s="338">
        <f t="shared" si="2812"/>
        <v>3.0230558502785418E-4</v>
      </c>
      <c r="LY66" s="338">
        <f t="shared" si="2812"/>
        <v>3.3266746309249017E-4</v>
      </c>
      <c r="LZ66" s="338">
        <f t="shared" si="2812"/>
        <v>2.9280944737225013E-4</v>
      </c>
      <c r="MA66" s="338">
        <f t="shared" si="2812"/>
        <v>4.3992182164215451E-4</v>
      </c>
      <c r="MB66" s="338">
        <f t="shared" si="2812"/>
        <v>3.6627074713807187E-4</v>
      </c>
      <c r="MC66" s="338">
        <f t="shared" ref="MC66:MC67" si="2813">P66*$AL66</f>
        <v>5.0617913487085585E-4</v>
      </c>
      <c r="MD66" s="338">
        <f t="shared" ref="MD66:MD67" si="2814">Q66*$AL66</f>
        <v>4.2166325049917947E-4</v>
      </c>
      <c r="ME66" s="338">
        <f t="shared" ref="ME66:ME67" si="2815">R66*$AL66</f>
        <v>1.8641098242532767E-4</v>
      </c>
      <c r="MF66" s="338">
        <f t="shared" ref="MF66:MF67" si="2816">S66*$AL66</f>
        <v>1.2616169138753169E-4</v>
      </c>
      <c r="MI66" s="337" t="s">
        <v>333</v>
      </c>
      <c r="MJ66" s="338">
        <f t="shared" ref="MJ66:MU67" si="2817">D66*$AM66</f>
        <v>8.6765873412967941E-3</v>
      </c>
      <c r="MK66" s="338">
        <f t="shared" si="2817"/>
        <v>7.6159799439695728E-3</v>
      </c>
      <c r="ML66" s="338">
        <f t="shared" si="2817"/>
        <v>9.7198683473409733E-3</v>
      </c>
      <c r="MM66" s="338">
        <f t="shared" si="2817"/>
        <v>8.3266783239477147E-3</v>
      </c>
      <c r="MN66" s="338">
        <f t="shared" si="2817"/>
        <v>9.5932320918120893E-3</v>
      </c>
      <c r="MO66" s="338">
        <f t="shared" si="2817"/>
        <v>8.2404118424058599E-3</v>
      </c>
      <c r="MP66" s="338">
        <f t="shared" si="2817"/>
        <v>8.8860331823569956E-3</v>
      </c>
      <c r="MQ66" s="338">
        <f t="shared" si="2817"/>
        <v>7.7540355216982092E-3</v>
      </c>
      <c r="MR66" s="338">
        <f t="shared" si="2817"/>
        <v>8.5328073760024062E-3</v>
      </c>
      <c r="MS66" s="338">
        <f t="shared" si="2817"/>
        <v>7.5104628179596877E-3</v>
      </c>
      <c r="MT66" s="338">
        <f t="shared" si="2817"/>
        <v>1.1283845223928455E-2</v>
      </c>
      <c r="MU66" s="338">
        <f t="shared" si="2817"/>
        <v>9.3947201921720028E-3</v>
      </c>
      <c r="MV66" s="338">
        <f t="shared" ref="MV66:MV67" si="2818">P66*$AM66</f>
        <v>1.29833227916363E-2</v>
      </c>
      <c r="MW66" s="338">
        <f t="shared" ref="MW66:MW67" si="2819">Q66*$AM66</f>
        <v>1.0815519079027634E-2</v>
      </c>
      <c r="MX66" s="338">
        <f t="shared" ref="MX66:MX67" si="2820">R66*$AM66</f>
        <v>4.7813783500806643E-3</v>
      </c>
      <c r="MY66" s="338">
        <f t="shared" ref="MY66:MY67" si="2821">S66*$AM66</f>
        <v>3.2360045098283959E-3</v>
      </c>
      <c r="NB66" s="337" t="s">
        <v>333</v>
      </c>
      <c r="NC66" s="338">
        <f t="shared" ref="NC66:NN67" si="2822">D66*$AN66</f>
        <v>8.3911349780199651E-3</v>
      </c>
      <c r="ND66" s="338">
        <f t="shared" si="2822"/>
        <v>7.3654206643634368E-3</v>
      </c>
      <c r="NE66" s="338">
        <f t="shared" si="2822"/>
        <v>9.4000929239688811E-3</v>
      </c>
      <c r="NF66" s="338">
        <f t="shared" si="2822"/>
        <v>8.0527376705177706E-3</v>
      </c>
      <c r="NG66" s="338">
        <f t="shared" si="2822"/>
        <v>9.2776228938227807E-3</v>
      </c>
      <c r="NH66" s="338">
        <f t="shared" si="2822"/>
        <v>7.9693092830397539E-3</v>
      </c>
      <c r="NI66" s="338">
        <f t="shared" si="2822"/>
        <v>8.5936902285798471E-3</v>
      </c>
      <c r="NJ66" s="338">
        <f t="shared" si="2822"/>
        <v>7.4989343306958011E-3</v>
      </c>
      <c r="NK66" s="338">
        <f t="shared" si="2822"/>
        <v>8.2520852516168291E-3</v>
      </c>
      <c r="NL66" s="338">
        <f t="shared" si="2822"/>
        <v>7.2633749622902817E-3</v>
      </c>
      <c r="NM66" s="338">
        <f t="shared" si="2822"/>
        <v>1.0912616288020698E-2</v>
      </c>
      <c r="NN66" s="338">
        <f t="shared" si="2822"/>
        <v>9.0856418672854312E-3</v>
      </c>
      <c r="NO66" s="338">
        <f t="shared" ref="NO66:NO67" si="2823">P66*$AN66</f>
        <v>1.2556182485398736E-2</v>
      </c>
      <c r="NP66" s="338">
        <f t="shared" ref="NP66:NP67" si="2824">Q66*$AN66</f>
        <v>1.0459697676011291E-2</v>
      </c>
      <c r="NQ66" s="338">
        <f t="shared" ref="NQ66:NQ67" si="2825">R66*$AN66</f>
        <v>4.6240750583526977E-3</v>
      </c>
      <c r="NR66" s="338">
        <f t="shared" ref="NR66:NR67" si="2826">S66*$AN66</f>
        <v>3.1295427065214138E-3</v>
      </c>
    </row>
    <row r="67" spans="2:382" ht="13.5" customHeight="1" thickBot="1" x14ac:dyDescent="0.25">
      <c r="B67" s="734"/>
      <c r="C67" s="159" t="s">
        <v>365</v>
      </c>
      <c r="D67" s="198">
        <f>Summary!F3</f>
        <v>12.381655478392915</v>
      </c>
      <c r="E67" s="199">
        <f>Summary!F4</f>
        <v>8.7759750768020659</v>
      </c>
      <c r="F67" s="198">
        <f>Summary!F5</f>
        <v>16.26690387365997</v>
      </c>
      <c r="G67" s="199">
        <f>Summary!F6</f>
        <v>11.529794478702794</v>
      </c>
      <c r="H67" s="198">
        <f>Summary!F7</f>
        <v>15.795301969929529</v>
      </c>
      <c r="I67" s="199">
        <f>Summary!F8</f>
        <v>11.195528470370288</v>
      </c>
      <c r="J67" s="198">
        <f>Summary!F9</f>
        <v>13.217484220444865</v>
      </c>
      <c r="K67" s="199">
        <f>Summary!F10</f>
        <v>9.3684008813742672</v>
      </c>
      <c r="L67" s="198">
        <f>Summary!F11</f>
        <v>11.937687520806318</v>
      </c>
      <c r="M67" s="199">
        <f>Summary!F12</f>
        <v>8.4612956918459883</v>
      </c>
      <c r="N67" s="200">
        <f>Summary!F13</f>
        <v>22.05939146203502</v>
      </c>
      <c r="O67" s="199">
        <f>Summary!F14</f>
        <v>15.6354430970944</v>
      </c>
      <c r="P67" s="198">
        <f>Summary!F15</f>
        <v>25.308954457280244</v>
      </c>
      <c r="Q67" s="199">
        <f>Summary!F16</f>
        <v>17.938695994619856</v>
      </c>
      <c r="R67" s="198">
        <f>Summary!F17</f>
        <v>19.518590912357492</v>
      </c>
      <c r="S67" s="199">
        <f>Summary!F18</f>
        <v>14.639779146176734</v>
      </c>
      <c r="T67" s="109"/>
      <c r="U67" s="109"/>
      <c r="V67" s="159" t="s">
        <v>365</v>
      </c>
      <c r="W67" s="160">
        <f>'Ecoinvent 3.10'!M35</f>
        <v>0.99828727057226196</v>
      </c>
      <c r="X67" s="160">
        <f>'Ecoinvent 3.10'!N35</f>
        <v>0.20746439999999999</v>
      </c>
      <c r="Y67" s="160">
        <f>'Ecoinvent 3.10'!O35</f>
        <v>0.67435199999999995</v>
      </c>
      <c r="Z67" s="160">
        <f>'Ecoinvent 3.10'!P35</f>
        <v>8.8869600000000007E-5</v>
      </c>
      <c r="AA67" s="160">
        <f>'Ecoinvent 3.10'!Q35</f>
        <v>1.2027959999999999E-3</v>
      </c>
      <c r="AB67" s="160">
        <f>'Ecoinvent 3.10'!R35</f>
        <v>1.562112E-4</v>
      </c>
      <c r="AC67" s="160">
        <f>'Ecoinvent 3.10'!S35</f>
        <v>3.419712E-6</v>
      </c>
      <c r="AD67" s="160">
        <f>'Ecoinvent 3.10'!T35</f>
        <v>7.4714400000000004E-4</v>
      </c>
      <c r="AE67" s="160">
        <f>'Ecoinvent 3.10'!U35</f>
        <v>1.096452E-2</v>
      </c>
      <c r="AF67" s="160">
        <f>'Ecoinvent 3.10'!V35</f>
        <v>1.102932E-2</v>
      </c>
      <c r="AG67" s="330">
        <f>'Ecoinvent 3.10'!W35</f>
        <v>3.5511120000000001E-5</v>
      </c>
      <c r="AH67" s="330">
        <f>'Ecoinvent 3.10'!X35</f>
        <v>7.4872800000000003E-2</v>
      </c>
      <c r="AI67" s="330">
        <f>'Ecoinvent 3.10'!Y35</f>
        <v>9.8971200000000001E-4</v>
      </c>
      <c r="AJ67" s="330">
        <f>'Ecoinvent 3.10'!Z35</f>
        <v>2.4006240000000001E-4</v>
      </c>
      <c r="AK67" s="330">
        <f>'Ecoinvent 3.10'!AA35</f>
        <v>1.7943480000000001E-3</v>
      </c>
      <c r="AL67" s="330">
        <f>'Ecoinvent 3.10'!AB35</f>
        <v>2.5094880000000004E-6</v>
      </c>
      <c r="AM67" s="330">
        <f>'Ecoinvent 3.10'!AC35</f>
        <v>2.0774880000000001E-4</v>
      </c>
      <c r="AN67" s="330">
        <f>'Ecoinvent 3.10'!AD35</f>
        <v>1.8267479999999999E-4</v>
      </c>
      <c r="AO67" s="109"/>
      <c r="AQ67" s="159" t="s">
        <v>365</v>
      </c>
      <c r="AR67" s="216">
        <f t="shared" si="2754"/>
        <v>12.360449052690958</v>
      </c>
      <c r="AS67" s="217">
        <f t="shared" si="2754"/>
        <v>8.7609442060309313</v>
      </c>
      <c r="AT67" s="216">
        <f>F67*$W67</f>
        <v>16.239043068697367</v>
      </c>
      <c r="AU67" s="217">
        <f t="shared" si="2754"/>
        <v>11.510047060403348</v>
      </c>
      <c r="AV67" s="216">
        <f t="shared" si="2754"/>
        <v>15.768248891425623</v>
      </c>
      <c r="AW67" s="217">
        <f t="shared" si="2754"/>
        <v>11.176353559300006</v>
      </c>
      <c r="AX67" s="216">
        <f t="shared" si="2754"/>
        <v>13.194846246259846</v>
      </c>
      <c r="AY67" s="217">
        <f t="shared" si="2754"/>
        <v>9.3523553454938906</v>
      </c>
      <c r="AZ67" s="216">
        <f t="shared" si="2754"/>
        <v>11.917241492090291</v>
      </c>
      <c r="BA67" s="217">
        <f t="shared" si="2754"/>
        <v>8.4468037817177706</v>
      </c>
      <c r="BB67" s="216">
        <f t="shared" si="2754"/>
        <v>22.021609693119998</v>
      </c>
      <c r="BC67" s="217">
        <f t="shared" si="2754"/>
        <v>15.608663813586283</v>
      </c>
      <c r="BD67" s="216">
        <f t="shared" si="2755"/>
        <v>25.26560706619598</v>
      </c>
      <c r="BE67" s="217">
        <f t="shared" si="2756"/>
        <v>17.907971862094623</v>
      </c>
      <c r="BF67" s="216">
        <f t="shared" ref="BF67" si="2827">R67*$W67</f>
        <v>19.485160847313917</v>
      </c>
      <c r="BG67" s="217">
        <f t="shared" si="2757"/>
        <v>14.614705165617492</v>
      </c>
      <c r="BI67" s="156"/>
      <c r="BJ67" s="159" t="s">
        <v>365</v>
      </c>
      <c r="BK67" s="216">
        <f t="shared" si="2758"/>
        <v>2.5687527248314992</v>
      </c>
      <c r="BL67" s="218">
        <f t="shared" si="2758"/>
        <v>1.8207024037236945</v>
      </c>
      <c r="BM67" s="216">
        <f t="shared" si="2758"/>
        <v>3.3748034520065415</v>
      </c>
      <c r="BN67" s="218">
        <f t="shared" si="2758"/>
        <v>2.3920218936473878</v>
      </c>
      <c r="BO67" s="216">
        <f t="shared" si="2758"/>
        <v>3.2769628460102478</v>
      </c>
      <c r="BP67" s="218">
        <f t="shared" si="2758"/>
        <v>2.3226735967882894</v>
      </c>
      <c r="BQ67" s="216">
        <f t="shared" si="2758"/>
        <v>2.7421574333040617</v>
      </c>
      <c r="BR67" s="218">
        <f t="shared" si="2758"/>
        <v>1.9436096678137835</v>
      </c>
      <c r="BS67" s="216">
        <f t="shared" si="2758"/>
        <v>2.47664517889157</v>
      </c>
      <c r="BT67" s="218">
        <f t="shared" si="2758"/>
        <v>1.7554176339314127</v>
      </c>
      <c r="BU67" s="216">
        <f t="shared" si="2758"/>
        <v>4.576538414036218</v>
      </c>
      <c r="BV67" s="218">
        <f t="shared" si="2758"/>
        <v>3.2437978208728313</v>
      </c>
      <c r="BW67" s="216">
        <f t="shared" si="2758"/>
        <v>5.2507070511069713</v>
      </c>
      <c r="BX67" s="218">
        <f t="shared" si="2758"/>
        <v>3.7216408013062114</v>
      </c>
      <c r="BY67" s="216">
        <f t="shared" si="2758"/>
        <v>4.0494127524776999</v>
      </c>
      <c r="BZ67" s="218">
        <f t="shared" si="2758"/>
        <v>3.0372329966940681</v>
      </c>
      <c r="CA67" s="156"/>
      <c r="CB67" s="156"/>
      <c r="CC67" s="159" t="s">
        <v>365</v>
      </c>
      <c r="CD67" s="216">
        <f t="shared" si="2759"/>
        <v>8.3495941351652192</v>
      </c>
      <c r="CE67" s="216">
        <f t="shared" si="2759"/>
        <v>5.9180963449916266</v>
      </c>
      <c r="CF67" s="216">
        <f t="shared" si="2759"/>
        <v>10.969619161010348</v>
      </c>
      <c r="CG67" s="216">
        <f t="shared" si="2759"/>
        <v>7.7751399663021861</v>
      </c>
      <c r="CH67" s="216">
        <f t="shared" si="2759"/>
        <v>10.651593474025917</v>
      </c>
      <c r="CI67" s="216">
        <f t="shared" si="2759"/>
        <v>7.5497270150511442</v>
      </c>
      <c r="CJ67" s="216">
        <f t="shared" si="2759"/>
        <v>8.9132369190254348</v>
      </c>
      <c r="CK67" s="216">
        <f t="shared" si="2759"/>
        <v>6.3175998711564993</v>
      </c>
      <c r="CL67" s="216">
        <f t="shared" si="2759"/>
        <v>8.0502034550307808</v>
      </c>
      <c r="CM67" s="216">
        <f t="shared" si="2759"/>
        <v>5.7058916723877253</v>
      </c>
      <c r="CN67" s="216">
        <f t="shared" si="2759"/>
        <v>14.875794751206239</v>
      </c>
      <c r="CO67" s="218">
        <f t="shared" si="2759"/>
        <v>10.543792323411802</v>
      </c>
      <c r="CP67" s="216">
        <f t="shared" si="2759"/>
        <v>17.067144056175845</v>
      </c>
      <c r="CQ67" s="216">
        <f t="shared" si="2759"/>
        <v>12.096995521363889</v>
      </c>
      <c r="CR67" s="216">
        <f t="shared" si="2759"/>
        <v>13.162400818930099</v>
      </c>
      <c r="CS67" s="218">
        <f t="shared" si="2759"/>
        <v>9.8723643467825717</v>
      </c>
      <c r="CV67" s="159" t="s">
        <v>365</v>
      </c>
      <c r="CW67" s="216">
        <f t="shared" si="2760"/>
        <v>1.100352769702587E-3</v>
      </c>
      <c r="CX67" s="216">
        <f t="shared" si="2760"/>
        <v>7.7991739468536889E-4</v>
      </c>
      <c r="CY67" s="216">
        <f t="shared" si="2760"/>
        <v>1.4456332404906122E-3</v>
      </c>
      <c r="CZ67" s="216">
        <f t="shared" si="2760"/>
        <v>1.024648223404526E-3</v>
      </c>
      <c r="DA67" s="216">
        <f t="shared" si="2760"/>
        <v>1.4037221679468494E-3</v>
      </c>
      <c r="DB67" s="216">
        <f t="shared" si="2760"/>
        <v>9.949421369504195E-4</v>
      </c>
      <c r="DC67" s="216">
        <f t="shared" si="2760"/>
        <v>1.174632535677247E-3</v>
      </c>
      <c r="DD67" s="216">
        <f t="shared" si="2760"/>
        <v>8.3256603896737866E-4</v>
      </c>
      <c r="DE67" s="216">
        <f t="shared" si="2760"/>
        <v>1.0608975148990493E-3</v>
      </c>
      <c r="DF67" s="216">
        <f t="shared" si="2760"/>
        <v>7.5195196361607631E-4</v>
      </c>
      <c r="DG67" s="216">
        <f t="shared" si="2760"/>
        <v>1.9604092954744676E-3</v>
      </c>
      <c r="DH67" s="216">
        <f t="shared" si="2760"/>
        <v>1.3895155738615406E-3</v>
      </c>
      <c r="DI67" s="216">
        <f t="shared" si="2760"/>
        <v>2.2491966590367125E-3</v>
      </c>
      <c r="DJ67" s="216">
        <f t="shared" si="2760"/>
        <v>1.594204737563469E-3</v>
      </c>
      <c r="DK67" s="216">
        <f t="shared" si="2760"/>
        <v>1.7346093669448456E-3</v>
      </c>
      <c r="DL67" s="216">
        <f t="shared" si="2760"/>
        <v>1.3010313168090679E-3</v>
      </c>
      <c r="DO67" s="159" t="s">
        <v>365</v>
      </c>
      <c r="DP67" s="216">
        <f t="shared" si="2761"/>
        <v>1.4892605682789084E-2</v>
      </c>
      <c r="DQ67" s="216">
        <f t="shared" si="2761"/>
        <v>1.0555707718477216E-2</v>
      </c>
      <c r="DR67" s="216">
        <f t="shared" si="2761"/>
        <v>1.9565766911622717E-2</v>
      </c>
      <c r="DS67" s="216">
        <f t="shared" si="2761"/>
        <v>1.3867990679805804E-2</v>
      </c>
      <c r="DT67" s="216">
        <f t="shared" si="2761"/>
        <v>1.8998526028223356E-2</v>
      </c>
      <c r="DU67" s="216">
        <f t="shared" si="2761"/>
        <v>1.3465936862047501E-2</v>
      </c>
      <c r="DV67" s="216">
        <f t="shared" si="2761"/>
        <v>1.5897937150414199E-2</v>
      </c>
      <c r="DW67" s="216">
        <f t="shared" si="2761"/>
        <v>1.1268275106513442E-2</v>
      </c>
      <c r="DX67" s="216">
        <f t="shared" si="2761"/>
        <v>1.4358602799275755E-2</v>
      </c>
      <c r="DY67" s="216">
        <f t="shared" si="2761"/>
        <v>1.0177212612969586E-2</v>
      </c>
      <c r="DZ67" s="216">
        <f t="shared" si="2761"/>
        <v>2.6532947812969873E-2</v>
      </c>
      <c r="EA67" s="216">
        <f t="shared" si="2761"/>
        <v>1.8806248415412754E-2</v>
      </c>
      <c r="EB67" s="216">
        <f t="shared" si="2761"/>
        <v>3.0441509185398844E-2</v>
      </c>
      <c r="EC67" s="216">
        <f t="shared" si="2761"/>
        <v>2.1576591787544782E-2</v>
      </c>
      <c r="ED67" s="216">
        <f t="shared" si="2761"/>
        <v>2.3476883075019942E-2</v>
      </c>
      <c r="EE67" s="216">
        <f t="shared" si="2761"/>
        <v>1.7608667797904789E-2</v>
      </c>
      <c r="EH67" s="159" t="s">
        <v>365</v>
      </c>
      <c r="EI67" s="216">
        <f t="shared" si="2762"/>
        <v>1.9341532602663314E-3</v>
      </c>
      <c r="EJ67" s="216">
        <f t="shared" si="2762"/>
        <v>1.370905597917343E-3</v>
      </c>
      <c r="EK67" s="216">
        <f t="shared" si="2762"/>
        <v>2.5410725743890725E-3</v>
      </c>
      <c r="EL67" s="216">
        <f t="shared" si="2762"/>
        <v>1.8010830312715379E-3</v>
      </c>
      <c r="EM67" s="216">
        <f t="shared" si="2762"/>
        <v>2.4674030750850558E-3</v>
      </c>
      <c r="EN67" s="216">
        <f t="shared" si="2762"/>
        <v>1.7488669369907072E-3</v>
      </c>
      <c r="EO67" s="216">
        <f t="shared" si="2762"/>
        <v>2.0647190710567568E-3</v>
      </c>
      <c r="EP67" s="216">
        <f t="shared" si="2762"/>
        <v>1.4634491437605318E-3</v>
      </c>
      <c r="EQ67" s="216">
        <f t="shared" si="2762"/>
        <v>1.8648004928501797E-3</v>
      </c>
      <c r="ER67" s="216">
        <f t="shared" si="2762"/>
        <v>1.321749153578092E-3</v>
      </c>
      <c r="ES67" s="216">
        <f t="shared" si="2762"/>
        <v>3.4459240115542449E-3</v>
      </c>
      <c r="ET67" s="216">
        <f t="shared" si="2762"/>
        <v>2.4424313287288329E-3</v>
      </c>
      <c r="EU67" s="216">
        <f t="shared" si="2763"/>
        <v>3.9535421465170953E-3</v>
      </c>
      <c r="EV67" s="216">
        <f t="shared" si="2764"/>
        <v>2.8022252277547614E-3</v>
      </c>
      <c r="EW67" s="216">
        <f t="shared" si="2765"/>
        <v>3.0490225087284589E-3</v>
      </c>
      <c r="EX67" s="216">
        <f t="shared" si="2766"/>
        <v>2.2868974681592431E-3</v>
      </c>
      <c r="FA67" s="159" t="s">
        <v>365</v>
      </c>
      <c r="FB67" s="486">
        <f t="shared" si="2767"/>
        <v>4.2341695819325993E-5</v>
      </c>
      <c r="FC67" s="486">
        <f t="shared" si="2767"/>
        <v>3.0011307281840948E-5</v>
      </c>
      <c r="FD67" s="486">
        <f t="shared" si="2767"/>
        <v>5.5628126379601483E-5</v>
      </c>
      <c r="FE67" s="486">
        <f t="shared" si="2767"/>
        <v>3.9428576536353688E-5</v>
      </c>
      <c r="FF67" s="486">
        <f t="shared" si="2767"/>
        <v>5.4015383690191649E-5</v>
      </c>
      <c r="FG67" s="486">
        <f t="shared" si="2767"/>
        <v>3.8285483056466921E-5</v>
      </c>
      <c r="FH67" s="486">
        <f t="shared" si="2767"/>
        <v>4.5199989398465946E-5</v>
      </c>
      <c r="FI67" s="486">
        <f t="shared" si="2767"/>
        <v>3.2037232914846161E-5</v>
      </c>
      <c r="FJ67" s="486">
        <f t="shared" si="2767"/>
        <v>4.0823453267151614E-5</v>
      </c>
      <c r="FK67" s="486">
        <f t="shared" si="2767"/>
        <v>2.8935194412954028E-5</v>
      </c>
      <c r="FL67" s="486">
        <f t="shared" si="2767"/>
        <v>7.5436765695418705E-5</v>
      </c>
      <c r="FM67" s="486">
        <f t="shared" si="2767"/>
        <v>5.3468712384450885E-5</v>
      </c>
      <c r="FN67" s="486">
        <f t="shared" si="2768"/>
        <v>8.6549335265014739E-5</v>
      </c>
      <c r="FO67" s="486">
        <f t="shared" si="2769"/>
        <v>6.1345173957153454E-5</v>
      </c>
      <c r="FP67" s="486">
        <f t="shared" si="2770"/>
        <v>6.6747959566079864E-5</v>
      </c>
      <c r="FQ67" s="486">
        <f t="shared" si="2771"/>
        <v>5.0063828423530328E-5</v>
      </c>
      <c r="FT67" s="159" t="s">
        <v>365</v>
      </c>
      <c r="FU67" s="216">
        <f t="shared" si="2772"/>
        <v>9.2508796007483973E-3</v>
      </c>
      <c r="FV67" s="216">
        <f t="shared" si="2772"/>
        <v>6.5569171227822035E-3</v>
      </c>
      <c r="FW67" s="216">
        <f t="shared" si="2772"/>
        <v>1.2153719627781806E-2</v>
      </c>
      <c r="FX67" s="216">
        <f t="shared" si="2772"/>
        <v>8.6144167659959209E-3</v>
      </c>
      <c r="FY67" s="216">
        <f t="shared" si="2772"/>
        <v>1.1801365095021029E-2</v>
      </c>
      <c r="FZ67" s="216">
        <f t="shared" si="2772"/>
        <v>8.3646719234663387E-3</v>
      </c>
      <c r="GA67" s="216">
        <f t="shared" si="2772"/>
        <v>9.8753640304000585E-3</v>
      </c>
      <c r="GB67" s="216">
        <f t="shared" si="2772"/>
        <v>6.9995445081134956E-3</v>
      </c>
      <c r="GC67" s="216">
        <f t="shared" si="2772"/>
        <v>8.919171605045316E-3</v>
      </c>
      <c r="GD67" s="216">
        <f t="shared" si="2772"/>
        <v>6.3218063083885796E-3</v>
      </c>
      <c r="GE67" s="216">
        <f t="shared" si="2772"/>
        <v>1.6481541974510693E-2</v>
      </c>
      <c r="GF67" s="216">
        <f t="shared" si="2772"/>
        <v>1.1681927497335499E-2</v>
      </c>
      <c r="GG67" s="216">
        <f t="shared" si="2773"/>
        <v>1.8909433469030193E-2</v>
      </c>
      <c r="GH67" s="216">
        <f t="shared" si="2774"/>
        <v>1.3402789080204258E-2</v>
      </c>
      <c r="GI67" s="216">
        <f t="shared" si="2775"/>
        <v>1.4583198088622427E-2</v>
      </c>
      <c r="GJ67" s="216">
        <f t="shared" si="2776"/>
        <v>1.0938023150391071E-2</v>
      </c>
      <c r="GM67" s="159" t="s">
        <v>365</v>
      </c>
      <c r="GN67" s="216">
        <f t="shared" si="2777"/>
        <v>0.13575890912594868</v>
      </c>
      <c r="GO67" s="216">
        <f t="shared" si="2777"/>
        <v>9.6224354249097796E-2</v>
      </c>
      <c r="GP67" s="216">
        <f t="shared" si="2777"/>
        <v>0.17835879286082221</v>
      </c>
      <c r="GQ67" s="216">
        <f t="shared" si="2777"/>
        <v>0.12641866215762637</v>
      </c>
      <c r="GR67" s="216">
        <f t="shared" si="2777"/>
        <v>0.17318790435533171</v>
      </c>
      <c r="GS67" s="216">
        <f t="shared" si="2777"/>
        <v>0.12275359582394443</v>
      </c>
      <c r="GT67" s="216">
        <f t="shared" si="2777"/>
        <v>0.14492337008475212</v>
      </c>
      <c r="GU67" s="216">
        <f t="shared" si="2777"/>
        <v>0.10272001883184578</v>
      </c>
      <c r="GV67" s="216">
        <f t="shared" si="2777"/>
        <v>0.13089101357563129</v>
      </c>
      <c r="GW67" s="216">
        <f t="shared" si="2777"/>
        <v>9.2774045839159172E-2</v>
      </c>
      <c r="GX67" s="216">
        <f t="shared" si="2777"/>
        <v>0.24187063887331223</v>
      </c>
      <c r="GY67" s="216">
        <f t="shared" si="2777"/>
        <v>0.1714351285469535</v>
      </c>
      <c r="GZ67" s="216">
        <f t="shared" si="2778"/>
        <v>0.27750053732593838</v>
      </c>
      <c r="HA67" s="216">
        <f t="shared" si="2779"/>
        <v>0.1966891910069293</v>
      </c>
      <c r="HB67" s="216">
        <f t="shared" si="2780"/>
        <v>0.21401198043036199</v>
      </c>
      <c r="HC67" s="216">
        <f t="shared" si="2781"/>
        <v>0.16051815124383773</v>
      </c>
      <c r="HF67" s="159" t="s">
        <v>365</v>
      </c>
      <c r="HG67" s="216">
        <f t="shared" si="2782"/>
        <v>0.13656124040094855</v>
      </c>
      <c r="HH67" s="216">
        <f t="shared" si="2782"/>
        <v>9.6793037434074566E-2</v>
      </c>
      <c r="HI67" s="216">
        <f t="shared" si="2782"/>
        <v>0.17941288823183538</v>
      </c>
      <c r="HJ67" s="216">
        <f t="shared" si="2782"/>
        <v>0.1271657928398463</v>
      </c>
      <c r="HK67" s="216">
        <f t="shared" si="2782"/>
        <v>0.17421143992298316</v>
      </c>
      <c r="HL67" s="216">
        <f t="shared" si="2782"/>
        <v>0.12347906606882443</v>
      </c>
      <c r="HM67" s="216">
        <f t="shared" si="2782"/>
        <v>0.14577986306223698</v>
      </c>
      <c r="HN67" s="216">
        <f t="shared" si="2782"/>
        <v>0.10332709120895883</v>
      </c>
      <c r="HO67" s="216">
        <f t="shared" si="2782"/>
        <v>0.13166457572697954</v>
      </c>
      <c r="HP67" s="216">
        <f t="shared" si="2782"/>
        <v>9.3322337799990801E-2</v>
      </c>
      <c r="HQ67" s="216">
        <f t="shared" si="2782"/>
        <v>0.2433000874400521</v>
      </c>
      <c r="HR67" s="216">
        <f t="shared" si="2782"/>
        <v>0.17244830525964522</v>
      </c>
      <c r="HS67" s="216">
        <f t="shared" si="2783"/>
        <v>0.27914055757477013</v>
      </c>
      <c r="HT67" s="216">
        <f t="shared" si="2784"/>
        <v>0.19785161850738067</v>
      </c>
      <c r="HU67" s="216">
        <f t="shared" si="2785"/>
        <v>0.21527678512148274</v>
      </c>
      <c r="HV67" s="216">
        <f t="shared" si="2786"/>
        <v>0.16146680893250998</v>
      </c>
      <c r="HY67" s="346" t="s">
        <v>365</v>
      </c>
      <c r="HZ67" s="347">
        <f t="shared" si="2787"/>
        <v>4.3968645349186819E-4</v>
      </c>
      <c r="IA67" s="347">
        <f t="shared" si="2787"/>
        <v>3.1164470406932739E-4</v>
      </c>
      <c r="IB67" s="347">
        <f t="shared" si="2787"/>
        <v>5.7765597548600409E-4</v>
      </c>
      <c r="IC67" s="347">
        <f t="shared" si="2787"/>
        <v>4.0943591530855235E-4</v>
      </c>
      <c r="ID67" s="347">
        <f t="shared" si="2787"/>
        <v>5.6090886369040396E-4</v>
      </c>
      <c r="IE67" s="347">
        <f t="shared" si="2787"/>
        <v>3.9756575497473573E-4</v>
      </c>
      <c r="IF67" s="347">
        <f t="shared" si="2787"/>
        <v>4.6936766825032405E-4</v>
      </c>
      <c r="IG67" s="347">
        <f t="shared" si="2787"/>
        <v>3.3268240790658736E-4</v>
      </c>
      <c r="IH67" s="347">
        <f t="shared" si="2787"/>
        <v>4.2392065407385567E-4</v>
      </c>
      <c r="II67" s="347">
        <f t="shared" si="2787"/>
        <v>3.0047008666862594E-4</v>
      </c>
      <c r="IJ67" s="347">
        <f t="shared" si="2787"/>
        <v>7.8335369733530103E-4</v>
      </c>
      <c r="IK67" s="347">
        <f t="shared" si="2787"/>
        <v>5.5523209607409097E-4</v>
      </c>
      <c r="IL67" s="347">
        <f t="shared" si="2788"/>
        <v>8.9874931880701368E-4</v>
      </c>
      <c r="IM67" s="347">
        <f t="shared" si="2789"/>
        <v>6.3702318610846503E-4</v>
      </c>
      <c r="IN67" s="347">
        <f t="shared" si="2790"/>
        <v>6.9312702411963639E-4</v>
      </c>
      <c r="IO67" s="347">
        <f t="shared" si="2791"/>
        <v>5.1987495403337956E-4</v>
      </c>
      <c r="IR67" s="346" t="s">
        <v>365</v>
      </c>
      <c r="IS67" s="347">
        <f t="shared" si="2792"/>
        <v>0.92704921430261711</v>
      </c>
      <c r="IT67" s="347">
        <f t="shared" si="2792"/>
        <v>0.65708182673038573</v>
      </c>
      <c r="IU67" s="347">
        <f t="shared" si="2792"/>
        <v>1.2179486403517683</v>
      </c>
      <c r="IV67" s="347">
        <f t="shared" si="2792"/>
        <v>0.86326799604501858</v>
      </c>
      <c r="IW67" s="347">
        <f t="shared" si="2792"/>
        <v>1.1826384853341396</v>
      </c>
      <c r="IX67" s="347">
        <f t="shared" si="2792"/>
        <v>0.83824056405634051</v>
      </c>
      <c r="IY67" s="347">
        <f t="shared" si="2792"/>
        <v>0.98963005254052427</v>
      </c>
      <c r="IZ67" s="347">
        <f t="shared" si="2792"/>
        <v>0.70143840551095926</v>
      </c>
      <c r="JA67" s="347">
        <f t="shared" si="2792"/>
        <v>0.89380809020782725</v>
      </c>
      <c r="JB67" s="347">
        <f t="shared" si="2792"/>
        <v>0.63352090007644635</v>
      </c>
      <c r="JC67" s="347">
        <f t="shared" si="2792"/>
        <v>1.6516484050586557</v>
      </c>
      <c r="JD67" s="347">
        <f t="shared" si="2792"/>
        <v>1.1706694039201297</v>
      </c>
      <c r="JE67" s="347">
        <f t="shared" si="2793"/>
        <v>1.8949522852890524</v>
      </c>
      <c r="JF67" s="347">
        <f t="shared" si="2794"/>
        <v>1.3431203974659736</v>
      </c>
      <c r="JG67" s="347">
        <f t="shared" si="2795"/>
        <v>1.4614115536627601</v>
      </c>
      <c r="JH67" s="347">
        <f t="shared" si="2796"/>
        <v>1.0961212560558613</v>
      </c>
      <c r="JK67" s="346" t="s">
        <v>365</v>
      </c>
      <c r="JL67" s="347">
        <f t="shared" si="2797"/>
        <v>1.2254273006831209E-2</v>
      </c>
      <c r="JM67" s="347">
        <f t="shared" si="2797"/>
        <v>8.6856878452119257E-3</v>
      </c>
      <c r="JN67" s="347">
        <f t="shared" si="2797"/>
        <v>1.6099549966607757E-2</v>
      </c>
      <c r="JO67" s="347">
        <f t="shared" si="2797"/>
        <v>1.1411175953105899E-2</v>
      </c>
      <c r="JP67" s="347">
        <f t="shared" si="2797"/>
        <v>1.5632799903262894E-2</v>
      </c>
      <c r="JQ67" s="347">
        <f t="shared" si="2797"/>
        <v>1.1080348873467118E-2</v>
      </c>
      <c r="JR67" s="347">
        <f t="shared" si="2797"/>
        <v>1.3081502742784927E-2</v>
      </c>
      <c r="JS67" s="347">
        <f t="shared" si="2797"/>
        <v>9.2720187731066897E-3</v>
      </c>
      <c r="JT67" s="347">
        <f t="shared" si="2797"/>
        <v>1.1814872591592262E-2</v>
      </c>
      <c r="JU67" s="347">
        <f t="shared" si="2797"/>
        <v>8.3742458817682771E-3</v>
      </c>
      <c r="JV67" s="347">
        <f t="shared" si="2797"/>
        <v>2.1832444442673602E-2</v>
      </c>
      <c r="JW67" s="347">
        <f t="shared" si="2797"/>
        <v>1.5474585658511494E-2</v>
      </c>
      <c r="JX67" s="347">
        <f t="shared" si="2798"/>
        <v>2.5048575933823744E-2</v>
      </c>
      <c r="JY67" s="347">
        <f t="shared" si="2799"/>
        <v>1.7754142690227206E-2</v>
      </c>
      <c r="JZ67" s="347">
        <f t="shared" si="2800"/>
        <v>1.9317783649051158E-2</v>
      </c>
      <c r="KA67" s="347">
        <f t="shared" si="2801"/>
        <v>1.4489165098320867E-2</v>
      </c>
      <c r="KD67" s="346" t="s">
        <v>365</v>
      </c>
      <c r="KE67" s="347">
        <f t="shared" si="2802"/>
        <v>2.9723699301161515E-3</v>
      </c>
      <c r="KF67" s="347">
        <f t="shared" si="2802"/>
        <v>2.1067816392772885E-3</v>
      </c>
      <c r="KG67" s="347">
        <f t="shared" si="2802"/>
        <v>3.9050719844801094E-3</v>
      </c>
      <c r="KH67" s="347">
        <f t="shared" si="2802"/>
        <v>2.7678701340641417E-3</v>
      </c>
      <c r="KI67" s="347">
        <f t="shared" si="2802"/>
        <v>3.7918580996260105E-3</v>
      </c>
      <c r="KJ67" s="347">
        <f t="shared" si="2802"/>
        <v>2.6876254338654205E-3</v>
      </c>
      <c r="KK67" s="347">
        <f t="shared" si="2802"/>
        <v>3.1730209839221234E-3</v>
      </c>
      <c r="KL67" s="347">
        <f t="shared" si="2802"/>
        <v>2.2490007997448221E-3</v>
      </c>
      <c r="KM67" s="347">
        <f t="shared" si="2802"/>
        <v>2.8657899166948148E-3</v>
      </c>
      <c r="KN67" s="347">
        <f t="shared" si="2802"/>
        <v>2.0312389508942083E-3</v>
      </c>
      <c r="KO67" s="347">
        <f t="shared" si="2802"/>
        <v>5.2956304569156355E-3</v>
      </c>
      <c r="KP67" s="347">
        <f t="shared" si="2802"/>
        <v>3.753481994951915E-3</v>
      </c>
      <c r="KQ67" s="347">
        <f t="shared" si="2803"/>
        <v>6.0757283485053928E-3</v>
      </c>
      <c r="KR67" s="347">
        <f t="shared" si="2804"/>
        <v>4.3064064133388298E-3</v>
      </c>
      <c r="KS67" s="347">
        <f t="shared" si="2805"/>
        <v>4.6856797790387292E-3</v>
      </c>
      <c r="KT67" s="347">
        <f t="shared" si="2806"/>
        <v>3.5144605173011378E-3</v>
      </c>
      <c r="KW67" s="346" t="s">
        <v>365</v>
      </c>
      <c r="KX67" s="347">
        <f t="shared" si="2807"/>
        <v>2.221699874434337E-2</v>
      </c>
      <c r="KY67" s="347">
        <f t="shared" si="2807"/>
        <v>1.5747153327109634E-2</v>
      </c>
      <c r="KZ67" s="347">
        <f t="shared" si="2807"/>
        <v>2.918848643189402E-2</v>
      </c>
      <c r="LA67" s="347">
        <f t="shared" si="2807"/>
        <v>2.06884636632714E-2</v>
      </c>
      <c r="LB67" s="347">
        <f t="shared" si="2807"/>
        <v>2.8342268499139112E-2</v>
      </c>
      <c r="LC67" s="347">
        <f t="shared" si="2807"/>
        <v>2.0088674119751987E-2</v>
      </c>
      <c r="LD67" s="347">
        <f t="shared" si="2807"/>
        <v>2.3716766375986804E-2</v>
      </c>
      <c r="LE67" s="347">
        <f t="shared" si="2807"/>
        <v>1.6810171384692155E-2</v>
      </c>
      <c r="LF67" s="347">
        <f t="shared" si="2807"/>
        <v>2.1420365727583775E-2</v>
      </c>
      <c r="LG67" s="347">
        <f t="shared" si="2807"/>
        <v>1.5182509002072466E-2</v>
      </c>
      <c r="LH67" s="347">
        <f t="shared" si="2807"/>
        <v>3.9582224951119613E-2</v>
      </c>
      <c r="LI67" s="347">
        <f t="shared" si="2807"/>
        <v>2.8055426050385145E-2</v>
      </c>
      <c r="LJ67" s="347">
        <f t="shared" si="2808"/>
        <v>4.541307181251189E-2</v>
      </c>
      <c r="LK67" s="347">
        <f t="shared" si="2809"/>
        <v>3.2188263280554151E-2</v>
      </c>
      <c r="LL67" s="347">
        <f t="shared" si="2810"/>
        <v>3.5023144566406844E-2</v>
      </c>
      <c r="LM67" s="347">
        <f t="shared" si="2811"/>
        <v>2.6268858431383931E-2</v>
      </c>
      <c r="LP67" s="346" t="s">
        <v>365</v>
      </c>
      <c r="LQ67" s="347">
        <f t="shared" si="2812"/>
        <v>3.1071615843161285E-5</v>
      </c>
      <c r="LR67" s="347">
        <f t="shared" si="2812"/>
        <v>2.2023204143533867E-5</v>
      </c>
      <c r="LS67" s="347">
        <f t="shared" si="2812"/>
        <v>4.082160006810322E-5</v>
      </c>
      <c r="LT67" s="347">
        <f t="shared" si="2812"/>
        <v>2.8933880886770922E-5</v>
      </c>
      <c r="LU67" s="347">
        <f t="shared" si="2812"/>
        <v>3.9638120749914518E-5</v>
      </c>
      <c r="LV67" s="347">
        <f t="shared" si="2812"/>
        <v>2.8095044350052596E-5</v>
      </c>
      <c r="LW67" s="347">
        <f t="shared" si="2812"/>
        <v>3.316911804139575E-5</v>
      </c>
      <c r="LX67" s="347">
        <f t="shared" si="2812"/>
        <v>2.350988959099815E-5</v>
      </c>
      <c r="LY67" s="347">
        <f t="shared" si="2812"/>
        <v>2.9957483581213208E-5</v>
      </c>
      <c r="LZ67" s="347">
        <f t="shared" si="2812"/>
        <v>2.123352000313921E-5</v>
      </c>
      <c r="MA67" s="347">
        <f t="shared" si="2812"/>
        <v>5.5357778161279349E-5</v>
      </c>
      <c r="MB67" s="347">
        <f t="shared" si="2812"/>
        <v>3.9236956826841237E-5</v>
      </c>
      <c r="MC67" s="347">
        <f t="shared" si="2813"/>
        <v>6.3512517503091294E-5</v>
      </c>
      <c r="MD67" s="347">
        <f t="shared" si="2814"/>
        <v>4.5016942334146597E-5</v>
      </c>
      <c r="ME67" s="347">
        <f t="shared" si="2815"/>
        <v>4.8981669671470184E-5</v>
      </c>
      <c r="MF67" s="347">
        <f t="shared" si="2816"/>
        <v>3.6738350089980768E-5</v>
      </c>
      <c r="MI67" s="346" t="s">
        <v>365</v>
      </c>
      <c r="MJ67" s="347">
        <f t="shared" si="2817"/>
        <v>2.5722740676495542E-3</v>
      </c>
      <c r="MK67" s="347">
        <f t="shared" si="2817"/>
        <v>1.8231982910355371E-3</v>
      </c>
      <c r="ML67" s="347">
        <f t="shared" si="2817"/>
        <v>3.3794297594682103E-3</v>
      </c>
      <c r="MM67" s="347">
        <f t="shared" si="2817"/>
        <v>2.3953009671971309E-3</v>
      </c>
      <c r="MN67" s="347">
        <f t="shared" si="2817"/>
        <v>3.2814550298904959E-3</v>
      </c>
      <c r="MO67" s="347">
        <f t="shared" si="2817"/>
        <v>2.3258576050852629E-3</v>
      </c>
      <c r="MP67" s="347">
        <f t="shared" si="2817"/>
        <v>2.745916485816356E-3</v>
      </c>
      <c r="MQ67" s="347">
        <f t="shared" si="2817"/>
        <v>1.9462740410244464E-3</v>
      </c>
      <c r="MR67" s="347">
        <f t="shared" si="2817"/>
        <v>2.4800402572224874E-3</v>
      </c>
      <c r="MS67" s="347">
        <f t="shared" si="2817"/>
        <v>1.7578240264261738E-3</v>
      </c>
      <c r="MT67" s="347">
        <f t="shared" si="2817"/>
        <v>4.5828121049680207E-3</v>
      </c>
      <c r="MU67" s="347">
        <f t="shared" si="2817"/>
        <v>3.2482445408896451E-3</v>
      </c>
      <c r="MV67" s="347">
        <f t="shared" si="2818"/>
        <v>5.2579049177546222E-3</v>
      </c>
      <c r="MW67" s="347">
        <f t="shared" si="2819"/>
        <v>3.7267425664470814E-3</v>
      </c>
      <c r="MX67" s="347">
        <f t="shared" si="2820"/>
        <v>4.0549638397331745E-3</v>
      </c>
      <c r="MY67" s="347">
        <f t="shared" si="2821"/>
        <v>3.041396549883241E-3</v>
      </c>
      <c r="NB67" s="346" t="s">
        <v>365</v>
      </c>
      <c r="NC67" s="347">
        <f t="shared" si="2822"/>
        <v>2.2618164381843298E-3</v>
      </c>
      <c r="ND67" s="347">
        <f t="shared" si="2822"/>
        <v>1.603149491959802E-3</v>
      </c>
      <c r="NE67" s="347">
        <f t="shared" si="2822"/>
        <v>2.9715534117400601E-3</v>
      </c>
      <c r="NF67" s="347">
        <f t="shared" si="2822"/>
        <v>2.106202900438137E-3</v>
      </c>
      <c r="NG67" s="347">
        <f t="shared" si="2822"/>
        <v>2.8854036282964825E-3</v>
      </c>
      <c r="NH67" s="347">
        <f t="shared" si="2822"/>
        <v>2.0451409242191981E-3</v>
      </c>
      <c r="NI67" s="347">
        <f t="shared" si="2822"/>
        <v>2.4145012864729217E-3</v>
      </c>
      <c r="NJ67" s="347">
        <f t="shared" si="2822"/>
        <v>1.711370757324868E-3</v>
      </c>
      <c r="NK67" s="347">
        <f t="shared" si="2822"/>
        <v>2.1807146803257899E-3</v>
      </c>
      <c r="NL67" s="347">
        <f t="shared" si="2822"/>
        <v>1.5456654982488275E-3</v>
      </c>
      <c r="NM67" s="347">
        <f t="shared" si="2822"/>
        <v>4.0296949234489548E-3</v>
      </c>
      <c r="NN67" s="347">
        <f t="shared" si="2822"/>
        <v>2.8562014406731001E-3</v>
      </c>
      <c r="NO67" s="347">
        <f t="shared" si="2823"/>
        <v>4.6233081936927767E-3</v>
      </c>
      <c r="NP67" s="347">
        <f t="shared" si="2824"/>
        <v>3.2769477030779831E-3</v>
      </c>
      <c r="NQ67" s="347">
        <f t="shared" si="2825"/>
        <v>3.5655546911967225E-3</v>
      </c>
      <c r="NR67" s="347">
        <f t="shared" si="2826"/>
        <v>2.6743187275720054E-3</v>
      </c>
    </row>
    <row r="68" spans="2:382" ht="15" x14ac:dyDescent="0.25">
      <c r="Q68" s="101"/>
      <c r="R68" s="101"/>
      <c r="S68" s="101"/>
      <c r="T68" s="109"/>
      <c r="U68" s="109"/>
      <c r="V68" s="94"/>
      <c r="AO68" s="109"/>
      <c r="AQ68" s="155" t="s">
        <v>215</v>
      </c>
      <c r="AR68" s="132">
        <f t="shared" ref="AR68:BG68" si="2828">AR65+AR60+AR49+AR9+AR61+AR64+AR62+AR63</f>
        <v>456.09260977950163</v>
      </c>
      <c r="AS68" s="132">
        <f t="shared" si="2828"/>
        <v>426.91505058584568</v>
      </c>
      <c r="AT68" s="132">
        <f t="shared" si="2828"/>
        <v>619.80216820771693</v>
      </c>
      <c r="AU68" s="132">
        <f>AU65+AU60+AU49+AU9+AU61+AU64+AU62+AU63</f>
        <v>582.39927130948092</v>
      </c>
      <c r="AV68" s="132">
        <f t="shared" si="2828"/>
        <v>623.67829228374694</v>
      </c>
      <c r="AW68" s="132">
        <f t="shared" si="2828"/>
        <v>587.27052592934115</v>
      </c>
      <c r="AX68" s="132">
        <f t="shared" si="2828"/>
        <v>483.75104377832292</v>
      </c>
      <c r="AY68" s="132">
        <f t="shared" si="2828"/>
        <v>453.45039631575293</v>
      </c>
      <c r="AZ68" s="132">
        <f t="shared" si="2828"/>
        <v>417.51498264592374</v>
      </c>
      <c r="BA68" s="132">
        <f t="shared" si="2828"/>
        <v>390.33854559962168</v>
      </c>
      <c r="BB68" s="132">
        <f t="shared" si="2828"/>
        <v>346.31252462333322</v>
      </c>
      <c r="BC68" s="132">
        <f t="shared" si="2828"/>
        <v>296.26730842878465</v>
      </c>
      <c r="BD68" s="132">
        <f t="shared" si="2828"/>
        <v>493.27444047420283</v>
      </c>
      <c r="BE68" s="132">
        <f t="shared" si="2828"/>
        <v>440.80050986645836</v>
      </c>
      <c r="BF68" s="132">
        <f t="shared" si="2828"/>
        <v>654.76004395240682</v>
      </c>
      <c r="BG68" s="132">
        <f t="shared" si="2828"/>
        <v>493.14818774573257</v>
      </c>
      <c r="BI68" s="156"/>
      <c r="BJ68" s="155" t="s">
        <v>215</v>
      </c>
      <c r="BK68" s="132">
        <f t="shared" ref="BK68:BZ68" si="2829">BK65+BK60+BK49+BK9+BK61+BK64+BK62+BK63</f>
        <v>68.685621949357568</v>
      </c>
      <c r="BL68" s="132">
        <f t="shared" si="2829"/>
        <v>62.302645505417161</v>
      </c>
      <c r="BM68" s="132">
        <f t="shared" si="2829"/>
        <v>92.155164597001843</v>
      </c>
      <c r="BN68" s="132">
        <f t="shared" si="2829"/>
        <v>83.977090464508578</v>
      </c>
      <c r="BO68" s="132">
        <f t="shared" si="2829"/>
        <v>91.218482390565512</v>
      </c>
      <c r="BP68" s="132">
        <f t="shared" si="2829"/>
        <v>83.257440526341369</v>
      </c>
      <c r="BQ68" s="132">
        <f t="shared" si="2829"/>
        <v>72.165912456771437</v>
      </c>
      <c r="BR68" s="132">
        <f t="shared" si="2829"/>
        <v>65.540978173781255</v>
      </c>
      <c r="BS68" s="132">
        <f>BS65+BS60+BS49+BS9+BS61+BS64+BS62+BS63</f>
        <v>62.7191301291207</v>
      </c>
      <c r="BT68" s="132">
        <f>BT65+BT60+BT49+BT9+BT61+BT64+BT62+BT63</f>
        <v>56.778127925586276</v>
      </c>
      <c r="BU68" s="132">
        <f t="shared" si="2829"/>
        <v>70.242644339251356</v>
      </c>
      <c r="BV68" s="132">
        <f t="shared" si="2829"/>
        <v>59.303220914049518</v>
      </c>
      <c r="BW68" s="132">
        <f t="shared" si="2829"/>
        <v>86.934908703944913</v>
      </c>
      <c r="BX68" s="132">
        <f>BX65+BX60+BX49+BX9+BX61+BX64+BX62+BX63</f>
        <v>74.773937627315021</v>
      </c>
      <c r="BY68" s="132">
        <f t="shared" si="2829"/>
        <v>129.52608821216765</v>
      </c>
      <c r="BZ68" s="132">
        <f t="shared" si="2829"/>
        <v>87.763948875036235</v>
      </c>
      <c r="CA68" s="156"/>
      <c r="CB68" s="156"/>
      <c r="CC68" s="155" t="s">
        <v>215</v>
      </c>
      <c r="CD68" s="132">
        <f>CD65+CD60+CD49+CD9+CD61+CD64+CD62+CD63</f>
        <v>2069.4846435306836</v>
      </c>
      <c r="CE68" s="132">
        <f t="shared" ref="CE68:CP68" si="2830">CE65+CE60+CE49+CE9+CE61+CE64+CE62+CE63</f>
        <v>1819.7578905695768</v>
      </c>
      <c r="CF68" s="132">
        <f t="shared" si="2830"/>
        <v>2651.0402374974719</v>
      </c>
      <c r="CG68" s="132">
        <f t="shared" si="2830"/>
        <v>2325.5597455875177</v>
      </c>
      <c r="CH68" s="132">
        <f t="shared" si="2830"/>
        <v>2685.418752410957</v>
      </c>
      <c r="CI68" s="132">
        <f t="shared" si="2830"/>
        <v>2369.0423301635833</v>
      </c>
      <c r="CJ68" s="132">
        <f t="shared" si="2830"/>
        <v>2115.1964644904001</v>
      </c>
      <c r="CK68" s="132">
        <f t="shared" si="2830"/>
        <v>1850.8938000105268</v>
      </c>
      <c r="CL68" s="132">
        <f t="shared" si="2830"/>
        <v>1840.7182958275735</v>
      </c>
      <c r="CM68" s="132">
        <f t="shared" si="2830"/>
        <v>1602.5283178241332</v>
      </c>
      <c r="CN68" s="132">
        <f t="shared" si="2830"/>
        <v>1720.4394804645876</v>
      </c>
      <c r="CO68" s="132">
        <f t="shared" si="2830"/>
        <v>1280.7397326997966</v>
      </c>
      <c r="CP68" s="132">
        <f t="shared" si="2830"/>
        <v>1043.7742377923521</v>
      </c>
      <c r="CQ68" s="132">
        <f>CQ65+CQ60+CQ49+CQ9+CQ61+CQ64+CQ62+CQ63</f>
        <v>965.405123653141</v>
      </c>
      <c r="CR68" s="132">
        <f>CR65+CR60+CR49+CR9+CR61+CR64+CR62+CR63</f>
        <v>2082.6048141952274</v>
      </c>
      <c r="CS68" s="132">
        <f>CS65+CS60+CS49+CS9+CS61+CS64+CS62+CS63</f>
        <v>1569.2166515768035</v>
      </c>
      <c r="CV68" s="155" t="s">
        <v>215</v>
      </c>
      <c r="CW68" s="132">
        <f>CW65+CW60+CW49+CW9+CW61+CW64+CW62+CW63</f>
        <v>0.58298651109602317</v>
      </c>
      <c r="CX68" s="132">
        <f t="shared" ref="CX68:DI68" si="2831">CX65+CX60+CX49+CX9+CX61+CX64+CX62+CX63</f>
        <v>0.48071529011041164</v>
      </c>
      <c r="CY68" s="132">
        <f t="shared" si="2831"/>
        <v>0.72845867426307742</v>
      </c>
      <c r="CZ68" s="132">
        <f t="shared" si="2831"/>
        <v>0.59500339772032484</v>
      </c>
      <c r="DA68" s="132">
        <f t="shared" si="2831"/>
        <v>0.72820522606617533</v>
      </c>
      <c r="DB68" s="132">
        <f t="shared" si="2831"/>
        <v>0.59853282206589209</v>
      </c>
      <c r="DC68" s="132">
        <f t="shared" si="2831"/>
        <v>0.59689143043337567</v>
      </c>
      <c r="DD68" s="132">
        <f t="shared" si="2831"/>
        <v>0.48854303957438083</v>
      </c>
      <c r="DE68" s="132">
        <f t="shared" si="2831"/>
        <v>0.52942414515533243</v>
      </c>
      <c r="DF68" s="132">
        <f t="shared" si="2831"/>
        <v>0.43175232905191774</v>
      </c>
      <c r="DG68" s="132">
        <f t="shared" si="2831"/>
        <v>0.65515844532698531</v>
      </c>
      <c r="DH68" s="132">
        <f t="shared" si="2831"/>
        <v>0.4748433757561672</v>
      </c>
      <c r="DI68" s="132">
        <f t="shared" si="2831"/>
        <v>0.3766987675541697</v>
      </c>
      <c r="DJ68" s="132">
        <f>DJ65+DJ60+DJ49+DJ9+DJ61+DJ64+DJ62+DJ63</f>
        <v>0.33237721476178983</v>
      </c>
      <c r="DK68" s="132">
        <f>DK65+DK60+DK49+DK9+DK61+DK64+DK62+DK63</f>
        <v>0.83920265338741351</v>
      </c>
      <c r="DL68" s="132">
        <f>DL65+DL60+DL49+DL9+DL61+DL64+DL62+DL63</f>
        <v>0.56619322132578132</v>
      </c>
      <c r="DO68" s="155" t="s">
        <v>215</v>
      </c>
      <c r="DP68" s="132">
        <f>DP65+DP60+DP49+DP9+DP61+DP64+DP62+DP63</f>
        <v>26.77785671431791</v>
      </c>
      <c r="DQ68" s="132">
        <f t="shared" ref="DQ68:EB68" si="2832">DQ65+DQ60+DQ49+DQ9+DQ61+DQ64+DQ62+DQ63</f>
        <v>24.704011771727835</v>
      </c>
      <c r="DR68" s="132">
        <f t="shared" si="2832"/>
        <v>34.890231423190158</v>
      </c>
      <c r="DS68" s="132">
        <f t="shared" si="2832"/>
        <v>32.413934152195736</v>
      </c>
      <c r="DT68" s="132">
        <f t="shared" si="2832"/>
        <v>34.532593762361699</v>
      </c>
      <c r="DU68" s="132">
        <f t="shared" si="2832"/>
        <v>32.105012516680318</v>
      </c>
      <c r="DV68" s="132">
        <f t="shared" si="2832"/>
        <v>28.210516419571864</v>
      </c>
      <c r="DW68" s="132">
        <f t="shared" si="2832"/>
        <v>26.223345076339623</v>
      </c>
      <c r="DX68" s="132">
        <f t="shared" si="2832"/>
        <v>24.819668934101998</v>
      </c>
      <c r="DY68" s="132">
        <f t="shared" si="2832"/>
        <v>23.075737592177298</v>
      </c>
      <c r="DZ68" s="132">
        <f t="shared" si="2832"/>
        <v>22.190172023776203</v>
      </c>
      <c r="EA68" s="132">
        <f t="shared" si="2832"/>
        <v>19.014595539065049</v>
      </c>
      <c r="EB68" s="132">
        <f t="shared" si="2832"/>
        <v>14.339241268102548</v>
      </c>
      <c r="EC68" s="132">
        <f>EC65+EC60+EC49+EC9+EC61+EC64+EC62+EC63</f>
        <v>11.036328235157548</v>
      </c>
      <c r="ED68" s="132">
        <f>ED65+ED60+ED49+ED9+ED61+ED64+ED62+ED63</f>
        <v>164.66210919969441</v>
      </c>
      <c r="EE68" s="132">
        <f>EE65+EE60+EE49+EE9+EE61+EE64+EE62+EE63</f>
        <v>94.225634646133017</v>
      </c>
      <c r="EH68" s="155" t="s">
        <v>215</v>
      </c>
      <c r="EI68" s="132">
        <f>EI65+EI60+EI49+EI9+EI61+EI64+EI62+EI63</f>
        <v>3.860146794203632</v>
      </c>
      <c r="EJ68" s="132">
        <f t="shared" ref="EJ68:ET68" si="2833">EJ65+EJ60+EJ49+EJ9+EJ61+EJ64+EJ62+EJ63</f>
        <v>3.7952245914424818</v>
      </c>
      <c r="EK68" s="132">
        <f t="shared" si="2833"/>
        <v>5.67109837002935</v>
      </c>
      <c r="EL68" s="132">
        <f t="shared" si="2833"/>
        <v>5.5877282150226835</v>
      </c>
      <c r="EM68" s="132">
        <f t="shared" si="2833"/>
        <v>5.8458739354824765</v>
      </c>
      <c r="EN68" s="132">
        <f t="shared" si="2833"/>
        <v>5.7647272345256111</v>
      </c>
      <c r="EO68" s="132">
        <f t="shared" si="2833"/>
        <v>4.2286007486070512</v>
      </c>
      <c r="EP68" s="132">
        <f t="shared" si="2833"/>
        <v>4.1610361011160499</v>
      </c>
      <c r="EQ68" s="132">
        <f t="shared" si="2833"/>
        <v>3.5355399011285313</v>
      </c>
      <c r="ER68" s="132">
        <f t="shared" si="2833"/>
        <v>3.4749090888010441</v>
      </c>
      <c r="ES68" s="132">
        <f t="shared" si="2833"/>
        <v>1.1389069219500885</v>
      </c>
      <c r="ET68" s="132">
        <f t="shared" si="2833"/>
        <v>1.0272248427115176</v>
      </c>
      <c r="EU68" s="132">
        <f>EU65+EU60+EU49+EU9+EU61+EU64+EU62+EU63</f>
        <v>2.8275370779697457</v>
      </c>
      <c r="EV68" s="132">
        <f>EV65+EV60+EV49+EV9+EV61+EV64+EV62+EV63</f>
        <v>2.7419348208765935</v>
      </c>
      <c r="EW68" s="132">
        <f>EW65+EW60+EW49+EW9+EW61+EW64+EW62+EW63</f>
        <v>4.1882388661035872</v>
      </c>
      <c r="EX68" s="132">
        <f>EX65+EX60+EX49+EX9+EX61+EX64+EX62+EX63</f>
        <v>3.7904906273925683</v>
      </c>
      <c r="FA68" s="488" t="s">
        <v>215</v>
      </c>
      <c r="FB68" s="487">
        <f>FB65+FB60+FB49+FB9+FB61+FB64+FB62+FB63</f>
        <v>4.3680413833773815E-2</v>
      </c>
      <c r="FC68" s="487">
        <f t="shared" ref="FC68:FM68" si="2834">FC65+FC60+FC49+FC9+FC61+FC64+FC62+FC63</f>
        <v>3.2890086649051707E-2</v>
      </c>
      <c r="FD68" s="487">
        <f t="shared" si="2834"/>
        <v>5.7428537139243035E-2</v>
      </c>
      <c r="FE68" s="487">
        <f t="shared" si="2834"/>
        <v>4.331882151080766E-2</v>
      </c>
      <c r="FF68" s="487">
        <f t="shared" si="2834"/>
        <v>5.6555323156332209E-2</v>
      </c>
      <c r="FG68" s="487">
        <f t="shared" si="2834"/>
        <v>4.2848224611302277E-2</v>
      </c>
      <c r="FH68" s="487">
        <f t="shared" si="2834"/>
        <v>4.6457632570927818E-2</v>
      </c>
      <c r="FI68" s="487">
        <f t="shared" si="2834"/>
        <v>3.4999332455794077E-2</v>
      </c>
      <c r="FJ68" s="487">
        <f t="shared" si="2834"/>
        <v>4.1371299225951834E-2</v>
      </c>
      <c r="FK68" s="487">
        <f t="shared" si="2834"/>
        <v>3.1036041778113265E-2</v>
      </c>
      <c r="FL68" s="487">
        <f t="shared" si="2834"/>
        <v>5.6597707378605887E-2</v>
      </c>
      <c r="FM68" s="487">
        <f t="shared" si="2834"/>
        <v>3.7511856841190634E-2</v>
      </c>
      <c r="FN68" s="487">
        <f>FN65+FN60+FN49+FN9+FN61+FN64+FN62+FN63</f>
        <v>3.1744859033959648E-2</v>
      </c>
      <c r="FO68" s="487">
        <f>FO65+FO60+FO49+FO9+FO61+FO64+FO62+FO63</f>
        <v>2.7834183577554794E-2</v>
      </c>
      <c r="FP68" s="487">
        <f>FP65+FP60+FP49+FP9+FP61+FP64+FP62+FP63</f>
        <v>7.5476357260725241E-2</v>
      </c>
      <c r="FQ68" s="487">
        <f>FQ65+FQ60+FQ49+FQ9+FQ61+FQ64+FQ62+FQ63</f>
        <v>4.7096015020047802E-2</v>
      </c>
      <c r="FT68" s="488" t="s">
        <v>215</v>
      </c>
      <c r="FU68" s="487">
        <f>FU65+FU60+FU49+FU9+FU61+FU64+FU62+FU63</f>
        <v>21.250417002851055</v>
      </c>
      <c r="FV68" s="487">
        <f t="shared" ref="FV68:GF68" si="2835">FV65+FV60+FV49+FV9+FV61+FV64+FV62+FV63</f>
        <v>13.263984467041634</v>
      </c>
      <c r="FW68" s="487">
        <f t="shared" si="2835"/>
        <v>28.186316532688931</v>
      </c>
      <c r="FX68" s="487">
        <f t="shared" si="2835"/>
        <v>17.711778834786987</v>
      </c>
      <c r="FY68" s="487">
        <f t="shared" si="2835"/>
        <v>27.741870096580971</v>
      </c>
      <c r="FZ68" s="487">
        <f t="shared" si="2835"/>
        <v>17.569243856249436</v>
      </c>
      <c r="GA68" s="487">
        <f t="shared" si="2835"/>
        <v>22.668705282952288</v>
      </c>
      <c r="GB68" s="487">
        <f t="shared" si="2835"/>
        <v>14.159442869128835</v>
      </c>
      <c r="GC68" s="487">
        <f t="shared" si="2835"/>
        <v>20.210352615000406</v>
      </c>
      <c r="GD68" s="487">
        <f t="shared" si="2835"/>
        <v>12.528673133673985</v>
      </c>
      <c r="GE68" s="487">
        <f t="shared" si="2835"/>
        <v>30.609807459193185</v>
      </c>
      <c r="GF68" s="487">
        <f t="shared" si="2835"/>
        <v>16.418350085720068</v>
      </c>
      <c r="GG68" s="487">
        <f>GG65+GG60+GG49+GG9+GG61+GG64+GG62+GG63</f>
        <v>5.4255867315320963</v>
      </c>
      <c r="GH68" s="487">
        <f>GH65+GH60+GH49+GH9+GH61+GH64+GH62+GH63</f>
        <v>4.5946924119500521</v>
      </c>
      <c r="GI68" s="487">
        <f>GI65+GI60+GI49+GI9+GI61+GI64+GI62+GI63</f>
        <v>24.664144750313987</v>
      </c>
      <c r="GJ68" s="487">
        <f>GJ65+GJ60+GJ49+GJ9+GJ61+GJ64+GJ62+GJ63</f>
        <v>14.715680743889207</v>
      </c>
      <c r="GM68" s="488" t="s">
        <v>215</v>
      </c>
      <c r="GN68" s="487">
        <f>GN65+GN60+GN49+GN9+GN61+GN64+GN62+GN63</f>
        <v>16.730530094931112</v>
      </c>
      <c r="GO68" s="487">
        <f t="shared" ref="GO68:GY68" si="2836">GO65+GO60+GO49+GO9+GO61+GO64+GO62+GO63</f>
        <v>13.350975530597253</v>
      </c>
      <c r="GP68" s="487">
        <f t="shared" si="2836"/>
        <v>22.496610874358449</v>
      </c>
      <c r="GQ68" s="487">
        <f t="shared" si="2836"/>
        <v>18.106530405643525</v>
      </c>
      <c r="GR68" s="487">
        <f t="shared" si="2836"/>
        <v>22.269046152092272</v>
      </c>
      <c r="GS68" s="487">
        <f t="shared" si="2836"/>
        <v>17.999814474622656</v>
      </c>
      <c r="GT68" s="487">
        <f t="shared" si="2836"/>
        <v>17.580198910763375</v>
      </c>
      <c r="GU68" s="487">
        <f t="shared" si="2836"/>
        <v>14.016132520288279</v>
      </c>
      <c r="GV68" s="487">
        <f t="shared" si="2836"/>
        <v>15.304996988152006</v>
      </c>
      <c r="GW68" s="487">
        <f t="shared" si="2836"/>
        <v>12.095998401270496</v>
      </c>
      <c r="GX68" s="487">
        <f t="shared" si="2836"/>
        <v>19.191591824255887</v>
      </c>
      <c r="GY68" s="487">
        <f t="shared" si="2836"/>
        <v>13.270266161200373</v>
      </c>
      <c r="GZ68" s="487">
        <f>GZ65+GZ60+GZ49+GZ9+GZ61+GZ64+GZ62+GZ63</f>
        <v>18.801909503887099</v>
      </c>
      <c r="HA68" s="487">
        <f>HA65+HA60+HA49+HA9+HA61+HA64+HA62+HA63</f>
        <v>14.238833170266169</v>
      </c>
      <c r="HB68" s="487">
        <f>HB65+HB60+HB49+HB9+HB61+HB64+HB62+HB63</f>
        <v>29.353530947099603</v>
      </c>
      <c r="HC68" s="487">
        <f>HC65+HC60+HC49+HC9+HC61+HC64+HC62+HC63</f>
        <v>19.097809898930596</v>
      </c>
      <c r="HF68" s="488" t="s">
        <v>215</v>
      </c>
      <c r="HG68" s="487">
        <f>HG65+HG60+HG49+HG9+HG61+HG64+HG62+HG63</f>
        <v>375.84260553289528</v>
      </c>
      <c r="HH68" s="487">
        <f t="shared" ref="HH68:HR68" si="2837">HH65+HH60+HH49+HH9+HH61+HH64+HH62+HH63</f>
        <v>253.3078550910698</v>
      </c>
      <c r="HI68" s="487">
        <f t="shared" si="2837"/>
        <v>504.49216453538031</v>
      </c>
      <c r="HJ68" s="487">
        <f t="shared" si="2837"/>
        <v>343.86470578709071</v>
      </c>
      <c r="HK68" s="487">
        <f t="shared" si="2837"/>
        <v>499.27161695319313</v>
      </c>
      <c r="HL68" s="487">
        <f t="shared" si="2837"/>
        <v>343.26715966081781</v>
      </c>
      <c r="HM68" s="487">
        <f t="shared" si="2837"/>
        <v>401.66787579466967</v>
      </c>
      <c r="HN68" s="487">
        <f t="shared" si="2837"/>
        <v>271.18712359462825</v>
      </c>
      <c r="HO68" s="487">
        <f t="shared" si="2837"/>
        <v>355.11241047815435</v>
      </c>
      <c r="HP68" s="487">
        <f t="shared" si="2837"/>
        <v>237.33871333025016</v>
      </c>
      <c r="HQ68" s="487">
        <f t="shared" si="2837"/>
        <v>492.70316095140487</v>
      </c>
      <c r="HR68" s="487">
        <f t="shared" si="2837"/>
        <v>275.13904787316631</v>
      </c>
      <c r="HS68" s="487">
        <f>HS65+HS60+HS49+HS9+HS61+HS64+HS62+HS63</f>
        <v>122.68499680673052</v>
      </c>
      <c r="HT68" s="487">
        <f>HT65+HT60+HT49+HT9+HT61+HT64+HT62+HT63</f>
        <v>108.84805705222162</v>
      </c>
      <c r="HU68" s="487">
        <f>HU65+HU60+HU49+HU9+HU61+HU64+HU62+HU63</f>
        <v>460.73678525563076</v>
      </c>
      <c r="HV68" s="487">
        <f>HV65+HV60+HV49+HV9+HV61+HV64+HV62+HV63</f>
        <v>288.49528900464026</v>
      </c>
      <c r="HY68" s="490" t="s">
        <v>215</v>
      </c>
      <c r="HZ68" s="348">
        <f>HZ65+HZ60+HZ49+HZ9+HZ61+HZ64+HZ62+HZ63</f>
        <v>0.20495498868080059</v>
      </c>
      <c r="IA68" s="348">
        <f t="shared" ref="IA68:IK68" si="2838">IA65+IA60+IA49+IA9+IA61+IA64+IA62+IA63</f>
        <v>0.17029315858836125</v>
      </c>
      <c r="IB68" s="348">
        <f t="shared" si="2838"/>
        <v>0.25867701454173564</v>
      </c>
      <c r="IC68" s="348">
        <f t="shared" si="2838"/>
        <v>0.21351906051456523</v>
      </c>
      <c r="ID68" s="348">
        <f t="shared" si="2838"/>
        <v>0.25806528829681141</v>
      </c>
      <c r="IE68" s="348">
        <f t="shared" si="2838"/>
        <v>0.21418011456706396</v>
      </c>
      <c r="IF68" s="348">
        <f t="shared" si="2838"/>
        <v>0.21042028153807893</v>
      </c>
      <c r="IG68" s="348">
        <f t="shared" si="2838"/>
        <v>0.17376476023236226</v>
      </c>
      <c r="IH68" s="348">
        <f t="shared" si="2838"/>
        <v>0.1860223383395945</v>
      </c>
      <c r="II68" s="348">
        <f t="shared" si="2838"/>
        <v>0.15299379151058592</v>
      </c>
      <c r="IJ68" s="348">
        <f t="shared" si="2838"/>
        <v>0.23022256638747129</v>
      </c>
      <c r="IK68" s="348">
        <f t="shared" si="2838"/>
        <v>0.16926113911071342</v>
      </c>
      <c r="IL68" s="348">
        <f>IL65+IL60+IL49+IL9+IL61+IL64+IL62+IL63</f>
        <v>0.14679023066339503</v>
      </c>
      <c r="IM68" s="348">
        <f>IM65+IM60+IM49+IM9+IM61+IM64+IM62+IM63</f>
        <v>0.12757009919373921</v>
      </c>
      <c r="IN68" s="348">
        <f>IN65+IN60+IN49+IN9+IN61+IN64+IN62+IN63</f>
        <v>0.32178902546696614</v>
      </c>
      <c r="IO68" s="348">
        <f>IO65+IO60+IO49+IO9+IO61+IO64+IO62+IO63</f>
        <v>0.21333185939755167</v>
      </c>
      <c r="IR68" s="490" t="s">
        <v>215</v>
      </c>
      <c r="IS68" s="348">
        <f>IS65+IS60+IS49+IS9+IS61+IS64+IS62+IS63</f>
        <v>20.572917108531914</v>
      </c>
      <c r="IT68" s="348">
        <f t="shared" ref="IT68:JD68" si="2839">IT65+IT60+IT49+IT9+IT61+IT64+IT62+IT63</f>
        <v>18.814874072912168</v>
      </c>
      <c r="IU68" s="348">
        <f t="shared" si="2839"/>
        <v>27.209355324256506</v>
      </c>
      <c r="IV68" s="348">
        <f t="shared" si="2839"/>
        <v>24.963054241110626</v>
      </c>
      <c r="IW68" s="348">
        <f t="shared" si="2839"/>
        <v>26.999560389308463</v>
      </c>
      <c r="IX68" s="348">
        <f t="shared" si="2839"/>
        <v>24.81230959864665</v>
      </c>
      <c r="IY68" s="348">
        <f t="shared" si="2839"/>
        <v>21.460991755029326</v>
      </c>
      <c r="IZ68" s="348">
        <f t="shared" si="2839"/>
        <v>19.641974931552244</v>
      </c>
      <c r="JA68" s="348">
        <f t="shared" si="2839"/>
        <v>18.69822643998409</v>
      </c>
      <c r="JB68" s="348">
        <f t="shared" si="2839"/>
        <v>17.068311223631692</v>
      </c>
      <c r="JC68" s="348">
        <f t="shared" si="2839"/>
        <v>20.525149644673132</v>
      </c>
      <c r="JD68" s="348">
        <f t="shared" si="2839"/>
        <v>17.525085460064055</v>
      </c>
      <c r="JE68" s="348">
        <f>JE65+JE60+JE49+JE9+JE61+JE64+JE62+JE63</f>
        <v>25.707528229944032</v>
      </c>
      <c r="JF68" s="348">
        <f>JF65+JF60+JF49+JF9+JF61+JF64+JF62+JF63</f>
        <v>22.405119138738385</v>
      </c>
      <c r="JG68" s="348">
        <f>JG65+JG60+JG49+JG9+JG61+JG64+JG62+JG63</f>
        <v>34.322865388213913</v>
      </c>
      <c r="JH68" s="348">
        <f>JH65+JH60+JH49+JH9+JH61+JH64+JH62+JH63</f>
        <v>24.134194650894784</v>
      </c>
      <c r="JK68" s="490" t="s">
        <v>215</v>
      </c>
      <c r="JL68" s="348">
        <f>JL65+JL60+JL49+JL9+JL61+JL64+JL62+JL63</f>
        <v>11.12157965970068</v>
      </c>
      <c r="JM68" s="348">
        <f t="shared" ref="JM68:JW68" si="2840">JM65+JM60+JM49+JM9+JM61+JM64+JM62+JM63</f>
        <v>10.502039887299247</v>
      </c>
      <c r="JN68" s="348">
        <f t="shared" si="2840"/>
        <v>14.57258311464906</v>
      </c>
      <c r="JO68" s="348">
        <f t="shared" si="2840"/>
        <v>13.769715561155962</v>
      </c>
      <c r="JP68" s="348">
        <f t="shared" si="2840"/>
        <v>14.653535970424182</v>
      </c>
      <c r="JQ68" s="348">
        <f t="shared" si="2840"/>
        <v>13.8728665088358</v>
      </c>
      <c r="JR68" s="348">
        <f t="shared" si="2840"/>
        <v>11.871884790892029</v>
      </c>
      <c r="JS68" s="348">
        <f t="shared" si="2840"/>
        <v>11.220582214122162</v>
      </c>
      <c r="JT68" s="348">
        <f t="shared" si="2840"/>
        <v>10.483363316336881</v>
      </c>
      <c r="JU68" s="348">
        <f t="shared" si="2840"/>
        <v>9.8973849560317628</v>
      </c>
      <c r="JV68" s="348">
        <f t="shared" si="2840"/>
        <v>9.0196500526689327</v>
      </c>
      <c r="JW68" s="348">
        <f t="shared" si="2840"/>
        <v>7.9389036057940991</v>
      </c>
      <c r="JX68" s="348">
        <f>JX65+JX60+JX49+JX9+JX61+JX64+JX62+JX63</f>
        <v>13.052725534258162</v>
      </c>
      <c r="JY68" s="348">
        <f>JY65+JY60+JY49+JY9+JY61+JY64+JY62+JY63</f>
        <v>12.013301065155694</v>
      </c>
      <c r="JZ68" s="348">
        <f>JZ65+JZ60+JZ49+JZ9+JZ61+JZ64+JZ62+JZ63</f>
        <v>14.020223663368759</v>
      </c>
      <c r="KA68" s="348">
        <f>KA65+KA60+KA49+KA9+KA61+KA64+KA62+KA63</f>
        <v>10.923995183575455</v>
      </c>
      <c r="KD68" s="490" t="s">
        <v>215</v>
      </c>
      <c r="KE68" s="348">
        <f>KE65+KE60+KE49+KE9+KE61+KE64+KE62+KE63</f>
        <v>1.9697388673784535</v>
      </c>
      <c r="KF68" s="348">
        <f t="shared" ref="KF68:KP68" si="2841">KF65+KF60+KF49+KF9+KF61+KF64+KF62+KF63</f>
        <v>1.6434325677561128</v>
      </c>
      <c r="KG68" s="348">
        <f t="shared" si="2841"/>
        <v>2.6145313881916454</v>
      </c>
      <c r="KH68" s="348">
        <f t="shared" si="2841"/>
        <v>2.1909522277402695</v>
      </c>
      <c r="KI68" s="348">
        <f t="shared" si="2841"/>
        <v>2.5889609928120061</v>
      </c>
      <c r="KJ68" s="348">
        <f t="shared" si="2841"/>
        <v>2.1771734207173967</v>
      </c>
      <c r="KK68" s="348">
        <f t="shared" si="2841"/>
        <v>2.1052629411295358</v>
      </c>
      <c r="KL68" s="348">
        <f t="shared" si="2841"/>
        <v>1.761588611284211</v>
      </c>
      <c r="KM68" s="348">
        <f t="shared" si="2841"/>
        <v>1.8676262035194591</v>
      </c>
      <c r="KN68" s="348">
        <f t="shared" si="2841"/>
        <v>1.558275020547583</v>
      </c>
      <c r="KO68" s="348">
        <f t="shared" si="2841"/>
        <v>2.4987156495907192</v>
      </c>
      <c r="KP68" s="348">
        <f t="shared" si="2841"/>
        <v>1.9280327692945018</v>
      </c>
      <c r="KQ68" s="348">
        <f>KQ65+KQ60+KQ49+KQ9+KQ61+KQ64+KQ62+KQ63</f>
        <v>1.7714970386974855</v>
      </c>
      <c r="KR68" s="348">
        <f>KR65+KR60+KR49+KR9+KR61+KR64+KR62+KR63</f>
        <v>1.5698091362513271</v>
      </c>
      <c r="KS68" s="348">
        <f>KS65+KS60+KS49+KS9+KS61+KS64+KS62+KS63</f>
        <v>3.5301137786259638</v>
      </c>
      <c r="KT68" s="348">
        <f>KT65+KT60+KT49+KT9+KT61+KT64+KT62+KT63</f>
        <v>2.3327152513637821</v>
      </c>
      <c r="KW68" s="490" t="s">
        <v>215</v>
      </c>
      <c r="KX68" s="348">
        <f>KX65+KX60+KX49+KX9+KX61+KX64+KX62+KX63</f>
        <v>27.938931127281649</v>
      </c>
      <c r="KY68" s="348">
        <f t="shared" ref="KY68:LI68" si="2842">KY65+KY60+KY49+KY9+KY61+KY64+KY62+KY63</f>
        <v>17.871594664360238</v>
      </c>
      <c r="KZ68" s="348">
        <f t="shared" si="2842"/>
        <v>36.96509105943673</v>
      </c>
      <c r="LA68" s="348">
        <f t="shared" si="2842"/>
        <v>23.763940406579177</v>
      </c>
      <c r="LB68" s="348">
        <f t="shared" si="2842"/>
        <v>36.425295745031889</v>
      </c>
      <c r="LC68" s="348">
        <f t="shared" si="2842"/>
        <v>23.604305606985072</v>
      </c>
      <c r="LD68" s="348">
        <f t="shared" si="2842"/>
        <v>29.721571602836811</v>
      </c>
      <c r="LE68" s="348">
        <f t="shared" si="2842"/>
        <v>18.997422177007056</v>
      </c>
      <c r="LF68" s="348">
        <f t="shared" si="2842"/>
        <v>26.469728974654501</v>
      </c>
      <c r="LG68" s="348">
        <f t="shared" si="2842"/>
        <v>16.789089811015021</v>
      </c>
      <c r="LH68" s="348">
        <f t="shared" si="2842"/>
        <v>39.815891341813725</v>
      </c>
      <c r="LI68" s="348">
        <f t="shared" si="2842"/>
        <v>21.931907750748675</v>
      </c>
      <c r="LJ68" s="348">
        <f>LJ65+LJ60+LJ49+LJ9+LJ61+LJ64+LJ62+LJ63</f>
        <v>7.7228796870700753</v>
      </c>
      <c r="LK68" s="348">
        <f>LK65+LK60+LK49+LK9+LK61+LK64+LK62+LK63</f>
        <v>6.5871389760355932</v>
      </c>
      <c r="LL68" s="348">
        <f>LL65+LL60+LL49+LL9+LL61+LL64+LL62+LL63</f>
        <v>32.35879756969053</v>
      </c>
      <c r="LM68" s="348">
        <f>LM65+LM60+LM49+LM9+LM61+LM64+LM62+LM63</f>
        <v>19.52854786106515</v>
      </c>
      <c r="LP68" s="490" t="s">
        <v>215</v>
      </c>
      <c r="LQ68" s="348">
        <f>LQ65+LQ60+LQ49+LQ9+LQ61+LQ64+LQ62+LQ63</f>
        <v>9.2479174079965927E-3</v>
      </c>
      <c r="LR68" s="348">
        <f t="shared" ref="LR68:MB68" si="2843">LR65+LR60+LR49+LR9+LR61+LR64+LR62+LR63</f>
        <v>8.8412669292905546E-3</v>
      </c>
      <c r="LS68" s="348">
        <f t="shared" si="2843"/>
        <v>1.2844858631439663E-2</v>
      </c>
      <c r="LT68" s="348">
        <f t="shared" si="2843"/>
        <v>1.2330416598172227E-2</v>
      </c>
      <c r="LU68" s="348">
        <f t="shared" si="2843"/>
        <v>1.2886244879118863E-2</v>
      </c>
      <c r="LV68" s="348">
        <f t="shared" si="2843"/>
        <v>1.238486374696976E-2</v>
      </c>
      <c r="LW68" s="348">
        <f t="shared" si="2843"/>
        <v>1.000127531706602E-2</v>
      </c>
      <c r="LX68" s="348">
        <f t="shared" si="2843"/>
        <v>9.5852462855013729E-3</v>
      </c>
      <c r="LY68" s="348">
        <f t="shared" si="2843"/>
        <v>8.6161819291527778E-3</v>
      </c>
      <c r="LZ68" s="348">
        <f t="shared" si="2843"/>
        <v>8.244489689629526E-3</v>
      </c>
      <c r="MA68" s="348">
        <f t="shared" si="2843"/>
        <v>5.8156479189051813E-3</v>
      </c>
      <c r="MB68" s="348">
        <f t="shared" si="2843"/>
        <v>5.1325474201631667E-3</v>
      </c>
      <c r="MC68" s="348">
        <f>MC65+MC60+MC49+MC9+MC61+MC64+MC62+MC63</f>
        <v>5.0756491746245282E-3</v>
      </c>
      <c r="MD68" s="348">
        <f>MD65+MD60+MD49+MD9+MD61+MD64+MD62+MD63</f>
        <v>4.5466281895174196E-3</v>
      </c>
      <c r="ME68" s="348">
        <f>ME65+ME60+ME49+ME9+ME61+ME64+ME62+ME63</f>
        <v>4.2331130881221653E-2</v>
      </c>
      <c r="MF68" s="348">
        <f>MF65+MF60+MF49+MF9+MF61+MF64+MF62+MF63</f>
        <v>2.5397053526385372E-2</v>
      </c>
      <c r="MI68" s="490" t="s">
        <v>215</v>
      </c>
      <c r="MJ68" s="348">
        <f>MJ65+MJ60+MJ49+MJ9+MJ61+MJ64+MJ62+MJ63</f>
        <v>0.18465254052736768</v>
      </c>
      <c r="MK68" s="348">
        <f t="shared" ref="MK68:MU68" si="2844">MK65+MK60+MK49+MK9+MK61+MK64+MK62+MK63</f>
        <v>0.16009021795119324</v>
      </c>
      <c r="ML68" s="348">
        <f t="shared" si="2844"/>
        <v>0.24194208150161156</v>
      </c>
      <c r="MM68" s="348">
        <f t="shared" si="2844"/>
        <v>0.21016512805194401</v>
      </c>
      <c r="MN68" s="348">
        <f t="shared" si="2844"/>
        <v>0.23975312490018338</v>
      </c>
      <c r="MO68" s="348">
        <f t="shared" si="2844"/>
        <v>0.20884982132073654</v>
      </c>
      <c r="MP68" s="348">
        <f t="shared" si="2844"/>
        <v>0.19139145682830194</v>
      </c>
      <c r="MQ68" s="348">
        <f t="shared" si="2844"/>
        <v>0.16561899153688189</v>
      </c>
      <c r="MR68" s="348">
        <f t="shared" si="2844"/>
        <v>0.16686800053268311</v>
      </c>
      <c r="MS68" s="348">
        <f t="shared" si="2844"/>
        <v>0.14369166818551291</v>
      </c>
      <c r="MT68" s="348">
        <f t="shared" si="2844"/>
        <v>0.19843688183915201</v>
      </c>
      <c r="MU68" s="348">
        <f t="shared" si="2844"/>
        <v>0.15570190854592059</v>
      </c>
      <c r="MV68" s="348">
        <f>MV65+MV60+MV49+MV9+MV61+MV64+MV62+MV63</f>
        <v>0.18025106156543638</v>
      </c>
      <c r="MW68" s="348">
        <f>MW65+MW60+MW49+MW9+MW61+MW64+MW62+MW63</f>
        <v>0.15293094323013903</v>
      </c>
      <c r="MX68" s="348">
        <f>MX65+MX60+MX49+MX9+MX61+MX64+MX62+MX63</f>
        <v>0.36507812063145129</v>
      </c>
      <c r="MY68" s="348">
        <f>MY65+MY60+MY49+MY9+MY61+MY64+MY62+MY63</f>
        <v>0.23551499200334533</v>
      </c>
      <c r="NB68" s="490" t="s">
        <v>215</v>
      </c>
      <c r="NC68" s="348">
        <f>NC65+NC60+NC49+NC9+NC61+NC64+NC62+NC63</f>
        <v>0.17628779236488251</v>
      </c>
      <c r="ND68" s="348">
        <f t="shared" ref="ND68:NN68" si="2845">ND65+ND60+ND49+ND9+ND61+ND64+ND62+ND63</f>
        <v>0.15255419655794089</v>
      </c>
      <c r="NE68" s="348">
        <f t="shared" si="2845"/>
        <v>0.23076367309798418</v>
      </c>
      <c r="NF68" s="348">
        <f t="shared" si="2845"/>
        <v>0.20004424422811729</v>
      </c>
      <c r="NG68" s="348">
        <f t="shared" si="2845"/>
        <v>0.22863672182804173</v>
      </c>
      <c r="NH68" s="348">
        <f t="shared" si="2845"/>
        <v>0.19876325499877859</v>
      </c>
      <c r="NI68" s="348">
        <f t="shared" si="2845"/>
        <v>0.18259998830175589</v>
      </c>
      <c r="NJ68" s="348">
        <f t="shared" si="2845"/>
        <v>0.15768372771941361</v>
      </c>
      <c r="NK68" s="348">
        <f t="shared" si="2845"/>
        <v>0.15921310815972323</v>
      </c>
      <c r="NL68" s="348">
        <f t="shared" si="2845"/>
        <v>0.13680368025174797</v>
      </c>
      <c r="NM68" s="348">
        <f t="shared" si="2845"/>
        <v>0.19008737038361503</v>
      </c>
      <c r="NN68" s="348">
        <f t="shared" si="2845"/>
        <v>0.14876370432442693</v>
      </c>
      <c r="NO68" s="348">
        <f>NO65+NO60+NO49+NO9+NO61+NO64+NO62+NO63</f>
        <v>0.17063111250062768</v>
      </c>
      <c r="NP68" s="348">
        <f>NP65+NP60+NP49+NP9+NP61+NP64+NP62+NP63</f>
        <v>0.1444281809356093</v>
      </c>
      <c r="NQ68" s="348">
        <f>NQ65+NQ60+NQ49+NQ9+NQ61+NQ64+NQ62+NQ63</f>
        <v>0.35252698865492516</v>
      </c>
      <c r="NR68" s="348">
        <f>NR65+NR60+NR49+NR9+NR61+NR64+NR62+NR63</f>
        <v>0.22638275413678829</v>
      </c>
    </row>
    <row r="69" spans="2:382" x14ac:dyDescent="0.2">
      <c r="Q69" s="101"/>
      <c r="R69" s="101"/>
      <c r="S69" s="101"/>
      <c r="AQ69" s="94" t="s">
        <v>448</v>
      </c>
      <c r="AR69" s="229"/>
      <c r="AS69" s="229">
        <f>(AR68/AS68)-1</f>
        <v>6.8345117263062694E-2</v>
      </c>
      <c r="AT69" s="229"/>
      <c r="AU69" s="229">
        <f>(AT68/AU68)-1</f>
        <v>6.4222087390560123E-2</v>
      </c>
      <c r="AV69" s="229"/>
      <c r="AW69" s="229">
        <f>(AV68/AW68)-1</f>
        <v>6.1994880973792021E-2</v>
      </c>
      <c r="AX69" s="229"/>
      <c r="AY69" s="229">
        <f>(AX68/AY68)-1</f>
        <v>6.6822408159217028E-2</v>
      </c>
      <c r="AZ69" s="229"/>
      <c r="BA69" s="229">
        <f>(AZ68/BA68)-1</f>
        <v>6.9622734809740017E-2</v>
      </c>
      <c r="BB69" s="229"/>
      <c r="BC69" s="229">
        <f>(BB68/BC68)-1</f>
        <v>0.16891913069976194</v>
      </c>
      <c r="BD69" s="229"/>
      <c r="BE69" s="229"/>
      <c r="BF69" s="229"/>
      <c r="BG69" s="229"/>
      <c r="BI69" s="156"/>
      <c r="BJ69" s="156"/>
      <c r="BK69" s="156"/>
      <c r="BL69" s="229">
        <f>(BK68/BL68)-1</f>
        <v>0.10245113015923879</v>
      </c>
      <c r="BM69" s="230"/>
      <c r="BN69" s="229">
        <f>(BM68/BN68)-1</f>
        <v>9.7384585334610696E-2</v>
      </c>
      <c r="BO69" s="230"/>
      <c r="BP69" s="229">
        <f>(BO68/BP68)-1</f>
        <v>9.5619584434683658E-2</v>
      </c>
      <c r="BQ69" s="230"/>
      <c r="BR69" s="229">
        <f>(BQ68/BR68)-1</f>
        <v>0.10108079658842195</v>
      </c>
      <c r="BS69" s="230"/>
      <c r="BT69" s="229">
        <f>(BS68/BT68)-1</f>
        <v>0.10463540135244931</v>
      </c>
      <c r="BU69" s="230"/>
      <c r="BV69" s="229">
        <f>(BU68/BV68)-1</f>
        <v>0.18446592371528636</v>
      </c>
      <c r="BW69" s="229"/>
      <c r="BX69" s="229"/>
      <c r="BY69" s="229"/>
      <c r="BZ69" s="229"/>
      <c r="CA69" s="156"/>
      <c r="CB69" s="156"/>
      <c r="CC69" s="156"/>
    </row>
    <row r="70" spans="2:382" x14ac:dyDescent="0.2">
      <c r="R70" s="101"/>
      <c r="S70" s="101"/>
      <c r="AQ70" s="94" t="s">
        <v>71</v>
      </c>
      <c r="AR70" s="230">
        <f t="shared" ref="AR70:BC70" si="2846">SUM(AR9,AR49,AR60,AR61)/AR68</f>
        <v>0.88312709013415591</v>
      </c>
      <c r="AS70" s="230">
        <f t="shared" si="2846"/>
        <v>0.89540296093214689</v>
      </c>
      <c r="AT70" s="230">
        <f t="shared" si="2846"/>
        <v>0.89977051593438617</v>
      </c>
      <c r="AU70" s="230">
        <f t="shared" si="2846"/>
        <v>0.91281156315346235</v>
      </c>
      <c r="AV70" s="230">
        <f t="shared" si="2846"/>
        <v>0.90207798933439087</v>
      </c>
      <c r="AW70" s="230">
        <f t="shared" si="2846"/>
        <v>0.91477269956139973</v>
      </c>
      <c r="AX70" s="230">
        <f t="shared" si="2846"/>
        <v>0.88620214849961199</v>
      </c>
      <c r="AY70" s="230">
        <f t="shared" si="2846"/>
        <v>0.89892842168139742</v>
      </c>
      <c r="AZ70" s="230">
        <f t="shared" si="2846"/>
        <v>0.87536904983974562</v>
      </c>
      <c r="BA70" s="230">
        <f t="shared" si="2846"/>
        <v>0.88801272980976165</v>
      </c>
      <c r="BB70" s="230">
        <f t="shared" si="2846"/>
        <v>0.78223442764418605</v>
      </c>
      <c r="BC70" s="230">
        <f t="shared" si="2846"/>
        <v>0.79734981896119106</v>
      </c>
      <c r="BD70" s="230"/>
      <c r="BE70" s="230"/>
      <c r="BF70" s="230"/>
      <c r="BG70" s="230"/>
      <c r="BH70" s="230"/>
      <c r="BI70" s="230"/>
      <c r="BJ70" s="230"/>
      <c r="BK70" s="230"/>
      <c r="BS70" s="230">
        <f>1-BS68/BM68</f>
        <v>0.31941817473395095</v>
      </c>
      <c r="BT70" s="230">
        <f>1-BT68/BN68</f>
        <v>0.32388550720767662</v>
      </c>
      <c r="BU70" s="230">
        <f>1-BU68/BQ68</f>
        <v>2.665064504896475E-2</v>
      </c>
      <c r="BV70" s="230">
        <f>1-BV68/BR68</f>
        <v>9.5173392792405109E-2</v>
      </c>
      <c r="BW70" s="230"/>
      <c r="BX70" s="230"/>
      <c r="BY70" s="230"/>
      <c r="BZ70" s="230"/>
    </row>
    <row r="71" spans="2:382" x14ac:dyDescent="0.2">
      <c r="K71" s="8"/>
      <c r="L71" s="8"/>
      <c r="M71" s="8"/>
      <c r="N71" s="8"/>
      <c r="V71" s="128"/>
      <c r="W71" s="128"/>
      <c r="X71" s="128"/>
      <c r="Y71" s="128"/>
      <c r="Z71" s="128"/>
      <c r="AA71" s="128"/>
      <c r="AB71" s="128"/>
      <c r="AC71" s="128"/>
      <c r="AD71" s="128"/>
      <c r="AE71" s="128"/>
      <c r="AF71" s="128"/>
      <c r="AG71" s="128"/>
      <c r="AH71" s="128"/>
      <c r="AI71" s="128"/>
      <c r="AJ71" s="128"/>
      <c r="AK71" s="128"/>
      <c r="AL71" s="128"/>
      <c r="AM71" s="128"/>
      <c r="AN71" s="128"/>
      <c r="BU71" s="230">
        <f>1-BU68/BK68</f>
        <v>-2.266882566837336E-2</v>
      </c>
      <c r="BV71" s="230">
        <f>1-BV68/BL68</f>
        <v>4.8142812669276558E-2</v>
      </c>
      <c r="BW71" s="230"/>
      <c r="BX71" s="230"/>
      <c r="BY71" s="230"/>
      <c r="BZ71" s="230"/>
    </row>
    <row r="72" spans="2:382" x14ac:dyDescent="0.2">
      <c r="K72" s="8"/>
      <c r="L72" s="8"/>
      <c r="M72" s="8"/>
      <c r="N72" s="8"/>
      <c r="V72" s="211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  <c r="AN72" s="204"/>
      <c r="BI72" s="156"/>
      <c r="BJ72" s="156"/>
      <c r="BK72" s="156"/>
      <c r="BL72" s="156"/>
      <c r="BM72" s="156"/>
      <c r="BN72" s="156"/>
      <c r="BO72" s="156"/>
      <c r="BP72" s="156"/>
      <c r="BQ72" s="156"/>
      <c r="BR72" s="156"/>
      <c r="BS72" s="156"/>
      <c r="BT72" s="156"/>
      <c r="BU72" s="156"/>
    </row>
    <row r="73" spans="2:382" x14ac:dyDescent="0.2">
      <c r="K73" s="8"/>
      <c r="L73" s="8"/>
      <c r="M73" s="8"/>
      <c r="N73" s="8"/>
      <c r="V73" s="212"/>
      <c r="W73" s="213"/>
      <c r="X73" s="213"/>
      <c r="Y73" s="213"/>
      <c r="Z73" s="213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  <c r="AN73" s="213"/>
      <c r="BI73" s="156"/>
      <c r="BJ73" s="156"/>
      <c r="BK73" s="156"/>
      <c r="BL73" s="156"/>
      <c r="BM73" s="156"/>
      <c r="BN73" s="156"/>
      <c r="BO73" s="156"/>
      <c r="BP73" s="156"/>
      <c r="BQ73" s="156"/>
      <c r="BR73" s="156"/>
      <c r="BS73" s="156"/>
      <c r="BT73" s="156"/>
      <c r="BU73" s="156"/>
    </row>
    <row r="74" spans="2:382" x14ac:dyDescent="0.2">
      <c r="D74" s="94"/>
      <c r="E74" s="94"/>
      <c r="F74" s="245"/>
      <c r="G74" s="245"/>
      <c r="H74" s="245"/>
      <c r="I74" s="245"/>
      <c r="J74" s="1"/>
      <c r="K74" s="8"/>
      <c r="L74" s="8"/>
      <c r="M74" s="8"/>
      <c r="N74" s="8"/>
      <c r="V74" s="214"/>
      <c r="W74" s="213"/>
      <c r="X74" s="213"/>
      <c r="Y74" s="213"/>
      <c r="Z74" s="213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  <c r="AN74" s="213"/>
      <c r="BI74" s="156"/>
      <c r="BJ74" s="156"/>
      <c r="BK74" s="156"/>
      <c r="BL74" s="156"/>
      <c r="BM74" s="156"/>
      <c r="BN74" s="156"/>
      <c r="BO74" s="156"/>
      <c r="BP74" s="156"/>
      <c r="BQ74" s="156"/>
      <c r="BR74" s="156"/>
      <c r="BS74" s="156"/>
      <c r="BT74" s="156"/>
      <c r="BU74" s="156"/>
    </row>
    <row r="75" spans="2:382" x14ac:dyDescent="0.2">
      <c r="D75" s="94"/>
      <c r="E75" s="94"/>
      <c r="F75" s="94"/>
      <c r="G75" s="94"/>
      <c r="H75" s="94"/>
      <c r="I75" s="94"/>
      <c r="K75" s="8"/>
      <c r="L75" s="8"/>
      <c r="M75" s="8"/>
      <c r="N75" s="8"/>
      <c r="V75" s="202"/>
      <c r="W75" s="213"/>
      <c r="X75" s="213"/>
      <c r="Y75" s="213"/>
      <c r="Z75" s="213"/>
      <c r="AA75" s="213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3"/>
      <c r="AM75" s="213"/>
      <c r="AN75" s="213"/>
      <c r="BI75" s="156"/>
      <c r="BJ75" s="156"/>
      <c r="BK75" s="156"/>
      <c r="BL75" s="156"/>
      <c r="BM75" s="156"/>
      <c r="BN75" s="156"/>
      <c r="BO75" s="156"/>
      <c r="BP75" s="156"/>
      <c r="BQ75" s="156"/>
      <c r="BR75" s="156"/>
      <c r="BS75" s="156"/>
      <c r="BT75" s="156"/>
      <c r="BU75" s="156"/>
    </row>
    <row r="76" spans="2:382" x14ac:dyDescent="0.2">
      <c r="D76" s="94"/>
      <c r="E76" s="94"/>
      <c r="F76" s="94"/>
      <c r="G76" s="94"/>
      <c r="H76" s="94"/>
      <c r="I76" s="94"/>
      <c r="K76" s="8"/>
      <c r="L76" s="8"/>
      <c r="M76" s="8"/>
      <c r="N76" s="8"/>
      <c r="V76" s="202"/>
      <c r="W76" s="213"/>
      <c r="X76" s="213"/>
      <c r="Y76" s="213"/>
      <c r="Z76" s="213"/>
      <c r="AA76" s="213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3"/>
      <c r="AM76" s="213"/>
      <c r="AN76" s="213"/>
      <c r="BI76" s="156"/>
      <c r="BJ76" s="156"/>
      <c r="BK76" s="156"/>
      <c r="BL76" s="156"/>
      <c r="BM76" s="156"/>
      <c r="BN76" s="156"/>
      <c r="BO76" s="156"/>
      <c r="BP76" s="156"/>
      <c r="BQ76" s="156"/>
      <c r="BR76" s="156"/>
      <c r="BS76" s="156"/>
      <c r="BT76" s="156"/>
      <c r="BU76" s="156"/>
    </row>
    <row r="77" spans="2:382" x14ac:dyDescent="0.2">
      <c r="D77" s="94"/>
      <c r="E77" s="94"/>
      <c r="F77" s="94"/>
      <c r="G77" s="131"/>
      <c r="H77" s="131"/>
      <c r="I77" s="131"/>
      <c r="K77" s="8"/>
      <c r="L77" s="8"/>
      <c r="M77" s="8"/>
      <c r="N77" s="8"/>
      <c r="V77" s="202"/>
      <c r="W77" s="213"/>
      <c r="X77" s="213"/>
      <c r="Y77" s="213"/>
      <c r="Z77" s="213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  <c r="AN77" s="213"/>
      <c r="BI77" s="156"/>
      <c r="BJ77" s="156"/>
      <c r="BK77" s="156"/>
      <c r="BL77" s="156"/>
      <c r="BM77" s="156"/>
      <c r="BN77" s="156"/>
      <c r="BO77" s="156"/>
      <c r="BP77" s="156"/>
      <c r="BQ77" s="156"/>
      <c r="BR77" s="156"/>
      <c r="BS77" s="156"/>
      <c r="BT77" s="156"/>
      <c r="BU77" s="156"/>
    </row>
    <row r="78" spans="2:382" x14ac:dyDescent="0.2">
      <c r="D78" s="94"/>
      <c r="E78" s="105"/>
      <c r="F78" s="94"/>
      <c r="G78" s="94"/>
      <c r="H78" s="94"/>
      <c r="I78" s="94"/>
      <c r="K78" s="8"/>
      <c r="L78" s="8"/>
      <c r="M78" s="8"/>
      <c r="N78" s="8"/>
      <c r="V78" s="202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BH78" s="11"/>
      <c r="BI78" s="156"/>
      <c r="BJ78" s="156"/>
      <c r="BK78" s="156"/>
      <c r="BL78" s="156"/>
      <c r="BM78" s="156"/>
      <c r="BN78" s="156"/>
      <c r="BO78" s="156"/>
      <c r="BP78" s="156"/>
      <c r="BQ78" s="156"/>
      <c r="BR78" s="156"/>
      <c r="BS78" s="156"/>
      <c r="BT78" s="156"/>
      <c r="BU78" s="156"/>
    </row>
    <row r="79" spans="2:382" x14ac:dyDescent="0.2">
      <c r="D79" s="94"/>
      <c r="E79" s="94"/>
      <c r="F79" s="94"/>
      <c r="G79" s="94"/>
      <c r="H79" s="94"/>
      <c r="I79" s="94"/>
      <c r="K79" s="8"/>
      <c r="L79" s="8"/>
      <c r="M79" s="8"/>
      <c r="N79" s="8"/>
      <c r="V79" s="202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  <c r="AN79" s="213"/>
      <c r="BI79" s="156"/>
      <c r="BJ79" s="156"/>
      <c r="BK79" s="156"/>
      <c r="BL79" s="156"/>
      <c r="BM79" s="156"/>
      <c r="BN79" s="156"/>
      <c r="BO79" s="156"/>
      <c r="BP79" s="156"/>
      <c r="BQ79" s="156"/>
      <c r="BR79" s="156"/>
      <c r="BS79" s="156"/>
      <c r="BT79" s="156"/>
      <c r="BU79" s="156"/>
    </row>
    <row r="80" spans="2:382" x14ac:dyDescent="0.2">
      <c r="D80" s="94"/>
      <c r="E80" s="246"/>
      <c r="F80" s="94"/>
      <c r="G80" s="94"/>
      <c r="H80" s="94"/>
      <c r="I80" s="94"/>
      <c r="K80" s="8"/>
      <c r="L80" s="8"/>
      <c r="M80" s="8"/>
      <c r="N80" s="8"/>
      <c r="V80" s="202"/>
      <c r="W80" s="213"/>
      <c r="X80" s="213"/>
      <c r="Y80" s="213"/>
      <c r="Z80" s="213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  <c r="AN80" s="213"/>
      <c r="BI80" s="156"/>
      <c r="BJ80" s="156"/>
      <c r="BK80" s="156"/>
      <c r="BL80" s="156"/>
      <c r="BM80" s="156"/>
      <c r="BN80" s="156"/>
      <c r="BO80" s="156"/>
      <c r="BP80" s="156"/>
      <c r="BQ80" s="156"/>
      <c r="BR80" s="156"/>
      <c r="BS80" s="156"/>
      <c r="BT80" s="156"/>
      <c r="BU80" s="156"/>
    </row>
    <row r="81" spans="4:73" x14ac:dyDescent="0.2">
      <c r="D81" s="94"/>
      <c r="E81" s="246"/>
      <c r="F81" s="94"/>
      <c r="G81" s="94"/>
      <c r="H81" s="94"/>
      <c r="I81" s="94"/>
      <c r="V81" s="202"/>
      <c r="W81" s="213"/>
      <c r="X81" s="213"/>
      <c r="Y81" s="213"/>
      <c r="Z81" s="213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  <c r="AN81" s="213"/>
      <c r="BI81" s="156"/>
      <c r="BJ81" s="156"/>
      <c r="BK81" s="156"/>
      <c r="BL81" s="156"/>
      <c r="BM81" s="156"/>
      <c r="BN81" s="156"/>
      <c r="BO81" s="156"/>
      <c r="BP81" s="156"/>
      <c r="BQ81" s="156"/>
      <c r="BR81" s="156"/>
      <c r="BS81" s="156"/>
      <c r="BT81" s="156"/>
      <c r="BU81" s="156"/>
    </row>
    <row r="82" spans="4:73" x14ac:dyDescent="0.2">
      <c r="D82" s="94"/>
      <c r="E82" s="246"/>
      <c r="F82" s="94"/>
      <c r="G82" s="94"/>
      <c r="H82" s="94"/>
      <c r="I82" s="94"/>
      <c r="V82" s="202"/>
      <c r="W82" s="213"/>
      <c r="X82" s="213"/>
      <c r="Y82" s="213"/>
      <c r="Z82" s="213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  <c r="AN82" s="213"/>
      <c r="BI82" s="156"/>
      <c r="BJ82" s="156"/>
      <c r="BK82" s="156"/>
      <c r="BL82" s="156"/>
      <c r="BM82" s="156"/>
      <c r="BN82" s="156"/>
      <c r="BO82" s="156"/>
      <c r="BP82" s="156"/>
      <c r="BQ82" s="156"/>
      <c r="BR82" s="156"/>
      <c r="BS82" s="156"/>
      <c r="BT82" s="156"/>
      <c r="BU82" s="156"/>
    </row>
    <row r="83" spans="4:73" x14ac:dyDescent="0.2">
      <c r="D83" s="94"/>
      <c r="E83" s="94"/>
      <c r="F83" s="94"/>
      <c r="G83" s="94"/>
      <c r="H83" s="94"/>
      <c r="I83" s="94"/>
      <c r="V83" s="140"/>
      <c r="W83" s="213"/>
      <c r="X83" s="213"/>
      <c r="Y83" s="213"/>
      <c r="Z83" s="213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  <c r="AN83" s="213"/>
      <c r="BI83" s="156"/>
      <c r="BJ83" s="156"/>
      <c r="BK83" s="156"/>
      <c r="BL83" s="156"/>
      <c r="BM83" s="156"/>
      <c r="BN83" s="156"/>
      <c r="BO83" s="156"/>
      <c r="BP83" s="156"/>
      <c r="BQ83" s="156"/>
      <c r="BR83" s="156"/>
      <c r="BS83" s="156"/>
      <c r="BT83" s="156"/>
      <c r="BU83" s="156"/>
    </row>
    <row r="84" spans="4:73" x14ac:dyDescent="0.2">
      <c r="D84" s="94"/>
      <c r="E84" s="246"/>
      <c r="F84" s="94"/>
      <c r="G84" s="94"/>
      <c r="H84" s="94"/>
      <c r="I84" s="94"/>
      <c r="V84" s="140"/>
      <c r="W84" s="213"/>
      <c r="X84" s="213"/>
      <c r="Y84" s="213"/>
      <c r="Z84" s="213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  <c r="AN84" s="213"/>
      <c r="BI84" s="9"/>
      <c r="BJ84" s="9"/>
      <c r="BK84" s="9"/>
      <c r="BL84" s="9"/>
    </row>
    <row r="85" spans="4:73" x14ac:dyDescent="0.2">
      <c r="D85" s="94"/>
      <c r="E85" s="246"/>
      <c r="F85" s="94"/>
      <c r="G85" s="98"/>
      <c r="H85" s="98"/>
      <c r="I85" s="98"/>
      <c r="J85" s="8"/>
      <c r="V85" s="140"/>
      <c r="W85" s="213"/>
      <c r="X85" s="213"/>
      <c r="Y85" s="213"/>
      <c r="Z85" s="213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  <c r="AN85" s="213"/>
      <c r="BI85" s="9"/>
      <c r="BJ85" s="9"/>
      <c r="BK85" s="9"/>
      <c r="BL85" s="9"/>
    </row>
    <row r="86" spans="4:73" x14ac:dyDescent="0.2">
      <c r="D86" s="94"/>
      <c r="E86" s="246"/>
      <c r="F86" s="94"/>
      <c r="G86" s="98"/>
      <c r="H86" s="98"/>
      <c r="I86" s="98"/>
      <c r="J86" s="8"/>
      <c r="V86" s="141"/>
      <c r="W86" s="213"/>
      <c r="X86" s="213"/>
      <c r="Y86" s="213"/>
      <c r="Z86" s="213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  <c r="AN86" s="213"/>
      <c r="BI86" s="58"/>
      <c r="BJ86" s="58"/>
      <c r="BK86" s="58"/>
      <c r="BL86" s="58"/>
    </row>
    <row r="87" spans="4:73" x14ac:dyDescent="0.2">
      <c r="D87" s="94"/>
      <c r="E87" s="246"/>
      <c r="F87" s="94"/>
      <c r="G87" s="98"/>
      <c r="H87" s="98"/>
      <c r="I87" s="98"/>
      <c r="J87" s="8"/>
      <c r="V87" s="141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BI87" s="9"/>
      <c r="BJ87" s="9"/>
      <c r="BK87" s="9"/>
      <c r="BL87" s="9"/>
    </row>
    <row r="88" spans="4:73" x14ac:dyDescent="0.2">
      <c r="D88" s="94"/>
      <c r="E88" s="94"/>
      <c r="F88" s="94"/>
      <c r="G88" s="247"/>
      <c r="H88" s="247"/>
      <c r="I88" s="247"/>
      <c r="V88" s="140"/>
      <c r="W88" s="213"/>
      <c r="X88" s="213"/>
      <c r="Y88" s="213"/>
      <c r="Z88" s="213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  <c r="AN88" s="213"/>
      <c r="BI88" s="9"/>
      <c r="BJ88" s="9"/>
      <c r="BK88" s="9"/>
      <c r="BL88" s="9"/>
    </row>
    <row r="89" spans="4:73" x14ac:dyDescent="0.2">
      <c r="D89" s="94"/>
      <c r="E89" s="94"/>
      <c r="F89" s="94"/>
      <c r="G89" s="247"/>
      <c r="H89" s="247"/>
      <c r="I89" s="247"/>
      <c r="V89" s="140"/>
      <c r="W89" s="213"/>
      <c r="X89" s="213"/>
      <c r="Y89" s="213"/>
      <c r="Z89" s="213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  <c r="AN89" s="213"/>
      <c r="BI89" s="9"/>
      <c r="BJ89" s="9"/>
      <c r="BK89" s="9"/>
      <c r="BL89" s="9"/>
    </row>
    <row r="90" spans="4:73" x14ac:dyDescent="0.2">
      <c r="D90" s="94"/>
      <c r="E90" s="94"/>
      <c r="F90" s="94"/>
      <c r="G90" s="247"/>
      <c r="H90" s="247"/>
      <c r="I90" s="247"/>
      <c r="V90" s="140"/>
      <c r="W90" s="213"/>
      <c r="X90" s="213"/>
      <c r="Y90" s="213"/>
      <c r="Z90" s="213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  <c r="AN90" s="213"/>
    </row>
    <row r="91" spans="4:73" x14ac:dyDescent="0.2">
      <c r="D91" s="94"/>
      <c r="E91" s="94"/>
      <c r="F91" s="94"/>
      <c r="G91" s="94"/>
      <c r="H91" s="94"/>
      <c r="I91" s="94"/>
      <c r="V91" s="140"/>
      <c r="W91" s="213"/>
      <c r="X91" s="213"/>
      <c r="Y91" s="213"/>
      <c r="Z91" s="213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  <c r="AN91" s="213"/>
    </row>
    <row r="92" spans="4:73" x14ac:dyDescent="0.2">
      <c r="D92" s="94"/>
      <c r="E92" s="94"/>
      <c r="F92" s="94"/>
      <c r="G92" s="94"/>
      <c r="H92" s="94"/>
      <c r="I92" s="94"/>
      <c r="V92" s="212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</row>
    <row r="93" spans="4:73" x14ac:dyDescent="0.2">
      <c r="D93" s="94"/>
      <c r="E93" s="94"/>
      <c r="F93" s="94"/>
      <c r="G93" s="94"/>
      <c r="H93" s="94"/>
      <c r="I93" s="94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</row>
    <row r="94" spans="4:73" x14ac:dyDescent="0.2">
      <c r="D94" s="94"/>
      <c r="E94" s="94"/>
      <c r="F94" s="94"/>
      <c r="G94" s="94"/>
      <c r="H94" s="94"/>
      <c r="I94" s="94"/>
      <c r="V94" s="105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05"/>
      <c r="AJ94" s="105"/>
      <c r="AK94" s="105"/>
      <c r="AL94" s="105"/>
      <c r="AM94" s="105"/>
      <c r="AN94" s="105"/>
    </row>
    <row r="95" spans="4:73" x14ac:dyDescent="0.2">
      <c r="D95" s="94"/>
      <c r="E95" s="94"/>
      <c r="F95" s="94"/>
      <c r="G95" s="94"/>
      <c r="H95" s="94"/>
      <c r="I95" s="94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  <c r="AI95" s="105"/>
      <c r="AJ95" s="105"/>
      <c r="AK95" s="105"/>
      <c r="AL95" s="105"/>
      <c r="AM95" s="105"/>
      <c r="AN95" s="105"/>
    </row>
    <row r="96" spans="4:73" x14ac:dyDescent="0.2">
      <c r="D96" s="94"/>
      <c r="E96" s="94"/>
      <c r="F96" s="94"/>
      <c r="G96" s="94"/>
      <c r="H96" s="94"/>
      <c r="I96" s="94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</row>
    <row r="102" spans="3:78" x14ac:dyDescent="0.2">
      <c r="C102" s="8"/>
    </row>
    <row r="104" spans="3:78" ht="42" customHeight="1" x14ac:dyDescent="0.2">
      <c r="AQ104" s="3"/>
      <c r="AR104" s="711" t="s">
        <v>0</v>
      </c>
      <c r="AS104" s="712"/>
      <c r="AT104" s="711" t="s">
        <v>1</v>
      </c>
      <c r="AU104" s="712"/>
      <c r="AV104" s="727" t="s">
        <v>717</v>
      </c>
      <c r="AW104" s="712"/>
      <c r="AX104" s="728" t="s">
        <v>718</v>
      </c>
      <c r="AY104" s="714"/>
      <c r="AZ104" s="728" t="s">
        <v>719</v>
      </c>
      <c r="BA104" s="714"/>
      <c r="BB104" s="713" t="s">
        <v>5</v>
      </c>
      <c r="BC104" s="714"/>
      <c r="BD104" s="716" t="s">
        <v>720</v>
      </c>
      <c r="BE104" s="710"/>
      <c r="BF104" s="716" t="s">
        <v>722</v>
      </c>
      <c r="BG104" s="710"/>
      <c r="BJ104" s="3"/>
      <c r="BK104" s="711" t="s">
        <v>0</v>
      </c>
      <c r="BL104" s="712"/>
      <c r="BM104" s="711" t="s">
        <v>1</v>
      </c>
      <c r="BN104" s="712"/>
      <c r="BO104" s="727" t="s">
        <v>717</v>
      </c>
      <c r="BP104" s="712"/>
      <c r="BQ104" s="728" t="s">
        <v>718</v>
      </c>
      <c r="BR104" s="714"/>
      <c r="BS104" s="728" t="s">
        <v>719</v>
      </c>
      <c r="BT104" s="714"/>
      <c r="BU104" s="713" t="s">
        <v>5</v>
      </c>
      <c r="BV104" s="714"/>
      <c r="BW104" s="716" t="s">
        <v>720</v>
      </c>
      <c r="BX104" s="710"/>
      <c r="BY104" s="716" t="s">
        <v>722</v>
      </c>
      <c r="BZ104" s="710"/>
    </row>
    <row r="105" spans="3:78" x14ac:dyDescent="0.2">
      <c r="AQ105" s="2" t="s">
        <v>218</v>
      </c>
      <c r="AR105" s="131" t="s">
        <v>25</v>
      </c>
      <c r="AS105" s="52" t="s">
        <v>26</v>
      </c>
      <c r="AT105" s="131" t="s">
        <v>25</v>
      </c>
      <c r="AU105" s="52" t="s">
        <v>26</v>
      </c>
      <c r="AV105" s="131" t="s">
        <v>25</v>
      </c>
      <c r="AW105" s="52" t="s">
        <v>26</v>
      </c>
      <c r="AX105" s="131" t="s">
        <v>25</v>
      </c>
      <c r="AY105" s="52" t="s">
        <v>26</v>
      </c>
      <c r="AZ105" s="131" t="s">
        <v>25</v>
      </c>
      <c r="BA105" s="52" t="s">
        <v>26</v>
      </c>
      <c r="BB105" s="131" t="s">
        <v>25</v>
      </c>
      <c r="BC105" s="52" t="s">
        <v>26</v>
      </c>
      <c r="BD105" s="131" t="s">
        <v>25</v>
      </c>
      <c r="BE105" s="52" t="s">
        <v>26</v>
      </c>
      <c r="BF105" s="131" t="s">
        <v>25</v>
      </c>
      <c r="BG105" s="52" t="s">
        <v>26</v>
      </c>
      <c r="BJ105" s="2" t="s">
        <v>218</v>
      </c>
      <c r="BK105" s="131" t="s">
        <v>25</v>
      </c>
      <c r="BL105" s="52" t="s">
        <v>26</v>
      </c>
      <c r="BM105" s="131" t="s">
        <v>25</v>
      </c>
      <c r="BN105" s="52" t="s">
        <v>26</v>
      </c>
      <c r="BO105" s="131" t="s">
        <v>25</v>
      </c>
      <c r="BP105" s="52" t="s">
        <v>26</v>
      </c>
      <c r="BQ105" s="131" t="s">
        <v>25</v>
      </c>
      <c r="BR105" s="52" t="s">
        <v>26</v>
      </c>
      <c r="BS105" s="131" t="s">
        <v>25</v>
      </c>
      <c r="BT105" s="52" t="s">
        <v>26</v>
      </c>
      <c r="BU105" s="131" t="s">
        <v>25</v>
      </c>
      <c r="BV105" s="52" t="s">
        <v>26</v>
      </c>
      <c r="BW105" s="131" t="s">
        <v>25</v>
      </c>
      <c r="BX105" s="52" t="s">
        <v>26</v>
      </c>
      <c r="BY105" s="131" t="s">
        <v>25</v>
      </c>
      <c r="BZ105" s="52" t="s">
        <v>26</v>
      </c>
    </row>
    <row r="106" spans="3:78" x14ac:dyDescent="0.2">
      <c r="AQ106" s="3" t="s">
        <v>386</v>
      </c>
      <c r="AR106" s="9">
        <f>AR32+AR44</f>
        <v>15.235213349943471</v>
      </c>
      <c r="AS106" s="50">
        <f t="shared" ref="AS106:BC106" si="2847">AS32+AS44</f>
        <v>15.235213349943471</v>
      </c>
      <c r="AT106" s="9">
        <f t="shared" si="2847"/>
        <v>20.379571104469839</v>
      </c>
      <c r="AU106" s="50">
        <f t="shared" si="2847"/>
        <v>20.379571104469839</v>
      </c>
      <c r="AV106" s="9">
        <f t="shared" si="2847"/>
        <v>19.863632595495915</v>
      </c>
      <c r="AW106" s="50">
        <f t="shared" si="2847"/>
        <v>19.863632595495915</v>
      </c>
      <c r="AX106" s="9">
        <f t="shared" si="2847"/>
        <v>16.518178684675554</v>
      </c>
      <c r="AY106" s="50">
        <f t="shared" si="2847"/>
        <v>16.518178684675554</v>
      </c>
      <c r="AZ106" s="9">
        <f t="shared" si="2847"/>
        <v>14.945018809944548</v>
      </c>
      <c r="BA106" s="50">
        <f t="shared" si="2847"/>
        <v>14.945018809944548</v>
      </c>
      <c r="BB106" s="9">
        <f>BB32+BB44</f>
        <v>0</v>
      </c>
      <c r="BC106" s="50">
        <f t="shared" si="2847"/>
        <v>0</v>
      </c>
      <c r="BD106" s="9">
        <f>BD32+BD44</f>
        <v>27.897368445229823</v>
      </c>
      <c r="BE106" s="50">
        <f t="shared" ref="BE106:BG106" si="2848">BE32+BE44</f>
        <v>27.897368445229823</v>
      </c>
      <c r="BF106" s="9">
        <f t="shared" si="2848"/>
        <v>14.945018809944548</v>
      </c>
      <c r="BG106" s="50">
        <f t="shared" si="2848"/>
        <v>14.945018809944548</v>
      </c>
      <c r="BJ106" s="3" t="s">
        <v>386</v>
      </c>
      <c r="BK106" s="9">
        <f>BK32+BK44</f>
        <v>3.166187218540935</v>
      </c>
      <c r="BL106" s="50">
        <f t="shared" ref="BL106:BV106" si="2849">BL32+BL44</f>
        <v>3.166187218540935</v>
      </c>
      <c r="BM106" s="9">
        <f t="shared" si="2849"/>
        <v>4.2352893962300824</v>
      </c>
      <c r="BN106" s="50">
        <f t="shared" si="2849"/>
        <v>4.2352893962300824</v>
      </c>
      <c r="BO106" s="9">
        <f t="shared" si="2849"/>
        <v>4.1280668798698263</v>
      </c>
      <c r="BP106" s="50">
        <f t="shared" si="2849"/>
        <v>4.1280668798698263</v>
      </c>
      <c r="BQ106" s="9">
        <f t="shared" si="2849"/>
        <v>3.4328135106285931</v>
      </c>
      <c r="BR106" s="50">
        <f t="shared" si="2849"/>
        <v>3.4328135106285931</v>
      </c>
      <c r="BS106" s="9">
        <f t="shared" si="2849"/>
        <v>3.1058788905687269</v>
      </c>
      <c r="BT106" s="50">
        <f t="shared" si="2849"/>
        <v>3.1058788905687269</v>
      </c>
      <c r="BU106" s="9">
        <f t="shared" si="2849"/>
        <v>0</v>
      </c>
      <c r="BV106" s="50">
        <f t="shared" si="2849"/>
        <v>0</v>
      </c>
      <c r="BW106" s="9">
        <f>BW32+BW44</f>
        <v>5.7976405957282902</v>
      </c>
      <c r="BX106" s="50">
        <f t="shared" ref="BX106:BZ106" si="2850">BX32+BX44</f>
        <v>5.7976405957282902</v>
      </c>
      <c r="BY106" s="9">
        <f t="shared" si="2850"/>
        <v>3.1058788905687269</v>
      </c>
      <c r="BZ106" s="50">
        <f t="shared" si="2850"/>
        <v>3.1058788905687269</v>
      </c>
    </row>
    <row r="107" spans="3:78" x14ac:dyDescent="0.2">
      <c r="AQ107" s="3" t="s">
        <v>72</v>
      </c>
      <c r="AR107" s="9">
        <f>AR20+AR43</f>
        <v>26.283153316055923</v>
      </c>
      <c r="AS107" s="50">
        <f t="shared" ref="AS107:BC107" si="2851">AS20+AS43</f>
        <v>26.283153316055923</v>
      </c>
      <c r="AT107" s="9">
        <f t="shared" si="2851"/>
        <v>30.764123557791283</v>
      </c>
      <c r="AU107" s="50">
        <f t="shared" si="2851"/>
        <v>30.764123557791283</v>
      </c>
      <c r="AV107" s="9">
        <f t="shared" si="2851"/>
        <v>29.985284986707956</v>
      </c>
      <c r="AW107" s="50">
        <f t="shared" si="2851"/>
        <v>29.985284986707956</v>
      </c>
      <c r="AX107" s="9">
        <f t="shared" si="2851"/>
        <v>28.496471490039582</v>
      </c>
      <c r="AY107" s="50">
        <f t="shared" si="2851"/>
        <v>28.496471490039582</v>
      </c>
      <c r="AZ107" s="9">
        <f t="shared" si="2851"/>
        <v>25.782521824321528</v>
      </c>
      <c r="BA107" s="50">
        <f t="shared" si="2851"/>
        <v>25.782521824321528</v>
      </c>
      <c r="BB107" s="9">
        <f t="shared" si="2851"/>
        <v>33.311777539920868</v>
      </c>
      <c r="BC107" s="50">
        <f t="shared" si="2851"/>
        <v>33.311777539920868</v>
      </c>
      <c r="BD107" s="9">
        <f>BD20+BD43</f>
        <v>48.127374072066843</v>
      </c>
      <c r="BE107" s="50">
        <f t="shared" ref="BE107:BG107" si="2852">BE20+BE43</f>
        <v>48.127374072066843</v>
      </c>
      <c r="BF107" s="9">
        <f t="shared" si="2852"/>
        <v>25.782521824321528</v>
      </c>
      <c r="BG107" s="50">
        <f t="shared" si="2852"/>
        <v>25.782521824321528</v>
      </c>
      <c r="BJ107" s="3" t="s">
        <v>72</v>
      </c>
      <c r="BK107" s="9">
        <f>BK20+BK43</f>
        <v>3.1360883141280507</v>
      </c>
      <c r="BL107" s="50">
        <f t="shared" ref="BL107:BV107" si="2853">BL20+BL43</f>
        <v>3.1360883141280507</v>
      </c>
      <c r="BM107" s="9">
        <f t="shared" si="2853"/>
        <v>3.670754693084842</v>
      </c>
      <c r="BN107" s="50">
        <f t="shared" si="2853"/>
        <v>3.670754693084842</v>
      </c>
      <c r="BO107" s="9">
        <f t="shared" si="2853"/>
        <v>3.5778241945257316</v>
      </c>
      <c r="BP107" s="50">
        <f t="shared" si="2853"/>
        <v>3.5778241945257316</v>
      </c>
      <c r="BQ107" s="9">
        <f t="shared" si="2853"/>
        <v>3.4001799616335711</v>
      </c>
      <c r="BR107" s="50">
        <f t="shared" si="2853"/>
        <v>3.4001799616335711</v>
      </c>
      <c r="BS107" s="9">
        <f t="shared" si="2853"/>
        <v>3.0763532986208499</v>
      </c>
      <c r="BT107" s="50">
        <f t="shared" si="2853"/>
        <v>3.0763532986208499</v>
      </c>
      <c r="BU107" s="9">
        <f t="shared" si="2853"/>
        <v>3.9747390661059301</v>
      </c>
      <c r="BV107" s="50">
        <f t="shared" si="2853"/>
        <v>3.9747390661059301</v>
      </c>
      <c r="BW107" s="9">
        <f>BW20+BW43</f>
        <v>5.7425261574255853</v>
      </c>
      <c r="BX107" s="50">
        <f t="shared" ref="BX107:BZ107" si="2854">BX20+BX43</f>
        <v>5.7425261574255853</v>
      </c>
      <c r="BY107" s="9">
        <f t="shared" si="2854"/>
        <v>3.0763532986208499</v>
      </c>
      <c r="BZ107" s="50">
        <f t="shared" si="2854"/>
        <v>3.0763532986208499</v>
      </c>
    </row>
    <row r="108" spans="3:78" x14ac:dyDescent="0.2">
      <c r="AQ108" s="3" t="s">
        <v>63</v>
      </c>
      <c r="AR108" s="224">
        <f>AR31+AR42</f>
        <v>1.4974966092954176E-3</v>
      </c>
      <c r="AS108" s="50">
        <f t="shared" ref="AS108:BC108" si="2855">AS31+AS42</f>
        <v>1.4974966092954176E-3</v>
      </c>
      <c r="AT108" s="224">
        <f t="shared" si="2855"/>
        <v>2.0031448150315328E-3</v>
      </c>
      <c r="AU108" s="50">
        <f t="shared" si="2855"/>
        <v>2.0031448150315328E-3</v>
      </c>
      <c r="AV108" s="224">
        <f t="shared" si="2855"/>
        <v>1.9524322880687087E-3</v>
      </c>
      <c r="AW108" s="50">
        <f t="shared" si="2855"/>
        <v>1.9524322880687087E-3</v>
      </c>
      <c r="AX108" s="224">
        <f t="shared" si="2855"/>
        <v>1.6236015869202946E-3</v>
      </c>
      <c r="AY108" s="50">
        <f t="shared" si="2855"/>
        <v>1.6236015869202946E-3</v>
      </c>
      <c r="AZ108" s="224">
        <f t="shared" si="2855"/>
        <v>1.4689728643564573E-3</v>
      </c>
      <c r="BA108" s="50">
        <f t="shared" si="2855"/>
        <v>1.4689728643564573E-3</v>
      </c>
      <c r="BB108" s="224">
        <f t="shared" si="2855"/>
        <v>0</v>
      </c>
      <c r="BC108" s="50">
        <f t="shared" si="2855"/>
        <v>0</v>
      </c>
      <c r="BD108" s="224">
        <f t="shared" ref="BD108:BG108" si="2856">BD31+BD42</f>
        <v>2.7420826801320534E-3</v>
      </c>
      <c r="BE108" s="50">
        <f t="shared" si="2856"/>
        <v>2.7420826801320534E-3</v>
      </c>
      <c r="BF108" s="224">
        <f t="shared" si="2856"/>
        <v>1.4689728643564573E-3</v>
      </c>
      <c r="BG108" s="50">
        <f t="shared" si="2856"/>
        <v>1.4689728643564573E-3</v>
      </c>
      <c r="BJ108" s="3" t="s">
        <v>63</v>
      </c>
      <c r="BK108" s="224">
        <f>BK31+BK42</f>
        <v>3.6479949618032362E-4</v>
      </c>
      <c r="BL108" s="50">
        <f t="shared" ref="BL108:BZ108" si="2857">BL31+BL42</f>
        <v>3.6479949618032362E-4</v>
      </c>
      <c r="BM108" s="224">
        <f t="shared" si="2857"/>
        <v>4.8797854683861478E-4</v>
      </c>
      <c r="BN108" s="50">
        <f t="shared" si="2857"/>
        <v>4.8797854683861478E-4</v>
      </c>
      <c r="BO108" s="224">
        <f t="shared" si="2857"/>
        <v>4.7562465957687756E-4</v>
      </c>
      <c r="BP108" s="50">
        <f t="shared" si="2857"/>
        <v>4.7562465957687756E-4</v>
      </c>
      <c r="BQ108" s="224">
        <f t="shared" si="2857"/>
        <v>3.9551945375340344E-4</v>
      </c>
      <c r="BR108" s="50">
        <f t="shared" si="2857"/>
        <v>3.9551945375340344E-4</v>
      </c>
      <c r="BS108" s="224">
        <f t="shared" si="2857"/>
        <v>3.5785093434831746E-4</v>
      </c>
      <c r="BT108" s="50">
        <f t="shared" si="2857"/>
        <v>3.5785093434831746E-4</v>
      </c>
      <c r="BU108" s="224">
        <f t="shared" si="2857"/>
        <v>0</v>
      </c>
      <c r="BV108" s="50">
        <f t="shared" si="2857"/>
        <v>0</v>
      </c>
      <c r="BW108" s="224">
        <f t="shared" si="2857"/>
        <v>6.679884107835259E-4</v>
      </c>
      <c r="BX108" s="50">
        <f t="shared" si="2857"/>
        <v>6.679884107835259E-4</v>
      </c>
      <c r="BY108" s="224">
        <f t="shared" si="2857"/>
        <v>3.5785093434831746E-4</v>
      </c>
      <c r="BZ108" s="50">
        <f t="shared" si="2857"/>
        <v>3.5785093434831746E-4</v>
      </c>
    </row>
    <row r="109" spans="3:78" ht="14.25" x14ac:dyDescent="0.25">
      <c r="AQ109" s="145" t="s">
        <v>368</v>
      </c>
      <c r="AR109" s="224">
        <f>AR16+AR37</f>
        <v>0</v>
      </c>
      <c r="AS109" s="50">
        <f t="shared" ref="AS109:BC109" si="2858">AS16+AS37</f>
        <v>0</v>
      </c>
      <c r="AT109" s="224">
        <f t="shared" si="2858"/>
        <v>20.586338269553039</v>
      </c>
      <c r="AU109" s="50">
        <f t="shared" si="2858"/>
        <v>20.586338269553039</v>
      </c>
      <c r="AV109" s="224">
        <f t="shared" si="2858"/>
        <v>19.987425347123679</v>
      </c>
      <c r="AW109" s="50">
        <f t="shared" si="2858"/>
        <v>19.987425347123679</v>
      </c>
      <c r="AX109" s="224">
        <f t="shared" si="2858"/>
        <v>0</v>
      </c>
      <c r="AY109" s="50">
        <f t="shared" si="2858"/>
        <v>0</v>
      </c>
      <c r="AZ109" s="224">
        <f t="shared" si="2858"/>
        <v>0</v>
      </c>
      <c r="BA109" s="50">
        <f t="shared" si="2858"/>
        <v>0</v>
      </c>
      <c r="BB109" s="224">
        <f t="shared" si="2858"/>
        <v>13.643146513152585</v>
      </c>
      <c r="BC109" s="50">
        <f t="shared" si="2858"/>
        <v>13.643146513152585</v>
      </c>
      <c r="BD109" s="224">
        <f t="shared" ref="BD109:BG109" si="2859">BD16+BD37</f>
        <v>0</v>
      </c>
      <c r="BE109" s="50">
        <f t="shared" si="2859"/>
        <v>0</v>
      </c>
      <c r="BF109" s="224">
        <f t="shared" si="2859"/>
        <v>0</v>
      </c>
      <c r="BG109" s="50">
        <f t="shared" si="2859"/>
        <v>0</v>
      </c>
      <c r="BJ109" s="290" t="s">
        <v>368</v>
      </c>
      <c r="BK109" s="224">
        <f>BK16+BK37</f>
        <v>0</v>
      </c>
      <c r="BL109" s="50">
        <f t="shared" ref="BL109:BZ109" si="2860">BL16+BL37</f>
        <v>0</v>
      </c>
      <c r="BM109" s="224">
        <f t="shared" si="2860"/>
        <v>5.5961049068819815</v>
      </c>
      <c r="BN109" s="50">
        <f t="shared" si="2860"/>
        <v>5.5961049068819815</v>
      </c>
      <c r="BO109" s="224">
        <f t="shared" si="2860"/>
        <v>5.4332988993192428</v>
      </c>
      <c r="BP109" s="50">
        <f t="shared" si="2860"/>
        <v>5.4332988993192428</v>
      </c>
      <c r="BQ109" s="224">
        <f t="shared" si="2860"/>
        <v>0</v>
      </c>
      <c r="BR109" s="50">
        <f t="shared" si="2860"/>
        <v>0</v>
      </c>
      <c r="BS109" s="224">
        <f t="shared" si="2860"/>
        <v>0</v>
      </c>
      <c r="BT109" s="50">
        <f t="shared" si="2860"/>
        <v>0</v>
      </c>
      <c r="BU109" s="224">
        <f t="shared" si="2860"/>
        <v>3.7086964251666612</v>
      </c>
      <c r="BV109" s="50">
        <f t="shared" si="2860"/>
        <v>3.7086964251666612</v>
      </c>
      <c r="BW109" s="224">
        <f t="shared" si="2860"/>
        <v>0</v>
      </c>
      <c r="BX109" s="50">
        <f t="shared" si="2860"/>
        <v>0</v>
      </c>
      <c r="BY109" s="224">
        <f t="shared" si="2860"/>
        <v>0</v>
      </c>
      <c r="BZ109" s="50">
        <f t="shared" si="2860"/>
        <v>0</v>
      </c>
    </row>
    <row r="110" spans="3:78" x14ac:dyDescent="0.2">
      <c r="AQ110" s="145" t="s">
        <v>131</v>
      </c>
      <c r="AR110" s="224">
        <f>AR17+AR38</f>
        <v>18.092300568250593</v>
      </c>
      <c r="AS110" s="50">
        <f t="shared" ref="AS110:BC110" si="2861">AS17+AS38</f>
        <v>18.092300568250593</v>
      </c>
      <c r="AT110" s="224">
        <f t="shared" si="2861"/>
        <v>0</v>
      </c>
      <c r="AU110" s="50">
        <f t="shared" si="2861"/>
        <v>0</v>
      </c>
      <c r="AV110" s="224">
        <f t="shared" si="2861"/>
        <v>0</v>
      </c>
      <c r="AW110" s="50">
        <f t="shared" si="2861"/>
        <v>0</v>
      </c>
      <c r="AX110" s="224">
        <f t="shared" si="2861"/>
        <v>19.498301657060082</v>
      </c>
      <c r="AY110" s="50">
        <f t="shared" si="2861"/>
        <v>19.498301657060082</v>
      </c>
      <c r="AZ110" s="224">
        <f t="shared" si="2861"/>
        <v>17.609501359520774</v>
      </c>
      <c r="BA110" s="50">
        <f t="shared" si="2861"/>
        <v>17.609501359520774</v>
      </c>
      <c r="BB110" s="224">
        <f t="shared" si="2861"/>
        <v>0</v>
      </c>
      <c r="BC110" s="50">
        <f t="shared" si="2861"/>
        <v>0</v>
      </c>
      <c r="BD110" s="224">
        <f t="shared" ref="BD110:BG110" si="2862">BD17+BD38</f>
        <v>0</v>
      </c>
      <c r="BE110" s="50">
        <f t="shared" si="2862"/>
        <v>0</v>
      </c>
      <c r="BF110" s="224">
        <f t="shared" si="2862"/>
        <v>17.609501359520774</v>
      </c>
      <c r="BG110" s="50">
        <f t="shared" si="2862"/>
        <v>17.609501359520774</v>
      </c>
      <c r="BJ110" s="145" t="s">
        <v>131</v>
      </c>
      <c r="BK110" s="224">
        <f>BK17+BK38</f>
        <v>5.1954470680184572</v>
      </c>
      <c r="BL110" s="50">
        <f t="shared" ref="BL110:BZ111" si="2863">BL17+BL38</f>
        <v>5.1954470680184572</v>
      </c>
      <c r="BM110" s="224">
        <f t="shared" si="2863"/>
        <v>0</v>
      </c>
      <c r="BN110" s="50">
        <f t="shared" si="2863"/>
        <v>0</v>
      </c>
      <c r="BO110" s="224">
        <f t="shared" si="2863"/>
        <v>0</v>
      </c>
      <c r="BP110" s="50">
        <f t="shared" si="2863"/>
        <v>0</v>
      </c>
      <c r="BQ110" s="224">
        <f t="shared" si="2863"/>
        <v>5.5991991617297954</v>
      </c>
      <c r="BR110" s="50">
        <f t="shared" si="2863"/>
        <v>5.5991991617297954</v>
      </c>
      <c r="BS110" s="224">
        <f t="shared" si="2863"/>
        <v>5.0568047917653871</v>
      </c>
      <c r="BT110" s="50">
        <f t="shared" si="2863"/>
        <v>5.0568047917653871</v>
      </c>
      <c r="BU110" s="224">
        <f t="shared" si="2863"/>
        <v>0</v>
      </c>
      <c r="BV110" s="50">
        <f t="shared" si="2863"/>
        <v>0</v>
      </c>
      <c r="BW110" s="224">
        <f t="shared" si="2863"/>
        <v>0</v>
      </c>
      <c r="BX110" s="50">
        <f t="shared" si="2863"/>
        <v>0</v>
      </c>
      <c r="BY110" s="224">
        <f t="shared" si="2863"/>
        <v>5.0568047917653871</v>
      </c>
      <c r="BZ110" s="50">
        <f t="shared" si="2863"/>
        <v>5.0568047917653871</v>
      </c>
    </row>
    <row r="111" spans="3:78" ht="14.25" x14ac:dyDescent="0.25">
      <c r="AQ111" s="290" t="s">
        <v>577</v>
      </c>
      <c r="AR111" s="9">
        <f>AR18+AR39</f>
        <v>0</v>
      </c>
      <c r="AS111" s="9">
        <f t="shared" ref="AS111:BG111" si="2864">AS18+AS39</f>
        <v>0</v>
      </c>
      <c r="AT111" s="9">
        <f t="shared" si="2864"/>
        <v>0</v>
      </c>
      <c r="AU111" s="9">
        <f t="shared" si="2864"/>
        <v>0</v>
      </c>
      <c r="AV111" s="9">
        <f t="shared" si="2864"/>
        <v>0</v>
      </c>
      <c r="AW111" s="9">
        <f t="shared" si="2864"/>
        <v>0</v>
      </c>
      <c r="AX111" s="9">
        <f t="shared" si="2864"/>
        <v>0</v>
      </c>
      <c r="AY111" s="9">
        <f t="shared" si="2864"/>
        <v>0</v>
      </c>
      <c r="AZ111" s="9">
        <f t="shared" si="2864"/>
        <v>0</v>
      </c>
      <c r="BA111" s="9">
        <f t="shared" si="2864"/>
        <v>0</v>
      </c>
      <c r="BB111" s="9">
        <f t="shared" si="2864"/>
        <v>0</v>
      </c>
      <c r="BC111" s="9">
        <f t="shared" si="2864"/>
        <v>0</v>
      </c>
      <c r="BD111" s="9">
        <f t="shared" si="2864"/>
        <v>1.6169844290371862</v>
      </c>
      <c r="BE111" s="9">
        <f t="shared" si="2864"/>
        <v>1.6169844290371862</v>
      </c>
      <c r="BF111" s="9">
        <f t="shared" si="2864"/>
        <v>0</v>
      </c>
      <c r="BG111" s="9">
        <f t="shared" si="2864"/>
        <v>0</v>
      </c>
      <c r="BJ111" s="145" t="s">
        <v>577</v>
      </c>
      <c r="BK111" s="9">
        <f>BK18+BK39</f>
        <v>0</v>
      </c>
      <c r="BL111" s="9">
        <f t="shared" si="2863"/>
        <v>0</v>
      </c>
      <c r="BM111" s="9">
        <f t="shared" si="2863"/>
        <v>0</v>
      </c>
      <c r="BN111" s="9">
        <f t="shared" si="2863"/>
        <v>0</v>
      </c>
      <c r="BO111" s="9">
        <f t="shared" si="2863"/>
        <v>0</v>
      </c>
      <c r="BP111" s="9">
        <f t="shared" si="2863"/>
        <v>0</v>
      </c>
      <c r="BQ111" s="9">
        <f t="shared" si="2863"/>
        <v>0</v>
      </c>
      <c r="BR111" s="9">
        <f t="shared" si="2863"/>
        <v>0</v>
      </c>
      <c r="BS111" s="9">
        <f t="shared" si="2863"/>
        <v>0</v>
      </c>
      <c r="BT111" s="9">
        <f t="shared" si="2863"/>
        <v>0</v>
      </c>
      <c r="BU111" s="9">
        <f t="shared" si="2863"/>
        <v>0</v>
      </c>
      <c r="BV111" s="9">
        <f t="shared" si="2863"/>
        <v>0</v>
      </c>
      <c r="BW111" s="9">
        <f t="shared" si="2863"/>
        <v>0.41468921406889631</v>
      </c>
      <c r="BX111" s="9">
        <f t="shared" si="2863"/>
        <v>0.41468921406889631</v>
      </c>
      <c r="BY111" s="9">
        <f t="shared" si="2863"/>
        <v>0</v>
      </c>
      <c r="BZ111" s="9">
        <f t="shared" si="2863"/>
        <v>0</v>
      </c>
    </row>
    <row r="112" spans="3:78" ht="14.25" x14ac:dyDescent="0.25">
      <c r="AQ112" s="145" t="s">
        <v>209</v>
      </c>
      <c r="AR112" s="224">
        <f t="shared" ref="AR112:BG112" si="2865">AR24</f>
        <v>141.48309692033857</v>
      </c>
      <c r="AS112" s="50">
        <f t="shared" si="2865"/>
        <v>141.48309692033857</v>
      </c>
      <c r="AT112" s="224">
        <f t="shared" si="2865"/>
        <v>105.29945712851278</v>
      </c>
      <c r="AU112" s="50">
        <f t="shared" si="2865"/>
        <v>105.29945712851278</v>
      </c>
      <c r="AV112" s="224">
        <f t="shared" si="2865"/>
        <v>122.68320927543928</v>
      </c>
      <c r="AW112" s="50">
        <f t="shared" si="2865"/>
        <v>122.68320927543928</v>
      </c>
      <c r="AX112" s="224">
        <f t="shared" si="2865"/>
        <v>135.53611285744236</v>
      </c>
      <c r="AY112" s="50">
        <f t="shared" si="2865"/>
        <v>135.53611285744236</v>
      </c>
      <c r="AZ112" s="224">
        <f t="shared" si="2865"/>
        <v>137.70757224429735</v>
      </c>
      <c r="BA112" s="50">
        <f t="shared" si="2865"/>
        <v>137.70757224429735</v>
      </c>
      <c r="BB112" s="224">
        <f t="shared" si="2865"/>
        <v>0</v>
      </c>
      <c r="BC112" s="50">
        <f t="shared" si="2865"/>
        <v>0</v>
      </c>
      <c r="BD112" s="224">
        <f t="shared" si="2865"/>
        <v>99.596260149346961</v>
      </c>
      <c r="BE112" s="50">
        <f t="shared" si="2865"/>
        <v>99.596260149346961</v>
      </c>
      <c r="BF112" s="224">
        <f t="shared" si="2865"/>
        <v>137.70757224429735</v>
      </c>
      <c r="BG112" s="50">
        <f t="shared" si="2865"/>
        <v>137.70757224429735</v>
      </c>
      <c r="BJ112" s="145" t="s">
        <v>209</v>
      </c>
      <c r="BK112" s="224">
        <f t="shared" ref="BK112:BZ112" si="2866">BK24</f>
        <v>10.587212807411893</v>
      </c>
      <c r="BL112" s="50">
        <f t="shared" si="2866"/>
        <v>10.587212807411893</v>
      </c>
      <c r="BM112" s="224">
        <f t="shared" si="2866"/>
        <v>7.8795826879037643</v>
      </c>
      <c r="BN112" s="50">
        <f t="shared" si="2866"/>
        <v>7.8795826879037643</v>
      </c>
      <c r="BO112" s="224">
        <f t="shared" si="2866"/>
        <v>9.1804128745262705</v>
      </c>
      <c r="BP112" s="50">
        <f t="shared" si="2866"/>
        <v>9.1804128745262705</v>
      </c>
      <c r="BQ112" s="224">
        <f t="shared" si="2866"/>
        <v>10.142198616977403</v>
      </c>
      <c r="BR112" s="50">
        <f t="shared" si="2866"/>
        <v>10.142198616977403</v>
      </c>
      <c r="BS112" s="224">
        <f t="shared" si="2866"/>
        <v>10.304689424230725</v>
      </c>
      <c r="BT112" s="50">
        <f t="shared" si="2866"/>
        <v>10.304689424230725</v>
      </c>
      <c r="BU112" s="224">
        <f t="shared" si="2866"/>
        <v>0</v>
      </c>
      <c r="BV112" s="50">
        <f t="shared" si="2866"/>
        <v>0</v>
      </c>
      <c r="BW112" s="224">
        <f t="shared" si="2866"/>
        <v>7.4528111412290796</v>
      </c>
      <c r="BX112" s="50">
        <f t="shared" si="2866"/>
        <v>7.4528111412290796</v>
      </c>
      <c r="BY112" s="224">
        <f t="shared" si="2866"/>
        <v>10.304689424230725</v>
      </c>
      <c r="BZ112" s="50">
        <f t="shared" si="2866"/>
        <v>10.304689424230725</v>
      </c>
    </row>
    <row r="113" spans="2:78" ht="14.25" x14ac:dyDescent="0.25">
      <c r="AQ113" s="145" t="s">
        <v>210</v>
      </c>
      <c r="AR113" s="224">
        <f t="shared" ref="AR113:BG113" si="2867">AR25</f>
        <v>0</v>
      </c>
      <c r="AS113" s="50">
        <f t="shared" si="2867"/>
        <v>0</v>
      </c>
      <c r="AT113" s="224">
        <f t="shared" si="2867"/>
        <v>3.1405711295031846</v>
      </c>
      <c r="AU113" s="50">
        <f t="shared" si="2867"/>
        <v>3.1405711295031846</v>
      </c>
      <c r="AV113" s="224">
        <f t="shared" si="2867"/>
        <v>2.0328022133369807</v>
      </c>
      <c r="AW113" s="50">
        <f t="shared" si="2867"/>
        <v>2.0328022133369807</v>
      </c>
      <c r="AX113" s="224">
        <f t="shared" si="2867"/>
        <v>0.8421632588239728</v>
      </c>
      <c r="AY113" s="50">
        <f t="shared" si="2867"/>
        <v>0.8421632588239728</v>
      </c>
      <c r="AZ113" s="224">
        <f t="shared" si="2867"/>
        <v>0.38029145594404679</v>
      </c>
      <c r="BA113" s="50">
        <f t="shared" si="2867"/>
        <v>0.38029145594404679</v>
      </c>
      <c r="BB113" s="224">
        <f t="shared" si="2867"/>
        <v>0</v>
      </c>
      <c r="BC113" s="50">
        <f t="shared" si="2867"/>
        <v>0</v>
      </c>
      <c r="BD113" s="224">
        <f t="shared" si="2867"/>
        <v>2.4753937307402576</v>
      </c>
      <c r="BE113" s="50">
        <f t="shared" si="2867"/>
        <v>2.4753937307402576</v>
      </c>
      <c r="BF113" s="224">
        <f t="shared" si="2867"/>
        <v>0.38029145594404679</v>
      </c>
      <c r="BG113" s="50">
        <f t="shared" si="2867"/>
        <v>0.38029145594404679</v>
      </c>
      <c r="BJ113" s="145" t="s">
        <v>210</v>
      </c>
      <c r="BK113" s="224">
        <f t="shared" ref="BK113:BZ113" si="2868">BK25</f>
        <v>0</v>
      </c>
      <c r="BL113" s="50">
        <f t="shared" si="2868"/>
        <v>0</v>
      </c>
      <c r="BM113" s="224">
        <f t="shared" si="2868"/>
        <v>0.76786908043275315</v>
      </c>
      <c r="BN113" s="50">
        <f t="shared" si="2868"/>
        <v>0.76786908043275315</v>
      </c>
      <c r="BO113" s="224">
        <f t="shared" si="2868"/>
        <v>0.49701977821583676</v>
      </c>
      <c r="BP113" s="50">
        <f t="shared" si="2868"/>
        <v>0.49701977821583676</v>
      </c>
      <c r="BQ113" s="224">
        <f t="shared" si="2868"/>
        <v>0.20590876641909184</v>
      </c>
      <c r="BR113" s="50">
        <f t="shared" si="2868"/>
        <v>0.20590876641909184</v>
      </c>
      <c r="BS113" s="224">
        <f t="shared" si="2868"/>
        <v>9.298119307948377E-2</v>
      </c>
      <c r="BT113" s="50">
        <f t="shared" si="2868"/>
        <v>9.298119307948377E-2</v>
      </c>
      <c r="BU113" s="224">
        <f t="shared" si="2868"/>
        <v>0</v>
      </c>
      <c r="BV113" s="50">
        <f t="shared" si="2868"/>
        <v>0</v>
      </c>
      <c r="BW113" s="224">
        <f t="shared" si="2868"/>
        <v>0.60523332519878725</v>
      </c>
      <c r="BX113" s="50">
        <f t="shared" si="2868"/>
        <v>0.60523332519878725</v>
      </c>
      <c r="BY113" s="224">
        <f t="shared" si="2868"/>
        <v>9.298119307948377E-2</v>
      </c>
      <c r="BZ113" s="50">
        <f t="shared" si="2868"/>
        <v>9.298119307948377E-2</v>
      </c>
    </row>
    <row r="114" spans="2:78" ht="14.25" x14ac:dyDescent="0.25">
      <c r="AQ114" s="145" t="s">
        <v>424</v>
      </c>
      <c r="AR114" s="224">
        <f t="shared" ref="AR114:BG114" si="2869">AR26</f>
        <v>49.466080852204676</v>
      </c>
      <c r="AS114" s="50">
        <f t="shared" si="2869"/>
        <v>49.466080852204676</v>
      </c>
      <c r="AT114" s="224">
        <f t="shared" si="2869"/>
        <v>189.33614851938452</v>
      </c>
      <c r="AU114" s="50">
        <f t="shared" si="2869"/>
        <v>189.33614851938452</v>
      </c>
      <c r="AV114" s="224">
        <f t="shared" si="2869"/>
        <v>183.82784177019568</v>
      </c>
      <c r="AW114" s="50">
        <f t="shared" si="2869"/>
        <v>183.82784177019568</v>
      </c>
      <c r="AX114" s="224">
        <f t="shared" si="2869"/>
        <v>76.157460510449582</v>
      </c>
      <c r="AY114" s="50">
        <f t="shared" si="2869"/>
        <v>76.157460510449582</v>
      </c>
      <c r="AZ114" s="224">
        <f t="shared" si="2869"/>
        <v>34.390044014700592</v>
      </c>
      <c r="BA114" s="50">
        <f t="shared" si="2869"/>
        <v>34.390044014700592</v>
      </c>
      <c r="BB114" s="224">
        <f t="shared" si="2869"/>
        <v>0</v>
      </c>
      <c r="BC114" s="50">
        <f t="shared" si="2869"/>
        <v>0</v>
      </c>
      <c r="BD114" s="224">
        <f t="shared" si="2869"/>
        <v>0</v>
      </c>
      <c r="BE114" s="50">
        <f t="shared" si="2869"/>
        <v>0</v>
      </c>
      <c r="BF114" s="224">
        <f t="shared" si="2869"/>
        <v>34.390044014700592</v>
      </c>
      <c r="BG114" s="50">
        <f t="shared" si="2869"/>
        <v>34.390044014700592</v>
      </c>
      <c r="BJ114" s="145" t="s">
        <v>424</v>
      </c>
      <c r="BK114" s="224">
        <f t="shared" ref="BK114:BZ114" si="2870">BK26</f>
        <v>4.7555782872431118</v>
      </c>
      <c r="BL114" s="50">
        <f t="shared" si="2870"/>
        <v>4.7555782872431118</v>
      </c>
      <c r="BM114" s="224">
        <f t="shared" si="2870"/>
        <v>18.202430056653487</v>
      </c>
      <c r="BN114" s="50">
        <f t="shared" si="2870"/>
        <v>18.202430056653487</v>
      </c>
      <c r="BO114" s="224">
        <f t="shared" si="2870"/>
        <v>17.672871548588468</v>
      </c>
      <c r="BP114" s="50">
        <f t="shared" si="2870"/>
        <v>17.672871548588468</v>
      </c>
      <c r="BQ114" s="224">
        <f t="shared" si="2870"/>
        <v>7.32163857284697</v>
      </c>
      <c r="BR114" s="50">
        <f t="shared" si="2870"/>
        <v>7.32163857284697</v>
      </c>
      <c r="BS114" s="224">
        <f t="shared" si="2870"/>
        <v>3.3061957566900304</v>
      </c>
      <c r="BT114" s="50">
        <f t="shared" si="2870"/>
        <v>3.3061957566900304</v>
      </c>
      <c r="BU114" s="224">
        <f t="shared" si="2870"/>
        <v>0</v>
      </c>
      <c r="BV114" s="50">
        <f t="shared" si="2870"/>
        <v>0</v>
      </c>
      <c r="BW114" s="224">
        <f t="shared" si="2870"/>
        <v>0</v>
      </c>
      <c r="BX114" s="50">
        <f t="shared" si="2870"/>
        <v>0</v>
      </c>
      <c r="BY114" s="224">
        <f t="shared" si="2870"/>
        <v>3.3061957566900304</v>
      </c>
      <c r="BZ114" s="50">
        <f t="shared" si="2870"/>
        <v>3.3061957566900304</v>
      </c>
    </row>
    <row r="115" spans="2:78" ht="14.25" x14ac:dyDescent="0.25">
      <c r="AQ115" s="223" t="s">
        <v>563</v>
      </c>
      <c r="AR115" s="224">
        <f t="shared" ref="AR115:BG115" si="2871">AR27</f>
        <v>0.40083040068550102</v>
      </c>
      <c r="AS115" s="50">
        <f t="shared" si="2871"/>
        <v>0.40083040068550102</v>
      </c>
      <c r="AT115" s="224">
        <f t="shared" si="2871"/>
        <v>0</v>
      </c>
      <c r="AU115" s="50">
        <f t="shared" si="2871"/>
        <v>0</v>
      </c>
      <c r="AV115" s="224">
        <f t="shared" si="2871"/>
        <v>0</v>
      </c>
      <c r="AW115" s="50">
        <f t="shared" si="2871"/>
        <v>0</v>
      </c>
      <c r="AX115" s="224">
        <f t="shared" si="2871"/>
        <v>0</v>
      </c>
      <c r="AY115" s="50">
        <f t="shared" si="2871"/>
        <v>0</v>
      </c>
      <c r="AZ115" s="224">
        <f t="shared" si="2871"/>
        <v>0</v>
      </c>
      <c r="BA115" s="50">
        <f t="shared" si="2871"/>
        <v>0</v>
      </c>
      <c r="BB115" s="224">
        <f t="shared" si="2871"/>
        <v>0</v>
      </c>
      <c r="BC115" s="50">
        <f t="shared" si="2871"/>
        <v>0</v>
      </c>
      <c r="BD115" s="224">
        <f t="shared" si="2871"/>
        <v>0</v>
      </c>
      <c r="BE115" s="50">
        <f t="shared" si="2871"/>
        <v>0</v>
      </c>
      <c r="BF115" s="224">
        <f t="shared" si="2871"/>
        <v>0</v>
      </c>
      <c r="BG115" s="50">
        <f t="shared" si="2871"/>
        <v>0</v>
      </c>
      <c r="BJ115" s="223" t="s">
        <v>563</v>
      </c>
      <c r="BK115" s="224">
        <f t="shared" ref="BK115:BZ115" si="2872">BK27</f>
        <v>8.2514663661733698E-2</v>
      </c>
      <c r="BL115" s="50">
        <f t="shared" si="2872"/>
        <v>8.2514663661733698E-2</v>
      </c>
      <c r="BM115" s="224">
        <f t="shared" si="2872"/>
        <v>0</v>
      </c>
      <c r="BN115" s="50">
        <f t="shared" si="2872"/>
        <v>0</v>
      </c>
      <c r="BO115" s="224">
        <f t="shared" si="2872"/>
        <v>0</v>
      </c>
      <c r="BP115" s="50">
        <f t="shared" si="2872"/>
        <v>0</v>
      </c>
      <c r="BQ115" s="224">
        <f t="shared" si="2872"/>
        <v>0</v>
      </c>
      <c r="BR115" s="50">
        <f t="shared" si="2872"/>
        <v>0</v>
      </c>
      <c r="BS115" s="224">
        <f t="shared" si="2872"/>
        <v>0</v>
      </c>
      <c r="BT115" s="50">
        <f t="shared" si="2872"/>
        <v>0</v>
      </c>
      <c r="BU115" s="224">
        <f t="shared" si="2872"/>
        <v>0</v>
      </c>
      <c r="BV115" s="50">
        <f t="shared" si="2872"/>
        <v>0</v>
      </c>
      <c r="BW115" s="224">
        <f t="shared" si="2872"/>
        <v>0</v>
      </c>
      <c r="BX115" s="50">
        <f t="shared" si="2872"/>
        <v>0</v>
      </c>
      <c r="BY115" s="224">
        <f t="shared" si="2872"/>
        <v>0</v>
      </c>
      <c r="BZ115" s="50">
        <f t="shared" si="2872"/>
        <v>0</v>
      </c>
    </row>
    <row r="116" spans="2:78" ht="14.25" x14ac:dyDescent="0.25"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Q116" s="223" t="s">
        <v>620</v>
      </c>
      <c r="AR116" s="9">
        <f>AR28</f>
        <v>0</v>
      </c>
      <c r="AS116" s="9">
        <f t="shared" ref="AS116:BG116" si="2873">AS28</f>
        <v>0</v>
      </c>
      <c r="AT116" s="9">
        <f t="shared" si="2873"/>
        <v>0</v>
      </c>
      <c r="AU116" s="9">
        <f t="shared" si="2873"/>
        <v>0</v>
      </c>
      <c r="AV116" s="9">
        <f t="shared" si="2873"/>
        <v>0</v>
      </c>
      <c r="AW116" s="9">
        <f t="shared" si="2873"/>
        <v>0</v>
      </c>
      <c r="AX116" s="9">
        <f t="shared" si="2873"/>
        <v>0</v>
      </c>
      <c r="AY116" s="9">
        <f t="shared" si="2873"/>
        <v>0</v>
      </c>
      <c r="AZ116" s="9">
        <f t="shared" si="2873"/>
        <v>0</v>
      </c>
      <c r="BA116" s="9">
        <f t="shared" si="2873"/>
        <v>0</v>
      </c>
      <c r="BB116" s="9">
        <f t="shared" si="2873"/>
        <v>0</v>
      </c>
      <c r="BC116" s="9">
        <f t="shared" si="2873"/>
        <v>0</v>
      </c>
      <c r="BD116" s="9">
        <f t="shared" si="2873"/>
        <v>1.3267742441256467</v>
      </c>
      <c r="BE116" s="9">
        <f t="shared" si="2873"/>
        <v>1.3267742441256467</v>
      </c>
      <c r="BF116" s="9">
        <f t="shared" si="2873"/>
        <v>0</v>
      </c>
      <c r="BG116" s="9">
        <f t="shared" si="2873"/>
        <v>0</v>
      </c>
      <c r="BJ116" s="223" t="s">
        <v>620</v>
      </c>
      <c r="BK116" s="9">
        <f>BK28</f>
        <v>0</v>
      </c>
      <c r="BL116" s="9">
        <f t="shared" ref="BL116:BZ116" si="2874">BL28</f>
        <v>0</v>
      </c>
      <c r="BM116" s="9">
        <f t="shared" si="2874"/>
        <v>0</v>
      </c>
      <c r="BN116" s="9">
        <f t="shared" si="2874"/>
        <v>0</v>
      </c>
      <c r="BO116" s="9">
        <f t="shared" si="2874"/>
        <v>0</v>
      </c>
      <c r="BP116" s="9">
        <f t="shared" si="2874"/>
        <v>0</v>
      </c>
      <c r="BQ116" s="9">
        <f t="shared" si="2874"/>
        <v>0</v>
      </c>
      <c r="BR116" s="9">
        <f t="shared" si="2874"/>
        <v>0</v>
      </c>
      <c r="BS116" s="9">
        <f t="shared" si="2874"/>
        <v>0</v>
      </c>
      <c r="BT116" s="9">
        <f t="shared" si="2874"/>
        <v>0</v>
      </c>
      <c r="BU116" s="9">
        <f t="shared" si="2874"/>
        <v>0</v>
      </c>
      <c r="BV116" s="9">
        <f t="shared" si="2874"/>
        <v>0</v>
      </c>
      <c r="BW116" s="9">
        <f t="shared" si="2874"/>
        <v>0.21370359489527585</v>
      </c>
      <c r="BX116" s="9">
        <f t="shared" si="2874"/>
        <v>0.21370359489527585</v>
      </c>
      <c r="BY116" s="9">
        <f t="shared" si="2874"/>
        <v>0</v>
      </c>
      <c r="BZ116" s="9">
        <f t="shared" si="2874"/>
        <v>0</v>
      </c>
    </row>
    <row r="117" spans="2:78" x14ac:dyDescent="0.2"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Q117" s="145" t="s">
        <v>54</v>
      </c>
      <c r="AR117" s="224">
        <f>AR29</f>
        <v>5.7011493365781689</v>
      </c>
      <c r="AS117" s="50">
        <f t="shared" ref="AS117:BG117" si="2875">AS29</f>
        <v>5.7011493365781689</v>
      </c>
      <c r="AT117" s="224">
        <f t="shared" si="2875"/>
        <v>7.5247219141083415</v>
      </c>
      <c r="AU117" s="50">
        <f t="shared" si="2875"/>
        <v>7.5247219141083415</v>
      </c>
      <c r="AV117" s="224">
        <f t="shared" si="2875"/>
        <v>7.3058071594279452</v>
      </c>
      <c r="AW117" s="50">
        <f t="shared" si="2875"/>
        <v>7.3058071594279452</v>
      </c>
      <c r="AX117" s="224">
        <f t="shared" si="2875"/>
        <v>6.0533999081231915</v>
      </c>
      <c r="AY117" s="50">
        <f t="shared" si="2875"/>
        <v>6.0533999081231915</v>
      </c>
      <c r="AZ117" s="224">
        <f t="shared" si="2875"/>
        <v>5.4670071161413567</v>
      </c>
      <c r="BA117" s="50">
        <f t="shared" si="2875"/>
        <v>5.4670071161413567</v>
      </c>
      <c r="BB117" s="224">
        <f t="shared" si="2875"/>
        <v>0</v>
      </c>
      <c r="BC117" s="50">
        <f t="shared" si="2875"/>
        <v>0</v>
      </c>
      <c r="BD117" s="224">
        <f t="shared" si="2875"/>
        <v>8.8964627851117406</v>
      </c>
      <c r="BE117" s="50">
        <f t="shared" si="2875"/>
        <v>8.8964627851117406</v>
      </c>
      <c r="BF117" s="224">
        <f t="shared" si="2875"/>
        <v>5.4670071161413567</v>
      </c>
      <c r="BG117" s="50">
        <f t="shared" si="2875"/>
        <v>5.4670071161413567</v>
      </c>
      <c r="BJ117" s="145" t="s">
        <v>54</v>
      </c>
      <c r="BK117" s="224">
        <f>BK29</f>
        <v>1.0262295508533936</v>
      </c>
      <c r="BL117" s="50">
        <f t="shared" ref="BL117:BZ117" si="2876">BL29</f>
        <v>1.0262295508533936</v>
      </c>
      <c r="BM117" s="224">
        <f t="shared" si="2876"/>
        <v>1.3544798661329038</v>
      </c>
      <c r="BN117" s="50">
        <f t="shared" si="2876"/>
        <v>1.3544798661329038</v>
      </c>
      <c r="BO117" s="224">
        <f t="shared" si="2876"/>
        <v>1.3150743397893889</v>
      </c>
      <c r="BP117" s="50">
        <f t="shared" si="2876"/>
        <v>1.3150743397893889</v>
      </c>
      <c r="BQ117" s="224">
        <f t="shared" si="2876"/>
        <v>1.0896360544342079</v>
      </c>
      <c r="BR117" s="50">
        <f t="shared" si="2876"/>
        <v>1.0896360544342079</v>
      </c>
      <c r="BS117" s="224">
        <f t="shared" si="2876"/>
        <v>0.9840830201226437</v>
      </c>
      <c r="BT117" s="50">
        <f t="shared" si="2876"/>
        <v>0.9840830201226437</v>
      </c>
      <c r="BU117" s="224">
        <f t="shared" si="2876"/>
        <v>0</v>
      </c>
      <c r="BV117" s="50">
        <f t="shared" si="2876"/>
        <v>0</v>
      </c>
      <c r="BW117" s="224">
        <f t="shared" si="2876"/>
        <v>1.6013986775566325</v>
      </c>
      <c r="BX117" s="50">
        <f t="shared" si="2876"/>
        <v>1.6013986775566325</v>
      </c>
      <c r="BY117" s="224">
        <f t="shared" si="2876"/>
        <v>0.9840830201226437</v>
      </c>
      <c r="BZ117" s="50">
        <f t="shared" si="2876"/>
        <v>0.9840830201226437</v>
      </c>
    </row>
    <row r="118" spans="2:78" ht="14.25" x14ac:dyDescent="0.25"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Q118" s="145" t="s">
        <v>216</v>
      </c>
      <c r="AR118" s="224">
        <f>AR30</f>
        <v>2.1555823705414752</v>
      </c>
      <c r="AS118" s="50">
        <f t="shared" ref="AS118:BG118" si="2877">AS30</f>
        <v>2.1555823705414752</v>
      </c>
      <c r="AT118" s="224">
        <f t="shared" si="2877"/>
        <v>2.8877440841919082</v>
      </c>
      <c r="AU118" s="50">
        <f t="shared" si="2877"/>
        <v>2.8877440841919082</v>
      </c>
      <c r="AV118" s="224">
        <f t="shared" si="2877"/>
        <v>2.8037317053975017</v>
      </c>
      <c r="AW118" s="50">
        <f t="shared" si="2877"/>
        <v>2.8037317053975017</v>
      </c>
      <c r="AX118" s="224">
        <f t="shared" si="2877"/>
        <v>2.3230984444960709</v>
      </c>
      <c r="AY118" s="50">
        <f t="shared" si="2877"/>
        <v>2.3230984444960709</v>
      </c>
      <c r="AZ118" s="224">
        <f t="shared" si="2877"/>
        <v>2.0980599200977941</v>
      </c>
      <c r="BA118" s="50">
        <f t="shared" si="2877"/>
        <v>2.0980599200977941</v>
      </c>
      <c r="BB118" s="224">
        <f t="shared" si="2877"/>
        <v>0</v>
      </c>
      <c r="BC118" s="50">
        <f t="shared" si="2877"/>
        <v>0</v>
      </c>
      <c r="BD118" s="224">
        <f t="shared" si="2877"/>
        <v>3.4141737158115517</v>
      </c>
      <c r="BE118" s="50">
        <f t="shared" si="2877"/>
        <v>3.4141737158115517</v>
      </c>
      <c r="BF118" s="224">
        <f t="shared" si="2877"/>
        <v>2.0980599200977941</v>
      </c>
      <c r="BG118" s="50">
        <f t="shared" si="2877"/>
        <v>2.0980599200977941</v>
      </c>
      <c r="BJ118" s="145" t="s">
        <v>216</v>
      </c>
      <c r="BK118" s="224">
        <f>BK30</f>
        <v>0.4770804118125912</v>
      </c>
      <c r="BL118" s="50">
        <f t="shared" ref="BL118:BZ118" si="2878">BL30</f>
        <v>0.4770804118125912</v>
      </c>
      <c r="BM118" s="224">
        <f t="shared" si="2878"/>
        <v>0.63912479324535365</v>
      </c>
      <c r="BN118" s="50">
        <f t="shared" si="2878"/>
        <v>0.63912479324535365</v>
      </c>
      <c r="BO118" s="224">
        <f t="shared" si="2878"/>
        <v>0.62053090380724207</v>
      </c>
      <c r="BP118" s="50">
        <f t="shared" si="2878"/>
        <v>0.62053090380724207</v>
      </c>
      <c r="BQ118" s="224">
        <f t="shared" si="2878"/>
        <v>0.51415560719350895</v>
      </c>
      <c r="BR118" s="50">
        <f t="shared" si="2878"/>
        <v>0.51415560719350895</v>
      </c>
      <c r="BS118" s="224">
        <f t="shared" si="2878"/>
        <v>0.46434935837609126</v>
      </c>
      <c r="BT118" s="50">
        <f t="shared" si="2878"/>
        <v>0.46434935837609126</v>
      </c>
      <c r="BU118" s="224">
        <f t="shared" si="2878"/>
        <v>0</v>
      </c>
      <c r="BV118" s="50">
        <f t="shared" si="2878"/>
        <v>0</v>
      </c>
      <c r="BW118" s="224">
        <f t="shared" si="2878"/>
        <v>0.75563588967836182</v>
      </c>
      <c r="BX118" s="50">
        <f t="shared" si="2878"/>
        <v>0.75563588967836182</v>
      </c>
      <c r="BY118" s="224">
        <f t="shared" si="2878"/>
        <v>0.46434935837609126</v>
      </c>
      <c r="BZ118" s="50">
        <f t="shared" si="2878"/>
        <v>0.46434935837609126</v>
      </c>
    </row>
    <row r="119" spans="2:78" ht="14.25" x14ac:dyDescent="0.25"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Q119" s="290" t="s">
        <v>377</v>
      </c>
      <c r="AR119" s="224">
        <f t="shared" ref="AR119:BG119" si="2879">AR41</f>
        <v>0</v>
      </c>
      <c r="AS119" s="50">
        <f t="shared" si="2879"/>
        <v>0</v>
      </c>
      <c r="AT119" s="224">
        <f t="shared" si="2879"/>
        <v>0</v>
      </c>
      <c r="AU119" s="50">
        <f t="shared" si="2879"/>
        <v>0</v>
      </c>
      <c r="AV119" s="224">
        <f t="shared" si="2879"/>
        <v>0</v>
      </c>
      <c r="AW119" s="50">
        <f t="shared" si="2879"/>
        <v>0</v>
      </c>
      <c r="AX119" s="224">
        <f t="shared" si="2879"/>
        <v>0</v>
      </c>
      <c r="AY119" s="50">
        <f t="shared" si="2879"/>
        <v>0</v>
      </c>
      <c r="AZ119" s="224">
        <f t="shared" si="2879"/>
        <v>0</v>
      </c>
      <c r="BA119" s="50">
        <f t="shared" si="2879"/>
        <v>0</v>
      </c>
      <c r="BB119" s="224">
        <f t="shared" si="2879"/>
        <v>4.0145742909650011</v>
      </c>
      <c r="BC119" s="50">
        <f t="shared" si="2879"/>
        <v>4.0145742909650011</v>
      </c>
      <c r="BD119" s="224">
        <f t="shared" si="2879"/>
        <v>0</v>
      </c>
      <c r="BE119" s="50">
        <f t="shared" si="2879"/>
        <v>0</v>
      </c>
      <c r="BF119" s="224">
        <f t="shared" si="2879"/>
        <v>0</v>
      </c>
      <c r="BG119" s="50">
        <f t="shared" si="2879"/>
        <v>0</v>
      </c>
      <c r="BJ119" s="290" t="s">
        <v>377</v>
      </c>
      <c r="BK119" s="224">
        <f t="shared" ref="BK119:BZ119" si="2880">BK41</f>
        <v>0</v>
      </c>
      <c r="BL119" s="50">
        <f t="shared" si="2880"/>
        <v>0</v>
      </c>
      <c r="BM119" s="224">
        <f t="shared" si="2880"/>
        <v>0</v>
      </c>
      <c r="BN119" s="50">
        <f t="shared" si="2880"/>
        <v>0</v>
      </c>
      <c r="BO119" s="224">
        <f t="shared" si="2880"/>
        <v>0</v>
      </c>
      <c r="BP119" s="50">
        <f t="shared" si="2880"/>
        <v>0</v>
      </c>
      <c r="BQ119" s="224">
        <f t="shared" si="2880"/>
        <v>0</v>
      </c>
      <c r="BR119" s="50">
        <f t="shared" si="2880"/>
        <v>0</v>
      </c>
      <c r="BS119" s="224">
        <f t="shared" si="2880"/>
        <v>0</v>
      </c>
      <c r="BT119" s="50">
        <f t="shared" si="2880"/>
        <v>0</v>
      </c>
      <c r="BU119" s="224">
        <f t="shared" si="2880"/>
        <v>0.95914141833508204</v>
      </c>
      <c r="BV119" s="50">
        <f t="shared" si="2880"/>
        <v>0.95914141833508204</v>
      </c>
      <c r="BW119" s="224">
        <f t="shared" si="2880"/>
        <v>0</v>
      </c>
      <c r="BX119" s="50">
        <f t="shared" si="2880"/>
        <v>0</v>
      </c>
      <c r="BY119" s="224">
        <f t="shared" si="2880"/>
        <v>0</v>
      </c>
      <c r="BZ119" s="50">
        <f t="shared" si="2880"/>
        <v>0</v>
      </c>
    </row>
    <row r="120" spans="2:78" ht="14.25" x14ac:dyDescent="0.25"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58"/>
      <c r="AQ120" s="145" t="s">
        <v>379</v>
      </c>
      <c r="AR120" s="224">
        <f t="shared" ref="AR120:BG120" si="2881">AR40</f>
        <v>0</v>
      </c>
      <c r="AS120" s="50">
        <f t="shared" si="2881"/>
        <v>0</v>
      </c>
      <c r="AT120" s="224">
        <f t="shared" si="2881"/>
        <v>0</v>
      </c>
      <c r="AU120" s="50">
        <f t="shared" si="2881"/>
        <v>0</v>
      </c>
      <c r="AV120" s="224">
        <f t="shared" si="2881"/>
        <v>0</v>
      </c>
      <c r="AW120" s="50">
        <f t="shared" si="2881"/>
        <v>0</v>
      </c>
      <c r="AX120" s="224">
        <f t="shared" si="2881"/>
        <v>0</v>
      </c>
      <c r="AY120" s="50">
        <f t="shared" si="2881"/>
        <v>0</v>
      </c>
      <c r="AZ120" s="224">
        <f t="shared" si="2881"/>
        <v>0</v>
      </c>
      <c r="BA120" s="50">
        <f t="shared" si="2881"/>
        <v>0</v>
      </c>
      <c r="BB120" s="224">
        <f t="shared" si="2881"/>
        <v>11.857378052248388</v>
      </c>
      <c r="BC120" s="50">
        <f t="shared" si="2881"/>
        <v>11.857378052248388</v>
      </c>
      <c r="BD120" s="224">
        <f t="shared" si="2881"/>
        <v>0</v>
      </c>
      <c r="BE120" s="50">
        <f t="shared" si="2881"/>
        <v>0</v>
      </c>
      <c r="BF120" s="224">
        <f t="shared" si="2881"/>
        <v>0</v>
      </c>
      <c r="BG120" s="50">
        <f t="shared" si="2881"/>
        <v>0</v>
      </c>
      <c r="BJ120" s="145" t="s">
        <v>379</v>
      </c>
      <c r="BK120" s="224">
        <f t="shared" ref="BK120:BZ120" si="2882">BK40</f>
        <v>0</v>
      </c>
      <c r="BL120" s="50">
        <f t="shared" si="2882"/>
        <v>0</v>
      </c>
      <c r="BM120" s="224">
        <f t="shared" si="2882"/>
        <v>0</v>
      </c>
      <c r="BN120" s="50">
        <f t="shared" si="2882"/>
        <v>0</v>
      </c>
      <c r="BO120" s="224">
        <f t="shared" si="2882"/>
        <v>0</v>
      </c>
      <c r="BP120" s="50">
        <f t="shared" si="2882"/>
        <v>0</v>
      </c>
      <c r="BQ120" s="224">
        <f t="shared" si="2882"/>
        <v>0</v>
      </c>
      <c r="BR120" s="50">
        <f t="shared" si="2882"/>
        <v>0</v>
      </c>
      <c r="BS120" s="224">
        <f t="shared" si="2882"/>
        <v>0</v>
      </c>
      <c r="BT120" s="50">
        <f t="shared" si="2882"/>
        <v>0</v>
      </c>
      <c r="BU120" s="224">
        <f t="shared" si="2882"/>
        <v>2.6432143406756121</v>
      </c>
      <c r="BV120" s="50">
        <f t="shared" si="2882"/>
        <v>2.6432143406756121</v>
      </c>
      <c r="BW120" s="224">
        <f t="shared" si="2882"/>
        <v>0</v>
      </c>
      <c r="BX120" s="50">
        <f t="shared" si="2882"/>
        <v>0</v>
      </c>
      <c r="BY120" s="224">
        <f t="shared" si="2882"/>
        <v>0</v>
      </c>
      <c r="BZ120" s="50">
        <f t="shared" si="2882"/>
        <v>0</v>
      </c>
    </row>
    <row r="121" spans="2:78" x14ac:dyDescent="0.2"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58"/>
      <c r="AQ121" s="145" t="s">
        <v>66</v>
      </c>
      <c r="AR121" s="224">
        <f t="shared" ref="AR121:BG121" si="2883">AR12</f>
        <v>1.3604293226602815</v>
      </c>
      <c r="AS121" s="50">
        <f t="shared" si="2883"/>
        <v>1.3604293226602815</v>
      </c>
      <c r="AT121" s="224">
        <f t="shared" si="2883"/>
        <v>1.819795067974143</v>
      </c>
      <c r="AU121" s="50">
        <f t="shared" si="2883"/>
        <v>1.8197950679741424</v>
      </c>
      <c r="AV121" s="224">
        <f t="shared" si="2883"/>
        <v>1.7737243067596078</v>
      </c>
      <c r="AW121" s="50">
        <f t="shared" si="2883"/>
        <v>1.773724306759608</v>
      </c>
      <c r="AX121" s="224">
        <f t="shared" si="2883"/>
        <v>1.4749917919369366</v>
      </c>
      <c r="AY121" s="50">
        <f t="shared" si="2883"/>
        <v>1.4749917919369366</v>
      </c>
      <c r="AZ121" s="224">
        <f t="shared" si="2883"/>
        <v>1.334516383181038</v>
      </c>
      <c r="BA121" s="50">
        <f t="shared" si="2883"/>
        <v>1.3345163831810383</v>
      </c>
      <c r="BB121" s="224">
        <f t="shared" si="2883"/>
        <v>1.9704968470407518</v>
      </c>
      <c r="BC121" s="50">
        <f t="shared" si="2883"/>
        <v>1.9704968470407518</v>
      </c>
      <c r="BD121" s="224">
        <f t="shared" si="2883"/>
        <v>2.4910972486046048</v>
      </c>
      <c r="BE121" s="50">
        <f t="shared" si="2883"/>
        <v>2.4910972486046052</v>
      </c>
      <c r="BF121" s="224">
        <f t="shared" si="2883"/>
        <v>1.2984483728247938</v>
      </c>
      <c r="BG121" s="50">
        <f t="shared" si="2883"/>
        <v>1.298448372824794</v>
      </c>
      <c r="BJ121" s="145" t="s">
        <v>66</v>
      </c>
      <c r="BK121" s="224">
        <f t="shared" ref="BK121:BZ121" si="2884">BK12</f>
        <v>0.14556147127396735</v>
      </c>
      <c r="BL121" s="50">
        <f t="shared" si="2884"/>
        <v>0.14556147127396732</v>
      </c>
      <c r="BM121" s="224">
        <f t="shared" si="2884"/>
        <v>0.19471209793790439</v>
      </c>
      <c r="BN121" s="50">
        <f t="shared" si="2884"/>
        <v>0.19471209793790431</v>
      </c>
      <c r="BO121" s="224">
        <f t="shared" si="2884"/>
        <v>0.18978267773694477</v>
      </c>
      <c r="BP121" s="50">
        <f t="shared" si="2884"/>
        <v>0.18978267773694482</v>
      </c>
      <c r="BQ121" s="224">
        <f t="shared" si="2884"/>
        <v>0.15781927938124879</v>
      </c>
      <c r="BR121" s="50">
        <f t="shared" si="2884"/>
        <v>0.15781927938124879</v>
      </c>
      <c r="BS121" s="224">
        <f t="shared" si="2884"/>
        <v>0.14278887182112987</v>
      </c>
      <c r="BT121" s="50">
        <f t="shared" si="2884"/>
        <v>0.1427888718211299</v>
      </c>
      <c r="BU121" s="224">
        <f t="shared" si="2884"/>
        <v>0.21083669354838711</v>
      </c>
      <c r="BV121" s="50">
        <f t="shared" si="2884"/>
        <v>0.21083669354838711</v>
      </c>
      <c r="BW121" s="224">
        <f t="shared" si="2884"/>
        <v>0.26653922739944247</v>
      </c>
      <c r="BX121" s="50">
        <f t="shared" si="2884"/>
        <v>0.26653922739944247</v>
      </c>
      <c r="BY121" s="224">
        <f t="shared" si="2884"/>
        <v>0.13892971312326147</v>
      </c>
      <c r="BZ121" s="50">
        <f t="shared" si="2884"/>
        <v>0.13892971312326152</v>
      </c>
    </row>
    <row r="122" spans="2:78" x14ac:dyDescent="0.2"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105"/>
      <c r="AJ122" s="105"/>
      <c r="AK122" s="105"/>
      <c r="AL122" s="105"/>
      <c r="AM122" s="105"/>
      <c r="AN122" s="105"/>
      <c r="AO122" s="105"/>
      <c r="AP122" s="158"/>
      <c r="AQ122" s="145" t="s">
        <v>628</v>
      </c>
      <c r="AR122" s="225">
        <f t="shared" ref="AR122:BG122" si="2885">AR13</f>
        <v>2.117945455915887</v>
      </c>
      <c r="AS122" s="226">
        <f t="shared" si="2885"/>
        <v>2.1179454559158875</v>
      </c>
      <c r="AT122" s="225">
        <f t="shared" si="2885"/>
        <v>2.8330958696017716</v>
      </c>
      <c r="AU122" s="226">
        <f t="shared" si="2885"/>
        <v>2.8330958696017703</v>
      </c>
      <c r="AV122" s="225">
        <f t="shared" si="2885"/>
        <v>2.7613719235359033</v>
      </c>
      <c r="AW122" s="226">
        <f t="shared" si="2885"/>
        <v>2.7613719235359033</v>
      </c>
      <c r="AX122" s="225">
        <f t="shared" si="2885"/>
        <v>2.2962987574666989</v>
      </c>
      <c r="AY122" s="226">
        <f t="shared" si="2885"/>
        <v>2.2962987574666984</v>
      </c>
      <c r="AZ122" s="225">
        <f t="shared" si="2885"/>
        <v>2.0776036377079659</v>
      </c>
      <c r="BA122" s="226">
        <f t="shared" si="2885"/>
        <v>2.0776036377079654</v>
      </c>
      <c r="BB122" s="225">
        <f t="shared" si="2885"/>
        <v>3.067711621303169</v>
      </c>
      <c r="BC122" s="226">
        <f t="shared" si="2885"/>
        <v>3.0677116213031681</v>
      </c>
      <c r="BD122" s="225">
        <f t="shared" si="2885"/>
        <v>3.8781934570548708</v>
      </c>
      <c r="BE122" s="226">
        <f t="shared" si="2885"/>
        <v>3.87819345705487</v>
      </c>
      <c r="BF122" s="225">
        <f t="shared" si="2885"/>
        <v>2.021452188040183</v>
      </c>
      <c r="BG122" s="226">
        <f t="shared" si="2885"/>
        <v>2.021452188040183</v>
      </c>
      <c r="BH122" s="158"/>
      <c r="BJ122" s="145" t="s">
        <v>628</v>
      </c>
      <c r="BK122" s="225">
        <f t="shared" ref="BK122:BZ122" si="2886">BK13</f>
        <v>0.71889028082263273</v>
      </c>
      <c r="BL122" s="226">
        <f t="shared" si="2886"/>
        <v>0.71889028082263284</v>
      </c>
      <c r="BM122" s="225">
        <f t="shared" si="2886"/>
        <v>0.96163245356793747</v>
      </c>
      <c r="BN122" s="226">
        <f t="shared" si="2886"/>
        <v>0.96163245356793714</v>
      </c>
      <c r="BO122" s="225">
        <f t="shared" si="2886"/>
        <v>0.93728732816115412</v>
      </c>
      <c r="BP122" s="226">
        <f t="shared" si="2886"/>
        <v>0.93728732816115412</v>
      </c>
      <c r="BQ122" s="225">
        <f t="shared" si="2886"/>
        <v>0.7794284097340124</v>
      </c>
      <c r="BR122" s="226">
        <f t="shared" si="2886"/>
        <v>0.77942840973401228</v>
      </c>
      <c r="BS122" s="225">
        <f t="shared" si="2886"/>
        <v>0.70519713261648753</v>
      </c>
      <c r="BT122" s="226">
        <f t="shared" si="2886"/>
        <v>0.70519713261648742</v>
      </c>
      <c r="BU122" s="225">
        <f t="shared" si="2886"/>
        <v>1.0412676411290325</v>
      </c>
      <c r="BV122" s="226">
        <f t="shared" si="2886"/>
        <v>1.0412676411290323</v>
      </c>
      <c r="BW122" s="225">
        <f t="shared" si="2886"/>
        <v>1.3163679808841104</v>
      </c>
      <c r="BX122" s="226">
        <f t="shared" si="2886"/>
        <v>1.3163679808841102</v>
      </c>
      <c r="BY122" s="225">
        <f t="shared" si="2886"/>
        <v>0.68613775065387972</v>
      </c>
      <c r="BZ122" s="226">
        <f t="shared" si="2886"/>
        <v>0.68613775065387972</v>
      </c>
    </row>
    <row r="123" spans="2:78" x14ac:dyDescent="0.2"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/>
      <c r="AO123" s="105"/>
      <c r="AP123" s="158"/>
      <c r="AQ123" s="145" t="s">
        <v>68</v>
      </c>
      <c r="AR123" s="225">
        <f t="shared" ref="AR123:BG123" si="2887">AR14</f>
        <v>60.732924443960734</v>
      </c>
      <c r="AS123" s="226">
        <f t="shared" si="2887"/>
        <v>60.732924443960734</v>
      </c>
      <c r="AT123" s="225">
        <f t="shared" si="2887"/>
        <v>81.240145684778625</v>
      </c>
      <c r="AU123" s="226">
        <f t="shared" si="2887"/>
        <v>81.240145684778625</v>
      </c>
      <c r="AV123" s="225">
        <f t="shared" si="2887"/>
        <v>79.183433135796889</v>
      </c>
      <c r="AW123" s="226">
        <f t="shared" si="2887"/>
        <v>79.183433135796889</v>
      </c>
      <c r="AX123" s="225">
        <f t="shared" si="2887"/>
        <v>65.847275976083722</v>
      </c>
      <c r="AY123" s="226">
        <f t="shared" si="2887"/>
        <v>65.847275976083722</v>
      </c>
      <c r="AZ123" s="225">
        <f t="shared" si="2887"/>
        <v>59.576106835504326</v>
      </c>
      <c r="BA123" s="226">
        <f t="shared" si="2887"/>
        <v>59.576106835504326</v>
      </c>
      <c r="BB123" s="225">
        <f t="shared" si="2887"/>
        <v>87.967845249299373</v>
      </c>
      <c r="BC123" s="226">
        <f t="shared" si="2887"/>
        <v>87.967845249299373</v>
      </c>
      <c r="BD123" s="225">
        <f t="shared" si="2887"/>
        <v>111.2087327596081</v>
      </c>
      <c r="BE123" s="226">
        <f t="shared" si="2887"/>
        <v>111.2087327596081</v>
      </c>
      <c r="BF123" s="225">
        <f t="shared" si="2887"/>
        <v>59.463395282031755</v>
      </c>
      <c r="BG123" s="226">
        <f t="shared" si="2887"/>
        <v>59.463395282031755</v>
      </c>
      <c r="BH123" s="158"/>
      <c r="BJ123" s="145" t="s">
        <v>68</v>
      </c>
      <c r="BK123" s="225">
        <f t="shared" ref="BK123:BZ123" si="2888">BK14</f>
        <v>13.175087865817588</v>
      </c>
      <c r="BL123" s="226">
        <f t="shared" si="2888"/>
        <v>13.175087865817588</v>
      </c>
      <c r="BM123" s="225">
        <f t="shared" si="2888"/>
        <v>17.623818833496252</v>
      </c>
      <c r="BN123" s="226">
        <f t="shared" si="2888"/>
        <v>17.623818833496252</v>
      </c>
      <c r="BO123" s="225">
        <f t="shared" si="2888"/>
        <v>17.177646204800144</v>
      </c>
      <c r="BP123" s="226">
        <f t="shared" si="2888"/>
        <v>17.177646204800144</v>
      </c>
      <c r="BQ123" s="225">
        <f t="shared" si="2888"/>
        <v>14.284568949254854</v>
      </c>
      <c r="BR123" s="226">
        <f t="shared" si="2888"/>
        <v>14.284568949254854</v>
      </c>
      <c r="BS123" s="225">
        <f t="shared" si="2888"/>
        <v>12.924133811230584</v>
      </c>
      <c r="BT123" s="226">
        <f t="shared" si="2888"/>
        <v>12.924133811230584</v>
      </c>
      <c r="BU123" s="225">
        <f t="shared" si="2888"/>
        <v>19.08329133064516</v>
      </c>
      <c r="BV123" s="226">
        <f t="shared" si="2888"/>
        <v>19.08329133064516</v>
      </c>
      <c r="BW123" s="225">
        <f t="shared" si="2888"/>
        <v>24.12504978096376</v>
      </c>
      <c r="BX123" s="226">
        <f t="shared" si="2888"/>
        <v>24.12504978096376</v>
      </c>
      <c r="BY123" s="225">
        <f t="shared" si="2888"/>
        <v>12.899682747263393</v>
      </c>
      <c r="BZ123" s="226">
        <f t="shared" si="2888"/>
        <v>12.899682747263393</v>
      </c>
    </row>
    <row r="124" spans="2:78" x14ac:dyDescent="0.2"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</row>
    <row r="125" spans="2:78" x14ac:dyDescent="0.2"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5"/>
      <c r="AK125" s="105"/>
      <c r="AL125" s="105"/>
      <c r="AM125" s="105"/>
      <c r="AN125" s="105"/>
      <c r="AO125" s="105"/>
      <c r="AP125" s="158"/>
      <c r="AQ125" s="158"/>
      <c r="AR125" s="158"/>
      <c r="AS125" s="158"/>
      <c r="AT125" s="158"/>
      <c r="AU125" s="158"/>
      <c r="AV125" s="158"/>
      <c r="AW125" s="158"/>
      <c r="AX125" s="158"/>
      <c r="AY125" s="158"/>
      <c r="AZ125" s="158"/>
      <c r="BA125" s="158"/>
      <c r="BB125" s="158"/>
      <c r="BC125" s="158"/>
      <c r="BD125" s="158"/>
      <c r="BE125" s="158"/>
      <c r="BF125" s="158"/>
      <c r="BG125" s="158"/>
      <c r="BH125" s="158"/>
    </row>
    <row r="126" spans="2:78" x14ac:dyDescent="0.2"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6"/>
      <c r="AK126" s="106"/>
      <c r="AL126" s="106"/>
      <c r="AM126" s="106"/>
      <c r="AN126" s="106"/>
      <c r="AO126" s="106"/>
      <c r="AP126" s="158"/>
      <c r="AQ126" s="158"/>
      <c r="AR126" s="158"/>
      <c r="AS126" s="158"/>
      <c r="AT126" s="158"/>
      <c r="AU126" s="158"/>
      <c r="AV126" s="158"/>
      <c r="AW126" s="158"/>
      <c r="AX126" s="158"/>
      <c r="AY126" s="158"/>
      <c r="AZ126" s="158"/>
      <c r="BA126" s="158"/>
      <c r="BB126" s="158"/>
      <c r="BC126" s="158"/>
      <c r="BD126" s="158"/>
      <c r="BE126" s="158"/>
      <c r="BF126" s="158"/>
      <c r="BG126" s="158"/>
      <c r="BH126" s="158"/>
    </row>
    <row r="127" spans="2:78" x14ac:dyDescent="0.2"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58"/>
      <c r="AQ127" s="158"/>
      <c r="AR127" s="158"/>
      <c r="AS127" s="158"/>
      <c r="AT127" s="158"/>
      <c r="AU127" s="158"/>
      <c r="AV127" s="158"/>
      <c r="AW127" s="158"/>
      <c r="AX127" s="158"/>
      <c r="AY127" s="158"/>
      <c r="AZ127" s="158"/>
      <c r="BA127" s="158"/>
      <c r="BB127" s="158"/>
      <c r="BC127" s="158"/>
      <c r="BD127" s="158"/>
      <c r="BE127" s="158"/>
      <c r="BF127" s="158"/>
      <c r="BG127" s="158"/>
      <c r="BH127" s="158"/>
    </row>
    <row r="128" spans="2:78" x14ac:dyDescent="0.2"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  <c r="BD128" s="158"/>
      <c r="BE128" s="158"/>
      <c r="BF128" s="158"/>
      <c r="BG128" s="158"/>
      <c r="BH128" s="158"/>
    </row>
    <row r="129" spans="2:60" x14ac:dyDescent="0.2"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58"/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/>
      <c r="BB129" s="158"/>
      <c r="BC129" s="158"/>
      <c r="BD129" s="158"/>
      <c r="BE129" s="158"/>
      <c r="BF129" s="158"/>
      <c r="BG129" s="158"/>
      <c r="BH129" s="158"/>
    </row>
    <row r="130" spans="2:60" x14ac:dyDescent="0.2"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58"/>
      <c r="AQ130" s="158"/>
      <c r="AR130" s="158"/>
      <c r="AS130" s="158"/>
      <c r="AT130" s="158"/>
      <c r="AU130" s="158"/>
      <c r="AV130" s="158"/>
      <c r="AW130" s="158"/>
      <c r="AX130" s="158"/>
      <c r="AY130" s="158"/>
      <c r="AZ130" s="158"/>
      <c r="BA130" s="158"/>
      <c r="BB130" s="158"/>
      <c r="BC130" s="158"/>
      <c r="BD130" s="158"/>
      <c r="BE130" s="158"/>
      <c r="BF130" s="158"/>
      <c r="BG130" s="158"/>
      <c r="BH130" s="158"/>
    </row>
    <row r="131" spans="2:60" x14ac:dyDescent="0.2"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</row>
    <row r="132" spans="2:60" x14ac:dyDescent="0.2"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/>
      <c r="AZ132" s="158"/>
      <c r="BA132" s="158"/>
      <c r="BB132" s="158"/>
      <c r="BC132" s="158"/>
      <c r="BD132" s="158"/>
      <c r="BE132" s="158"/>
      <c r="BF132" s="158"/>
      <c r="BG132" s="158"/>
      <c r="BH132" s="158"/>
    </row>
    <row r="133" spans="2:60" x14ac:dyDescent="0.2"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58"/>
      <c r="AQ133" s="158"/>
      <c r="AR133" s="158"/>
      <c r="AS133" s="158"/>
      <c r="AT133" s="158"/>
      <c r="AU133" s="158"/>
      <c r="AV133" s="158"/>
      <c r="AW133" s="158"/>
      <c r="AX133" s="158"/>
      <c r="AY133" s="158"/>
      <c r="AZ133" s="158"/>
      <c r="BA133" s="158"/>
      <c r="BB133" s="158"/>
      <c r="BC133" s="158"/>
      <c r="BD133" s="158"/>
      <c r="BE133" s="158"/>
      <c r="BF133" s="158"/>
      <c r="BG133" s="158"/>
      <c r="BH133" s="158"/>
    </row>
    <row r="134" spans="2:60" x14ac:dyDescent="0.2"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58"/>
      <c r="AQ134" s="158"/>
      <c r="AR134" s="158"/>
      <c r="AS134" s="158"/>
      <c r="AT134" s="158"/>
      <c r="AU134" s="158"/>
      <c r="AV134" s="158"/>
      <c r="AW134" s="158"/>
      <c r="AX134" s="158"/>
      <c r="AY134" s="158"/>
      <c r="AZ134" s="158"/>
      <c r="BA134" s="158"/>
      <c r="BB134" s="158"/>
      <c r="BC134" s="158"/>
      <c r="BD134" s="158"/>
      <c r="BE134" s="158"/>
      <c r="BF134" s="158"/>
      <c r="BG134" s="158"/>
      <c r="BH134" s="158"/>
    </row>
    <row r="135" spans="2:60" x14ac:dyDescent="0.2"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58"/>
      <c r="AQ135" s="158"/>
      <c r="AR135" s="158"/>
      <c r="AS135" s="158"/>
      <c r="AT135" s="158"/>
      <c r="AU135" s="158"/>
      <c r="AV135" s="158"/>
      <c r="AW135" s="158"/>
      <c r="AX135" s="158"/>
      <c r="AY135" s="158"/>
      <c r="AZ135" s="158"/>
      <c r="BA135" s="158"/>
      <c r="BB135" s="158"/>
      <c r="BC135" s="158"/>
      <c r="BD135" s="158"/>
      <c r="BE135" s="158"/>
      <c r="BF135" s="158"/>
      <c r="BG135" s="158"/>
      <c r="BH135" s="158"/>
    </row>
    <row r="136" spans="2:60" x14ac:dyDescent="0.2"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58"/>
      <c r="AQ136" s="158"/>
      <c r="AR136" s="158"/>
      <c r="AS136" s="158"/>
      <c r="AT136" s="158"/>
      <c r="AU136" s="158"/>
      <c r="AV136" s="158"/>
      <c r="AW136" s="158"/>
      <c r="AX136" s="158"/>
      <c r="AY136" s="158"/>
      <c r="AZ136" s="158"/>
      <c r="BA136" s="158"/>
      <c r="BB136" s="158"/>
      <c r="BC136" s="158"/>
      <c r="BD136" s="158"/>
      <c r="BE136" s="158"/>
      <c r="BF136" s="158"/>
      <c r="BG136" s="158"/>
      <c r="BH136" s="158"/>
    </row>
    <row r="137" spans="2:60" x14ac:dyDescent="0.2"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</row>
    <row r="138" spans="2:60" x14ac:dyDescent="0.2"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</row>
    <row r="139" spans="2:60" x14ac:dyDescent="0.2"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58"/>
      <c r="AQ139" s="158"/>
      <c r="AR139" s="158"/>
      <c r="AS139" s="158"/>
      <c r="AT139" s="158"/>
      <c r="AU139" s="158"/>
      <c r="AV139" s="158"/>
      <c r="AW139" s="158"/>
      <c r="AX139" s="158"/>
      <c r="AY139" s="158"/>
      <c r="AZ139" s="158"/>
      <c r="BA139" s="158"/>
      <c r="BB139" s="158"/>
      <c r="BC139" s="158"/>
      <c r="BD139" s="158"/>
      <c r="BE139" s="158"/>
      <c r="BF139" s="158"/>
      <c r="BG139" s="158"/>
      <c r="BH139" s="158"/>
    </row>
    <row r="140" spans="2:60" x14ac:dyDescent="0.2"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58"/>
      <c r="AQ140" s="158"/>
      <c r="AR140" s="158"/>
      <c r="AS140" s="158"/>
      <c r="AT140" s="158"/>
      <c r="AU140" s="158"/>
      <c r="AV140" s="158"/>
      <c r="AW140" s="158"/>
      <c r="AX140" s="158"/>
      <c r="AY140" s="158"/>
      <c r="AZ140" s="158"/>
      <c r="BA140" s="158"/>
      <c r="BB140" s="158"/>
      <c r="BC140" s="158"/>
      <c r="BD140" s="158"/>
      <c r="BE140" s="158"/>
      <c r="BF140" s="158"/>
      <c r="BG140" s="158"/>
      <c r="BH140" s="158"/>
    </row>
    <row r="141" spans="2:60" x14ac:dyDescent="0.2"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58"/>
      <c r="AQ141" s="158"/>
      <c r="AR141" s="158"/>
      <c r="AS141" s="158"/>
      <c r="AT141" s="158"/>
      <c r="AU141" s="158"/>
      <c r="AV141" s="158"/>
      <c r="AW141" s="158"/>
      <c r="AX141" s="158"/>
      <c r="AY141" s="158"/>
      <c r="AZ141" s="158"/>
      <c r="BA141" s="158"/>
      <c r="BB141" s="158"/>
      <c r="BC141" s="158"/>
      <c r="BD141" s="158"/>
      <c r="BE141" s="158"/>
      <c r="BF141" s="158"/>
      <c r="BG141" s="158"/>
      <c r="BH141" s="158"/>
    </row>
    <row r="142" spans="2:60" x14ac:dyDescent="0.2"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58"/>
      <c r="AQ142" s="158"/>
      <c r="AR142" s="158"/>
      <c r="AS142" s="158"/>
      <c r="AT142" s="158"/>
      <c r="AU142" s="158"/>
      <c r="AV142" s="158"/>
      <c r="AW142" s="158"/>
      <c r="AX142" s="158"/>
      <c r="AY142" s="158"/>
      <c r="AZ142" s="158"/>
      <c r="BA142" s="158"/>
      <c r="BB142" s="158"/>
      <c r="BC142" s="158"/>
      <c r="BD142" s="158"/>
      <c r="BE142" s="158"/>
      <c r="BF142" s="158"/>
      <c r="BG142" s="158"/>
      <c r="BH142" s="158"/>
    </row>
    <row r="143" spans="2:60" x14ac:dyDescent="0.2"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58"/>
      <c r="AQ143" s="158"/>
      <c r="AR143" s="158"/>
      <c r="AS143" s="158"/>
      <c r="AT143" s="158"/>
      <c r="AU143" s="158"/>
      <c r="AV143" s="158"/>
      <c r="AW143" s="158"/>
      <c r="AX143" s="158"/>
      <c r="AY143" s="158"/>
      <c r="AZ143" s="158"/>
      <c r="BA143" s="158"/>
      <c r="BB143" s="158"/>
      <c r="BC143" s="158"/>
      <c r="BD143" s="158"/>
      <c r="BE143" s="158"/>
      <c r="BF143" s="158"/>
      <c r="BG143" s="158"/>
      <c r="BH143" s="158"/>
    </row>
    <row r="144" spans="2:60" x14ac:dyDescent="0.2"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/>
      <c r="BH144" s="158"/>
    </row>
    <row r="145" spans="2:60" x14ac:dyDescent="0.2"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</row>
    <row r="146" spans="2:60" x14ac:dyDescent="0.2"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158"/>
      <c r="AQ146" s="158"/>
      <c r="AR146" s="158"/>
      <c r="AS146" s="158"/>
      <c r="AT146" s="158"/>
      <c r="AU146" s="158"/>
      <c r="AV146" s="158"/>
      <c r="AW146" s="158"/>
      <c r="AX146" s="158"/>
      <c r="AY146" s="158"/>
      <c r="AZ146" s="158"/>
      <c r="BA146" s="158"/>
      <c r="BB146" s="158"/>
      <c r="BC146" s="158"/>
      <c r="BD146" s="158"/>
      <c r="BE146" s="158"/>
      <c r="BF146" s="158"/>
      <c r="BG146" s="158"/>
      <c r="BH146" s="158"/>
    </row>
    <row r="147" spans="2:60" x14ac:dyDescent="0.2"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158"/>
      <c r="AQ147" s="158"/>
      <c r="AR147" s="158"/>
      <c r="AS147" s="158"/>
      <c r="AT147" s="158"/>
      <c r="AU147" s="158"/>
      <c r="AV147" s="158"/>
      <c r="AW147" s="158"/>
      <c r="AX147" s="158"/>
      <c r="AY147" s="158"/>
      <c r="AZ147" s="158"/>
      <c r="BA147" s="158"/>
      <c r="BB147" s="158"/>
      <c r="BC147" s="158"/>
      <c r="BD147" s="158"/>
      <c r="BE147" s="158"/>
      <c r="BF147" s="158"/>
      <c r="BG147" s="158"/>
      <c r="BH147" s="158"/>
    </row>
    <row r="148" spans="2:60" x14ac:dyDescent="0.2"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158"/>
      <c r="AQ148" s="158"/>
      <c r="AR148" s="158"/>
      <c r="AS148" s="158"/>
      <c r="AT148" s="158"/>
      <c r="AU148" s="158"/>
      <c r="AV148" s="158"/>
      <c r="AW148" s="158"/>
      <c r="AX148" s="158"/>
      <c r="AY148" s="158"/>
      <c r="AZ148" s="158"/>
      <c r="BA148" s="158"/>
      <c r="BB148" s="158"/>
      <c r="BC148" s="158"/>
      <c r="BD148" s="158"/>
      <c r="BE148" s="158"/>
      <c r="BF148" s="158"/>
      <c r="BG148" s="158"/>
      <c r="BH148" s="158"/>
    </row>
    <row r="149" spans="2:60" x14ac:dyDescent="0.2"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/>
      <c r="BB149" s="158"/>
      <c r="BC149" s="158"/>
      <c r="BD149" s="158"/>
      <c r="BE149" s="158"/>
      <c r="BF149" s="158"/>
      <c r="BG149" s="158"/>
      <c r="BH149" s="158"/>
    </row>
    <row r="150" spans="2:60" x14ac:dyDescent="0.2"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58"/>
      <c r="AQ150" s="158"/>
      <c r="AR150" s="158"/>
      <c r="AS150" s="158"/>
      <c r="AT150" s="158"/>
      <c r="AU150" s="158"/>
      <c r="AV150" s="158"/>
      <c r="AW150" s="158"/>
      <c r="AX150" s="158"/>
      <c r="AY150" s="158"/>
      <c r="AZ150" s="158"/>
      <c r="BA150" s="158"/>
      <c r="BB150" s="158"/>
      <c r="BC150" s="158"/>
      <c r="BD150" s="158"/>
      <c r="BE150" s="158"/>
      <c r="BF150" s="158"/>
      <c r="BG150" s="158"/>
      <c r="BH150" s="158"/>
    </row>
    <row r="151" spans="2:60" x14ac:dyDescent="0.2"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58"/>
      <c r="AQ151" s="158"/>
      <c r="AR151" s="158"/>
      <c r="AS151" s="158"/>
      <c r="AT151" s="158"/>
      <c r="AU151" s="158"/>
      <c r="AV151" s="158"/>
      <c r="AW151" s="158"/>
      <c r="AX151" s="158"/>
      <c r="AY151" s="158"/>
      <c r="AZ151" s="158"/>
      <c r="BA151" s="158"/>
      <c r="BB151" s="158"/>
      <c r="BC151" s="158"/>
      <c r="BD151" s="158"/>
      <c r="BE151" s="158"/>
      <c r="BF151" s="158"/>
      <c r="BG151" s="158"/>
      <c r="BH151" s="158"/>
    </row>
    <row r="152" spans="2:60" x14ac:dyDescent="0.2"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158"/>
      <c r="AQ152" s="158"/>
      <c r="AR152" s="158"/>
      <c r="AS152" s="158"/>
      <c r="AT152" s="158"/>
      <c r="AU152" s="158"/>
      <c r="AV152" s="158"/>
      <c r="AW152" s="158"/>
      <c r="AX152" s="158"/>
      <c r="AY152" s="158"/>
      <c r="AZ152" s="158"/>
      <c r="BA152" s="158"/>
      <c r="BB152" s="158"/>
      <c r="BC152" s="158"/>
      <c r="BD152" s="158"/>
      <c r="BE152" s="158"/>
      <c r="BF152" s="158"/>
      <c r="BG152" s="158"/>
      <c r="BH152" s="158"/>
    </row>
    <row r="153" spans="2:60" x14ac:dyDescent="0.2"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58"/>
      <c r="AQ153" s="158"/>
      <c r="AR153" s="158"/>
      <c r="AS153" s="158"/>
      <c r="AT153" s="158"/>
      <c r="AU153" s="158"/>
      <c r="AV153" s="158"/>
      <c r="AW153" s="158"/>
      <c r="AX153" s="158"/>
      <c r="AY153" s="158"/>
      <c r="AZ153" s="158"/>
      <c r="BA153" s="158"/>
      <c r="BB153" s="158"/>
      <c r="BC153" s="158"/>
      <c r="BD153" s="158"/>
      <c r="BE153" s="158"/>
      <c r="BF153" s="158"/>
      <c r="BG153" s="158"/>
      <c r="BH153" s="158"/>
    </row>
    <row r="154" spans="2:60" x14ac:dyDescent="0.2"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58"/>
      <c r="AQ154" s="158"/>
      <c r="AR154" s="158"/>
      <c r="AS154" s="158"/>
      <c r="AT154" s="158"/>
      <c r="AU154" s="158"/>
      <c r="AV154" s="158"/>
      <c r="AW154" s="158"/>
      <c r="AX154" s="158"/>
      <c r="AY154" s="158"/>
      <c r="AZ154" s="158"/>
      <c r="BA154" s="158"/>
      <c r="BB154" s="158"/>
      <c r="BC154" s="158"/>
      <c r="BD154" s="158"/>
      <c r="BE154" s="158"/>
      <c r="BF154" s="158"/>
      <c r="BG154" s="158"/>
      <c r="BH154" s="158"/>
    </row>
    <row r="155" spans="2:60" x14ac:dyDescent="0.2"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58"/>
      <c r="AQ155" s="158"/>
      <c r="AR155" s="158"/>
      <c r="AS155" s="158"/>
      <c r="AT155" s="158"/>
      <c r="AU155" s="158"/>
      <c r="AV155" s="158"/>
      <c r="AW155" s="158"/>
      <c r="AX155" s="158"/>
      <c r="AY155" s="158"/>
      <c r="AZ155" s="158"/>
      <c r="BA155" s="158"/>
      <c r="BB155" s="158"/>
      <c r="BC155" s="158"/>
      <c r="BD155" s="158"/>
      <c r="BE155" s="158"/>
      <c r="BF155" s="158"/>
      <c r="BG155" s="158"/>
      <c r="BH155" s="158"/>
    </row>
    <row r="156" spans="2:60" x14ac:dyDescent="0.2"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58"/>
      <c r="BB156" s="158"/>
      <c r="BC156" s="158"/>
      <c r="BD156" s="158"/>
      <c r="BE156" s="158"/>
      <c r="BF156" s="158"/>
      <c r="BG156" s="158"/>
      <c r="BH156" s="158"/>
    </row>
    <row r="157" spans="2:60" x14ac:dyDescent="0.2"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</row>
    <row r="158" spans="2:60" x14ac:dyDescent="0.2"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58"/>
      <c r="AQ158" s="158"/>
      <c r="AR158" s="158"/>
      <c r="AS158" s="158"/>
      <c r="AT158" s="158"/>
      <c r="AU158" s="158"/>
      <c r="AV158" s="158"/>
      <c r="AW158" s="158"/>
      <c r="AX158" s="158"/>
      <c r="AY158" s="158"/>
      <c r="AZ158" s="158"/>
      <c r="BA158" s="158"/>
      <c r="BB158" s="158"/>
      <c r="BC158" s="158"/>
      <c r="BD158" s="158"/>
      <c r="BE158" s="158"/>
      <c r="BF158" s="158"/>
      <c r="BG158" s="158"/>
      <c r="BH158" s="158"/>
    </row>
    <row r="159" spans="2:60" x14ac:dyDescent="0.2"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06"/>
      <c r="W159" s="106"/>
      <c r="X159" s="106"/>
      <c r="Y159" s="106"/>
      <c r="Z159" s="106"/>
      <c r="AA159" s="106"/>
      <c r="AB159" s="106"/>
      <c r="AC159" s="106"/>
      <c r="AD159" s="106"/>
      <c r="AE159" s="106"/>
      <c r="AF159" s="106"/>
      <c r="AG159" s="106"/>
      <c r="AH159" s="106"/>
      <c r="AI159" s="106"/>
      <c r="AJ159" s="106"/>
      <c r="AK159" s="106"/>
      <c r="AL159" s="106"/>
      <c r="AM159" s="106"/>
      <c r="AN159" s="106"/>
      <c r="AO159" s="106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</row>
    <row r="160" spans="2:60" x14ac:dyDescent="0.2"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58"/>
      <c r="AQ160" s="158"/>
      <c r="AR160" s="158"/>
      <c r="AS160" s="158"/>
      <c r="AT160" s="158"/>
      <c r="AU160" s="158"/>
      <c r="AV160" s="158"/>
      <c r="AW160" s="158"/>
      <c r="AX160" s="158"/>
      <c r="AY160" s="158"/>
      <c r="AZ160" s="158"/>
      <c r="BA160" s="158"/>
      <c r="BB160" s="158"/>
      <c r="BC160" s="158"/>
      <c r="BD160" s="158"/>
      <c r="BE160" s="158"/>
      <c r="BF160" s="158"/>
      <c r="BG160" s="158"/>
      <c r="BH160" s="158"/>
    </row>
    <row r="161" spans="2:60" x14ac:dyDescent="0.2"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</row>
    <row r="162" spans="2:60" x14ac:dyDescent="0.2"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58"/>
      <c r="AQ162" s="158"/>
      <c r="AR162" s="158"/>
      <c r="AS162" s="158"/>
      <c r="AT162" s="158"/>
      <c r="AU162" s="158"/>
      <c r="AV162" s="158"/>
      <c r="AW162" s="158"/>
      <c r="AX162" s="158"/>
      <c r="AY162" s="158"/>
      <c r="AZ162" s="158"/>
      <c r="BA162" s="158"/>
      <c r="BB162" s="158"/>
      <c r="BC162" s="158"/>
      <c r="BD162" s="158"/>
      <c r="BE162" s="158"/>
      <c r="BF162" s="158"/>
      <c r="BG162" s="158"/>
      <c r="BH162" s="158"/>
    </row>
    <row r="163" spans="2:60" x14ac:dyDescent="0.2"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05"/>
      <c r="W163" s="105"/>
      <c r="X163" s="105"/>
      <c r="Y163" s="105"/>
      <c r="Z163" s="105"/>
      <c r="AA163" s="105"/>
      <c r="AB163" s="105"/>
      <c r="AC163" s="105"/>
      <c r="AD163" s="105"/>
      <c r="AE163" s="105"/>
      <c r="AF163" s="105"/>
      <c r="AG163" s="105"/>
      <c r="AH163" s="105"/>
      <c r="AI163" s="105"/>
      <c r="AJ163" s="105"/>
      <c r="AK163" s="105"/>
      <c r="AL163" s="105"/>
      <c r="AM163" s="105"/>
      <c r="AN163" s="105"/>
      <c r="AO163" s="105"/>
      <c r="AP163" s="158"/>
      <c r="AQ163" s="158"/>
      <c r="AR163" s="158"/>
      <c r="AS163" s="158"/>
      <c r="AT163" s="158"/>
      <c r="AU163" s="158"/>
      <c r="AV163" s="158"/>
      <c r="AW163" s="158"/>
      <c r="AX163" s="158"/>
      <c r="AY163" s="158"/>
      <c r="AZ163" s="158"/>
      <c r="BA163" s="158"/>
      <c r="BB163" s="158"/>
      <c r="BC163" s="158"/>
      <c r="BD163" s="158"/>
      <c r="BE163" s="158"/>
      <c r="BF163" s="158"/>
      <c r="BG163" s="158"/>
      <c r="BH163" s="158"/>
    </row>
    <row r="164" spans="2:60" x14ac:dyDescent="0.2"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106"/>
      <c r="AL164" s="106"/>
      <c r="AM164" s="106"/>
      <c r="AN164" s="106"/>
      <c r="AO164" s="106"/>
      <c r="AP164" s="158"/>
      <c r="AQ164" s="158"/>
      <c r="AR164" s="158"/>
      <c r="AS164" s="158"/>
      <c r="AT164" s="158"/>
      <c r="AU164" s="158"/>
      <c r="AV164" s="158"/>
      <c r="AW164" s="158"/>
      <c r="AX164" s="158"/>
      <c r="AY164" s="158"/>
      <c r="AZ164" s="158"/>
      <c r="BA164" s="158"/>
      <c r="BB164" s="158"/>
      <c r="BC164" s="158"/>
      <c r="BD164" s="158"/>
      <c r="BE164" s="158"/>
      <c r="BF164" s="158"/>
      <c r="BG164" s="158"/>
      <c r="BH164" s="158"/>
    </row>
    <row r="165" spans="2:60" x14ac:dyDescent="0.2"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58"/>
      <c r="AQ165" s="158"/>
      <c r="AR165" s="158"/>
      <c r="AS165" s="158"/>
      <c r="AT165" s="158"/>
      <c r="AU165" s="158"/>
      <c r="AV165" s="158"/>
      <c r="AW165" s="158"/>
      <c r="AX165" s="158"/>
      <c r="AY165" s="158"/>
      <c r="AZ165" s="158"/>
      <c r="BA165" s="158"/>
      <c r="BB165" s="158"/>
      <c r="BC165" s="158"/>
      <c r="BD165" s="158"/>
      <c r="BE165" s="158"/>
      <c r="BF165" s="158"/>
      <c r="BG165" s="158"/>
      <c r="BH165" s="158"/>
    </row>
    <row r="166" spans="2:60" x14ac:dyDescent="0.2"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</row>
    <row r="167" spans="2:60" x14ac:dyDescent="0.2"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58"/>
      <c r="AQ167" s="158"/>
      <c r="AR167" s="158"/>
      <c r="AS167" s="158"/>
      <c r="AT167" s="158"/>
      <c r="AU167" s="158"/>
      <c r="AV167" s="158"/>
      <c r="AW167" s="158"/>
      <c r="AX167" s="158"/>
      <c r="AY167" s="158"/>
      <c r="AZ167" s="158"/>
      <c r="BA167" s="158"/>
      <c r="BB167" s="158"/>
      <c r="BC167" s="158"/>
      <c r="BD167" s="158"/>
      <c r="BE167" s="158"/>
      <c r="BF167" s="158"/>
      <c r="BG167" s="158"/>
      <c r="BH167" s="158"/>
    </row>
    <row r="168" spans="2:60" ht="15" x14ac:dyDescent="0.25"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08"/>
      <c r="W168" s="108"/>
      <c r="X168" s="108"/>
      <c r="Y168" s="108"/>
      <c r="Z168" s="108"/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</row>
    <row r="169" spans="2:60" x14ac:dyDescent="0.2"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</row>
    <row r="170" spans="2:60" x14ac:dyDescent="0.2"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58"/>
      <c r="AQ170" s="158"/>
      <c r="AR170" s="158"/>
      <c r="AS170" s="158"/>
      <c r="AT170" s="158"/>
      <c r="AU170" s="158"/>
      <c r="AV170" s="158"/>
      <c r="AW170" s="158"/>
      <c r="AX170" s="158"/>
      <c r="AY170" s="158"/>
      <c r="AZ170" s="158"/>
      <c r="BA170" s="158"/>
      <c r="BB170" s="158"/>
      <c r="BC170" s="158"/>
      <c r="BD170" s="158"/>
      <c r="BE170" s="158"/>
      <c r="BF170" s="158"/>
      <c r="BG170" s="158"/>
      <c r="BH170" s="158"/>
    </row>
    <row r="171" spans="2:60" x14ac:dyDescent="0.2"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58"/>
      <c r="AQ171" s="158"/>
      <c r="AR171" s="158"/>
      <c r="AS171" s="158"/>
      <c r="AT171" s="158"/>
      <c r="AU171" s="158"/>
      <c r="AV171" s="158"/>
      <c r="AW171" s="158"/>
      <c r="AX171" s="158"/>
      <c r="AY171" s="158"/>
      <c r="AZ171" s="158"/>
      <c r="BA171" s="158"/>
      <c r="BB171" s="158"/>
      <c r="BC171" s="158"/>
      <c r="BD171" s="158"/>
      <c r="BE171" s="158"/>
      <c r="BF171" s="158"/>
      <c r="BG171" s="158"/>
      <c r="BH171" s="158"/>
    </row>
    <row r="172" spans="2:60" x14ac:dyDescent="0.2"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58"/>
      <c r="AQ172" s="158"/>
      <c r="AR172" s="158"/>
      <c r="AS172" s="158"/>
      <c r="AT172" s="158"/>
      <c r="AU172" s="158"/>
      <c r="AV172" s="158"/>
      <c r="AW172" s="158"/>
      <c r="AX172" s="158"/>
      <c r="AY172" s="158"/>
      <c r="AZ172" s="158"/>
      <c r="BA172" s="158"/>
      <c r="BB172" s="158"/>
      <c r="BC172" s="158"/>
      <c r="BD172" s="158"/>
      <c r="BE172" s="158"/>
      <c r="BF172" s="158"/>
      <c r="BG172" s="158"/>
      <c r="BH172" s="158"/>
    </row>
    <row r="173" spans="2:60" x14ac:dyDescent="0.2"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/>
      <c r="AN173" s="105"/>
      <c r="AO173" s="105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</row>
    <row r="174" spans="2:60" x14ac:dyDescent="0.2"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5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58"/>
      <c r="BB174" s="158"/>
      <c r="BC174" s="158"/>
      <c r="BD174" s="158"/>
      <c r="BE174" s="158"/>
      <c r="BF174" s="158"/>
      <c r="BG174" s="158"/>
      <c r="BH174" s="158"/>
    </row>
    <row r="175" spans="2:60" x14ac:dyDescent="0.2"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</row>
    <row r="176" spans="2:60" x14ac:dyDescent="0.2"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6"/>
      <c r="AK176" s="106"/>
      <c r="AL176" s="106"/>
      <c r="AM176" s="106"/>
      <c r="AN176" s="106"/>
      <c r="AO176" s="106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</row>
    <row r="177" spans="1:249" x14ac:dyDescent="0.2"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</row>
    <row r="178" spans="1:249" x14ac:dyDescent="0.2"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</row>
    <row r="179" spans="1:249" x14ac:dyDescent="0.2"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</row>
    <row r="180" spans="1:249" x14ac:dyDescent="0.2"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</row>
    <row r="181" spans="1:249" x14ac:dyDescent="0.2"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</row>
    <row r="182" spans="1:249" x14ac:dyDescent="0.2"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</row>
    <row r="183" spans="1:249" x14ac:dyDescent="0.2"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</row>
    <row r="184" spans="1:249" x14ac:dyDescent="0.2"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</row>
    <row r="185" spans="1:249" x14ac:dyDescent="0.2"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</row>
    <row r="186" spans="1:249" x14ac:dyDescent="0.2"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</row>
    <row r="187" spans="1:249" x14ac:dyDescent="0.2"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</row>
    <row r="188" spans="1:249" ht="12.75" customHeight="1" x14ac:dyDescent="0.2">
      <c r="B188" s="248"/>
      <c r="T188" s="112"/>
      <c r="U188" s="112"/>
      <c r="V188" s="109"/>
      <c r="W188" s="109"/>
      <c r="X188" s="109"/>
      <c r="Y188" s="109"/>
      <c r="Z188" s="109"/>
      <c r="AA188" s="109"/>
      <c r="AB188" s="109"/>
      <c r="AC188" s="109"/>
      <c r="AD188" s="109"/>
      <c r="AE188" s="109"/>
      <c r="AF188" s="109"/>
      <c r="AG188" s="109"/>
      <c r="AH188" s="109"/>
      <c r="AI188" s="109"/>
      <c r="AJ188" s="109"/>
      <c r="AK188" s="109"/>
      <c r="AL188" s="109"/>
      <c r="AM188" s="109"/>
      <c r="AN188" s="109"/>
      <c r="AO188" s="112"/>
      <c r="AP188" s="54"/>
      <c r="AQ188" s="105"/>
      <c r="AR188" s="105"/>
      <c r="AS188" s="105"/>
      <c r="AT188" s="105"/>
      <c r="AU188" s="105"/>
      <c r="AV188" s="105"/>
      <c r="AW188" s="105"/>
      <c r="AX188" s="105"/>
      <c r="AY188" s="105"/>
      <c r="AZ188" s="105"/>
      <c r="BA188" s="105"/>
      <c r="BB188" s="105"/>
      <c r="BC188" s="105"/>
      <c r="BD188" s="105"/>
      <c r="BE188" s="105"/>
      <c r="BF188" s="105"/>
      <c r="BG188" s="105"/>
      <c r="BI188" s="156"/>
      <c r="BJ188" s="156"/>
      <c r="BK188" s="156"/>
      <c r="BL188" s="156"/>
      <c r="BM188" s="156"/>
      <c r="BN188" s="156"/>
      <c r="BO188" s="156"/>
      <c r="BP188" s="156"/>
      <c r="BQ188" s="156"/>
      <c r="BR188" s="156"/>
      <c r="BS188" s="156"/>
      <c r="BT188" s="156"/>
      <c r="BU188" s="156"/>
      <c r="BV188" s="156"/>
      <c r="BW188" s="156"/>
      <c r="BX188" s="156"/>
      <c r="BY188" s="156"/>
      <c r="BZ188" s="156"/>
      <c r="CA188" s="156"/>
      <c r="CB188" s="156"/>
      <c r="CC188" s="156"/>
    </row>
    <row r="189" spans="1:249" ht="12.75" customHeight="1" x14ac:dyDescent="0.2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726" t="s">
        <v>478</v>
      </c>
      <c r="AQ189" s="708" t="s">
        <v>222</v>
      </c>
      <c r="AR189" s="708"/>
      <c r="AS189" s="708"/>
      <c r="AT189" s="708"/>
      <c r="AU189" s="708"/>
      <c r="AV189" s="708"/>
      <c r="AW189" s="708"/>
      <c r="AX189" s="708"/>
      <c r="AY189" s="708"/>
      <c r="AZ189" s="708"/>
      <c r="BA189" s="708"/>
      <c r="BB189" s="708"/>
      <c r="BC189" s="708"/>
      <c r="BD189" s="708"/>
      <c r="BE189" s="708"/>
      <c r="BF189" s="708"/>
      <c r="BG189" s="708"/>
      <c r="BI189" s="156"/>
      <c r="BJ189" s="708" t="s">
        <v>437</v>
      </c>
      <c r="BK189" s="708"/>
      <c r="BL189" s="708"/>
      <c r="BM189" s="708"/>
      <c r="BN189" s="708"/>
      <c r="BO189" s="708"/>
      <c r="BP189" s="708"/>
      <c r="BQ189" s="708"/>
      <c r="BR189" s="708"/>
      <c r="BS189" s="708"/>
      <c r="BT189" s="708"/>
      <c r="BU189" s="708"/>
      <c r="BV189" s="708"/>
      <c r="BW189" s="708"/>
      <c r="BX189" s="708"/>
      <c r="BY189" s="708"/>
      <c r="BZ189" s="708"/>
      <c r="CA189" s="156"/>
      <c r="CB189" s="156"/>
      <c r="CC189" s="708" t="s">
        <v>439</v>
      </c>
      <c r="CD189" s="708"/>
      <c r="CE189" s="708"/>
      <c r="CF189" s="708"/>
      <c r="CG189" s="708"/>
      <c r="CH189" s="708"/>
      <c r="CI189" s="708"/>
      <c r="CJ189" s="708"/>
      <c r="CK189" s="708"/>
      <c r="CL189" s="708"/>
      <c r="CM189" s="708"/>
      <c r="CN189" s="708"/>
      <c r="CO189" s="708"/>
      <c r="CP189" s="708"/>
      <c r="CQ189" s="708"/>
      <c r="CR189" s="708"/>
      <c r="CS189" s="708"/>
      <c r="CV189" s="708" t="s">
        <v>441</v>
      </c>
      <c r="CW189" s="708"/>
      <c r="CX189" s="708"/>
      <c r="CY189" s="708"/>
      <c r="CZ189" s="708"/>
      <c r="DA189" s="708"/>
      <c r="DB189" s="708"/>
      <c r="DC189" s="708"/>
      <c r="DD189" s="708"/>
      <c r="DE189" s="708"/>
      <c r="DF189" s="708"/>
      <c r="DG189" s="708"/>
      <c r="DH189" s="708"/>
      <c r="DI189" s="708"/>
      <c r="DJ189" s="708"/>
      <c r="DK189" s="708"/>
      <c r="DL189" s="708"/>
      <c r="DO189" s="708" t="s">
        <v>443</v>
      </c>
      <c r="DP189" s="708"/>
      <c r="DQ189" s="708"/>
      <c r="DR189" s="708"/>
      <c r="DS189" s="708"/>
      <c r="DT189" s="708"/>
      <c r="DU189" s="708"/>
      <c r="DV189" s="708"/>
      <c r="DW189" s="708"/>
      <c r="DX189" s="708"/>
      <c r="DY189" s="708"/>
      <c r="DZ189" s="708"/>
      <c r="EA189" s="708"/>
      <c r="EB189" s="708"/>
      <c r="EC189" s="708"/>
      <c r="ED189" s="708"/>
      <c r="EE189" s="708"/>
      <c r="EH189" s="708" t="s">
        <v>225</v>
      </c>
      <c r="EI189" s="708"/>
      <c r="EJ189" s="708"/>
      <c r="EK189" s="708"/>
      <c r="EL189" s="708"/>
      <c r="EM189" s="708"/>
      <c r="EN189" s="708"/>
      <c r="EO189" s="708"/>
      <c r="EP189" s="708"/>
      <c r="EQ189" s="708"/>
      <c r="ER189" s="708"/>
      <c r="ES189" s="708"/>
      <c r="ET189" s="708"/>
      <c r="EU189" s="708"/>
      <c r="EV189" s="708"/>
      <c r="EW189" s="708"/>
      <c r="EX189" s="708"/>
      <c r="FA189" s="708" t="s">
        <v>433</v>
      </c>
      <c r="FB189" s="708"/>
      <c r="FC189" s="708"/>
      <c r="FD189" s="708"/>
      <c r="FE189" s="708"/>
      <c r="FF189" s="708"/>
      <c r="FG189" s="708"/>
      <c r="FH189" s="708"/>
      <c r="FI189" s="708"/>
      <c r="FJ189" s="708"/>
      <c r="FK189" s="708"/>
      <c r="FL189" s="708"/>
      <c r="FM189" s="708"/>
      <c r="FN189" s="708"/>
      <c r="FO189" s="708"/>
      <c r="FP189" s="708"/>
      <c r="FQ189" s="708"/>
      <c r="FT189" s="708" t="s">
        <v>426</v>
      </c>
      <c r="FU189" s="708"/>
      <c r="FV189" s="708"/>
      <c r="FW189" s="708"/>
      <c r="FX189" s="708"/>
      <c r="FY189" s="708"/>
      <c r="FZ189" s="708"/>
      <c r="GA189" s="708"/>
      <c r="GB189" s="708"/>
      <c r="GC189" s="708"/>
      <c r="GD189" s="708"/>
      <c r="GE189" s="708"/>
      <c r="GF189" s="708"/>
      <c r="GG189" s="708"/>
      <c r="GH189" s="708"/>
      <c r="GI189" s="708"/>
      <c r="GJ189" s="708"/>
      <c r="GM189" s="708" t="s">
        <v>434</v>
      </c>
      <c r="GN189" s="708"/>
      <c r="GO189" s="708"/>
      <c r="GP189" s="708"/>
      <c r="GQ189" s="708"/>
      <c r="GR189" s="708"/>
      <c r="GS189" s="708"/>
      <c r="GT189" s="708"/>
      <c r="GU189" s="708"/>
      <c r="GV189" s="708"/>
      <c r="GW189" s="708"/>
      <c r="GX189" s="708"/>
      <c r="GY189" s="708"/>
      <c r="GZ189" s="708"/>
      <c r="HA189" s="708"/>
      <c r="HB189" s="708"/>
      <c r="HC189" s="708"/>
      <c r="HF189" s="708" t="s">
        <v>435</v>
      </c>
      <c r="HG189" s="708"/>
      <c r="HH189" s="708"/>
      <c r="HI189" s="708"/>
      <c r="HJ189" s="708"/>
      <c r="HK189" s="708"/>
      <c r="HL189" s="708"/>
      <c r="HM189" s="708"/>
      <c r="HN189" s="708"/>
      <c r="HO189" s="708"/>
      <c r="HP189" s="708"/>
      <c r="HQ189" s="708"/>
      <c r="HR189" s="708"/>
      <c r="HS189" s="708"/>
      <c r="HT189" s="708"/>
      <c r="HU189" s="708"/>
      <c r="HV189" s="708"/>
      <c r="HY189" s="708" t="s">
        <v>435</v>
      </c>
      <c r="HZ189" s="708"/>
      <c r="IA189" s="708"/>
      <c r="IB189" s="708"/>
      <c r="IC189" s="708"/>
      <c r="ID189" s="708"/>
      <c r="IE189" s="708"/>
      <c r="IF189" s="708"/>
      <c r="IG189" s="708"/>
      <c r="IH189" s="708"/>
      <c r="II189" s="708"/>
      <c r="IJ189" s="708"/>
      <c r="IK189" s="708"/>
      <c r="IL189" s="417"/>
      <c r="IM189" s="417"/>
      <c r="IN189" s="417"/>
      <c r="IO189" s="417"/>
    </row>
    <row r="190" spans="1:249" ht="12.75" customHeight="1" x14ac:dyDescent="0.2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  <c r="AA190" s="158"/>
      <c r="AB190" s="158"/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726"/>
      <c r="AQ190" s="708"/>
      <c r="AR190" s="708"/>
      <c r="AS190" s="708"/>
      <c r="AT190" s="708"/>
      <c r="AU190" s="708"/>
      <c r="AV190" s="708"/>
      <c r="AW190" s="708"/>
      <c r="AX190" s="708"/>
      <c r="AY190" s="708"/>
      <c r="AZ190" s="708"/>
      <c r="BA190" s="708"/>
      <c r="BB190" s="708"/>
      <c r="BC190" s="708"/>
      <c r="BD190" s="708"/>
      <c r="BE190" s="708"/>
      <c r="BF190" s="708"/>
      <c r="BG190" s="708"/>
      <c r="BI190" s="156"/>
      <c r="BJ190" s="708"/>
      <c r="BK190" s="708"/>
      <c r="BL190" s="708"/>
      <c r="BM190" s="708"/>
      <c r="BN190" s="708"/>
      <c r="BO190" s="708"/>
      <c r="BP190" s="708"/>
      <c r="BQ190" s="708"/>
      <c r="BR190" s="708"/>
      <c r="BS190" s="708"/>
      <c r="BT190" s="708"/>
      <c r="BU190" s="708"/>
      <c r="BV190" s="708"/>
      <c r="BW190" s="708"/>
      <c r="BX190" s="708"/>
      <c r="BY190" s="708"/>
      <c r="BZ190" s="708"/>
      <c r="CA190" s="156"/>
      <c r="CB190" s="156"/>
      <c r="CC190" s="708"/>
      <c r="CD190" s="708"/>
      <c r="CE190" s="708"/>
      <c r="CF190" s="708"/>
      <c r="CG190" s="708"/>
      <c r="CH190" s="708"/>
      <c r="CI190" s="708"/>
      <c r="CJ190" s="708"/>
      <c r="CK190" s="708"/>
      <c r="CL190" s="708"/>
      <c r="CM190" s="708"/>
      <c r="CN190" s="708"/>
      <c r="CO190" s="708"/>
      <c r="CP190" s="708"/>
      <c r="CQ190" s="708"/>
      <c r="CR190" s="708"/>
      <c r="CS190" s="708"/>
      <c r="CV190" s="708"/>
      <c r="CW190" s="708"/>
      <c r="CX190" s="708"/>
      <c r="CY190" s="708"/>
      <c r="CZ190" s="708"/>
      <c r="DA190" s="708"/>
      <c r="DB190" s="708"/>
      <c r="DC190" s="708"/>
      <c r="DD190" s="708"/>
      <c r="DE190" s="708"/>
      <c r="DF190" s="708"/>
      <c r="DG190" s="708"/>
      <c r="DH190" s="708"/>
      <c r="DI190" s="708"/>
      <c r="DJ190" s="708"/>
      <c r="DK190" s="708"/>
      <c r="DL190" s="708"/>
      <c r="DO190" s="708"/>
      <c r="DP190" s="708"/>
      <c r="DQ190" s="708"/>
      <c r="DR190" s="708"/>
      <c r="DS190" s="708"/>
      <c r="DT190" s="708"/>
      <c r="DU190" s="708"/>
      <c r="DV190" s="708"/>
      <c r="DW190" s="708"/>
      <c r="DX190" s="708"/>
      <c r="DY190" s="708"/>
      <c r="DZ190" s="708"/>
      <c r="EA190" s="708"/>
      <c r="EB190" s="708"/>
      <c r="EC190" s="708"/>
      <c r="ED190" s="708"/>
      <c r="EE190" s="708"/>
      <c r="EH190" s="708"/>
      <c r="EI190" s="708"/>
      <c r="EJ190" s="708"/>
      <c r="EK190" s="708"/>
      <c r="EL190" s="708"/>
      <c r="EM190" s="708"/>
      <c r="EN190" s="708"/>
      <c r="EO190" s="708"/>
      <c r="EP190" s="708"/>
      <c r="EQ190" s="708"/>
      <c r="ER190" s="708"/>
      <c r="ES190" s="708"/>
      <c r="ET190" s="708"/>
      <c r="EU190" s="708"/>
      <c r="EV190" s="708"/>
      <c r="EW190" s="708"/>
      <c r="EX190" s="708"/>
      <c r="FA190" s="708"/>
      <c r="FB190" s="708"/>
      <c r="FC190" s="708"/>
      <c r="FD190" s="708"/>
      <c r="FE190" s="708"/>
      <c r="FF190" s="708"/>
      <c r="FG190" s="708"/>
      <c r="FH190" s="708"/>
      <c r="FI190" s="708"/>
      <c r="FJ190" s="708"/>
      <c r="FK190" s="708"/>
      <c r="FL190" s="708"/>
      <c r="FM190" s="708"/>
      <c r="FN190" s="708"/>
      <c r="FO190" s="708"/>
      <c r="FP190" s="708"/>
      <c r="FQ190" s="708"/>
      <c r="FT190" s="708"/>
      <c r="FU190" s="708"/>
      <c r="FV190" s="708"/>
      <c r="FW190" s="708"/>
      <c r="FX190" s="708"/>
      <c r="FY190" s="708"/>
      <c r="FZ190" s="708"/>
      <c r="GA190" s="708"/>
      <c r="GB190" s="708"/>
      <c r="GC190" s="708"/>
      <c r="GD190" s="708"/>
      <c r="GE190" s="708"/>
      <c r="GF190" s="708"/>
      <c r="GG190" s="708"/>
      <c r="GH190" s="708"/>
      <c r="GI190" s="708"/>
      <c r="GJ190" s="708"/>
      <c r="GM190" s="708"/>
      <c r="GN190" s="708"/>
      <c r="GO190" s="708"/>
      <c r="GP190" s="708"/>
      <c r="GQ190" s="708"/>
      <c r="GR190" s="708"/>
      <c r="GS190" s="708"/>
      <c r="GT190" s="708"/>
      <c r="GU190" s="708"/>
      <c r="GV190" s="708"/>
      <c r="GW190" s="708"/>
      <c r="GX190" s="708"/>
      <c r="GY190" s="708"/>
      <c r="GZ190" s="708"/>
      <c r="HA190" s="708"/>
      <c r="HB190" s="708"/>
      <c r="HC190" s="708"/>
      <c r="HF190" s="708"/>
      <c r="HG190" s="708"/>
      <c r="HH190" s="708"/>
      <c r="HI190" s="708"/>
      <c r="HJ190" s="708"/>
      <c r="HK190" s="708"/>
      <c r="HL190" s="708"/>
      <c r="HM190" s="708"/>
      <c r="HN190" s="708"/>
      <c r="HO190" s="708"/>
      <c r="HP190" s="708"/>
      <c r="HQ190" s="708"/>
      <c r="HR190" s="708"/>
      <c r="HS190" s="708"/>
      <c r="HT190" s="708"/>
      <c r="HU190" s="708"/>
      <c r="HV190" s="708"/>
      <c r="HY190" s="708"/>
      <c r="HZ190" s="708"/>
      <c r="IA190" s="708"/>
      <c r="IB190" s="708"/>
      <c r="IC190" s="708"/>
      <c r="ID190" s="708"/>
      <c r="IE190" s="708"/>
      <c r="IF190" s="708"/>
      <c r="IG190" s="708"/>
      <c r="IH190" s="708"/>
      <c r="II190" s="708"/>
      <c r="IJ190" s="708"/>
      <c r="IK190" s="708"/>
      <c r="IL190" s="417"/>
      <c r="IM190" s="417"/>
      <c r="IN190" s="417"/>
      <c r="IO190" s="417"/>
    </row>
    <row r="191" spans="1:249" x14ac:dyDescent="0.2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6"/>
      <c r="AN191" s="156"/>
      <c r="AO191" s="158"/>
      <c r="AP191" s="726"/>
      <c r="AQ191" s="3"/>
      <c r="AR191" s="715" t="s">
        <v>0</v>
      </c>
      <c r="AS191" s="712"/>
      <c r="AT191" s="711" t="s">
        <v>1</v>
      </c>
      <c r="AU191" s="712"/>
      <c r="AV191" s="711" t="s">
        <v>2</v>
      </c>
      <c r="AW191" s="712"/>
      <c r="AX191" s="713" t="s">
        <v>3</v>
      </c>
      <c r="AY191" s="714"/>
      <c r="AZ191" s="713" t="s">
        <v>200</v>
      </c>
      <c r="BA191" s="714"/>
      <c r="BB191" s="713" t="s">
        <v>5</v>
      </c>
      <c r="BC191" s="714"/>
      <c r="BD191" s="709" t="s">
        <v>634</v>
      </c>
      <c r="BE191" s="710"/>
      <c r="BF191" s="709" t="s">
        <v>582</v>
      </c>
      <c r="BG191" s="710"/>
      <c r="BI191" s="156"/>
      <c r="BJ191" s="3"/>
      <c r="BK191" s="715" t="s">
        <v>0</v>
      </c>
      <c r="BL191" s="712"/>
      <c r="BM191" s="711" t="s">
        <v>1</v>
      </c>
      <c r="BN191" s="712"/>
      <c r="BO191" s="711" t="s">
        <v>2</v>
      </c>
      <c r="BP191" s="712"/>
      <c r="BQ191" s="713" t="s">
        <v>3</v>
      </c>
      <c r="BR191" s="714"/>
      <c r="BS191" s="713" t="s">
        <v>200</v>
      </c>
      <c r="BT191" s="714"/>
      <c r="BU191" s="713" t="s">
        <v>5</v>
      </c>
      <c r="BV191" s="714"/>
      <c r="BW191" s="709" t="s">
        <v>634</v>
      </c>
      <c r="BX191" s="710"/>
      <c r="BY191" s="709" t="s">
        <v>582</v>
      </c>
      <c r="BZ191" s="710"/>
      <c r="CA191" s="156"/>
      <c r="CB191" s="156"/>
      <c r="CC191" s="3"/>
      <c r="CD191" s="715" t="s">
        <v>0</v>
      </c>
      <c r="CE191" s="712"/>
      <c r="CF191" s="711" t="s">
        <v>1</v>
      </c>
      <c r="CG191" s="712"/>
      <c r="CH191" s="711" t="s">
        <v>2</v>
      </c>
      <c r="CI191" s="712"/>
      <c r="CJ191" s="713" t="s">
        <v>3</v>
      </c>
      <c r="CK191" s="714"/>
      <c r="CL191" s="713" t="s">
        <v>200</v>
      </c>
      <c r="CM191" s="714"/>
      <c r="CN191" s="713" t="s">
        <v>5</v>
      </c>
      <c r="CO191" s="714"/>
      <c r="CP191" s="709" t="s">
        <v>634</v>
      </c>
      <c r="CQ191" s="710"/>
      <c r="CR191" s="709" t="s">
        <v>582</v>
      </c>
      <c r="CS191" s="710"/>
      <c r="CT191" s="9"/>
      <c r="CV191" s="3"/>
      <c r="CW191" s="715" t="s">
        <v>0</v>
      </c>
      <c r="CX191" s="712"/>
      <c r="CY191" s="711" t="s">
        <v>1</v>
      </c>
      <c r="CZ191" s="712"/>
      <c r="DA191" s="711" t="s">
        <v>2</v>
      </c>
      <c r="DB191" s="712"/>
      <c r="DC191" s="713" t="s">
        <v>3</v>
      </c>
      <c r="DD191" s="714"/>
      <c r="DE191" s="713" t="s">
        <v>200</v>
      </c>
      <c r="DF191" s="714"/>
      <c r="DG191" s="713" t="s">
        <v>5</v>
      </c>
      <c r="DH191" s="714"/>
      <c r="DI191" s="709" t="s">
        <v>634</v>
      </c>
      <c r="DJ191" s="710"/>
      <c r="DK191" s="709" t="s">
        <v>582</v>
      </c>
      <c r="DL191" s="710"/>
      <c r="DO191" s="3"/>
      <c r="DP191" s="715" t="s">
        <v>0</v>
      </c>
      <c r="DQ191" s="712"/>
      <c r="DR191" s="711" t="s">
        <v>1</v>
      </c>
      <c r="DS191" s="712"/>
      <c r="DT191" s="711" t="s">
        <v>2</v>
      </c>
      <c r="DU191" s="712"/>
      <c r="DV191" s="713" t="s">
        <v>3</v>
      </c>
      <c r="DW191" s="714"/>
      <c r="DX191" s="713" t="s">
        <v>200</v>
      </c>
      <c r="DY191" s="714"/>
      <c r="DZ191" s="713" t="s">
        <v>5</v>
      </c>
      <c r="EA191" s="714"/>
      <c r="EB191" s="709" t="s">
        <v>634</v>
      </c>
      <c r="EC191" s="710"/>
      <c r="ED191" s="709" t="s">
        <v>582</v>
      </c>
      <c r="EE191" s="710"/>
      <c r="EH191" s="3"/>
      <c r="EI191" s="715" t="s">
        <v>0</v>
      </c>
      <c r="EJ191" s="712"/>
      <c r="EK191" s="711" t="s">
        <v>1</v>
      </c>
      <c r="EL191" s="712"/>
      <c r="EM191" s="711" t="s">
        <v>2</v>
      </c>
      <c r="EN191" s="712"/>
      <c r="EO191" s="713" t="s">
        <v>3</v>
      </c>
      <c r="EP191" s="714"/>
      <c r="EQ191" s="713" t="s">
        <v>200</v>
      </c>
      <c r="ER191" s="714"/>
      <c r="ES191" s="713" t="s">
        <v>5</v>
      </c>
      <c r="ET191" s="714"/>
      <c r="EU191" s="709" t="s">
        <v>634</v>
      </c>
      <c r="EV191" s="710"/>
      <c r="EW191" s="709" t="s">
        <v>582</v>
      </c>
      <c r="EX191" s="710"/>
      <c r="FA191" s="3"/>
      <c r="FB191" s="715" t="s">
        <v>0</v>
      </c>
      <c r="FC191" s="712"/>
      <c r="FD191" s="711" t="s">
        <v>1</v>
      </c>
      <c r="FE191" s="712"/>
      <c r="FF191" s="711" t="s">
        <v>2</v>
      </c>
      <c r="FG191" s="712"/>
      <c r="FH191" s="713" t="s">
        <v>3</v>
      </c>
      <c r="FI191" s="714"/>
      <c r="FJ191" s="713" t="s">
        <v>200</v>
      </c>
      <c r="FK191" s="714"/>
      <c r="FL191" s="713" t="s">
        <v>5</v>
      </c>
      <c r="FM191" s="714"/>
      <c r="FN191" s="709" t="s">
        <v>634</v>
      </c>
      <c r="FO191" s="710"/>
      <c r="FP191" s="709" t="s">
        <v>582</v>
      </c>
      <c r="FQ191" s="710"/>
      <c r="FT191" s="3"/>
      <c r="FU191" s="715" t="s">
        <v>0</v>
      </c>
      <c r="FV191" s="712"/>
      <c r="FW191" s="711" t="s">
        <v>1</v>
      </c>
      <c r="FX191" s="712"/>
      <c r="FY191" s="711" t="s">
        <v>2</v>
      </c>
      <c r="FZ191" s="712"/>
      <c r="GA191" s="713" t="s">
        <v>3</v>
      </c>
      <c r="GB191" s="714"/>
      <c r="GC191" s="713" t="s">
        <v>200</v>
      </c>
      <c r="GD191" s="714"/>
      <c r="GE191" s="713" t="s">
        <v>5</v>
      </c>
      <c r="GF191" s="714"/>
      <c r="GG191" s="709" t="s">
        <v>634</v>
      </c>
      <c r="GH191" s="710"/>
      <c r="GI191" s="709" t="s">
        <v>582</v>
      </c>
      <c r="GJ191" s="710"/>
      <c r="GM191" s="3"/>
      <c r="GN191" s="715" t="s">
        <v>0</v>
      </c>
      <c r="GO191" s="712"/>
      <c r="GP191" s="711" t="s">
        <v>1</v>
      </c>
      <c r="GQ191" s="712"/>
      <c r="GR191" s="711" t="s">
        <v>2</v>
      </c>
      <c r="GS191" s="712"/>
      <c r="GT191" s="713" t="s">
        <v>3</v>
      </c>
      <c r="GU191" s="714"/>
      <c r="GV191" s="713" t="s">
        <v>200</v>
      </c>
      <c r="GW191" s="714"/>
      <c r="GX191" s="713" t="s">
        <v>5</v>
      </c>
      <c r="GY191" s="714"/>
      <c r="GZ191" s="709" t="s">
        <v>634</v>
      </c>
      <c r="HA191" s="710"/>
      <c r="HB191" s="709" t="s">
        <v>582</v>
      </c>
      <c r="HC191" s="710"/>
      <c r="HF191" s="3"/>
      <c r="HG191" s="715" t="s">
        <v>0</v>
      </c>
      <c r="HH191" s="712"/>
      <c r="HI191" s="711" t="s">
        <v>1</v>
      </c>
      <c r="HJ191" s="712"/>
      <c r="HK191" s="711" t="s">
        <v>2</v>
      </c>
      <c r="HL191" s="712"/>
      <c r="HM191" s="713" t="s">
        <v>3</v>
      </c>
      <c r="HN191" s="714"/>
      <c r="HO191" s="713" t="s">
        <v>200</v>
      </c>
      <c r="HP191" s="714"/>
      <c r="HQ191" s="713" t="s">
        <v>5</v>
      </c>
      <c r="HR191" s="714"/>
      <c r="HS191" s="709" t="s">
        <v>634</v>
      </c>
      <c r="HT191" s="710"/>
      <c r="HU191" s="709" t="s">
        <v>582</v>
      </c>
      <c r="HV191" s="710"/>
      <c r="HY191" s="3"/>
      <c r="HZ191" s="715" t="s">
        <v>0</v>
      </c>
      <c r="IA191" s="712"/>
      <c r="IB191" s="715" t="s">
        <v>1</v>
      </c>
      <c r="IC191" s="712"/>
      <c r="ID191" s="715" t="s">
        <v>2</v>
      </c>
      <c r="IE191" s="712"/>
      <c r="IF191" s="725" t="s">
        <v>3</v>
      </c>
      <c r="IG191" s="714"/>
      <c r="IH191" s="725" t="s">
        <v>200</v>
      </c>
      <c r="II191" s="714"/>
      <c r="IJ191" s="725" t="s">
        <v>5</v>
      </c>
      <c r="IK191" s="714"/>
      <c r="IL191" s="709" t="s">
        <v>634</v>
      </c>
      <c r="IM191" s="710"/>
      <c r="IN191" s="709" t="s">
        <v>582</v>
      </c>
      <c r="IO191" s="710"/>
    </row>
    <row r="192" spans="1:249" x14ac:dyDescent="0.2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6"/>
      <c r="AN192" s="156"/>
      <c r="AO192" s="158"/>
      <c r="AP192" s="726"/>
      <c r="AQ192" s="231"/>
      <c r="AR192" s="53" t="s">
        <v>25</v>
      </c>
      <c r="AS192" s="52" t="s">
        <v>26</v>
      </c>
      <c r="AT192" s="131" t="s">
        <v>25</v>
      </c>
      <c r="AU192" s="52" t="s">
        <v>26</v>
      </c>
      <c r="AV192" s="131" t="s">
        <v>25</v>
      </c>
      <c r="AW192" s="52" t="s">
        <v>26</v>
      </c>
      <c r="AX192" s="131" t="s">
        <v>25</v>
      </c>
      <c r="AY192" s="52" t="s">
        <v>26</v>
      </c>
      <c r="AZ192" s="131" t="s">
        <v>25</v>
      </c>
      <c r="BA192" s="52" t="s">
        <v>26</v>
      </c>
      <c r="BB192" s="131" t="s">
        <v>25</v>
      </c>
      <c r="BC192" s="52" t="s">
        <v>26</v>
      </c>
      <c r="BD192" s="131" t="s">
        <v>25</v>
      </c>
      <c r="BE192" s="52" t="s">
        <v>26</v>
      </c>
      <c r="BF192" s="131" t="s">
        <v>25</v>
      </c>
      <c r="BG192" s="52" t="s">
        <v>26</v>
      </c>
      <c r="BI192" s="156"/>
      <c r="BJ192" s="231"/>
      <c r="BK192" s="53" t="s">
        <v>25</v>
      </c>
      <c r="BL192" s="52" t="s">
        <v>26</v>
      </c>
      <c r="BM192" s="131" t="s">
        <v>25</v>
      </c>
      <c r="BN192" s="52" t="s">
        <v>26</v>
      </c>
      <c r="BO192" s="131" t="s">
        <v>25</v>
      </c>
      <c r="BP192" s="52" t="s">
        <v>26</v>
      </c>
      <c r="BQ192" s="131" t="s">
        <v>25</v>
      </c>
      <c r="BR192" s="52" t="s">
        <v>26</v>
      </c>
      <c r="BS192" s="131" t="s">
        <v>25</v>
      </c>
      <c r="BT192" s="52" t="s">
        <v>26</v>
      </c>
      <c r="BU192" s="131" t="s">
        <v>25</v>
      </c>
      <c r="BV192" s="52" t="s">
        <v>26</v>
      </c>
      <c r="BW192" s="131" t="s">
        <v>25</v>
      </c>
      <c r="BX192" s="52" t="s">
        <v>26</v>
      </c>
      <c r="BY192" s="131" t="s">
        <v>25</v>
      </c>
      <c r="BZ192" s="52" t="s">
        <v>26</v>
      </c>
      <c r="CA192" s="156"/>
      <c r="CB192" s="156"/>
      <c r="CC192" s="231"/>
      <c r="CD192" s="53" t="s">
        <v>25</v>
      </c>
      <c r="CE192" s="52" t="s">
        <v>26</v>
      </c>
      <c r="CF192" s="131" t="s">
        <v>25</v>
      </c>
      <c r="CG192" s="52" t="s">
        <v>26</v>
      </c>
      <c r="CH192" s="131" t="s">
        <v>25</v>
      </c>
      <c r="CI192" s="52" t="s">
        <v>26</v>
      </c>
      <c r="CJ192" s="131" t="s">
        <v>25</v>
      </c>
      <c r="CK192" s="52" t="s">
        <v>26</v>
      </c>
      <c r="CL192" s="131" t="s">
        <v>25</v>
      </c>
      <c r="CM192" s="52" t="s">
        <v>26</v>
      </c>
      <c r="CN192" s="131" t="s">
        <v>25</v>
      </c>
      <c r="CO192" s="52" t="s">
        <v>26</v>
      </c>
      <c r="CP192" s="131" t="s">
        <v>25</v>
      </c>
      <c r="CQ192" s="52" t="s">
        <v>26</v>
      </c>
      <c r="CR192" s="131" t="s">
        <v>25</v>
      </c>
      <c r="CS192" s="52" t="s">
        <v>26</v>
      </c>
      <c r="CV192" s="231"/>
      <c r="CW192" s="53" t="s">
        <v>25</v>
      </c>
      <c r="CX192" s="52" t="s">
        <v>26</v>
      </c>
      <c r="CY192" s="131" t="s">
        <v>25</v>
      </c>
      <c r="CZ192" s="52" t="s">
        <v>26</v>
      </c>
      <c r="DA192" s="131" t="s">
        <v>25</v>
      </c>
      <c r="DB192" s="52" t="s">
        <v>26</v>
      </c>
      <c r="DC192" s="131" t="s">
        <v>25</v>
      </c>
      <c r="DD192" s="52" t="s">
        <v>26</v>
      </c>
      <c r="DE192" s="131" t="s">
        <v>25</v>
      </c>
      <c r="DF192" s="52" t="s">
        <v>26</v>
      </c>
      <c r="DG192" s="131" t="s">
        <v>25</v>
      </c>
      <c r="DH192" s="52" t="s">
        <v>26</v>
      </c>
      <c r="DI192" s="131" t="s">
        <v>25</v>
      </c>
      <c r="DJ192" s="52" t="s">
        <v>26</v>
      </c>
      <c r="DK192" s="131" t="s">
        <v>25</v>
      </c>
      <c r="DL192" s="52" t="s">
        <v>26</v>
      </c>
      <c r="DO192" s="231"/>
      <c r="DP192" s="53" t="s">
        <v>25</v>
      </c>
      <c r="DQ192" s="52" t="s">
        <v>26</v>
      </c>
      <c r="DR192" s="131" t="s">
        <v>25</v>
      </c>
      <c r="DS192" s="52" t="s">
        <v>26</v>
      </c>
      <c r="DT192" s="131" t="s">
        <v>25</v>
      </c>
      <c r="DU192" s="52" t="s">
        <v>26</v>
      </c>
      <c r="DV192" s="131" t="s">
        <v>25</v>
      </c>
      <c r="DW192" s="52" t="s">
        <v>26</v>
      </c>
      <c r="DX192" s="131" t="s">
        <v>25</v>
      </c>
      <c r="DY192" s="52" t="s">
        <v>26</v>
      </c>
      <c r="DZ192" s="131" t="s">
        <v>25</v>
      </c>
      <c r="EA192" s="52" t="s">
        <v>26</v>
      </c>
      <c r="EB192" s="131" t="s">
        <v>25</v>
      </c>
      <c r="EC192" s="52" t="s">
        <v>26</v>
      </c>
      <c r="ED192" s="131" t="s">
        <v>25</v>
      </c>
      <c r="EE192" s="52" t="s">
        <v>26</v>
      </c>
      <c r="EH192" s="231"/>
      <c r="EI192" s="53" t="s">
        <v>25</v>
      </c>
      <c r="EJ192" s="52" t="s">
        <v>26</v>
      </c>
      <c r="EK192" s="131" t="s">
        <v>25</v>
      </c>
      <c r="EL192" s="52" t="s">
        <v>26</v>
      </c>
      <c r="EM192" s="131" t="s">
        <v>25</v>
      </c>
      <c r="EN192" s="52" t="s">
        <v>26</v>
      </c>
      <c r="EO192" s="131" t="s">
        <v>25</v>
      </c>
      <c r="EP192" s="52" t="s">
        <v>26</v>
      </c>
      <c r="EQ192" s="131" t="s">
        <v>25</v>
      </c>
      <c r="ER192" s="52" t="s">
        <v>26</v>
      </c>
      <c r="ES192" s="131" t="s">
        <v>25</v>
      </c>
      <c r="ET192" s="52" t="s">
        <v>26</v>
      </c>
      <c r="EU192" s="131" t="s">
        <v>25</v>
      </c>
      <c r="EV192" s="52" t="s">
        <v>26</v>
      </c>
      <c r="EW192" s="131" t="s">
        <v>25</v>
      </c>
      <c r="EX192" s="52" t="s">
        <v>26</v>
      </c>
      <c r="FA192" s="231"/>
      <c r="FB192" s="53" t="s">
        <v>25</v>
      </c>
      <c r="FC192" s="52" t="s">
        <v>26</v>
      </c>
      <c r="FD192" s="131" t="s">
        <v>25</v>
      </c>
      <c r="FE192" s="52" t="s">
        <v>26</v>
      </c>
      <c r="FF192" s="131" t="s">
        <v>25</v>
      </c>
      <c r="FG192" s="52" t="s">
        <v>26</v>
      </c>
      <c r="FH192" s="131" t="s">
        <v>25</v>
      </c>
      <c r="FI192" s="52" t="s">
        <v>26</v>
      </c>
      <c r="FJ192" s="131" t="s">
        <v>25</v>
      </c>
      <c r="FK192" s="52" t="s">
        <v>26</v>
      </c>
      <c r="FL192" s="131" t="s">
        <v>25</v>
      </c>
      <c r="FM192" s="52" t="s">
        <v>26</v>
      </c>
      <c r="FN192" s="131" t="s">
        <v>25</v>
      </c>
      <c r="FO192" s="52" t="s">
        <v>26</v>
      </c>
      <c r="FP192" s="131" t="s">
        <v>25</v>
      </c>
      <c r="FQ192" s="52" t="s">
        <v>26</v>
      </c>
      <c r="FT192" s="231"/>
      <c r="FU192" s="53" t="s">
        <v>25</v>
      </c>
      <c r="FV192" s="52" t="s">
        <v>26</v>
      </c>
      <c r="FW192" s="131" t="s">
        <v>25</v>
      </c>
      <c r="FX192" s="52" t="s">
        <v>26</v>
      </c>
      <c r="FY192" s="131" t="s">
        <v>25</v>
      </c>
      <c r="FZ192" s="52" t="s">
        <v>26</v>
      </c>
      <c r="GA192" s="131" t="s">
        <v>25</v>
      </c>
      <c r="GB192" s="52" t="s">
        <v>26</v>
      </c>
      <c r="GC192" s="131" t="s">
        <v>25</v>
      </c>
      <c r="GD192" s="52" t="s">
        <v>26</v>
      </c>
      <c r="GE192" s="131" t="s">
        <v>25</v>
      </c>
      <c r="GF192" s="52" t="s">
        <v>26</v>
      </c>
      <c r="GG192" s="131" t="s">
        <v>25</v>
      </c>
      <c r="GH192" s="52" t="s">
        <v>26</v>
      </c>
      <c r="GI192" s="131" t="s">
        <v>25</v>
      </c>
      <c r="GJ192" s="52" t="s">
        <v>26</v>
      </c>
      <c r="GM192" s="231"/>
      <c r="GN192" s="53" t="s">
        <v>25</v>
      </c>
      <c r="GO192" s="52" t="s">
        <v>26</v>
      </c>
      <c r="GP192" s="131" t="s">
        <v>25</v>
      </c>
      <c r="GQ192" s="52" t="s">
        <v>26</v>
      </c>
      <c r="GR192" s="131" t="s">
        <v>25</v>
      </c>
      <c r="GS192" s="52" t="s">
        <v>26</v>
      </c>
      <c r="GT192" s="131" t="s">
        <v>25</v>
      </c>
      <c r="GU192" s="52" t="s">
        <v>26</v>
      </c>
      <c r="GV192" s="131" t="s">
        <v>25</v>
      </c>
      <c r="GW192" s="52" t="s">
        <v>26</v>
      </c>
      <c r="GX192" s="131" t="s">
        <v>25</v>
      </c>
      <c r="GY192" s="52" t="s">
        <v>26</v>
      </c>
      <c r="GZ192" s="131" t="s">
        <v>25</v>
      </c>
      <c r="HA192" s="52" t="s">
        <v>26</v>
      </c>
      <c r="HB192" s="131" t="s">
        <v>25</v>
      </c>
      <c r="HC192" s="52" t="s">
        <v>26</v>
      </c>
      <c r="HF192" s="231"/>
      <c r="HG192" s="53" t="s">
        <v>25</v>
      </c>
      <c r="HH192" s="52" t="s">
        <v>26</v>
      </c>
      <c r="HI192" s="131" t="s">
        <v>25</v>
      </c>
      <c r="HJ192" s="52" t="s">
        <v>26</v>
      </c>
      <c r="HK192" s="131" t="s">
        <v>25</v>
      </c>
      <c r="HL192" s="52" t="s">
        <v>26</v>
      </c>
      <c r="HM192" s="131" t="s">
        <v>25</v>
      </c>
      <c r="HN192" s="52" t="s">
        <v>26</v>
      </c>
      <c r="HO192" s="131" t="s">
        <v>25</v>
      </c>
      <c r="HP192" s="52" t="s">
        <v>26</v>
      </c>
      <c r="HQ192" s="131" t="s">
        <v>25</v>
      </c>
      <c r="HR192" s="52" t="s">
        <v>26</v>
      </c>
      <c r="HS192" s="131" t="s">
        <v>25</v>
      </c>
      <c r="HT192" s="52" t="s">
        <v>26</v>
      </c>
      <c r="HU192" s="131" t="s">
        <v>25</v>
      </c>
      <c r="HV192" s="52" t="s">
        <v>26</v>
      </c>
      <c r="HY192" s="231"/>
      <c r="HZ192" s="53" t="s">
        <v>25</v>
      </c>
      <c r="IA192" s="52" t="s">
        <v>26</v>
      </c>
      <c r="IB192" s="131" t="s">
        <v>25</v>
      </c>
      <c r="IC192" s="52" t="s">
        <v>26</v>
      </c>
      <c r="ID192" s="131" t="s">
        <v>25</v>
      </c>
      <c r="IE192" s="52" t="s">
        <v>26</v>
      </c>
      <c r="IF192" s="131" t="s">
        <v>25</v>
      </c>
      <c r="IG192" s="52" t="s">
        <v>26</v>
      </c>
      <c r="IH192" s="131" t="s">
        <v>25</v>
      </c>
      <c r="II192" s="52" t="s">
        <v>26</v>
      </c>
      <c r="IJ192" s="131" t="s">
        <v>25</v>
      </c>
      <c r="IK192" s="52" t="s">
        <v>26</v>
      </c>
      <c r="IL192" s="131" t="s">
        <v>25</v>
      </c>
      <c r="IM192" s="52" t="s">
        <v>26</v>
      </c>
      <c r="IN192" s="131" t="s">
        <v>25</v>
      </c>
      <c r="IO192" s="52" t="s">
        <v>26</v>
      </c>
    </row>
    <row r="193" spans="1:249" ht="13.5" thickBot="1" x14ac:dyDescent="0.25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6"/>
      <c r="AN193" s="156"/>
      <c r="AO193" s="158"/>
      <c r="AP193" s="726"/>
      <c r="AQ193" s="134"/>
      <c r="AR193" s="261" t="s">
        <v>221</v>
      </c>
      <c r="AS193" s="134" t="s">
        <v>221</v>
      </c>
      <c r="AT193" s="133" t="s">
        <v>221</v>
      </c>
      <c r="AU193" s="134" t="s">
        <v>221</v>
      </c>
      <c r="AV193" s="133" t="s">
        <v>221</v>
      </c>
      <c r="AW193" s="134" t="s">
        <v>221</v>
      </c>
      <c r="AX193" s="133" t="s">
        <v>221</v>
      </c>
      <c r="AY193" s="134" t="s">
        <v>221</v>
      </c>
      <c r="AZ193" s="133" t="s">
        <v>221</v>
      </c>
      <c r="BA193" s="134" t="s">
        <v>221</v>
      </c>
      <c r="BB193" s="133" t="s">
        <v>221</v>
      </c>
      <c r="BC193" s="134" t="s">
        <v>221</v>
      </c>
      <c r="BD193" s="133" t="s">
        <v>221</v>
      </c>
      <c r="BE193" s="134" t="s">
        <v>221</v>
      </c>
      <c r="BF193" s="133" t="s">
        <v>221</v>
      </c>
      <c r="BG193" s="134" t="s">
        <v>221</v>
      </c>
      <c r="BI193" s="156"/>
      <c r="BJ193" s="134"/>
      <c r="BK193" s="261" t="s">
        <v>221</v>
      </c>
      <c r="BL193" s="134" t="s">
        <v>221</v>
      </c>
      <c r="BM193" s="133" t="s">
        <v>221</v>
      </c>
      <c r="BN193" s="134" t="s">
        <v>221</v>
      </c>
      <c r="BO193" s="133" t="s">
        <v>221</v>
      </c>
      <c r="BP193" s="134" t="s">
        <v>221</v>
      </c>
      <c r="BQ193" s="133" t="s">
        <v>221</v>
      </c>
      <c r="BR193" s="134" t="s">
        <v>221</v>
      </c>
      <c r="BS193" s="133" t="s">
        <v>221</v>
      </c>
      <c r="BT193" s="134" t="s">
        <v>221</v>
      </c>
      <c r="BU193" s="133" t="s">
        <v>221</v>
      </c>
      <c r="BV193" s="134" t="s">
        <v>221</v>
      </c>
      <c r="BW193" s="133" t="s">
        <v>221</v>
      </c>
      <c r="BX193" s="134" t="s">
        <v>221</v>
      </c>
      <c r="BY193" s="133" t="s">
        <v>221</v>
      </c>
      <c r="BZ193" s="134" t="s">
        <v>221</v>
      </c>
      <c r="CA193" s="156"/>
      <c r="CB193" s="156"/>
      <c r="CC193" s="134"/>
      <c r="CD193" s="261" t="s">
        <v>221</v>
      </c>
      <c r="CE193" s="134" t="s">
        <v>221</v>
      </c>
      <c r="CF193" s="133" t="s">
        <v>221</v>
      </c>
      <c r="CG193" s="134" t="s">
        <v>221</v>
      </c>
      <c r="CH193" s="133" t="s">
        <v>221</v>
      </c>
      <c r="CI193" s="134" t="s">
        <v>221</v>
      </c>
      <c r="CJ193" s="133" t="s">
        <v>221</v>
      </c>
      <c r="CK193" s="134" t="s">
        <v>221</v>
      </c>
      <c r="CL193" s="133" t="s">
        <v>221</v>
      </c>
      <c r="CM193" s="134" t="s">
        <v>221</v>
      </c>
      <c r="CN193" s="133" t="s">
        <v>221</v>
      </c>
      <c r="CO193" s="134" t="s">
        <v>221</v>
      </c>
      <c r="CP193" s="133" t="s">
        <v>221</v>
      </c>
      <c r="CQ193" s="134" t="s">
        <v>221</v>
      </c>
      <c r="CR193" s="133" t="s">
        <v>221</v>
      </c>
      <c r="CS193" s="134" t="s">
        <v>221</v>
      </c>
      <c r="CV193" s="134"/>
      <c r="CW193" s="261" t="s">
        <v>221</v>
      </c>
      <c r="CX193" s="134" t="s">
        <v>221</v>
      </c>
      <c r="CY193" s="133" t="s">
        <v>221</v>
      </c>
      <c r="CZ193" s="134" t="s">
        <v>221</v>
      </c>
      <c r="DA193" s="133" t="s">
        <v>221</v>
      </c>
      <c r="DB193" s="134" t="s">
        <v>221</v>
      </c>
      <c r="DC193" s="133" t="s">
        <v>221</v>
      </c>
      <c r="DD193" s="134" t="s">
        <v>221</v>
      </c>
      <c r="DE193" s="133" t="s">
        <v>221</v>
      </c>
      <c r="DF193" s="134" t="s">
        <v>221</v>
      </c>
      <c r="DG193" s="133" t="s">
        <v>221</v>
      </c>
      <c r="DH193" s="134" t="s">
        <v>221</v>
      </c>
      <c r="DI193" s="133" t="s">
        <v>221</v>
      </c>
      <c r="DJ193" s="134" t="s">
        <v>221</v>
      </c>
      <c r="DK193" s="133" t="s">
        <v>221</v>
      </c>
      <c r="DL193" s="134" t="s">
        <v>221</v>
      </c>
      <c r="DO193" s="134"/>
      <c r="DP193" s="261" t="s">
        <v>221</v>
      </c>
      <c r="DQ193" s="134" t="s">
        <v>221</v>
      </c>
      <c r="DR193" s="133" t="s">
        <v>221</v>
      </c>
      <c r="DS193" s="134" t="s">
        <v>221</v>
      </c>
      <c r="DT193" s="133" t="s">
        <v>221</v>
      </c>
      <c r="DU193" s="134" t="s">
        <v>221</v>
      </c>
      <c r="DV193" s="133" t="s">
        <v>221</v>
      </c>
      <c r="DW193" s="134" t="s">
        <v>221</v>
      </c>
      <c r="DX193" s="133" t="s">
        <v>221</v>
      </c>
      <c r="DY193" s="134" t="s">
        <v>221</v>
      </c>
      <c r="DZ193" s="133" t="s">
        <v>221</v>
      </c>
      <c r="EA193" s="134" t="s">
        <v>221</v>
      </c>
      <c r="EB193" s="133" t="s">
        <v>221</v>
      </c>
      <c r="EC193" s="134" t="s">
        <v>221</v>
      </c>
      <c r="ED193" s="133" t="s">
        <v>221</v>
      </c>
      <c r="EE193" s="134" t="s">
        <v>221</v>
      </c>
      <c r="EH193" s="134"/>
      <c r="EI193" s="261" t="s">
        <v>221</v>
      </c>
      <c r="EJ193" s="134" t="s">
        <v>221</v>
      </c>
      <c r="EK193" s="133" t="s">
        <v>221</v>
      </c>
      <c r="EL193" s="134" t="s">
        <v>221</v>
      </c>
      <c r="EM193" s="133" t="s">
        <v>221</v>
      </c>
      <c r="EN193" s="134" t="s">
        <v>221</v>
      </c>
      <c r="EO193" s="133" t="s">
        <v>221</v>
      </c>
      <c r="EP193" s="134" t="s">
        <v>221</v>
      </c>
      <c r="EQ193" s="133" t="s">
        <v>221</v>
      </c>
      <c r="ER193" s="134" t="s">
        <v>221</v>
      </c>
      <c r="ES193" s="133" t="s">
        <v>221</v>
      </c>
      <c r="ET193" s="134" t="s">
        <v>221</v>
      </c>
      <c r="EU193" s="133" t="s">
        <v>221</v>
      </c>
      <c r="EV193" s="134" t="s">
        <v>221</v>
      </c>
      <c r="EW193" s="133" t="s">
        <v>221</v>
      </c>
      <c r="EX193" s="134" t="s">
        <v>221</v>
      </c>
      <c r="FA193" s="134"/>
      <c r="FB193" s="261" t="s">
        <v>221</v>
      </c>
      <c r="FC193" s="134" t="s">
        <v>221</v>
      </c>
      <c r="FD193" s="133" t="s">
        <v>221</v>
      </c>
      <c r="FE193" s="134" t="s">
        <v>221</v>
      </c>
      <c r="FF193" s="133" t="s">
        <v>221</v>
      </c>
      <c r="FG193" s="134" t="s">
        <v>221</v>
      </c>
      <c r="FH193" s="133" t="s">
        <v>221</v>
      </c>
      <c r="FI193" s="134" t="s">
        <v>221</v>
      </c>
      <c r="FJ193" s="133" t="s">
        <v>221</v>
      </c>
      <c r="FK193" s="134" t="s">
        <v>221</v>
      </c>
      <c r="FL193" s="133" t="s">
        <v>221</v>
      </c>
      <c r="FM193" s="134" t="s">
        <v>221</v>
      </c>
      <c r="FN193" s="133" t="s">
        <v>221</v>
      </c>
      <c r="FO193" s="134" t="s">
        <v>221</v>
      </c>
      <c r="FP193" s="133" t="s">
        <v>221</v>
      </c>
      <c r="FQ193" s="134" t="s">
        <v>221</v>
      </c>
      <c r="FT193" s="134"/>
      <c r="FU193" s="261" t="s">
        <v>221</v>
      </c>
      <c r="FV193" s="134" t="s">
        <v>221</v>
      </c>
      <c r="FW193" s="133" t="s">
        <v>221</v>
      </c>
      <c r="FX193" s="134" t="s">
        <v>221</v>
      </c>
      <c r="FY193" s="133" t="s">
        <v>221</v>
      </c>
      <c r="FZ193" s="134" t="s">
        <v>221</v>
      </c>
      <c r="GA193" s="133" t="s">
        <v>221</v>
      </c>
      <c r="GB193" s="134" t="s">
        <v>221</v>
      </c>
      <c r="GC193" s="133" t="s">
        <v>221</v>
      </c>
      <c r="GD193" s="134" t="s">
        <v>221</v>
      </c>
      <c r="GE193" s="133" t="s">
        <v>221</v>
      </c>
      <c r="GF193" s="134" t="s">
        <v>221</v>
      </c>
      <c r="GG193" s="133" t="s">
        <v>221</v>
      </c>
      <c r="GH193" s="134" t="s">
        <v>221</v>
      </c>
      <c r="GI193" s="133" t="s">
        <v>221</v>
      </c>
      <c r="GJ193" s="134" t="s">
        <v>221</v>
      </c>
      <c r="GM193" s="134"/>
      <c r="GN193" s="261" t="s">
        <v>221</v>
      </c>
      <c r="GO193" s="134" t="s">
        <v>221</v>
      </c>
      <c r="GP193" s="133" t="s">
        <v>221</v>
      </c>
      <c r="GQ193" s="134" t="s">
        <v>221</v>
      </c>
      <c r="GR193" s="133" t="s">
        <v>221</v>
      </c>
      <c r="GS193" s="134" t="s">
        <v>221</v>
      </c>
      <c r="GT193" s="133" t="s">
        <v>221</v>
      </c>
      <c r="GU193" s="134" t="s">
        <v>221</v>
      </c>
      <c r="GV193" s="133" t="s">
        <v>221</v>
      </c>
      <c r="GW193" s="134" t="s">
        <v>221</v>
      </c>
      <c r="GX193" s="133" t="s">
        <v>221</v>
      </c>
      <c r="GY193" s="134" t="s">
        <v>221</v>
      </c>
      <c r="GZ193" s="133" t="s">
        <v>221</v>
      </c>
      <c r="HA193" s="134" t="s">
        <v>221</v>
      </c>
      <c r="HB193" s="133" t="s">
        <v>221</v>
      </c>
      <c r="HC193" s="134" t="s">
        <v>221</v>
      </c>
      <c r="HF193" s="134"/>
      <c r="HG193" s="261" t="s">
        <v>221</v>
      </c>
      <c r="HH193" s="134" t="s">
        <v>221</v>
      </c>
      <c r="HI193" s="133" t="s">
        <v>221</v>
      </c>
      <c r="HJ193" s="134" t="s">
        <v>221</v>
      </c>
      <c r="HK193" s="133" t="s">
        <v>221</v>
      </c>
      <c r="HL193" s="134" t="s">
        <v>221</v>
      </c>
      <c r="HM193" s="133" t="s">
        <v>221</v>
      </c>
      <c r="HN193" s="134" t="s">
        <v>221</v>
      </c>
      <c r="HO193" s="133" t="s">
        <v>221</v>
      </c>
      <c r="HP193" s="134" t="s">
        <v>221</v>
      </c>
      <c r="HQ193" s="133" t="s">
        <v>221</v>
      </c>
      <c r="HR193" s="134" t="s">
        <v>221</v>
      </c>
      <c r="HS193" s="133" t="s">
        <v>221</v>
      </c>
      <c r="HT193" s="134" t="s">
        <v>221</v>
      </c>
      <c r="HU193" s="133" t="s">
        <v>221</v>
      </c>
      <c r="HV193" s="134" t="s">
        <v>221</v>
      </c>
      <c r="HY193" s="134"/>
      <c r="HZ193" s="261" t="s">
        <v>221</v>
      </c>
      <c r="IA193" s="134" t="s">
        <v>221</v>
      </c>
      <c r="IB193" s="133" t="s">
        <v>221</v>
      </c>
      <c r="IC193" s="134" t="s">
        <v>221</v>
      </c>
      <c r="ID193" s="133" t="s">
        <v>221</v>
      </c>
      <c r="IE193" s="134" t="s">
        <v>221</v>
      </c>
      <c r="IF193" s="133" t="s">
        <v>221</v>
      </c>
      <c r="IG193" s="134" t="s">
        <v>221</v>
      </c>
      <c r="IH193" s="133" t="s">
        <v>221</v>
      </c>
      <c r="II193" s="134" t="s">
        <v>221</v>
      </c>
      <c r="IJ193" s="133" t="s">
        <v>221</v>
      </c>
      <c r="IK193" s="134" t="s">
        <v>221</v>
      </c>
      <c r="IL193" s="133" t="s">
        <v>221</v>
      </c>
      <c r="IM193" s="134" t="s">
        <v>221</v>
      </c>
      <c r="IN193" s="133" t="s">
        <v>221</v>
      </c>
      <c r="IO193" s="134" t="s">
        <v>221</v>
      </c>
    </row>
    <row r="194" spans="1:249" x14ac:dyDescent="0.2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22"/>
      <c r="AN194" s="156"/>
      <c r="AO194" s="158"/>
      <c r="AP194" s="726"/>
      <c r="AQ194" s="262" t="s">
        <v>52</v>
      </c>
      <c r="AR194" s="259">
        <f>AR195+AR196</f>
        <v>773.92140745171935</v>
      </c>
      <c r="AS194" s="263">
        <f t="shared" ref="AS194" si="2889">AS195+AS196</f>
        <v>767.28751107378923</v>
      </c>
      <c r="AT194" s="259">
        <f>AT195+AT196</f>
        <v>859.0467552666297</v>
      </c>
      <c r="AU194" s="263">
        <f t="shared" ref="AU194" si="2890">AU195+AU196</f>
        <v>847.59634485829588</v>
      </c>
      <c r="AV194" s="259">
        <f>AV195+AV196</f>
        <v>930.19702075608359</v>
      </c>
      <c r="AW194" s="263">
        <f t="shared" ref="AW194" si="2891">AW195+AW196</f>
        <v>919.40091528895334</v>
      </c>
      <c r="AX194" s="259">
        <f>AX195+AX196</f>
        <v>786.99972819507775</v>
      </c>
      <c r="AY194" s="263">
        <f t="shared" ref="AY194" si="2892">AY195+AY196</f>
        <v>779.43995347743225</v>
      </c>
      <c r="AZ194" s="259">
        <f>AZ195+AZ196</f>
        <v>732.38654563326475</v>
      </c>
      <c r="BA194" s="263">
        <f t="shared" ref="BA194" si="2893">BA195+BA196</f>
        <v>726.21986203928384</v>
      </c>
      <c r="BB194" s="259">
        <f>BB195+BB196</f>
        <v>382.61685420138542</v>
      </c>
      <c r="BC194" s="263">
        <f>BC195+BC196</f>
        <v>361.5597664098554</v>
      </c>
      <c r="BD194" s="259">
        <f>BD195+BD196</f>
        <v>1057.7587003912404</v>
      </c>
      <c r="BE194" s="263">
        <f>BE195+BE196</f>
        <v>1030.0408426747106</v>
      </c>
      <c r="BF194" s="259">
        <f>BF195+BF196</f>
        <v>731.31738334842919</v>
      </c>
      <c r="BG194" s="263">
        <f t="shared" ref="BG194" si="2894">BG195+BG196</f>
        <v>725.47952948590239</v>
      </c>
      <c r="BI194" s="156"/>
      <c r="BJ194" s="262" t="s">
        <v>52</v>
      </c>
      <c r="BK194" s="259">
        <f>BK195+BK196</f>
        <v>14.392585611197839</v>
      </c>
      <c r="BL194" s="263">
        <f t="shared" ref="BL194" si="2895">BL195+BL196</f>
        <v>13.65219788248629</v>
      </c>
      <c r="BM194" s="259">
        <f>BM195+BM196</f>
        <v>24.070569778126142</v>
      </c>
      <c r="BN194" s="263">
        <f t="shared" ref="BN194" si="2896">BN195+BN196</f>
        <v>22.792626489285293</v>
      </c>
      <c r="BO194" s="259">
        <f>BO195+BO196</f>
        <v>23.463273391872551</v>
      </c>
      <c r="BP194" s="263">
        <f t="shared" ref="BP194" si="2897">BP195+BP196</f>
        <v>22.258354962285473</v>
      </c>
      <c r="BQ194" s="259">
        <f>BQ195+BQ196</f>
        <v>16.212059108000663</v>
      </c>
      <c r="BR194" s="263">
        <f t="shared" ref="BR194" si="2898">BR195+BR196</f>
        <v>15.36833709096865</v>
      </c>
      <c r="BS194" s="259">
        <f>BS195+BS196</f>
        <v>13.712686346935737</v>
      </c>
      <c r="BT194" s="263">
        <f t="shared" ref="BT194" si="2899">BT195+BT196</f>
        <v>13.024442726637453</v>
      </c>
      <c r="BU194" s="259">
        <f>BU195+BU196</f>
        <v>19.874829292331377</v>
      </c>
      <c r="BV194" s="263">
        <f>BV195+BV196</f>
        <v>17.524715797173783</v>
      </c>
      <c r="BW194" s="259">
        <f>BW195+BW196</f>
        <v>36.39020333970155</v>
      </c>
      <c r="BX194" s="263">
        <f>BX195+BX196</f>
        <v>33.296702846120645</v>
      </c>
      <c r="BY194" s="259">
        <f>BY195+BY196</f>
        <v>13.6329355198346</v>
      </c>
      <c r="BZ194" s="263">
        <f t="shared" ref="BZ194" si="2900">BZ195+BZ196</f>
        <v>12.981391522824683</v>
      </c>
      <c r="CA194" s="156"/>
      <c r="CB194" s="156"/>
      <c r="CC194" s="262" t="s">
        <v>52</v>
      </c>
      <c r="CD194" s="259">
        <f>CD195+CD196</f>
        <v>13203.036637127007</v>
      </c>
      <c r="CE194" s="263">
        <f t="shared" ref="CE194" si="2901">CE195+CE196</f>
        <v>13187.697255929354</v>
      </c>
      <c r="CF194" s="259">
        <f>CF195+CF196</f>
        <v>10051.038673828918</v>
      </c>
      <c r="CG194" s="263">
        <f t="shared" ref="CG194" si="2902">CG195+CG196</f>
        <v>10024.562196037174</v>
      </c>
      <c r="CH194" s="259">
        <f>CH195+CH196</f>
        <v>12319.228736039951</v>
      </c>
      <c r="CI194" s="263">
        <f t="shared" ref="CI194" si="2903">CI195+CI196</f>
        <v>12294.265190066983</v>
      </c>
      <c r="CJ194" s="259">
        <f>CJ195+CJ196</f>
        <v>12477.083842855252</v>
      </c>
      <c r="CK194" s="263">
        <f t="shared" ref="CK194" si="2904">CK195+CK196</f>
        <v>12459.603577931592</v>
      </c>
      <c r="CL194" s="259">
        <f>CL195+CL196</f>
        <v>12459.774164845821</v>
      </c>
      <c r="CM194" s="263">
        <f t="shared" ref="CM194" si="2905">CM195+CM196</f>
        <v>12445.515107274758</v>
      </c>
      <c r="CN194" s="259">
        <f>CN195+CN196</f>
        <v>1272.1576138631897</v>
      </c>
      <c r="CO194" s="263">
        <f>CO195+CO196</f>
        <v>1223.4678728504603</v>
      </c>
      <c r="CP194" s="259">
        <f>CP195+CP196</f>
        <v>8237.8674958777956</v>
      </c>
      <c r="CQ194" s="263">
        <f>CQ195+CQ196</f>
        <v>8173.7762346831505</v>
      </c>
      <c r="CR194" s="259">
        <f>CR195+CR196</f>
        <v>12456.628410850577</v>
      </c>
      <c r="CS194" s="263">
        <f t="shared" ref="CS194" si="2906">CS195+CS196</f>
        <v>12443.129697474318</v>
      </c>
      <c r="CV194" s="262" t="s">
        <v>52</v>
      </c>
      <c r="CW194" s="259">
        <f>CW195+CW196</f>
        <v>8.5668785699056799E-4</v>
      </c>
      <c r="CX194" s="263">
        <f t="shared" ref="CX194" si="2907">CX195+CX196</f>
        <v>8.4274090517143078E-4</v>
      </c>
      <c r="CY194" s="259">
        <f>CY195+CY196</f>
        <v>7.3412271923532118E-4</v>
      </c>
      <c r="CZ194" s="263">
        <f t="shared" ref="CZ194" si="2908">CZ195+CZ196</f>
        <v>7.1004963862380155E-4</v>
      </c>
      <c r="DA194" s="259">
        <f>DA195+DA196</f>
        <v>8.5727553212608387E-4</v>
      </c>
      <c r="DB194" s="263">
        <f t="shared" ref="DB194" si="2909">DB195+DB196</f>
        <v>8.3457804723842096E-4</v>
      </c>
      <c r="DC194" s="259">
        <f>DC195+DC196</f>
        <v>8.2246871110916225E-4</v>
      </c>
      <c r="DD194" s="263">
        <f t="shared" ref="DD194" si="2910">DD195+DD196</f>
        <v>8.0657521387256063E-4</v>
      </c>
      <c r="DE194" s="259">
        <f>DE195+DE196</f>
        <v>8.1092189884351149E-4</v>
      </c>
      <c r="DF194" s="263">
        <f t="shared" ref="DF194" si="2911">DF195+DF196</f>
        <v>7.979572044815006E-4</v>
      </c>
      <c r="DG194" s="259">
        <f>DG195+DG196</f>
        <v>1.9727238605334591E-4</v>
      </c>
      <c r="DH194" s="263">
        <f>DH195+DH196</f>
        <v>1.5300244691820289E-4</v>
      </c>
      <c r="DI194" s="259">
        <f>DI195+DI196</f>
        <v>6.9033124619796965E-4</v>
      </c>
      <c r="DJ194" s="263">
        <f>DJ195+DJ196</f>
        <v>6.3205785691377355E-4</v>
      </c>
      <c r="DK194" s="259">
        <f>DK195+DK196</f>
        <v>8.0973915427531309E-4</v>
      </c>
      <c r="DL194" s="263">
        <f t="shared" ref="DL194" si="2912">DL195+DL196</f>
        <v>7.9746578401003465E-4</v>
      </c>
      <c r="DO194" s="262" t="s">
        <v>52</v>
      </c>
      <c r="DP194" s="259">
        <f>DP195+DP196</f>
        <v>10.119798650483407</v>
      </c>
      <c r="DQ194" s="263">
        <f t="shared" ref="DQ194" si="2913">DQ195+DQ196</f>
        <v>10.119544523372321</v>
      </c>
      <c r="DR194" s="259">
        <f>DR195+DR196</f>
        <v>37.712725933033404</v>
      </c>
      <c r="DS194" s="263">
        <f t="shared" ref="DS194" si="2914">DS195+DS196</f>
        <v>37.712287297945963</v>
      </c>
      <c r="DT194" s="259">
        <f>DT195+DT196</f>
        <v>35.650126059635944</v>
      </c>
      <c r="DU194" s="263">
        <f t="shared" ref="DU194" si="2915">DU195+DU196</f>
        <v>35.649712489248799</v>
      </c>
      <c r="DV194" s="259">
        <f>DV195+DV196</f>
        <v>11.655502070962532</v>
      </c>
      <c r="DW194" s="263">
        <f t="shared" ref="DW194" si="2916">DW195+DW196</f>
        <v>11.655212475888987</v>
      </c>
      <c r="DX194" s="259">
        <f>DX195+DX196</f>
        <v>9.5840432657655104</v>
      </c>
      <c r="DY194" s="263">
        <f t="shared" ref="DY194" si="2917">DY195+DY196</f>
        <v>9.5838070363465633</v>
      </c>
      <c r="DZ194" s="259">
        <f>DZ195+DZ196</f>
        <v>2.3598164823318096E-2</v>
      </c>
      <c r="EA194" s="263">
        <f>EA195+EA196</f>
        <v>2.2791523208274472E-2</v>
      </c>
      <c r="EB194" s="259">
        <f>EB195+EB196</f>
        <v>0.26434309237662756</v>
      </c>
      <c r="EC194" s="263">
        <f>EC195+EC196</f>
        <v>0.26328129419563673</v>
      </c>
      <c r="ED194" s="259">
        <f>ED195+ED196</f>
        <v>9.5834968484214755</v>
      </c>
      <c r="EE194" s="263">
        <f t="shared" ref="EE194" si="2918">EE195+EE196</f>
        <v>9.5832732156041232</v>
      </c>
      <c r="EH194" s="262" t="s">
        <v>52</v>
      </c>
      <c r="EI194" s="259">
        <f>EI195+EI196</f>
        <v>0.14925191156763656</v>
      </c>
      <c r="EJ194" s="263">
        <f t="shared" ref="EJ194" si="2919">EJ195+EJ196</f>
        <v>0.14922811555337603</v>
      </c>
      <c r="EK194" s="259">
        <f>EK195+EK196</f>
        <v>0.12150489789622725</v>
      </c>
      <c r="EL194" s="263">
        <f t="shared" ref="EL194" si="2920">EL195+EL196</f>
        <v>0.12146382488063537</v>
      </c>
      <c r="EM194" s="259">
        <f>EM195+EM196</f>
        <v>0.1466502748154509</v>
      </c>
      <c r="EN194" s="263">
        <f t="shared" ref="EN194" si="2921">EN195+EN196</f>
        <v>0.14661154881416624</v>
      </c>
      <c r="EO194" s="259">
        <f>EO195+EO196</f>
        <v>0.14197824358220792</v>
      </c>
      <c r="EP194" s="263">
        <f t="shared" ref="EP194" si="2922">EP195+EP196</f>
        <v>0.14195112641052793</v>
      </c>
      <c r="EQ194" s="259">
        <f>EQ195+EQ196</f>
        <v>0.14055202169454364</v>
      </c>
      <c r="ER194" s="263">
        <f t="shared" ref="ER194" si="2923">ER195+ER196</f>
        <v>0.14052990158859341</v>
      </c>
      <c r="ES194" s="259">
        <f>ES195+ES196</f>
        <v>1.5948369212941838E-2</v>
      </c>
      <c r="ET194" s="263">
        <f>ET195+ET196</f>
        <v>1.5872836715473303E-2</v>
      </c>
      <c r="EU194" s="259">
        <f>EU195+EU196</f>
        <v>9.5064987366765774E-2</v>
      </c>
      <c r="EV194" s="263">
        <f>EV195+EV196</f>
        <v>9.4965562458699943E-2</v>
      </c>
      <c r="EW194" s="259">
        <f>EW195+EW196</f>
        <v>0.14052288640783234</v>
      </c>
      <c r="EX194" s="263">
        <f t="shared" ref="EX194" si="2924">EX195+EX196</f>
        <v>0.14050194582542805</v>
      </c>
      <c r="FA194" s="262" t="s">
        <v>52</v>
      </c>
      <c r="FB194" s="259">
        <f>FB195+FB196</f>
        <v>2.1958375385827E-6</v>
      </c>
      <c r="FC194" s="263">
        <f t="shared" ref="FC194" si="2925">FC195+FC196</f>
        <v>2.1292053758690537E-6</v>
      </c>
      <c r="FD194" s="259">
        <f>FD195+FD196</f>
        <v>3.62743956066919E-6</v>
      </c>
      <c r="FE194" s="263">
        <f t="shared" ref="FE194" si="2926">FE195+FE196</f>
        <v>3.5124293817335663E-6</v>
      </c>
      <c r="FF194" s="259">
        <f>FF195+FF196</f>
        <v>3.5786249036922196E-6</v>
      </c>
      <c r="FG194" s="263">
        <f t="shared" ref="FG194" si="2927">FG195+FG196</f>
        <v>3.4701866925448864E-6</v>
      </c>
      <c r="FH194" s="259">
        <f>FH195+FH196</f>
        <v>2.4192847259337817E-6</v>
      </c>
      <c r="FI194" s="263">
        <f t="shared" ref="FI194" si="2928">FI195+FI196</f>
        <v>2.3433528586920092E-6</v>
      </c>
      <c r="FJ194" s="259">
        <f>FJ195+FJ196</f>
        <v>2.0874585884458562E-6</v>
      </c>
      <c r="FK194" s="263">
        <f t="shared" ref="FK194" si="2929">FK195+FK196</f>
        <v>2.0255192030185071E-6</v>
      </c>
      <c r="FL194" s="259">
        <f>FL195+FL196</f>
        <v>1.4836271347155826E-6</v>
      </c>
      <c r="FM194" s="263">
        <f>FM195+FM196</f>
        <v>1.2721255947354609E-6</v>
      </c>
      <c r="FN194" s="259">
        <f>FN195+FN196</f>
        <v>4.4439635432606148E-6</v>
      </c>
      <c r="FO194" s="263">
        <f>FO195+FO196</f>
        <v>4.1655599173634963E-6</v>
      </c>
      <c r="FP194" s="259">
        <f>FP195+FP196</f>
        <v>2.0808411343677207E-6</v>
      </c>
      <c r="FQ194" s="263">
        <f t="shared" ref="FQ194" si="2930">FQ195+FQ196</f>
        <v>2.0222045795730937E-6</v>
      </c>
      <c r="FT194" s="262" t="s">
        <v>52</v>
      </c>
      <c r="FU194" s="259">
        <f>FU195+FU196</f>
        <v>0.20475835663389758</v>
      </c>
      <c r="FV194" s="263">
        <f t="shared" ref="FV194" si="2931">FV195+FV196</f>
        <v>0.1991502795883085</v>
      </c>
      <c r="FW194" s="259">
        <f>FW195+FW196</f>
        <v>0.18399010480122968</v>
      </c>
      <c r="FX194" s="263">
        <f t="shared" ref="FX194" si="2932">FX195+FX196</f>
        <v>0.17431030576379167</v>
      </c>
      <c r="FY194" s="259">
        <f>FY195+FY196</f>
        <v>0.21422330958018521</v>
      </c>
      <c r="FZ194" s="263">
        <f t="shared" ref="FZ194" si="2933">FZ195+FZ196</f>
        <v>0.20509663834465053</v>
      </c>
      <c r="GA194" s="259">
        <f>GA195+GA196</f>
        <v>0.1969464822322205</v>
      </c>
      <c r="GB194" s="263">
        <f t="shared" ref="GB194" si="2934">GB195+GB196</f>
        <v>0.19055569819692922</v>
      </c>
      <c r="GC194" s="259">
        <f>GC195+GC196</f>
        <v>0.19303226350095704</v>
      </c>
      <c r="GD194" s="263">
        <f t="shared" ref="GD194" si="2935">GD195+GD196</f>
        <v>0.18781915272252103</v>
      </c>
      <c r="GE194" s="259">
        <f>GE195+GE196</f>
        <v>4.2486090704490095E-2</v>
      </c>
      <c r="GF194" s="263">
        <f>GF195+GF196</f>
        <v>2.4685123676500442E-2</v>
      </c>
      <c r="GG194" s="259">
        <f>GG195+GG196</f>
        <v>0.15396529458537483</v>
      </c>
      <c r="GH194" s="263">
        <f>GH195+GH196</f>
        <v>0.1305335325020672</v>
      </c>
      <c r="GI194" s="259">
        <f>GI195+GI196</f>
        <v>0.19262175755778349</v>
      </c>
      <c r="GJ194" s="263">
        <f t="shared" ref="GJ194" si="2936">GJ195+GJ196</f>
        <v>0.18768662858126556</v>
      </c>
      <c r="GM194" s="262" t="s">
        <v>52</v>
      </c>
      <c r="GN194" s="259">
        <f>GN195+GN196</f>
        <v>0.76570363642775041</v>
      </c>
      <c r="GO194" s="263">
        <f t="shared" ref="GO194" si="2937">GO195+GO196</f>
        <v>0.51420081756691793</v>
      </c>
      <c r="GP194" s="259">
        <f>GP195+GP196</f>
        <v>1.2042474406615131</v>
      </c>
      <c r="GQ194" s="263">
        <f t="shared" ref="GQ194" si="2938">GQ195+GQ196</f>
        <v>0.77014200235680308</v>
      </c>
      <c r="GR194" s="259">
        <f>GR195+GR196</f>
        <v>1.1855013967054169</v>
      </c>
      <c r="GS194" s="263">
        <f t="shared" ref="GS194" si="2939">GS195+GS196</f>
        <v>0.77620182326991449</v>
      </c>
      <c r="GT194" s="259">
        <f>GT195+GT196</f>
        <v>0.83476466748079248</v>
      </c>
      <c r="GU194" s="263">
        <f t="shared" ref="GU194" si="2940">GU195+GU196</f>
        <v>0.54816015286008879</v>
      </c>
      <c r="GV194" s="259">
        <f>GV195+GV196</f>
        <v>0.7167824754120713</v>
      </c>
      <c r="GW194" s="263">
        <f t="shared" ref="GW194" si="2941">GW195+GW196</f>
        <v>0.48299252474766818</v>
      </c>
      <c r="GX194" s="259">
        <f>GX195+GX196</f>
        <v>1.3747974776671477</v>
      </c>
      <c r="GY194" s="263">
        <f>GY195+GY196</f>
        <v>0.57648580156251494</v>
      </c>
      <c r="GZ194" s="259">
        <f>GZ195+GZ196</f>
        <v>2.0616666511613824</v>
      </c>
      <c r="HA194" s="263">
        <f>HA195+HA196</f>
        <v>1.0108333321963041</v>
      </c>
      <c r="HB194" s="259">
        <f>HB195+HB196</f>
        <v>0.69938565006003206</v>
      </c>
      <c r="HC194" s="263">
        <f t="shared" ref="HC194" si="2942">HC195+HC196</f>
        <v>0.47806221977437358</v>
      </c>
      <c r="HF194" s="262" t="s">
        <v>52</v>
      </c>
      <c r="HG194" s="259">
        <f>HG195+HG196</f>
        <v>124.8774750293783</v>
      </c>
      <c r="HH194" s="263">
        <f t="shared" ref="HH194" si="2943">HH195+HH196</f>
        <v>123.84267497062693</v>
      </c>
      <c r="HI194" s="259">
        <f>HI195+HI196</f>
        <v>110.12117115801625</v>
      </c>
      <c r="HJ194" s="263">
        <f t="shared" ref="HJ194" si="2944">HJ195+HJ196</f>
        <v>108.3350586400863</v>
      </c>
      <c r="HK194" s="259">
        <f>HK195+HK196</f>
        <v>129.47861442340059</v>
      </c>
      <c r="HL194" s="263">
        <f t="shared" ref="HL194" si="2945">HL195+HL196</f>
        <v>127.79456481888172</v>
      </c>
      <c r="HM194" s="259">
        <f>HM195+HM196</f>
        <v>119.68690502386181</v>
      </c>
      <c r="HN194" s="263">
        <f t="shared" ref="HN194" si="2946">HN195+HN196</f>
        <v>118.50768019484698</v>
      </c>
      <c r="HO194" s="259">
        <f>HO195+HO196</f>
        <v>117.67266327649565</v>
      </c>
      <c r="HP194" s="263">
        <f t="shared" ref="HP194" si="2947">HP195+HP196</f>
        <v>116.71074223012809</v>
      </c>
      <c r="HQ194" s="259">
        <f>HQ195+HQ196</f>
        <v>15.748827616207807</v>
      </c>
      <c r="HR194" s="263">
        <f>HR195+HR196</f>
        <v>12.464200536969816</v>
      </c>
      <c r="HS194" s="259">
        <f>HS195+HS196</f>
        <v>83.255317136247697</v>
      </c>
      <c r="HT194" s="263">
        <f>HT195+HT196</f>
        <v>78.931698080492041</v>
      </c>
      <c r="HU194" s="259">
        <f>HU195+HU196</f>
        <v>117.58240492765557</v>
      </c>
      <c r="HV194" s="263">
        <f t="shared" ref="HV194" si="2948">HV195+HV196</f>
        <v>116.67177696849387</v>
      </c>
      <c r="HY194" s="262" t="s">
        <v>52</v>
      </c>
      <c r="HZ194" s="259">
        <f>HZ195+HZ196</f>
        <v>9.9039808873513564E-5</v>
      </c>
      <c r="IA194" s="263">
        <f t="shared" ref="IA194" si="2949">IA195+IA196</f>
        <v>9.6327138906551667E-5</v>
      </c>
      <c r="IB194" s="259">
        <f>IB195+IB196</f>
        <v>9.7852544448479123E-5</v>
      </c>
      <c r="IC194" s="263">
        <f t="shared" ref="IC194" si="2950">IC195+IC196</f>
        <v>9.3170351261469067E-5</v>
      </c>
      <c r="ID194" s="259">
        <f>ID195+ID196</f>
        <v>1.094214295310625E-4</v>
      </c>
      <c r="IE194" s="263">
        <f t="shared" ref="IE194" si="2951">IE195+IE196</f>
        <v>1.0500678851281143E-4</v>
      </c>
      <c r="IF194" s="259">
        <f>IF195+IF196</f>
        <v>9.7352197709287905E-5</v>
      </c>
      <c r="IG194" s="263">
        <f t="shared" ref="IG194" si="2952">IG195+IG196</f>
        <v>9.42609263560333E-5</v>
      </c>
      <c r="IH194" s="259">
        <f>IH195+IH196</f>
        <v>9.3785924384763935E-5</v>
      </c>
      <c r="II194" s="263">
        <f t="shared" ref="II194" si="2953">II195+II196</f>
        <v>9.1264302636676271E-5</v>
      </c>
      <c r="IJ194" s="259">
        <f>IJ195+IJ196</f>
        <v>3.920907108363658E-5</v>
      </c>
      <c r="IK194" s="263">
        <f>IK195+IK196</f>
        <v>3.059860652561371E-5</v>
      </c>
      <c r="IL194" s="259">
        <f>IL195+IL196</f>
        <v>1.0174617692759898E-4</v>
      </c>
      <c r="IM194" s="263">
        <f>IM195+IM196</f>
        <v>9.0412053526712577E-5</v>
      </c>
      <c r="IN194" s="259">
        <f>IN195+IN196</f>
        <v>9.3554058536278586E-5</v>
      </c>
      <c r="IO194" s="263">
        <f t="shared" ref="IO194" si="2954">IO195+IO196</f>
        <v>9.1166898722164926E-5</v>
      </c>
    </row>
    <row r="195" spans="1:249" x14ac:dyDescent="0.2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58"/>
      <c r="AM195" s="130"/>
      <c r="AN195" s="156"/>
      <c r="AO195" s="158"/>
      <c r="AP195" s="726"/>
      <c r="AQ195" s="123" t="s">
        <v>198</v>
      </c>
      <c r="AR195" s="224">
        <f>(EXP(LN('Ecoinvent 3.10'!$E$5)^2)-1)*EXP(2*LN(AR10)+LN('Ecoinvent 3.10'!$E$5)^2)</f>
        <v>8.9797059928532352</v>
      </c>
      <c r="AS195" s="50">
        <f>(EXP(LN('Ecoinvent 3.10'!$E$5)^2)-1)*EXP(2*LN(AS10)+LN('Ecoinvent 3.10'!$E$5)^2)</f>
        <v>2.3458096149231404</v>
      </c>
      <c r="AT195" s="224">
        <f>(EXP(LN('Ecoinvent 3.10'!$E$5)^2)-1)*EXP(2*LN(AT10)+LN('Ecoinvent 3.10'!$E$5)^2)</f>
        <v>15.499385746574859</v>
      </c>
      <c r="AU195" s="50">
        <f>(EXP(LN('Ecoinvent 3.10'!$E$5)^2)-1)*EXP(2*LN(AU10)+LN('Ecoinvent 3.10'!$E$5)^2)</f>
        <v>4.048975338241033</v>
      </c>
      <c r="AV195" s="224">
        <f>(EXP(LN('Ecoinvent 3.10'!$E$5)^2)-1)*EXP(2*LN(AV10)+LN('Ecoinvent 3.10'!$E$5)^2)</f>
        <v>14.613712280039318</v>
      </c>
      <c r="AW195" s="50">
        <f>(EXP(LN('Ecoinvent 3.10'!$E$5)^2)-1)*EXP(2*LN(AW10)+LN('Ecoinvent 3.10'!$E$5)^2)</f>
        <v>3.8176068129090392</v>
      </c>
      <c r="AX195" s="224">
        <f>(EXP(LN('Ecoinvent 3.10'!$E$5)^2)-1)*EXP(2*LN(AX10)+LN('Ecoinvent 3.10'!$E$5)^2)</f>
        <v>10.232983825689939</v>
      </c>
      <c r="AY195" s="50">
        <f>(EXP(LN('Ecoinvent 3.10'!$E$5)^2)-1)*EXP(2*LN(AY10)+LN('Ecoinvent 3.10'!$E$5)^2)</f>
        <v>2.6732091080444351</v>
      </c>
      <c r="AZ195" s="224">
        <f>(EXP(LN('Ecoinvent 3.10'!$E$5)^2)-1)*EXP(2*LN(AZ10)+LN('Ecoinvent 3.10'!$E$5)^2)</f>
        <v>8.3472822712642198</v>
      </c>
      <c r="BA195" s="50">
        <f>(EXP(LN('Ecoinvent 3.10'!$E$5)^2)-1)*EXP(2*LN(BA10)+LN('Ecoinvent 3.10'!$E$5)^2)</f>
        <v>2.1805986772833439</v>
      </c>
      <c r="BB195" s="224">
        <f>(EXP(LN('Ecoinvent 3.10'!$E$5)^2)-1)*EXP(2*LN(BB10)+LN('Ecoinvent 3.10'!$E$5)^2)</f>
        <v>28.503076723160621</v>
      </c>
      <c r="BC195" s="50">
        <f>(EXP(LN('Ecoinvent 3.10'!$E$5)^2)-1)*EXP(2*LN(BC10)+LN('Ecoinvent 3.10'!$E$5)^2)</f>
        <v>7.4459889316305974</v>
      </c>
      <c r="BD195" s="224">
        <f>(EXP(LN('Ecoinvent 3.10'!$E$5)^2)-1)*EXP(2*LN(BD10)+LN('Ecoinvent 3.10'!$E$5)^2)</f>
        <v>37.519159008003065</v>
      </c>
      <c r="BE195" s="50">
        <f>(EXP(LN('Ecoinvent 3.10'!$E$5)^2)-1)*EXP(2*LN(BE10)+LN('Ecoinvent 3.10'!$E$5)^2)</f>
        <v>9.8013012914733952</v>
      </c>
      <c r="BF195" s="224">
        <f>(EXP(LN('Ecoinvent 3.10'!$E$5)^2)-1)*EXP(2*LN(BF10)+LN('Ecoinvent 3.10'!$E$5)^2)</f>
        <v>7.9021751815620309</v>
      </c>
      <c r="BG195" s="50">
        <f>(EXP(LN('Ecoinvent 3.10'!$E$5)^2)-1)*EXP(2*LN(BG10)+LN('Ecoinvent 3.10'!$E$5)^2)</f>
        <v>2.0643213190352174</v>
      </c>
      <c r="BI195" s="156"/>
      <c r="BJ195" s="123" t="s">
        <v>198</v>
      </c>
      <c r="BK195" s="224">
        <f>(EXP(LN('Ecoinvent 3.10'!$E$5)^2)-1)*EXP(2*LN(BK10)+LN('Ecoinvent 3.10'!$E$5)^2)</f>
        <v>1.002195956310753</v>
      </c>
      <c r="BL195" s="50">
        <f>(EXP(LN('Ecoinvent 3.10'!$E$5)^2)-1)*EXP(2*LN(BL10)+LN('Ecoinvent 3.10'!$E$5)^2)</f>
        <v>0.26180822759920402</v>
      </c>
      <c r="BM195" s="224">
        <f>(EXP(LN('Ecoinvent 3.10'!$E$5)^2)-1)*EXP(2*LN(BM10)+LN('Ecoinvent 3.10'!$E$5)^2)</f>
        <v>1.7298363368333649</v>
      </c>
      <c r="BN195" s="50">
        <f>(EXP(LN('Ecoinvent 3.10'!$E$5)^2)-1)*EXP(2*LN(BN10)+LN('Ecoinvent 3.10'!$E$5)^2)</f>
        <v>0.45189304799251789</v>
      </c>
      <c r="BO195" s="224">
        <f>(EXP(LN('Ecoinvent 3.10'!$E$5)^2)-1)*EXP(2*LN(BO10)+LN('Ecoinvent 3.10'!$E$5)^2)</f>
        <v>1.6309891844343798</v>
      </c>
      <c r="BP195" s="50">
        <f>(EXP(LN('Ecoinvent 3.10'!$E$5)^2)-1)*EXP(2*LN(BP10)+LN('Ecoinvent 3.10'!$E$5)^2)</f>
        <v>0.42607075484730222</v>
      </c>
      <c r="BQ195" s="224">
        <f>(EXP(LN('Ecoinvent 3.10'!$E$5)^2)-1)*EXP(2*LN(BQ10)+LN('Ecoinvent 3.10'!$E$5)^2)</f>
        <v>1.1420702436429335</v>
      </c>
      <c r="BR195" s="50">
        <f>(EXP(LN('Ecoinvent 3.10'!$E$5)^2)-1)*EXP(2*LN(BR10)+LN('Ecoinvent 3.10'!$E$5)^2)</f>
        <v>0.29834822661091936</v>
      </c>
      <c r="BS195" s="224">
        <f>(EXP(LN('Ecoinvent 3.10'!$E$5)^2)-1)*EXP(2*LN(BS10)+LN('Ecoinvent 3.10'!$E$5)^2)</f>
        <v>0.93161318924065717</v>
      </c>
      <c r="BT195" s="50">
        <f>(EXP(LN('Ecoinvent 3.10'!$E$5)^2)-1)*EXP(2*LN(BT10)+LN('Ecoinvent 3.10'!$E$5)^2)</f>
        <v>0.24336956894237399</v>
      </c>
      <c r="BU195" s="224">
        <f>(EXP(LN('Ecoinvent 3.10'!$E$5)^2)-1)*EXP(2*LN(BU10)+LN('Ecoinvent 3.10'!$E$5)^2)</f>
        <v>3.1811362484586434</v>
      </c>
      <c r="BV195" s="50">
        <f>(EXP(LN('Ecoinvent 3.10'!$E$5)^2)-1)*EXP(2*LN(BV10)+LN('Ecoinvent 3.10'!$E$5)^2)</f>
        <v>0.83102275330104758</v>
      </c>
      <c r="BW195" s="224">
        <f>(EXP(LN('Ecoinvent 3.10'!$E$5)^2)-1)*EXP(2*LN(BW10)+LN('Ecoinvent 3.10'!$E$5)^2)</f>
        <v>4.1873920451212072</v>
      </c>
      <c r="BX195" s="50">
        <f>(EXP(LN('Ecoinvent 3.10'!$E$5)^2)-1)*EXP(2*LN(BX10)+LN('Ecoinvent 3.10'!$E$5)^2)</f>
        <v>1.0938915515403052</v>
      </c>
      <c r="BY195" s="224">
        <f>(EXP(LN('Ecoinvent 3.10'!$E$5)^2)-1)*EXP(2*LN(BY10)+LN('Ecoinvent 3.10'!$E$5)^2)</f>
        <v>0.88193622589911702</v>
      </c>
      <c r="BZ195" s="50">
        <f>(EXP(LN('Ecoinvent 3.10'!$E$5)^2)-1)*EXP(2*LN(BZ10)+LN('Ecoinvent 3.10'!$E$5)^2)</f>
        <v>0.23039222888920138</v>
      </c>
      <c r="CA195" s="156"/>
      <c r="CB195" s="156"/>
      <c r="CC195" s="123" t="s">
        <v>198</v>
      </c>
      <c r="CD195" s="224">
        <f>(EXP(LN('Ecoinvent 3.10'!$E$5)^2)-1)*EXP(2*LN(CD10)+LN('Ecoinvent 3.10'!$E$5)^2)</f>
        <v>20.763534040939131</v>
      </c>
      <c r="CE195" s="50">
        <f>(EXP(LN('Ecoinvent 3.10'!$E$5)^2)-1)*EXP(2*LN(CE10)+LN('Ecoinvent 3.10'!$E$5)^2)</f>
        <v>5.4241528432873052</v>
      </c>
      <c r="CF195" s="224">
        <f>(EXP(LN('Ecoinvent 3.10'!$E$5)^2)-1)*EXP(2*LN(CF10)+LN('Ecoinvent 3.10'!$E$5)^2)</f>
        <v>35.838815192700707</v>
      </c>
      <c r="CG195" s="50">
        <f>(EXP(LN('Ecoinvent 3.10'!$E$5)^2)-1)*EXP(2*LN(CG10)+LN('Ecoinvent 3.10'!$E$5)^2)</f>
        <v>9.3623374009573563</v>
      </c>
      <c r="CH195" s="224">
        <f>(EXP(LN('Ecoinvent 3.10'!$E$5)^2)-1)*EXP(2*LN(CH10)+LN('Ecoinvent 3.10'!$E$5)^2)</f>
        <v>33.790896119826463</v>
      </c>
      <c r="CI195" s="50">
        <f>(EXP(LN('Ecoinvent 3.10'!$E$5)^2)-1)*EXP(2*LN(CI10)+LN('Ecoinvent 3.10'!$E$5)^2)</f>
        <v>8.8273501468583717</v>
      </c>
      <c r="CJ195" s="224">
        <f>(EXP(LN('Ecoinvent 3.10'!$E$5)^2)-1)*EXP(2*LN(CJ10)+LN('Ecoinvent 3.10'!$E$5)^2)</f>
        <v>23.661454859902495</v>
      </c>
      <c r="CK195" s="50">
        <f>(EXP(LN('Ecoinvent 3.10'!$E$5)^2)-1)*EXP(2*LN(CK10)+LN('Ecoinvent 3.10'!$E$5)^2)</f>
        <v>6.1811899362411964</v>
      </c>
      <c r="CL195" s="224">
        <f>(EXP(LN('Ecoinvent 3.10'!$E$5)^2)-1)*EXP(2*LN(CL10)+LN('Ecoinvent 3.10'!$E$5)^2)</f>
        <v>19.301197581152834</v>
      </c>
      <c r="CM195" s="50">
        <f>(EXP(LN('Ecoinvent 3.10'!$E$5)^2)-1)*EXP(2*LN(CM10)+LN('Ecoinvent 3.10'!$E$5)^2)</f>
        <v>5.0421400100888114</v>
      </c>
      <c r="CN195" s="224">
        <f>(EXP(LN('Ecoinvent 3.10'!$E$5)^2)-1)*EXP(2*LN(CN10)+LN('Ecoinvent 3.10'!$E$5)^2)</f>
        <v>65.906902106134311</v>
      </c>
      <c r="CO195" s="50">
        <f>(EXP(LN('Ecoinvent 3.10'!$E$5)^2)-1)*EXP(2*LN(CO10)+LN('Ecoinvent 3.10'!$E$5)^2)</f>
        <v>17.217161093404954</v>
      </c>
      <c r="CP195" s="224">
        <f>(EXP(LN('Ecoinvent 3.10'!$E$5)^2)-1)*EXP(2*LN(CP10)+LN('Ecoinvent 3.10'!$E$5)^2)</f>
        <v>86.75454807430161</v>
      </c>
      <c r="CQ195" s="50">
        <f>(EXP(LN('Ecoinvent 3.10'!$E$5)^2)-1)*EXP(2*LN(CQ10)+LN('Ecoinvent 3.10'!$E$5)^2)</f>
        <v>22.663286879657068</v>
      </c>
      <c r="CR195" s="224">
        <f>(EXP(LN('Ecoinvent 3.10'!$E$5)^2)-1)*EXP(2*LN(CR10)+LN('Ecoinvent 3.10'!$E$5)^2)</f>
        <v>18.271988360244009</v>
      </c>
      <c r="CS195" s="50">
        <f>(EXP(LN('Ecoinvent 3.10'!$E$5)^2)-1)*EXP(2*LN(CS10)+LN('Ecoinvent 3.10'!$E$5)^2)</f>
        <v>4.7732749839847335</v>
      </c>
      <c r="CV195" s="123" t="s">
        <v>198</v>
      </c>
      <c r="CW195" s="224">
        <f>(EXP(LN('Ecoinvent 3.10'!$E$5)^2)-1)*EXP(2*LN(CW10)+LN('Ecoinvent 3.10'!$E$5)^2)</f>
        <v>1.8878728231118174E-5</v>
      </c>
      <c r="CX195" s="50">
        <f>(EXP(LN('Ecoinvent 3.10'!$E$5)^2)-1)*EXP(2*LN(CX10)+LN('Ecoinvent 3.10'!$E$5)^2)</f>
        <v>4.931776411980987E-6</v>
      </c>
      <c r="CY195" s="224">
        <f>(EXP(LN('Ecoinvent 3.10'!$E$5)^2)-1)*EXP(2*LN(CY10)+LN('Ecoinvent 3.10'!$E$5)^2)</f>
        <v>3.2585553635245403E-5</v>
      </c>
      <c r="CZ195" s="50">
        <f>(EXP(LN('Ecoinvent 3.10'!$E$5)^2)-1)*EXP(2*LN(CZ10)+LN('Ecoinvent 3.10'!$E$5)^2)</f>
        <v>8.5124730237258228E-6</v>
      </c>
      <c r="DA195" s="224">
        <f>(EXP(LN('Ecoinvent 3.10'!$E$5)^2)-1)*EXP(2*LN(DA10)+LN('Ecoinvent 3.10'!$E$5)^2)</f>
        <v>3.0723534022404595E-5</v>
      </c>
      <c r="DB195" s="50">
        <f>(EXP(LN('Ecoinvent 3.10'!$E$5)^2)-1)*EXP(2*LN(DB10)+LN('Ecoinvent 3.10'!$E$5)^2)</f>
        <v>8.0260491347417472E-6</v>
      </c>
      <c r="DC195" s="224">
        <f>(EXP(LN('Ecoinvent 3.10'!$E$5)^2)-1)*EXP(2*LN(DC10)+LN('Ecoinvent 3.10'!$E$5)^2)</f>
        <v>2.1513590844998828E-5</v>
      </c>
      <c r="DD195" s="50">
        <f>(EXP(LN('Ecoinvent 3.10'!$E$5)^2)-1)*EXP(2*LN(DD10)+LN('Ecoinvent 3.10'!$E$5)^2)</f>
        <v>5.6200936083972257E-6</v>
      </c>
      <c r="DE195" s="224">
        <f>(EXP(LN('Ecoinvent 3.10'!$E$5)^2)-1)*EXP(2*LN(DE10)+LN('Ecoinvent 3.10'!$E$5)^2)</f>
        <v>1.7549135082267459E-5</v>
      </c>
      <c r="DF195" s="50">
        <f>(EXP(LN('Ecoinvent 3.10'!$E$5)^2)-1)*EXP(2*LN(DF10)+LN('Ecoinvent 3.10'!$E$5)^2)</f>
        <v>4.5844407202565375E-6</v>
      </c>
      <c r="DG195" s="224">
        <f>(EXP(LN('Ecoinvent 3.10'!$E$5)^2)-1)*EXP(2*LN(DG10)+LN('Ecoinvent 3.10'!$E$5)^2)</f>
        <v>5.9924215741085957E-5</v>
      </c>
      <c r="DH195" s="50">
        <f>(EXP(LN('Ecoinvent 3.10'!$E$5)^2)-1)*EXP(2*LN(DH10)+LN('Ecoinvent 3.10'!$E$5)^2)</f>
        <v>1.565427660594295E-5</v>
      </c>
      <c r="DI195" s="224">
        <f>(EXP(LN('Ecoinvent 3.10'!$E$5)^2)-1)*EXP(2*LN(DI10)+LN('Ecoinvent 3.10'!$E$5)^2)</f>
        <v>7.8879420655412523E-5</v>
      </c>
      <c r="DJ195" s="50">
        <f>(EXP(LN('Ecoinvent 3.10'!$E$5)^2)-1)*EXP(2*LN(DJ10)+LN('Ecoinvent 3.10'!$E$5)^2)</f>
        <v>2.0606031371216394E-5</v>
      </c>
      <c r="DK195" s="224">
        <f>(EXP(LN('Ecoinvent 3.10'!$E$5)^2)-1)*EXP(2*LN(DK10)+LN('Ecoinvent 3.10'!$E$5)^2)</f>
        <v>1.6613352130473782E-5</v>
      </c>
      <c r="DL195" s="50">
        <f>(EXP(LN('Ecoinvent 3.10'!$E$5)^2)-1)*EXP(2*LN(DL10)+LN('Ecoinvent 3.10'!$E$5)^2)</f>
        <v>4.3399818651953738E-6</v>
      </c>
      <c r="DO195" s="123" t="s">
        <v>198</v>
      </c>
      <c r="DP195" s="224">
        <f>(EXP(LN('Ecoinvent 3.10'!$E$5)^2)-1)*EXP(2*LN(DP10)+LN('Ecoinvent 3.10'!$E$5)^2)</f>
        <v>3.4398890370802078E-4</v>
      </c>
      <c r="DQ195" s="50">
        <f>(EXP(LN('Ecoinvent 3.10'!$E$5)^2)-1)*EXP(2*LN(DQ10)+LN('Ecoinvent 3.10'!$E$5)^2)</f>
        <v>8.9861792622984227E-5</v>
      </c>
      <c r="DR195" s="224">
        <f>(EXP(LN('Ecoinvent 3.10'!$E$5)^2)-1)*EXP(2*LN(DR10)+LN('Ecoinvent 3.10'!$E$5)^2)</f>
        <v>5.9374067651606175E-4</v>
      </c>
      <c r="DS195" s="50">
        <f>(EXP(LN('Ecoinvent 3.10'!$E$5)^2)-1)*EXP(2*LN(DS10)+LN('Ecoinvent 3.10'!$E$5)^2)</f>
        <v>1.5510558907505984E-4</v>
      </c>
      <c r="DT195" s="224">
        <f>(EXP(LN('Ecoinvent 3.10'!$E$5)^2)-1)*EXP(2*LN(DT10)+LN('Ecoinvent 3.10'!$E$5)^2)</f>
        <v>5.5981285693718931E-4</v>
      </c>
      <c r="DU195" s="50">
        <f>(EXP(LN('Ecoinvent 3.10'!$E$5)^2)-1)*EXP(2*LN(DU10)+LN('Ecoinvent 3.10'!$E$5)^2)</f>
        <v>1.4624246978754232E-4</v>
      </c>
      <c r="DV195" s="224">
        <f>(EXP(LN('Ecoinvent 3.10'!$E$5)^2)-1)*EXP(2*LN(DV10)+LN('Ecoinvent 3.10'!$E$5)^2)</f>
        <v>3.9199867909511912E-4</v>
      </c>
      <c r="DW195" s="50">
        <f>(EXP(LN('Ecoinvent 3.10'!$E$5)^2)-1)*EXP(2*LN(DW10)+LN('Ecoinvent 3.10'!$E$5)^2)</f>
        <v>1.0240360555126819E-4</v>
      </c>
      <c r="DX195" s="224">
        <f>(EXP(LN('Ecoinvent 3.10'!$E$5)^2)-1)*EXP(2*LN(DX10)+LN('Ecoinvent 3.10'!$E$5)^2)</f>
        <v>3.1976241535289088E-4</v>
      </c>
      <c r="DY195" s="50">
        <f>(EXP(LN('Ecoinvent 3.10'!$E$5)^2)-1)*EXP(2*LN(DY10)+LN('Ecoinvent 3.10'!$E$5)^2)</f>
        <v>8.3532996405767478E-5</v>
      </c>
      <c r="DZ195" s="224">
        <f>(EXP(LN('Ecoinvent 3.10'!$E$5)^2)-1)*EXP(2*LN(DZ10)+LN('Ecoinvent 3.10'!$E$5)^2)</f>
        <v>1.0918778545877816E-3</v>
      </c>
      <c r="EA195" s="50">
        <f>(EXP(LN('Ecoinvent 3.10'!$E$5)^2)-1)*EXP(2*LN(EA10)+LN('Ecoinvent 3.10'!$E$5)^2)</f>
        <v>2.8523623954416599E-4</v>
      </c>
      <c r="EB195" s="224">
        <f>(EXP(LN('Ecoinvent 3.10'!$E$5)^2)-1)*EXP(2*LN(EB10)+LN('Ecoinvent 3.10'!$E$5)^2)</f>
        <v>1.4372602383064279E-3</v>
      </c>
      <c r="EC195" s="50">
        <f>(EXP(LN('Ecoinvent 3.10'!$E$5)^2)-1)*EXP(2*LN(EC10)+LN('Ecoinvent 3.10'!$E$5)^2)</f>
        <v>3.7546205731560513E-4</v>
      </c>
      <c r="ED195" s="224">
        <f>(EXP(LN('Ecoinvent 3.10'!$E$5)^2)-1)*EXP(2*LN(ED10)+LN('Ecoinvent 3.10'!$E$5)^2)</f>
        <v>3.0271153418359839E-4</v>
      </c>
      <c r="EE195" s="50">
        <f>(EXP(LN('Ecoinvent 3.10'!$E$5)^2)-1)*EXP(2*LN(EE10)+LN('Ecoinvent 3.10'!$E$5)^2)</f>
        <v>7.9078716831172143E-5</v>
      </c>
      <c r="EH195" s="123" t="s">
        <v>198</v>
      </c>
      <c r="EI195" s="224">
        <f>(EXP(LN('Ecoinvent 3.10'!$E$5)^2)-1)*EXP(2*LN(EI10)+LN('Ecoinvent 3.10'!$E$5)^2)</f>
        <v>3.2210513955600577E-5</v>
      </c>
      <c r="EJ195" s="50">
        <f>(EXP(LN('Ecoinvent 3.10'!$E$5)^2)-1)*EXP(2*LN(EJ10)+LN('Ecoinvent 3.10'!$E$5)^2)</f>
        <v>8.4144996950680057E-6</v>
      </c>
      <c r="EK195" s="224">
        <f>(EXP(LN('Ecoinvent 3.10'!$E$5)^2)-1)*EXP(2*LN(EK10)+LN('Ecoinvent 3.10'!$E$5)^2)</f>
        <v>5.5596829260403856E-5</v>
      </c>
      <c r="EL195" s="50">
        <f>(EXP(LN('Ecoinvent 3.10'!$E$5)^2)-1)*EXP(2*LN(EL10)+LN('Ecoinvent 3.10'!$E$5)^2)</f>
        <v>1.4523813668520297E-5</v>
      </c>
      <c r="EM195" s="224">
        <f>(EXP(LN('Ecoinvent 3.10'!$E$5)^2)-1)*EXP(2*LN(EM10)+LN('Ecoinvent 3.10'!$E$5)^2)</f>
        <v>5.2419888102569439E-5</v>
      </c>
      <c r="EN195" s="50">
        <f>(EXP(LN('Ecoinvent 3.10'!$E$5)^2)-1)*EXP(2*LN(EN10)+LN('Ecoinvent 3.10'!$E$5)^2)</f>
        <v>1.3693886817905788E-5</v>
      </c>
      <c r="EO195" s="224">
        <f>(EXP(LN('Ecoinvent 3.10'!$E$5)^2)-1)*EXP(2*LN(EO10)+LN('Ecoinvent 3.10'!$E$5)^2)</f>
        <v>3.6706064606920424E-5</v>
      </c>
      <c r="EP195" s="50">
        <f>(EXP(LN('Ecoinvent 3.10'!$E$5)^2)-1)*EXP(2*LN(EP10)+LN('Ecoinvent 3.10'!$E$5)^2)</f>
        <v>9.5888929269436487E-6</v>
      </c>
      <c r="EQ195" s="224">
        <f>(EXP(LN('Ecoinvent 3.10'!$E$5)^2)-1)*EXP(2*LN(EQ10)+LN('Ecoinvent 3.10'!$E$5)^2)</f>
        <v>2.9941988335016956E-5</v>
      </c>
      <c r="ER195" s="50">
        <f>(EXP(LN('Ecoinvent 3.10'!$E$5)^2)-1)*EXP(2*LN(ER10)+LN('Ecoinvent 3.10'!$E$5)^2)</f>
        <v>7.8218823848019632E-6</v>
      </c>
      <c r="ES195" s="224">
        <f>(EXP(LN('Ecoinvent 3.10'!$E$5)^2)-1)*EXP(2*LN(ES10)+LN('Ecoinvent 3.10'!$E$5)^2)</f>
        <v>1.0224151562418813E-4</v>
      </c>
      <c r="ET195" s="50">
        <f>(EXP(LN('Ecoinvent 3.10'!$E$5)^2)-1)*EXP(2*LN(ET10)+LN('Ecoinvent 3.10'!$E$5)^2)</f>
        <v>2.67090181556521E-5</v>
      </c>
      <c r="EU195" s="224">
        <f>(EXP(LN('Ecoinvent 3.10'!$E$5)^2)-1)*EXP(2*LN(EU10)+LN('Ecoinvent 3.10'!$E$5)^2)</f>
        <v>1.3458251258911043E-4</v>
      </c>
      <c r="EV195" s="50">
        <f>(EXP(LN('Ecoinvent 3.10'!$E$5)^2)-1)*EXP(2*LN(EV10)+LN('Ecoinvent 3.10'!$E$5)^2)</f>
        <v>3.5157604523278735E-5</v>
      </c>
      <c r="EW195" s="224">
        <f>(EXP(LN('Ecoinvent 3.10'!$E$5)^2)-1)*EXP(2*LN(EW10)+LN('Ecoinvent 3.10'!$E$5)^2)</f>
        <v>2.8345373909555889E-5</v>
      </c>
      <c r="EX195" s="50">
        <f>(EXP(LN('Ecoinvent 3.10'!$E$5)^2)-1)*EXP(2*LN(EX10)+LN('Ecoinvent 3.10'!$E$5)^2)</f>
        <v>7.4047915052617618E-6</v>
      </c>
      <c r="FA195" s="123" t="s">
        <v>198</v>
      </c>
      <c r="FB195" s="224">
        <f>(EXP(LN('Ecoinvent 3.10'!$E$5)^2)-1)*EXP(2*LN(FB10)+LN('Ecoinvent 3.10'!$E$5)^2)</f>
        <v>9.0193936828297928E-8</v>
      </c>
      <c r="FC195" s="50">
        <f>(EXP(LN('Ecoinvent 3.10'!$E$5)^2)-1)*EXP(2*LN(FC10)+LN('Ecoinvent 3.10'!$E$5)^2)</f>
        <v>2.3561774114651664E-8</v>
      </c>
      <c r="FD195" s="224">
        <f>(EXP(LN('Ecoinvent 3.10'!$E$5)^2)-1)*EXP(2*LN(FD10)+LN('Ecoinvent 3.10'!$E$5)^2)</f>
        <v>1.5567888525711151E-7</v>
      </c>
      <c r="FE195" s="50">
        <f>(EXP(LN('Ecoinvent 3.10'!$E$5)^2)-1)*EXP(2*LN(FE10)+LN('Ecoinvent 3.10'!$E$5)^2)</f>
        <v>4.0668706321487408E-8</v>
      </c>
      <c r="FF195" s="224">
        <f>(EXP(LN('Ecoinvent 3.10'!$E$5)^2)-1)*EXP(2*LN(FF10)+LN('Ecoinvent 3.10'!$E$5)^2)</f>
        <v>1.4678300639929805E-7</v>
      </c>
      <c r="FG195" s="50">
        <f>(EXP(LN('Ecoinvent 3.10'!$E$5)^2)-1)*EXP(2*LN(FG10)+LN('Ecoinvent 3.10'!$E$5)^2)</f>
        <v>3.8344795251964781E-8</v>
      </c>
      <c r="FH195" s="224">
        <f>(EXP(LN('Ecoinvent 3.10'!$E$5)^2)-1)*EXP(2*LN(FH10)+LN('Ecoinvent 3.10'!$E$5)^2)</f>
        <v>1.0278210639344241E-7</v>
      </c>
      <c r="FI195" s="50">
        <f>(EXP(LN('Ecoinvent 3.10'!$E$5)^2)-1)*EXP(2*LN(FI10)+LN('Ecoinvent 3.10'!$E$5)^2)</f>
        <v>2.6850239151669699E-8</v>
      </c>
      <c r="FJ195" s="224">
        <f>(EXP(LN('Ecoinvent 3.10'!$E$5)^2)-1)*EXP(2*LN(FJ10)+LN('Ecoinvent 3.10'!$E$5)^2)</f>
        <v>8.3841748322447844E-8</v>
      </c>
      <c r="FK195" s="50">
        <f>(EXP(LN('Ecoinvent 3.10'!$E$5)^2)-1)*EXP(2*LN(FK10)+LN('Ecoinvent 3.10'!$E$5)^2)</f>
        <v>2.1902362895098725E-8</v>
      </c>
      <c r="FL195" s="224">
        <f>(EXP(LN('Ecoinvent 3.10'!$E$5)^2)-1)*EXP(2*LN(FL10)+LN('Ecoinvent 3.10'!$E$5)^2)</f>
        <v>2.8629052036079287E-7</v>
      </c>
      <c r="FM195" s="50">
        <f>(EXP(LN('Ecoinvent 3.10'!$E$5)^2)-1)*EXP(2*LN(FM10)+LN('Ecoinvent 3.10'!$E$5)^2)</f>
        <v>7.4788980380671207E-8</v>
      </c>
      <c r="FN195" s="224">
        <f>(EXP(LN('Ecoinvent 3.10'!$E$5)^2)-1)*EXP(2*LN(FN10)+LN('Ecoinvent 3.10'!$E$5)^2)</f>
        <v>3.7684982783533823E-7</v>
      </c>
      <c r="FO195" s="50">
        <f>(EXP(LN('Ecoinvent 3.10'!$E$5)^2)-1)*EXP(2*LN(FO10)+LN('Ecoinvent 3.10'!$E$5)^2)</f>
        <v>9.8446201938219228E-8</v>
      </c>
      <c r="FP195" s="224">
        <f>(EXP(LN('Ecoinvent 3.10'!$E$5)^2)-1)*EXP(2*LN(FP10)+LN('Ecoinvent 3.10'!$E$5)^2)</f>
        <v>7.9371004986042599E-8</v>
      </c>
      <c r="FQ195" s="50">
        <f>(EXP(LN('Ecoinvent 3.10'!$E$5)^2)-1)*EXP(2*LN(FQ10)+LN('Ecoinvent 3.10'!$E$5)^2)</f>
        <v>2.0734450191415576E-8</v>
      </c>
      <c r="FT195" s="123" t="s">
        <v>198</v>
      </c>
      <c r="FU195" s="224">
        <f>(EXP(LN('Ecoinvent 3.10'!$E$5)^2)-1)*EXP(2*LN(FU10)+LN('Ecoinvent 3.10'!$E$5)^2)</f>
        <v>7.5911470703996543E-3</v>
      </c>
      <c r="FV195" s="50">
        <f>(EXP(LN('Ecoinvent 3.10'!$E$5)^2)-1)*EXP(2*LN(FV10)+LN('Ecoinvent 3.10'!$E$5)^2)</f>
        <v>1.9830700248105767E-3</v>
      </c>
      <c r="FW195" s="224">
        <f>(EXP(LN('Ecoinvent 3.10'!$E$5)^2)-1)*EXP(2*LN(FW10)+LN('Ecoinvent 3.10'!$E$5)^2)</f>
        <v>1.3102669151612281E-2</v>
      </c>
      <c r="FX195" s="50">
        <f>(EXP(LN('Ecoinvent 3.10'!$E$5)^2)-1)*EXP(2*LN(FX10)+LN('Ecoinvent 3.10'!$E$5)^2)</f>
        <v>3.4228701141742661E-3</v>
      </c>
      <c r="FY195" s="224">
        <f>(EXP(LN('Ecoinvent 3.10'!$E$5)^2)-1)*EXP(2*LN(FY10)+LN('Ecoinvent 3.10'!$E$5)^2)</f>
        <v>1.2353950034731076E-2</v>
      </c>
      <c r="FZ195" s="50">
        <f>(EXP(LN('Ecoinvent 3.10'!$E$5)^2)-1)*EXP(2*LN(FZ10)+LN('Ecoinvent 3.10'!$E$5)^2)</f>
        <v>3.2272787991964149E-3</v>
      </c>
      <c r="GA195" s="224">
        <f>(EXP(LN('Ecoinvent 3.10'!$E$5)^2)-1)*EXP(2*LN(GA10)+LN('Ecoinvent 3.10'!$E$5)^2)</f>
        <v>8.6506267857385626E-3</v>
      </c>
      <c r="GB195" s="50">
        <f>(EXP(LN('Ecoinvent 3.10'!$E$5)^2)-1)*EXP(2*LN(GB10)+LN('Ecoinvent 3.10'!$E$5)^2)</f>
        <v>2.2598427504472596E-3</v>
      </c>
      <c r="GC195" s="224">
        <f>(EXP(LN('Ecoinvent 3.10'!$E$5)^2)-1)*EXP(2*LN(GC10)+LN('Ecoinvent 3.10'!$E$5)^2)</f>
        <v>7.0565169293669138E-3</v>
      </c>
      <c r="GD195" s="50">
        <f>(EXP(LN('Ecoinvent 3.10'!$E$5)^2)-1)*EXP(2*LN(GD10)+LN('Ecoinvent 3.10'!$E$5)^2)</f>
        <v>1.8434061509309118E-3</v>
      </c>
      <c r="GE195" s="224">
        <f>(EXP(LN('Ecoinvent 3.10'!$E$5)^2)-1)*EXP(2*LN(GE10)+LN('Ecoinvent 3.10'!$E$5)^2)</f>
        <v>2.4095560315293481E-2</v>
      </c>
      <c r="GF195" s="50">
        <f>(EXP(LN('Ecoinvent 3.10'!$E$5)^2)-1)*EXP(2*LN(GF10)+LN('Ecoinvent 3.10'!$E$5)^2)</f>
        <v>6.2945932873038259E-3</v>
      </c>
      <c r="GG195" s="224">
        <f>(EXP(LN('Ecoinvent 3.10'!$E$5)^2)-1)*EXP(2*LN(GG10)+LN('Ecoinvent 3.10'!$E$5)^2)</f>
        <v>3.1717458702338219E-2</v>
      </c>
      <c r="GH195" s="50">
        <f>(EXP(LN('Ecoinvent 3.10'!$E$5)^2)-1)*EXP(2*LN(GH10)+LN('Ecoinvent 3.10'!$E$5)^2)</f>
        <v>8.2856966190305806E-3</v>
      </c>
      <c r="GI195" s="224">
        <f>(EXP(LN('Ecoinvent 3.10'!$E$5)^2)-1)*EXP(2*LN(GI10)+LN('Ecoinvent 3.10'!$E$5)^2)</f>
        <v>6.6802380865299644E-3</v>
      </c>
      <c r="GJ195" s="50">
        <f>(EXP(LN('Ecoinvent 3.10'!$E$5)^2)-1)*EXP(2*LN(GJ10)+LN('Ecoinvent 3.10'!$E$5)^2)</f>
        <v>1.7451091100120246E-3</v>
      </c>
      <c r="GM195" s="123" t="s">
        <v>198</v>
      </c>
      <c r="GN195" s="224">
        <f>(EXP(LN('Ecoinvent 3.10'!$E$5)^2)-1)*EXP(2*LN(GN10)+LN('Ecoinvent 3.10'!$E$5)^2)</f>
        <v>0.34043663649277117</v>
      </c>
      <c r="GO195" s="50">
        <f>(EXP(LN('Ecoinvent 3.10'!$E$5)^2)-1)*EXP(2*LN(GO10)+LN('Ecoinvent 3.10'!$E$5)^2)</f>
        <v>8.8933817631938694E-2</v>
      </c>
      <c r="GP195" s="224">
        <f>(EXP(LN('Ecoinvent 3.10'!$E$5)^2)-1)*EXP(2*LN(GP10)+LN('Ecoinvent 3.10'!$E$5)^2)</f>
        <v>0.58760929984427657</v>
      </c>
      <c r="GQ195" s="50">
        <f>(EXP(LN('Ecoinvent 3.10'!$E$5)^2)-1)*EXP(2*LN(GQ10)+LN('Ecoinvent 3.10'!$E$5)^2)</f>
        <v>0.15350386153956649</v>
      </c>
      <c r="GR195" s="224">
        <f>(EXP(LN('Ecoinvent 3.10'!$E$5)^2)-1)*EXP(2*LN(GR10)+LN('Ecoinvent 3.10'!$E$5)^2)</f>
        <v>0.55403184238428627</v>
      </c>
      <c r="GS195" s="50">
        <f>(EXP(LN('Ecoinvent 3.10'!$E$5)^2)-1)*EXP(2*LN(GS10)+LN('Ecoinvent 3.10'!$E$5)^2)</f>
        <v>0.14473226894878397</v>
      </c>
      <c r="GT195" s="224">
        <f>(EXP(LN('Ecoinvent 3.10'!$E$5)^2)-1)*EXP(2*LN(GT10)+LN('Ecoinvent 3.10'!$E$5)^2)</f>
        <v>0.38795062975061839</v>
      </c>
      <c r="GU195" s="50">
        <f>(EXP(LN('Ecoinvent 3.10'!$E$5)^2)-1)*EXP(2*LN(GU10)+LN('Ecoinvent 3.10'!$E$5)^2)</f>
        <v>0.10134611512991465</v>
      </c>
      <c r="GV195" s="224">
        <f>(EXP(LN('Ecoinvent 3.10'!$E$5)^2)-1)*EXP(2*LN(GV10)+LN('Ecoinvent 3.10'!$E$5)^2)</f>
        <v>0.31646032760388793</v>
      </c>
      <c r="GW195" s="50">
        <f>(EXP(LN('Ecoinvent 3.10'!$E$5)^2)-1)*EXP(2*LN(GW10)+LN('Ecoinvent 3.10'!$E$5)^2)</f>
        <v>8.2670376939484813E-2</v>
      </c>
      <c r="GX195" s="224">
        <f>(EXP(LN('Ecoinvent 3.10'!$E$5)^2)-1)*EXP(2*LN(GX10)+LN('Ecoinvent 3.10'!$E$5)^2)</f>
        <v>1.0806023690587439</v>
      </c>
      <c r="GY195" s="50">
        <f>(EXP(LN('Ecoinvent 3.10'!$E$5)^2)-1)*EXP(2*LN(GY10)+LN('Ecoinvent 3.10'!$E$5)^2)</f>
        <v>0.28229069295411113</v>
      </c>
      <c r="GZ195" s="224">
        <f>(EXP(LN('Ecoinvent 3.10'!$E$5)^2)-1)*EXP(2*LN(GZ10)+LN('Ecoinvent 3.10'!$E$5)^2)</f>
        <v>1.4224180955242538</v>
      </c>
      <c r="HA195" s="50">
        <f>(EXP(LN('Ecoinvent 3.10'!$E$5)^2)-1)*EXP(2*LN(HA10)+LN('Ecoinvent 3.10'!$E$5)^2)</f>
        <v>0.37158477655917543</v>
      </c>
      <c r="HB195" s="224">
        <f>(EXP(LN('Ecoinvent 3.10'!$E$5)^2)-1)*EXP(2*LN(HB10)+LN('Ecoinvent 3.10'!$E$5)^2)</f>
        <v>0.29958552562062729</v>
      </c>
      <c r="HC195" s="50">
        <f>(EXP(LN('Ecoinvent 3.10'!$E$5)^2)-1)*EXP(2*LN(HC10)+LN('Ecoinvent 3.10'!$E$5)^2)</f>
        <v>7.8262095334968793E-2</v>
      </c>
      <c r="HF195" s="123" t="s">
        <v>198</v>
      </c>
      <c r="HG195" s="224">
        <f>(EXP(LN('Ecoinvent 3.10'!$E$5)^2)-1)*EXP(2*LN(HG10)+LN('Ecoinvent 3.10'!$E$5)^2)</f>
        <v>1.4007153201681293</v>
      </c>
      <c r="HH195" s="50">
        <f>(EXP(LN('Ecoinvent 3.10'!$E$5)^2)-1)*EXP(2*LN(HH10)+LN('Ecoinvent 3.10'!$E$5)^2)</f>
        <v>0.36591526141676051</v>
      </c>
      <c r="HI195" s="224">
        <f>(EXP(LN('Ecoinvent 3.10'!$E$5)^2)-1)*EXP(2*LN(HI10)+LN('Ecoinvent 3.10'!$E$5)^2)</f>
        <v>2.4176990967968974</v>
      </c>
      <c r="HJ195" s="50">
        <f>(EXP(LN('Ecoinvent 3.10'!$E$5)^2)-1)*EXP(2*LN(HJ10)+LN('Ecoinvent 3.10'!$E$5)^2)</f>
        <v>0.63158657886694203</v>
      </c>
      <c r="HK195" s="224">
        <f>(EXP(LN('Ecoinvent 3.10'!$E$5)^2)-1)*EXP(2*LN(HK10)+LN('Ecoinvent 3.10'!$E$5)^2)</f>
        <v>2.2795457547799005</v>
      </c>
      <c r="HL195" s="50">
        <f>(EXP(LN('Ecoinvent 3.10'!$E$5)^2)-1)*EXP(2*LN(HL10)+LN('Ecoinvent 3.10'!$E$5)^2)</f>
        <v>0.59549615026102087</v>
      </c>
      <c r="HM195" s="224">
        <f>(EXP(LN('Ecoinvent 3.10'!$E$5)^2)-1)*EXP(2*LN(HM10)+LN('Ecoinvent 3.10'!$E$5)^2)</f>
        <v>1.5962100793816991</v>
      </c>
      <c r="HN195" s="50">
        <f>(EXP(LN('Ecoinvent 3.10'!$E$5)^2)-1)*EXP(2*LN(HN10)+LN('Ecoinvent 3.10'!$E$5)^2)</f>
        <v>0.41698525036687356</v>
      </c>
      <c r="HO195" s="224">
        <f>(EXP(LN('Ecoinvent 3.10'!$E$5)^2)-1)*EXP(2*LN(HO10)+LN('Ecoinvent 3.10'!$E$5)^2)</f>
        <v>1.3020655874962022</v>
      </c>
      <c r="HP195" s="50">
        <f>(EXP(LN('Ecoinvent 3.10'!$E$5)^2)-1)*EXP(2*LN(HP10)+LN('Ecoinvent 3.10'!$E$5)^2)</f>
        <v>0.3401445411286374</v>
      </c>
      <c r="HQ195" s="224">
        <f>(EXP(LN('Ecoinvent 3.10'!$E$5)^2)-1)*EXP(2*LN(HQ10)+LN('Ecoinvent 3.10'!$E$5)^2)</f>
        <v>4.4461028311877886</v>
      </c>
      <c r="HR195" s="50">
        <f>(EXP(LN('Ecoinvent 3.10'!$E$5)^2)-1)*EXP(2*LN(HR10)+LN('Ecoinvent 3.10'!$E$5)^2)</f>
        <v>1.1614757519497969</v>
      </c>
      <c r="HS195" s="224">
        <f>(EXP(LN('Ecoinvent 3.10'!$E$5)^2)-1)*EXP(2*LN(HS10)+LN('Ecoinvent 3.10'!$E$5)^2)</f>
        <v>5.8524923715943933</v>
      </c>
      <c r="HT195" s="50">
        <f>(EXP(LN('Ecoinvent 3.10'!$E$5)^2)-1)*EXP(2*LN(HT10)+LN('Ecoinvent 3.10'!$E$5)^2)</f>
        <v>1.5288733158387331</v>
      </c>
      <c r="HU195" s="224">
        <f>(EXP(LN('Ecoinvent 3.10'!$E$5)^2)-1)*EXP(2*LN(HU10)+LN('Ecoinvent 3.10'!$E$5)^2)</f>
        <v>1.2326347709240892</v>
      </c>
      <c r="HV195" s="50">
        <f>(EXP(LN('Ecoinvent 3.10'!$E$5)^2)-1)*EXP(2*LN(HV10)+LN('Ecoinvent 3.10'!$E$5)^2)</f>
        <v>0.32200681176239154</v>
      </c>
      <c r="HY195" s="123" t="s">
        <v>198</v>
      </c>
      <c r="HZ195" s="224">
        <f>(EXP(LN('Ecoinvent 3.10'!$E$5)^2)-1)*EXP(2*LN(HZ10)+LN('Ecoinvent 3.10'!$E$5)^2)</f>
        <v>3.6718961785413284E-6</v>
      </c>
      <c r="IA195" s="50">
        <f>(EXP(LN('Ecoinvent 3.10'!$E$5)^2)-1)*EXP(2*LN(IA10)+LN('Ecoinvent 3.10'!$E$5)^2)</f>
        <v>9.5922621157943699E-7</v>
      </c>
      <c r="IB195" s="224">
        <f>(EXP(LN('Ecoinvent 3.10'!$E$5)^2)-1)*EXP(2*LN(IB10)+LN('Ecoinvent 3.10'!$E$5)^2)</f>
        <v>6.3378617671760429E-6</v>
      </c>
      <c r="IC195" s="50">
        <f>(EXP(LN('Ecoinvent 3.10'!$E$5)^2)-1)*EXP(2*LN(IC10)+LN('Ecoinvent 3.10'!$E$5)^2)</f>
        <v>1.6556685801659891E-6</v>
      </c>
      <c r="ID195" s="224">
        <f>(EXP(LN('Ecoinvent 3.10'!$E$5)^2)-1)*EXP(2*LN(ID10)+LN('Ecoinvent 3.10'!$E$5)^2)</f>
        <v>5.9757005761754152E-6</v>
      </c>
      <c r="IE195" s="50">
        <f>(EXP(LN('Ecoinvent 3.10'!$E$5)^2)-1)*EXP(2*LN(IE10)+LN('Ecoinvent 3.10'!$E$5)^2)</f>
        <v>1.5610595579243432E-6</v>
      </c>
      <c r="IF195" s="224">
        <f>(EXP(LN('Ecoinvent 3.10'!$E$5)^2)-1)*EXP(2*LN(IF10)+LN('Ecoinvent 3.10'!$E$5)^2)</f>
        <v>4.1843746593185655E-6</v>
      </c>
      <c r="IG195" s="50">
        <f>(EXP(LN('Ecoinvent 3.10'!$E$5)^2)-1)*EXP(2*LN(IG10)+LN('Ecoinvent 3.10'!$E$5)^2)</f>
        <v>1.0931033060639615E-6</v>
      </c>
      <c r="IH195" s="224">
        <f>(EXP(LN('Ecoinvent 3.10'!$E$5)^2)-1)*EXP(2*LN(IH10)+LN('Ecoinvent 3.10'!$E$5)^2)</f>
        <v>3.4132914705063683E-6</v>
      </c>
      <c r="II195" s="50">
        <f>(EXP(LN('Ecoinvent 3.10'!$E$5)^2)-1)*EXP(2*LN(II10)+LN('Ecoinvent 3.10'!$E$5)^2)</f>
        <v>8.9166972241870092E-7</v>
      </c>
      <c r="IJ195" s="224">
        <f>(EXP(LN('Ecoinvent 3.10'!$E$5)^2)-1)*EXP(2*LN(IJ10)+LN('Ecoinvent 3.10'!$E$5)^2)</f>
        <v>1.1655207707216785E-5</v>
      </c>
      <c r="IK195" s="50">
        <f>(EXP(LN('Ecoinvent 3.10'!$E$5)^2)-1)*EXP(2*LN(IK10)+LN('Ecoinvent 3.10'!$E$5)^2)</f>
        <v>3.0447431491939159E-6</v>
      </c>
      <c r="IL195" s="224">
        <f>(EXP(LN('Ecoinvent 3.10'!$E$5)^2)-1)*EXP(2*LN(IL10)+LN('Ecoinvent 3.10'!$E$5)^2)</f>
        <v>1.5341978533953845E-5</v>
      </c>
      <c r="IM195" s="50">
        <f>(EXP(LN('Ecoinvent 3.10'!$E$5)^2)-1)*EXP(2*LN(IM10)+LN('Ecoinvent 3.10'!$E$5)^2)</f>
        <v>4.0078551330674424E-6</v>
      </c>
      <c r="IN195" s="224">
        <f>(EXP(LN('Ecoinvent 3.10'!$E$5)^2)-1)*EXP(2*LN(IN10)+LN('Ecoinvent 3.10'!$E$5)^2)</f>
        <v>3.23128250239317E-6</v>
      </c>
      <c r="IO195" s="50">
        <f>(EXP(LN('Ecoinvent 3.10'!$E$5)^2)-1)*EXP(2*LN(IO10)+LN('Ecoinvent 3.10'!$E$5)^2)</f>
        <v>8.4412268827949983E-7</v>
      </c>
    </row>
    <row r="196" spans="1:249" x14ac:dyDescent="0.2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58"/>
      <c r="AM196" s="130"/>
      <c r="AN196" s="156"/>
      <c r="AO196" s="158"/>
      <c r="AP196" s="726"/>
      <c r="AQ196" s="123" t="s">
        <v>218</v>
      </c>
      <c r="AR196" s="224">
        <f>SUM(AR197:AR200)</f>
        <v>764.94170145886608</v>
      </c>
      <c r="AS196" s="50">
        <f t="shared" ref="AS196:BC196" si="2955">SUM(AS197:AS200)</f>
        <v>764.94170145886608</v>
      </c>
      <c r="AT196" s="224">
        <f t="shared" si="2955"/>
        <v>843.54736952005487</v>
      </c>
      <c r="AU196" s="50">
        <f t="shared" si="2955"/>
        <v>843.54736952005487</v>
      </c>
      <c r="AV196" s="224">
        <f t="shared" si="2955"/>
        <v>915.58330847604429</v>
      </c>
      <c r="AW196" s="50">
        <f t="shared" si="2955"/>
        <v>915.58330847604429</v>
      </c>
      <c r="AX196" s="224">
        <f t="shared" si="2955"/>
        <v>776.76674436938777</v>
      </c>
      <c r="AY196" s="50">
        <f t="shared" si="2955"/>
        <v>776.76674436938777</v>
      </c>
      <c r="AZ196" s="224">
        <f t="shared" si="2955"/>
        <v>724.0392633620005</v>
      </c>
      <c r="BA196" s="50">
        <f t="shared" si="2955"/>
        <v>724.0392633620005</v>
      </c>
      <c r="BB196" s="224">
        <f t="shared" si="2955"/>
        <v>354.11377747822479</v>
      </c>
      <c r="BC196" s="50">
        <f t="shared" si="2955"/>
        <v>354.11377747822479</v>
      </c>
      <c r="BD196" s="224">
        <f>SUM(BD197:BD200)</f>
        <v>1020.2395413832372</v>
      </c>
      <c r="BE196" s="50">
        <f>SUM(BE197:BE200)</f>
        <v>1020.2395413832372</v>
      </c>
      <c r="BF196" s="224">
        <f t="shared" ref="BF196:BG196" si="2956">SUM(BF197:BF200)</f>
        <v>723.41520816686716</v>
      </c>
      <c r="BG196" s="50">
        <f t="shared" si="2956"/>
        <v>723.41520816686716</v>
      </c>
      <c r="BI196" s="156"/>
      <c r="BJ196" s="123" t="s">
        <v>218</v>
      </c>
      <c r="BK196" s="224">
        <f>SUM(BK197:BK200)</f>
        <v>13.390389654887086</v>
      </c>
      <c r="BL196" s="50">
        <f t="shared" ref="BL196:BV196" si="2957">SUM(BL197:BL200)</f>
        <v>13.390389654887086</v>
      </c>
      <c r="BM196" s="224">
        <f t="shared" si="2957"/>
        <v>22.340733441292777</v>
      </c>
      <c r="BN196" s="50">
        <f t="shared" si="2957"/>
        <v>22.340733441292777</v>
      </c>
      <c r="BO196" s="224">
        <f t="shared" si="2957"/>
        <v>21.832284207438171</v>
      </c>
      <c r="BP196" s="50">
        <f t="shared" si="2957"/>
        <v>21.832284207438171</v>
      </c>
      <c r="BQ196" s="224">
        <f t="shared" si="2957"/>
        <v>15.069988864357731</v>
      </c>
      <c r="BR196" s="50">
        <f t="shared" si="2957"/>
        <v>15.069988864357731</v>
      </c>
      <c r="BS196" s="224">
        <f t="shared" si="2957"/>
        <v>12.781073157695079</v>
      </c>
      <c r="BT196" s="50">
        <f t="shared" si="2957"/>
        <v>12.781073157695079</v>
      </c>
      <c r="BU196" s="224">
        <f t="shared" si="2957"/>
        <v>16.693693043872734</v>
      </c>
      <c r="BV196" s="50">
        <f t="shared" si="2957"/>
        <v>16.693693043872734</v>
      </c>
      <c r="BW196" s="224">
        <f>SUM(BW197:BW200)</f>
        <v>32.202811294580343</v>
      </c>
      <c r="BX196" s="50">
        <f>SUM(BX197:BX200)</f>
        <v>32.202811294580343</v>
      </c>
      <c r="BY196" s="224">
        <f t="shared" ref="BY196:BZ196" si="2958">SUM(BY197:BY200)</f>
        <v>12.750999293935482</v>
      </c>
      <c r="BZ196" s="50">
        <f t="shared" si="2958"/>
        <v>12.750999293935482</v>
      </c>
      <c r="CA196" s="156"/>
      <c r="CB196" s="156"/>
      <c r="CC196" s="123" t="s">
        <v>218</v>
      </c>
      <c r="CD196" s="224">
        <f>SUM(CD197:CD200)</f>
        <v>13182.273103086067</v>
      </c>
      <c r="CE196" s="50">
        <f t="shared" ref="CE196:CO196" si="2959">SUM(CE197:CE200)</f>
        <v>13182.273103086067</v>
      </c>
      <c r="CF196" s="224">
        <f t="shared" si="2959"/>
        <v>10015.199858636217</v>
      </c>
      <c r="CG196" s="50">
        <f t="shared" si="2959"/>
        <v>10015.199858636217</v>
      </c>
      <c r="CH196" s="224">
        <f t="shared" si="2959"/>
        <v>12285.437839920125</v>
      </c>
      <c r="CI196" s="50">
        <f t="shared" si="2959"/>
        <v>12285.437839920125</v>
      </c>
      <c r="CJ196" s="224">
        <f t="shared" si="2959"/>
        <v>12453.42238799535</v>
      </c>
      <c r="CK196" s="50">
        <f t="shared" si="2959"/>
        <v>12453.42238799535</v>
      </c>
      <c r="CL196" s="224">
        <f t="shared" si="2959"/>
        <v>12440.472967264668</v>
      </c>
      <c r="CM196" s="50">
        <f t="shared" si="2959"/>
        <v>12440.472967264668</v>
      </c>
      <c r="CN196" s="224">
        <f t="shared" si="2959"/>
        <v>1206.2507117570553</v>
      </c>
      <c r="CO196" s="50">
        <f t="shared" si="2959"/>
        <v>1206.2507117570553</v>
      </c>
      <c r="CP196" s="224">
        <f>SUM(CP197:CP200)</f>
        <v>8151.1129478034936</v>
      </c>
      <c r="CQ196" s="50">
        <f>SUM(CQ197:CQ200)</f>
        <v>8151.1129478034936</v>
      </c>
      <c r="CR196" s="224">
        <f t="shared" ref="CR196:CS196" si="2960">SUM(CR197:CR200)</f>
        <v>12438.356422490333</v>
      </c>
      <c r="CS196" s="50">
        <f t="shared" si="2960"/>
        <v>12438.356422490333</v>
      </c>
      <c r="CV196" s="123" t="s">
        <v>218</v>
      </c>
      <c r="CW196" s="224">
        <f>SUM(CW197:CW200)</f>
        <v>8.3780912875944984E-4</v>
      </c>
      <c r="CX196" s="50">
        <f t="shared" ref="CX196:DH196" si="2961">SUM(CX197:CX200)</f>
        <v>8.3780912875944984E-4</v>
      </c>
      <c r="CY196" s="224">
        <f t="shared" si="2961"/>
        <v>7.0153716560007577E-4</v>
      </c>
      <c r="CZ196" s="50">
        <f t="shared" si="2961"/>
        <v>7.0153716560007577E-4</v>
      </c>
      <c r="DA196" s="224">
        <f t="shared" si="2961"/>
        <v>8.2655199810367926E-4</v>
      </c>
      <c r="DB196" s="50">
        <f t="shared" si="2961"/>
        <v>8.2655199810367926E-4</v>
      </c>
      <c r="DC196" s="224">
        <f t="shared" si="2961"/>
        <v>8.0095512026416343E-4</v>
      </c>
      <c r="DD196" s="50">
        <f t="shared" si="2961"/>
        <v>8.0095512026416343E-4</v>
      </c>
      <c r="DE196" s="224">
        <f t="shared" si="2961"/>
        <v>7.9337276376124401E-4</v>
      </c>
      <c r="DF196" s="50">
        <f t="shared" si="2961"/>
        <v>7.9337276376124401E-4</v>
      </c>
      <c r="DG196" s="224">
        <f t="shared" si="2961"/>
        <v>1.3734817031225995E-4</v>
      </c>
      <c r="DH196" s="50">
        <f t="shared" si="2961"/>
        <v>1.3734817031225995E-4</v>
      </c>
      <c r="DI196" s="224">
        <f>SUM(DI197:DI200)</f>
        <v>6.1145182554255711E-4</v>
      </c>
      <c r="DJ196" s="50">
        <f>SUM(DJ197:DJ200)</f>
        <v>6.1145182554255711E-4</v>
      </c>
      <c r="DK196" s="224">
        <f t="shared" ref="DK196:DL196" si="2962">SUM(DK197:DK200)</f>
        <v>7.9312580214483926E-4</v>
      </c>
      <c r="DL196" s="50">
        <f t="shared" si="2962"/>
        <v>7.9312580214483926E-4</v>
      </c>
      <c r="DO196" s="123" t="s">
        <v>218</v>
      </c>
      <c r="DP196" s="224">
        <f>SUM(DP197:DP200)</f>
        <v>10.119454661579699</v>
      </c>
      <c r="DQ196" s="50">
        <f t="shared" ref="DQ196:EA196" si="2963">SUM(DQ197:DQ200)</f>
        <v>10.119454661579699</v>
      </c>
      <c r="DR196" s="224">
        <f t="shared" si="2963"/>
        <v>37.71213219235689</v>
      </c>
      <c r="DS196" s="50">
        <f t="shared" si="2963"/>
        <v>37.71213219235689</v>
      </c>
      <c r="DT196" s="224">
        <f t="shared" si="2963"/>
        <v>35.64956624677901</v>
      </c>
      <c r="DU196" s="50">
        <f t="shared" si="2963"/>
        <v>35.64956624677901</v>
      </c>
      <c r="DV196" s="224">
        <f t="shared" si="2963"/>
        <v>11.655110072283437</v>
      </c>
      <c r="DW196" s="50">
        <f t="shared" si="2963"/>
        <v>11.655110072283437</v>
      </c>
      <c r="DX196" s="224">
        <f t="shared" si="2963"/>
        <v>9.5837235033501571</v>
      </c>
      <c r="DY196" s="50">
        <f t="shared" si="2963"/>
        <v>9.5837235033501571</v>
      </c>
      <c r="DZ196" s="224">
        <f t="shared" si="2963"/>
        <v>2.2506286968730315E-2</v>
      </c>
      <c r="EA196" s="50">
        <f t="shared" si="2963"/>
        <v>2.2506286968730305E-2</v>
      </c>
      <c r="EB196" s="224">
        <f>SUM(EB197:EB200)</f>
        <v>0.26290583213832114</v>
      </c>
      <c r="EC196" s="50">
        <f>SUM(EC197:EC200)</f>
        <v>0.26290583213832114</v>
      </c>
      <c r="ED196" s="224">
        <f t="shared" ref="ED196:EE196" si="2964">SUM(ED197:ED200)</f>
        <v>9.5831941368872915</v>
      </c>
      <c r="EE196" s="50">
        <f t="shared" si="2964"/>
        <v>9.5831941368872915</v>
      </c>
      <c r="EH196" s="123" t="s">
        <v>218</v>
      </c>
      <c r="EI196" s="224">
        <f>SUM(EI197:EI200)</f>
        <v>0.14921970105368096</v>
      </c>
      <c r="EJ196" s="50">
        <f t="shared" ref="EJ196:ET196" si="2965">SUM(EJ197:EJ200)</f>
        <v>0.14921970105368096</v>
      </c>
      <c r="EK196" s="224">
        <f t="shared" si="2965"/>
        <v>0.12144930106696684</v>
      </c>
      <c r="EL196" s="50">
        <f t="shared" si="2965"/>
        <v>0.12144930106696684</v>
      </c>
      <c r="EM196" s="224">
        <f t="shared" si="2965"/>
        <v>0.14659785492734834</v>
      </c>
      <c r="EN196" s="50">
        <f t="shared" si="2965"/>
        <v>0.14659785492734834</v>
      </c>
      <c r="EO196" s="224">
        <f t="shared" si="2965"/>
        <v>0.141941537517601</v>
      </c>
      <c r="EP196" s="50">
        <f t="shared" si="2965"/>
        <v>0.141941537517601</v>
      </c>
      <c r="EQ196" s="224">
        <f t="shared" si="2965"/>
        <v>0.14052207970620861</v>
      </c>
      <c r="ER196" s="50">
        <f t="shared" si="2965"/>
        <v>0.14052207970620861</v>
      </c>
      <c r="ES196" s="224">
        <f t="shared" si="2965"/>
        <v>1.584612769731765E-2</v>
      </c>
      <c r="ET196" s="50">
        <f t="shared" si="2965"/>
        <v>1.584612769731765E-2</v>
      </c>
      <c r="EU196" s="224">
        <f>SUM(EU197:EU200)</f>
        <v>9.493040485417667E-2</v>
      </c>
      <c r="EV196" s="50">
        <f>SUM(EV197:EV200)</f>
        <v>9.493040485417667E-2</v>
      </c>
      <c r="EW196" s="224">
        <f t="shared" ref="EW196:EX196" si="2966">SUM(EW197:EW200)</f>
        <v>0.14049454103392278</v>
      </c>
      <c r="EX196" s="50">
        <f t="shared" si="2966"/>
        <v>0.14049454103392278</v>
      </c>
      <c r="FA196" s="123" t="s">
        <v>218</v>
      </c>
      <c r="FB196" s="224">
        <f>SUM(FB197:FB200)</f>
        <v>2.1056436017544022E-6</v>
      </c>
      <c r="FC196" s="50">
        <f t="shared" ref="FC196:FM196" si="2967">SUM(FC197:FC200)</f>
        <v>2.1056436017544022E-6</v>
      </c>
      <c r="FD196" s="224">
        <f t="shared" si="2967"/>
        <v>3.4717606754120787E-6</v>
      </c>
      <c r="FE196" s="50">
        <f t="shared" si="2967"/>
        <v>3.4717606754120787E-6</v>
      </c>
      <c r="FF196" s="224">
        <f t="shared" si="2967"/>
        <v>3.4318418972929215E-6</v>
      </c>
      <c r="FG196" s="50">
        <f t="shared" si="2967"/>
        <v>3.4318418972929215E-6</v>
      </c>
      <c r="FH196" s="224">
        <f t="shared" si="2967"/>
        <v>2.3165026195403393E-6</v>
      </c>
      <c r="FI196" s="50">
        <f t="shared" si="2967"/>
        <v>2.3165026195403393E-6</v>
      </c>
      <c r="FJ196" s="224">
        <f t="shared" si="2967"/>
        <v>2.0036168401234083E-6</v>
      </c>
      <c r="FK196" s="50">
        <f t="shared" si="2967"/>
        <v>2.0036168401234083E-6</v>
      </c>
      <c r="FL196" s="224">
        <f t="shared" si="2967"/>
        <v>1.1973366143547897E-6</v>
      </c>
      <c r="FM196" s="50">
        <f t="shared" si="2967"/>
        <v>1.1973366143547897E-6</v>
      </c>
      <c r="FN196" s="224">
        <f>SUM(FN197:FN200)</f>
        <v>4.0671137154252769E-6</v>
      </c>
      <c r="FO196" s="50">
        <f>SUM(FO197:FO200)</f>
        <v>4.0671137154252769E-6</v>
      </c>
      <c r="FP196" s="224">
        <f t="shared" ref="FP196:FQ196" si="2968">SUM(FP197:FP200)</f>
        <v>2.0014701293816779E-6</v>
      </c>
      <c r="FQ196" s="50">
        <f t="shared" si="2968"/>
        <v>2.0014701293816779E-6</v>
      </c>
      <c r="FT196" s="123" t="s">
        <v>218</v>
      </c>
      <c r="FU196" s="224">
        <f>SUM(FU197:FU200)</f>
        <v>0.19716720956349792</v>
      </c>
      <c r="FV196" s="50">
        <f t="shared" ref="FV196:GF196" si="2969">SUM(FV197:FV200)</f>
        <v>0.19716720956349792</v>
      </c>
      <c r="FW196" s="224">
        <f t="shared" si="2969"/>
        <v>0.17088743564961739</v>
      </c>
      <c r="FX196" s="50">
        <f t="shared" si="2969"/>
        <v>0.17088743564961739</v>
      </c>
      <c r="FY196" s="224">
        <f t="shared" si="2969"/>
        <v>0.20186935954545412</v>
      </c>
      <c r="FZ196" s="50">
        <f t="shared" si="2969"/>
        <v>0.20186935954545412</v>
      </c>
      <c r="GA196" s="224">
        <f t="shared" si="2969"/>
        <v>0.18829585544648195</v>
      </c>
      <c r="GB196" s="50">
        <f t="shared" si="2969"/>
        <v>0.18829585544648195</v>
      </c>
      <c r="GC196" s="224">
        <f t="shared" si="2969"/>
        <v>0.18597574657159013</v>
      </c>
      <c r="GD196" s="50">
        <f t="shared" si="2969"/>
        <v>0.18597574657159013</v>
      </c>
      <c r="GE196" s="224">
        <f t="shared" si="2969"/>
        <v>1.8390530389196618E-2</v>
      </c>
      <c r="GF196" s="50">
        <f t="shared" si="2969"/>
        <v>1.8390530389196618E-2</v>
      </c>
      <c r="GG196" s="224">
        <f>SUM(GG197:GG200)</f>
        <v>0.12224783588303662</v>
      </c>
      <c r="GH196" s="50">
        <f>SUM(GH197:GH200)</f>
        <v>0.12224783588303662</v>
      </c>
      <c r="GI196" s="224">
        <f t="shared" ref="GI196:GJ196" si="2970">SUM(GI197:GI200)</f>
        <v>0.18594151947125354</v>
      </c>
      <c r="GJ196" s="50">
        <f t="shared" si="2970"/>
        <v>0.18594151947125354</v>
      </c>
      <c r="GM196" s="123" t="s">
        <v>218</v>
      </c>
      <c r="GN196" s="224">
        <f>SUM(GN197:GN200)</f>
        <v>0.42526699993497924</v>
      </c>
      <c r="GO196" s="50">
        <f t="shared" ref="GO196:GY196" si="2971">SUM(GO197:GO200)</f>
        <v>0.42526699993497924</v>
      </c>
      <c r="GP196" s="224">
        <f t="shared" si="2971"/>
        <v>0.61663814081723656</v>
      </c>
      <c r="GQ196" s="50">
        <f t="shared" si="2971"/>
        <v>0.61663814081723656</v>
      </c>
      <c r="GR196" s="224">
        <f t="shared" si="2971"/>
        <v>0.6314695543211305</v>
      </c>
      <c r="GS196" s="50">
        <f t="shared" si="2971"/>
        <v>0.6314695543211305</v>
      </c>
      <c r="GT196" s="224">
        <f t="shared" si="2971"/>
        <v>0.44681403773017414</v>
      </c>
      <c r="GU196" s="50">
        <f t="shared" si="2971"/>
        <v>0.44681403773017414</v>
      </c>
      <c r="GV196" s="224">
        <f t="shared" si="2971"/>
        <v>0.40032214780818337</v>
      </c>
      <c r="GW196" s="50">
        <f t="shared" si="2971"/>
        <v>0.40032214780818337</v>
      </c>
      <c r="GX196" s="224">
        <f t="shared" si="2971"/>
        <v>0.29419510860840375</v>
      </c>
      <c r="GY196" s="50">
        <f t="shared" si="2971"/>
        <v>0.29419510860840375</v>
      </c>
      <c r="GZ196" s="224">
        <f>SUM(GZ197:GZ200)</f>
        <v>0.63924855563712879</v>
      </c>
      <c r="HA196" s="50">
        <f>SUM(HA197:HA200)</f>
        <v>0.63924855563712879</v>
      </c>
      <c r="HB196" s="224">
        <f t="shared" ref="HB196:HC196" si="2972">SUM(HB197:HB200)</f>
        <v>0.39980012443940477</v>
      </c>
      <c r="HC196" s="50">
        <f t="shared" si="2972"/>
        <v>0.39980012443940477</v>
      </c>
      <c r="HF196" s="123" t="s">
        <v>218</v>
      </c>
      <c r="HG196" s="224">
        <f>SUM(HG197:HG200)</f>
        <v>123.47675970921017</v>
      </c>
      <c r="HH196" s="50">
        <f t="shared" ref="HH196:HR196" si="2973">SUM(HH197:HH200)</f>
        <v>123.47675970921017</v>
      </c>
      <c r="HI196" s="224">
        <f t="shared" si="2973"/>
        <v>107.70347206121936</v>
      </c>
      <c r="HJ196" s="50">
        <f t="shared" si="2973"/>
        <v>107.70347206121936</v>
      </c>
      <c r="HK196" s="224">
        <f t="shared" si="2973"/>
        <v>127.1990686686207</v>
      </c>
      <c r="HL196" s="50">
        <f t="shared" si="2973"/>
        <v>127.1990686686207</v>
      </c>
      <c r="HM196" s="224">
        <f t="shared" si="2973"/>
        <v>118.09069494448011</v>
      </c>
      <c r="HN196" s="50">
        <f t="shared" si="2973"/>
        <v>118.09069494448011</v>
      </c>
      <c r="HO196" s="224">
        <f t="shared" si="2973"/>
        <v>116.37059768899945</v>
      </c>
      <c r="HP196" s="50">
        <f t="shared" si="2973"/>
        <v>116.37059768899945</v>
      </c>
      <c r="HQ196" s="224">
        <f t="shared" si="2973"/>
        <v>11.302724785020018</v>
      </c>
      <c r="HR196" s="50">
        <f t="shared" si="2973"/>
        <v>11.302724785020018</v>
      </c>
      <c r="HS196" s="224">
        <f>SUM(HS197:HS200)</f>
        <v>77.402824764653303</v>
      </c>
      <c r="HT196" s="50">
        <f>SUM(HT197:HT200)</f>
        <v>77.402824764653303</v>
      </c>
      <c r="HU196" s="224">
        <f t="shared" ref="HU196:HV196" si="2974">SUM(HU197:HU200)</f>
        <v>116.34977015673148</v>
      </c>
      <c r="HV196" s="50">
        <f t="shared" si="2974"/>
        <v>116.34977015673148</v>
      </c>
      <c r="HY196" s="123" t="s">
        <v>218</v>
      </c>
      <c r="HZ196" s="224">
        <f>SUM(HZ197:HZ200)</f>
        <v>9.5367912694972236E-5</v>
      </c>
      <c r="IA196" s="50">
        <f t="shared" ref="IA196:IK196" si="2975">SUM(IA197:IA200)</f>
        <v>9.5367912694972236E-5</v>
      </c>
      <c r="IB196" s="224">
        <f t="shared" si="2975"/>
        <v>9.1514682681303081E-5</v>
      </c>
      <c r="IC196" s="50">
        <f t="shared" si="2975"/>
        <v>9.1514682681303081E-5</v>
      </c>
      <c r="ID196" s="224">
        <f t="shared" si="2975"/>
        <v>1.0344572895488709E-4</v>
      </c>
      <c r="IE196" s="50">
        <f t="shared" si="2975"/>
        <v>1.0344572895488709E-4</v>
      </c>
      <c r="IF196" s="224">
        <f t="shared" si="2975"/>
        <v>9.3167823049969335E-5</v>
      </c>
      <c r="IG196" s="50">
        <f t="shared" si="2975"/>
        <v>9.3167823049969335E-5</v>
      </c>
      <c r="IH196" s="224">
        <f t="shared" si="2975"/>
        <v>9.0372632914257565E-5</v>
      </c>
      <c r="II196" s="50">
        <f t="shared" si="2975"/>
        <v>9.0372632914257565E-5</v>
      </c>
      <c r="IJ196" s="224">
        <f t="shared" si="2975"/>
        <v>2.7553863376419794E-5</v>
      </c>
      <c r="IK196" s="50">
        <f t="shared" si="2975"/>
        <v>2.7553863376419794E-5</v>
      </c>
      <c r="IL196" s="224">
        <f>SUM(IL197:IL200)</f>
        <v>8.6404198393645135E-5</v>
      </c>
      <c r="IM196" s="50">
        <f>SUM(IM197:IM200)</f>
        <v>8.6404198393645135E-5</v>
      </c>
      <c r="IN196" s="224">
        <f t="shared" ref="IN196:IO196" si="2976">SUM(IN197:IN200)</f>
        <v>9.0322776033885421E-5</v>
      </c>
      <c r="IO196" s="50">
        <f t="shared" si="2976"/>
        <v>9.0322776033885421E-5</v>
      </c>
    </row>
    <row r="197" spans="1:249" x14ac:dyDescent="0.2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58"/>
      <c r="AM197" s="137"/>
      <c r="AN197" s="156"/>
      <c r="AO197" s="158"/>
      <c r="AP197" s="726"/>
      <c r="AQ197" s="147" t="s">
        <v>66</v>
      </c>
      <c r="AR197" s="224">
        <f>(EXP(LN('Ecoinvent 3.10'!$E$21)^2)-1)*EXP(2*LN(AR12)+LN('Ecoinvent 3.10'!$E$21)^2)</f>
        <v>6.3159364971687101E-3</v>
      </c>
      <c r="AS197" s="50">
        <f>(EXP(LN('Ecoinvent 3.10'!$E$21)^2)-1)*EXP(2*LN(AS12)+LN('Ecoinvent 3.10'!$E$21)^2)</f>
        <v>6.3159364971687101E-3</v>
      </c>
      <c r="AT197" s="224">
        <f>(EXP(LN('Ecoinvent 3.10'!$E$21)^2)-1)*EXP(2*LN(AT12)+LN('Ecoinvent 3.10'!$E$21)^2)</f>
        <v>1.1301361156765539E-2</v>
      </c>
      <c r="AU197" s="50">
        <f>(EXP(LN('Ecoinvent 3.10'!$E$21)^2)-1)*EXP(2*LN(AU12)+LN('Ecoinvent 3.10'!$E$21)^2)</f>
        <v>1.1301361156765529E-2</v>
      </c>
      <c r="AV197" s="224">
        <f>(EXP(LN('Ecoinvent 3.10'!$E$21)^2)-1)*EXP(2*LN(AV12)+LN('Ecoinvent 3.10'!$E$21)^2)</f>
        <v>1.073638364019594E-2</v>
      </c>
      <c r="AW197" s="50">
        <f>(EXP(LN('Ecoinvent 3.10'!$E$21)^2)-1)*EXP(2*LN(AW12)+LN('Ecoinvent 3.10'!$E$21)^2)</f>
        <v>1.0736383640195944E-2</v>
      </c>
      <c r="AX197" s="224">
        <f>(EXP(LN('Ecoinvent 3.10'!$E$21)^2)-1)*EXP(2*LN(AX12)+LN('Ecoinvent 3.10'!$E$21)^2)</f>
        <v>7.4244620829321695E-3</v>
      </c>
      <c r="AY197" s="50">
        <f>(EXP(LN('Ecoinvent 3.10'!$E$21)^2)-1)*EXP(2*LN(AY12)+LN('Ecoinvent 3.10'!$E$21)^2)</f>
        <v>7.4244620829321695E-3</v>
      </c>
      <c r="AZ197" s="224">
        <f>(EXP(LN('Ecoinvent 3.10'!$E$21)^2)-1)*EXP(2*LN(AZ12)+LN('Ecoinvent 3.10'!$E$21)^2)</f>
        <v>6.0776208887494652E-3</v>
      </c>
      <c r="BA197" s="50">
        <f>(EXP(LN('Ecoinvent 3.10'!$E$21)^2)-1)*EXP(2*LN(BA12)+LN('Ecoinvent 3.10'!$E$21)^2)</f>
        <v>6.077620888749467E-3</v>
      </c>
      <c r="BB197" s="224">
        <f>(EXP(LN('Ecoinvent 3.10'!$E$21)^2)-1)*EXP(2*LN(BB12)+LN('Ecoinvent 3.10'!$E$21)^2)</f>
        <v>1.3250652817811261E-2</v>
      </c>
      <c r="BC197" s="50">
        <f>(EXP(LN('Ecoinvent 3.10'!$E$21)^2)-1)*EXP(2*LN(BC12)+LN('Ecoinvent 3.10'!$E$21)^2)</f>
        <v>1.3250652817811261E-2</v>
      </c>
      <c r="BD197" s="224">
        <f>(EXP(LN('Ecoinvent 3.10'!$E$21)^2)-1)*EXP(2*LN(BD12)+LN('Ecoinvent 3.10'!$E$21)^2)</f>
        <v>2.1177132341242591E-2</v>
      </c>
      <c r="BE197" s="50">
        <f>(EXP(LN('Ecoinvent 3.10'!$E$21)^2)-1)*EXP(2*LN(BE12)+LN('Ecoinvent 3.10'!$E$21)^2)</f>
        <v>2.1177132341242598E-2</v>
      </c>
      <c r="BF197" s="224">
        <f>(EXP(LN('Ecoinvent 3.10'!$E$21)^2)-1)*EXP(2*LN(BF12)+LN('Ecoinvent 3.10'!$E$21)^2)</f>
        <v>5.7535403008176084E-3</v>
      </c>
      <c r="BG197" s="50">
        <f>(EXP(LN('Ecoinvent 3.10'!$E$21)^2)-1)*EXP(2*LN(BG12)+LN('Ecoinvent 3.10'!$E$21)^2)</f>
        <v>5.7535403008176101E-3</v>
      </c>
      <c r="BI197" s="156"/>
      <c r="BJ197" s="147" t="s">
        <v>66</v>
      </c>
      <c r="BK197" s="224">
        <f>(EXP(LN('Ecoinvent 3.10'!$E$21)^2)-1)*EXP(2*LN(BK12)+LN('Ecoinvent 3.10'!$E$21)^2)</f>
        <v>7.2306719725711912E-5</v>
      </c>
      <c r="BL197" s="50">
        <f>(EXP(LN('Ecoinvent 3.10'!$E$21)^2)-1)*EXP(2*LN(BL12)+LN('Ecoinvent 3.10'!$E$21)^2)</f>
        <v>7.2306719725711885E-5</v>
      </c>
      <c r="BM197" s="224">
        <f>(EXP(LN('Ecoinvent 3.10'!$E$21)^2)-1)*EXP(2*LN(BM12)+LN('Ecoinvent 3.10'!$E$21)^2)</f>
        <v>1.2938134416766366E-4</v>
      </c>
      <c r="BN197" s="50">
        <f>(EXP(LN('Ecoinvent 3.10'!$E$21)^2)-1)*EXP(2*LN(BN12)+LN('Ecoinvent 3.10'!$E$21)^2)</f>
        <v>1.2938134416766353E-4</v>
      </c>
      <c r="BO197" s="224">
        <f>(EXP(LN('Ecoinvent 3.10'!$E$21)^2)-1)*EXP(2*LN(BO12)+LN('Ecoinvent 3.10'!$E$21)^2)</f>
        <v>1.2291331350265623E-4</v>
      </c>
      <c r="BP197" s="50">
        <f>(EXP(LN('Ecoinvent 3.10'!$E$21)^2)-1)*EXP(2*LN(BP12)+LN('Ecoinvent 3.10'!$E$21)^2)</f>
        <v>1.2291331350265628E-4</v>
      </c>
      <c r="BQ197" s="224">
        <f>(EXP(LN('Ecoinvent 3.10'!$E$21)^2)-1)*EXP(2*LN(BQ12)+LN('Ecoinvent 3.10'!$E$21)^2)</f>
        <v>8.4997450367875602E-5</v>
      </c>
      <c r="BR197" s="50">
        <f>(EXP(LN('Ecoinvent 3.10'!$E$21)^2)-1)*EXP(2*LN(BR12)+LN('Ecoinvent 3.10'!$E$21)^2)</f>
        <v>8.4997450367875602E-5</v>
      </c>
      <c r="BS197" s="224">
        <f>(EXP(LN('Ecoinvent 3.10'!$E$21)^2)-1)*EXP(2*LN(BS12)+LN('Ecoinvent 3.10'!$E$21)^2)</f>
        <v>6.9578411752387994E-5</v>
      </c>
      <c r="BT197" s="50">
        <f>(EXP(LN('Ecoinvent 3.10'!$E$21)^2)-1)*EXP(2*LN(BT12)+LN('Ecoinvent 3.10'!$E$21)^2)</f>
        <v>6.9578411752388021E-5</v>
      </c>
      <c r="BU197" s="224">
        <f>(EXP(LN('Ecoinvent 3.10'!$E$21)^2)-1)*EXP(2*LN(BU12)+LN('Ecoinvent 3.10'!$E$21)^2)</f>
        <v>1.5169741492962962E-4</v>
      </c>
      <c r="BV197" s="50">
        <f>(EXP(LN('Ecoinvent 3.10'!$E$21)^2)-1)*EXP(2*LN(BV12)+LN('Ecoinvent 3.10'!$E$21)^2)</f>
        <v>1.5169741492962962E-4</v>
      </c>
      <c r="BW197" s="224">
        <f>(EXP(LN('Ecoinvent 3.10'!$E$21)^2)-1)*EXP(2*LN(BW12)+LN('Ecoinvent 3.10'!$E$21)^2)</f>
        <v>2.4244211028387643E-4</v>
      </c>
      <c r="BX197" s="50">
        <f>(EXP(LN('Ecoinvent 3.10'!$E$21)^2)-1)*EXP(2*LN(BX12)+LN('Ecoinvent 3.10'!$E$21)^2)</f>
        <v>2.4244211028387643E-4</v>
      </c>
      <c r="BY197" s="224">
        <f>(EXP(LN('Ecoinvent 3.10'!$E$21)^2)-1)*EXP(2*LN(BY12)+LN('Ecoinvent 3.10'!$E$21)^2)</f>
        <v>6.5868240782392112E-5</v>
      </c>
      <c r="BZ197" s="50">
        <f>(EXP(LN('Ecoinvent 3.10'!$E$21)^2)-1)*EXP(2*LN(BZ12)+LN('Ecoinvent 3.10'!$E$21)^2)</f>
        <v>6.5868240782392167E-5</v>
      </c>
      <c r="CA197" s="156"/>
      <c r="CB197" s="156"/>
      <c r="CC197" s="147" t="s">
        <v>66</v>
      </c>
      <c r="CD197" s="224">
        <f>(EXP(LN('Ecoinvent 3.10'!$E$21)^2)-1)*EXP(2*LN(CD12)+LN('Ecoinvent 3.10'!$E$21)^2)</f>
        <v>2.4559015464960558E-3</v>
      </c>
      <c r="CE197" s="50">
        <f>(EXP(LN('Ecoinvent 3.10'!$E$21)^2)-1)*EXP(2*LN(CE12)+LN('Ecoinvent 3.10'!$E$21)^2)</f>
        <v>2.4559015464960549E-3</v>
      </c>
      <c r="CF197" s="224">
        <f>(EXP(LN('Ecoinvent 3.10'!$E$21)^2)-1)*EXP(2*LN(CF12)+LN('Ecoinvent 3.10'!$E$21)^2)</f>
        <v>4.3944441738533761E-3</v>
      </c>
      <c r="CG197" s="50">
        <f>(EXP(LN('Ecoinvent 3.10'!$E$21)^2)-1)*EXP(2*LN(CG12)+LN('Ecoinvent 3.10'!$E$21)^2)</f>
        <v>4.3944441738533718E-3</v>
      </c>
      <c r="CH197" s="224">
        <f>(EXP(LN('Ecoinvent 3.10'!$E$21)^2)-1)*EXP(2*LN(CH12)+LN('Ecoinvent 3.10'!$E$21)^2)</f>
        <v>4.1747571714110974E-3</v>
      </c>
      <c r="CI197" s="50">
        <f>(EXP(LN('Ecoinvent 3.10'!$E$21)^2)-1)*EXP(2*LN(CI12)+LN('Ecoinvent 3.10'!$E$21)^2)</f>
        <v>4.1747571714110992E-3</v>
      </c>
      <c r="CJ197" s="224">
        <f>(EXP(LN('Ecoinvent 3.10'!$E$21)^2)-1)*EXP(2*LN(CJ12)+LN('Ecoinvent 3.10'!$E$21)^2)</f>
        <v>2.8869428816373018E-3</v>
      </c>
      <c r="CK197" s="50">
        <f>(EXP(LN('Ecoinvent 3.10'!$E$21)^2)-1)*EXP(2*LN(CK12)+LN('Ecoinvent 3.10'!$E$21)^2)</f>
        <v>2.8869428816373018E-3</v>
      </c>
      <c r="CL197" s="224">
        <f>(EXP(LN('Ecoinvent 3.10'!$E$21)^2)-1)*EXP(2*LN(CL12)+LN('Ecoinvent 3.10'!$E$21)^2)</f>
        <v>2.3632344223833701E-3</v>
      </c>
      <c r="CM197" s="50">
        <f>(EXP(LN('Ecoinvent 3.10'!$E$21)^2)-1)*EXP(2*LN(CM12)+LN('Ecoinvent 3.10'!$E$21)^2)</f>
        <v>2.363234422383371E-3</v>
      </c>
      <c r="CN197" s="224">
        <f>(EXP(LN('Ecoinvent 3.10'!$E$21)^2)-1)*EXP(2*LN(CN12)+LN('Ecoinvent 3.10'!$E$21)^2)</f>
        <v>5.1524106934787836E-3</v>
      </c>
      <c r="CO197" s="50">
        <f>(EXP(LN('Ecoinvent 3.10'!$E$21)^2)-1)*EXP(2*LN(CO12)+LN('Ecoinvent 3.10'!$E$21)^2)</f>
        <v>5.1524106934787836E-3</v>
      </c>
      <c r="CP197" s="224">
        <f>(EXP(LN('Ecoinvent 3.10'!$E$21)^2)-1)*EXP(2*LN(CP12)+LN('Ecoinvent 3.10'!$E$21)^2)</f>
        <v>8.2345590539936123E-3</v>
      </c>
      <c r="CQ197" s="50">
        <f>(EXP(LN('Ecoinvent 3.10'!$E$21)^2)-1)*EXP(2*LN(CQ12)+LN('Ecoinvent 3.10'!$E$21)^2)</f>
        <v>8.2345590539936141E-3</v>
      </c>
      <c r="CR197" s="224">
        <f>(EXP(LN('Ecoinvent 3.10'!$E$21)^2)-1)*EXP(2*LN(CR12)+LN('Ecoinvent 3.10'!$E$21)^2)</f>
        <v>2.2372182698384563E-3</v>
      </c>
      <c r="CS197" s="50">
        <f>(EXP(LN('Ecoinvent 3.10'!$E$21)^2)-1)*EXP(2*LN(CS12)+LN('Ecoinvent 3.10'!$E$21)^2)</f>
        <v>2.2372182698384576E-3</v>
      </c>
      <c r="CT197" s="55"/>
      <c r="CU197" s="55"/>
      <c r="CV197" s="147" t="s">
        <v>66</v>
      </c>
      <c r="CW197" s="224">
        <f>(EXP(LN('Ecoinvent 3.10'!$E$21)^2)-1)*EXP(2*LN(CW12)+LN('Ecoinvent 3.10'!$E$21)^2)</f>
        <v>4.4898318047354682E-10</v>
      </c>
      <c r="CX197" s="50">
        <f>(EXP(LN('Ecoinvent 3.10'!$E$21)^2)-1)*EXP(2*LN(CX12)+LN('Ecoinvent 3.10'!$E$21)^2)</f>
        <v>4.4898318047354682E-10</v>
      </c>
      <c r="CY197" s="224">
        <f>(EXP(LN('Ecoinvent 3.10'!$E$21)^2)-1)*EXP(2*LN(CY12)+LN('Ecoinvent 3.10'!$E$21)^2)</f>
        <v>8.0338380193014949E-10</v>
      </c>
      <c r="CZ197" s="50">
        <f>(EXP(LN('Ecoinvent 3.10'!$E$21)^2)-1)*EXP(2*LN(CZ12)+LN('Ecoinvent 3.10'!$E$21)^2)</f>
        <v>8.0338380193014949E-10</v>
      </c>
      <c r="DA197" s="224">
        <f>(EXP(LN('Ecoinvent 3.10'!$E$21)^2)-1)*EXP(2*LN(DA12)+LN('Ecoinvent 3.10'!$E$21)^2)</f>
        <v>7.6322104817238559E-10</v>
      </c>
      <c r="DB197" s="50">
        <f>(EXP(LN('Ecoinvent 3.10'!$E$21)^2)-1)*EXP(2*LN(DB12)+LN('Ecoinvent 3.10'!$E$21)^2)</f>
        <v>7.6322104817238559E-10</v>
      </c>
      <c r="DC197" s="224">
        <f>(EXP(LN('Ecoinvent 3.10'!$E$21)^2)-1)*EXP(2*LN(DC12)+LN('Ecoinvent 3.10'!$E$21)^2)</f>
        <v>5.2778532538990136E-10</v>
      </c>
      <c r="DD197" s="50">
        <f>(EXP(LN('Ecoinvent 3.10'!$E$21)^2)-1)*EXP(2*LN(DD12)+LN('Ecoinvent 3.10'!$E$21)^2)</f>
        <v>5.2778532538990136E-10</v>
      </c>
      <c r="DE197" s="224">
        <f>(EXP(LN('Ecoinvent 3.10'!$E$21)^2)-1)*EXP(2*LN(DE12)+LN('Ecoinvent 3.10'!$E$21)^2)</f>
        <v>4.3204195570465786E-10</v>
      </c>
      <c r="DF197" s="50">
        <f>(EXP(LN('Ecoinvent 3.10'!$E$21)^2)-1)*EXP(2*LN(DF12)+LN('Ecoinvent 3.10'!$E$21)^2)</f>
        <v>4.3204195570465786E-10</v>
      </c>
      <c r="DG197" s="224">
        <f>(EXP(LN('Ecoinvent 3.10'!$E$21)^2)-1)*EXP(2*LN(DG12)+LN('Ecoinvent 3.10'!$E$21)^2)</f>
        <v>9.4195377805945426E-10</v>
      </c>
      <c r="DH197" s="50">
        <f>(EXP(LN('Ecoinvent 3.10'!$E$21)^2)-1)*EXP(2*LN(DH12)+LN('Ecoinvent 3.10'!$E$21)^2)</f>
        <v>9.4195377805945426E-10</v>
      </c>
      <c r="DI197" s="224">
        <f>(EXP(LN('Ecoinvent 3.10'!$E$21)^2)-1)*EXP(2*LN(DI12)+LN('Ecoinvent 3.10'!$E$21)^2)</f>
        <v>1.5054261923220102E-9</v>
      </c>
      <c r="DJ197" s="50">
        <f>(EXP(LN('Ecoinvent 3.10'!$E$21)^2)-1)*EXP(2*LN(DJ12)+LN('Ecoinvent 3.10'!$E$21)^2)</f>
        <v>1.5054261923220102E-9</v>
      </c>
      <c r="DK197" s="224">
        <f>(EXP(LN('Ecoinvent 3.10'!$E$21)^2)-1)*EXP(2*LN(DK12)+LN('Ecoinvent 3.10'!$E$21)^2)</f>
        <v>4.0900392592639668E-10</v>
      </c>
      <c r="DL197" s="50">
        <f>(EXP(LN('Ecoinvent 3.10'!$E$21)^2)-1)*EXP(2*LN(DL12)+LN('Ecoinvent 3.10'!$E$21)^2)</f>
        <v>4.0900392592639668E-10</v>
      </c>
      <c r="DO197" s="147" t="s">
        <v>66</v>
      </c>
      <c r="DP197" s="224">
        <f>(EXP(LN('Ecoinvent 3.10'!$E$21)^2)-1)*EXP(2*LN(DP12)+LN('Ecoinvent 3.10'!$E$21)^2)</f>
        <v>6.0133449767765393E-9</v>
      </c>
      <c r="DQ197" s="50">
        <f>(EXP(LN('Ecoinvent 3.10'!$E$21)^2)-1)*EXP(2*LN(DQ12)+LN('Ecoinvent 3.10'!$E$21)^2)</f>
        <v>6.0133449767765393E-9</v>
      </c>
      <c r="DR197" s="224">
        <f>(EXP(LN('Ecoinvent 3.10'!$E$21)^2)-1)*EXP(2*LN(DR12)+LN('Ecoinvent 3.10'!$E$21)^2)</f>
        <v>1.075992188541445E-8</v>
      </c>
      <c r="DS197" s="50">
        <f>(EXP(LN('Ecoinvent 3.10'!$E$21)^2)-1)*EXP(2*LN(DS12)+LN('Ecoinvent 3.10'!$E$21)^2)</f>
        <v>1.0759921885414432E-8</v>
      </c>
      <c r="DT197" s="224">
        <f>(EXP(LN('Ecoinvent 3.10'!$E$21)^2)-1)*EXP(2*LN(DT12)+LN('Ecoinvent 3.10'!$E$21)^2)</f>
        <v>1.022201199465187E-8</v>
      </c>
      <c r="DU197" s="50">
        <f>(EXP(LN('Ecoinvent 3.10'!$E$21)^2)-1)*EXP(2*LN(DU12)+LN('Ecoinvent 3.10'!$E$21)^2)</f>
        <v>1.022201199465187E-8</v>
      </c>
      <c r="DV197" s="224">
        <f>(EXP(LN('Ecoinvent 3.10'!$E$21)^2)-1)*EXP(2*LN(DV12)+LN('Ecoinvent 3.10'!$E$21)^2)</f>
        <v>7.0687619787947044E-9</v>
      </c>
      <c r="DW197" s="50">
        <f>(EXP(LN('Ecoinvent 3.10'!$E$21)^2)-1)*EXP(2*LN(DW12)+LN('Ecoinvent 3.10'!$E$21)^2)</f>
        <v>7.0687619787947044E-9</v>
      </c>
      <c r="DX197" s="224">
        <f>(EXP(LN('Ecoinvent 3.10'!$E$21)^2)-1)*EXP(2*LN(DX12)+LN('Ecoinvent 3.10'!$E$21)^2)</f>
        <v>5.7864468806006565E-9</v>
      </c>
      <c r="DY197" s="50">
        <f>(EXP(LN('Ecoinvent 3.10'!$E$21)^2)-1)*EXP(2*LN(DY12)+LN('Ecoinvent 3.10'!$E$21)^2)</f>
        <v>5.7864468806006565E-9</v>
      </c>
      <c r="DZ197" s="224">
        <f>(EXP(LN('Ecoinvent 3.10'!$E$21)^2)-1)*EXP(2*LN(DZ12)+LN('Ecoinvent 3.10'!$E$21)^2)</f>
        <v>1.2615824525264664E-8</v>
      </c>
      <c r="EA197" s="50">
        <f>(EXP(LN('Ecoinvent 3.10'!$E$21)^2)-1)*EXP(2*LN(EA12)+LN('Ecoinvent 3.10'!$E$21)^2)</f>
        <v>1.2615824525264664E-8</v>
      </c>
      <c r="EB197" s="224">
        <f>(EXP(LN('Ecoinvent 3.10'!$E$21)^2)-1)*EXP(2*LN(EB12)+LN('Ecoinvent 3.10'!$E$21)^2)</f>
        <v>2.0162552686181873E-8</v>
      </c>
      <c r="EC197" s="50">
        <f>(EXP(LN('Ecoinvent 3.10'!$E$21)^2)-1)*EXP(2*LN(EC12)+LN('Ecoinvent 3.10'!$E$21)^2)</f>
        <v>2.0162552686181873E-8</v>
      </c>
      <c r="ED197" s="224">
        <f>(EXP(LN('Ecoinvent 3.10'!$E$21)^2)-1)*EXP(2*LN(ED12)+LN('Ecoinvent 3.10'!$E$21)^2)</f>
        <v>5.4778927372231251E-9</v>
      </c>
      <c r="EE197" s="50">
        <f>(EXP(LN('Ecoinvent 3.10'!$E$21)^2)-1)*EXP(2*LN(EE12)+LN('Ecoinvent 3.10'!$E$21)^2)</f>
        <v>5.4778927372231251E-9</v>
      </c>
      <c r="EH197" s="147" t="s">
        <v>66</v>
      </c>
      <c r="EI197" s="224">
        <f>(EXP(LN('Ecoinvent 3.10'!$E$21)^2)-1)*EXP(2*LN(EI12)+LN('Ecoinvent 3.10'!$E$21)^2)</f>
        <v>1.5276852968421449E-10</v>
      </c>
      <c r="EJ197" s="50">
        <f>(EXP(LN('Ecoinvent 3.10'!$E$21)^2)-1)*EXP(2*LN(EJ12)+LN('Ecoinvent 3.10'!$E$21)^2)</f>
        <v>1.5276852968421449E-10</v>
      </c>
      <c r="EK197" s="224">
        <f>(EXP(LN('Ecoinvent 3.10'!$E$21)^2)-1)*EXP(2*LN(EK12)+LN('Ecoinvent 3.10'!$E$21)^2)</f>
        <v>2.7335492181140776E-10</v>
      </c>
      <c r="EL197" s="50">
        <f>(EXP(LN('Ecoinvent 3.10'!$E$21)^2)-1)*EXP(2*LN(EL12)+LN('Ecoinvent 3.10'!$E$21)^2)</f>
        <v>2.7335492181140678E-10</v>
      </c>
      <c r="EM197" s="224">
        <f>(EXP(LN('Ecoinvent 3.10'!$E$21)^2)-1)*EXP(2*LN(EM12)+LN('Ecoinvent 3.10'!$E$21)^2)</f>
        <v>2.5968936571380137E-10</v>
      </c>
      <c r="EN197" s="50">
        <f>(EXP(LN('Ecoinvent 3.10'!$E$21)^2)-1)*EXP(2*LN(EN12)+LN('Ecoinvent 3.10'!$E$21)^2)</f>
        <v>2.5968936571380137E-10</v>
      </c>
      <c r="EO197" s="224">
        <f>(EXP(LN('Ecoinvent 3.10'!$E$21)^2)-1)*EXP(2*LN(EO12)+LN('Ecoinvent 3.10'!$E$21)^2)</f>
        <v>1.795813109606465E-10</v>
      </c>
      <c r="EP197" s="50">
        <f>(EXP(LN('Ecoinvent 3.10'!$E$21)^2)-1)*EXP(2*LN(EP12)+LN('Ecoinvent 3.10'!$E$21)^2)</f>
        <v>1.795813109606465E-10</v>
      </c>
      <c r="EQ197" s="224">
        <f>(EXP(LN('Ecoinvent 3.10'!$E$21)^2)-1)*EXP(2*LN(EQ12)+LN('Ecoinvent 3.10'!$E$21)^2)</f>
        <v>1.4700420239635695E-10</v>
      </c>
      <c r="ER197" s="50">
        <f>(EXP(LN('Ecoinvent 3.10'!$E$21)^2)-1)*EXP(2*LN(ER12)+LN('Ecoinvent 3.10'!$E$21)^2)</f>
        <v>1.4700420239635695E-10</v>
      </c>
      <c r="ES197" s="224">
        <f>(EXP(LN('Ecoinvent 3.10'!$E$21)^2)-1)*EXP(2*LN(ES12)+LN('Ecoinvent 3.10'!$E$21)^2)</f>
        <v>3.2050397423097308E-10</v>
      </c>
      <c r="ET197" s="50">
        <f>(EXP(LN('Ecoinvent 3.10'!$E$21)^2)-1)*EXP(2*LN(ET12)+LN('Ecoinvent 3.10'!$E$21)^2)</f>
        <v>3.2050397423097308E-10</v>
      </c>
      <c r="EU197" s="224">
        <f>(EXP(LN('Ecoinvent 3.10'!$E$21)^2)-1)*EXP(2*LN(EU12)+LN('Ecoinvent 3.10'!$E$21)^2)</f>
        <v>5.1222797634997259E-10</v>
      </c>
      <c r="EV197" s="50">
        <f>(EXP(LN('Ecoinvent 3.10'!$E$21)^2)-1)*EXP(2*LN(EV12)+LN('Ecoinvent 3.10'!$E$21)^2)</f>
        <v>5.1222797634997259E-10</v>
      </c>
      <c r="EW197" s="224">
        <f>(EXP(LN('Ecoinvent 3.10'!$E$21)^2)-1)*EXP(2*LN(EW12)+LN('Ecoinvent 3.10'!$E$21)^2)</f>
        <v>1.3916541001145249E-10</v>
      </c>
      <c r="EX197" s="50">
        <f>(EXP(LN('Ecoinvent 3.10'!$E$21)^2)-1)*EXP(2*LN(EX12)+LN('Ecoinvent 3.10'!$E$21)^2)</f>
        <v>1.3916541001145249E-10</v>
      </c>
      <c r="FA197" s="147" t="s">
        <v>66</v>
      </c>
      <c r="FB197" s="224">
        <f>(EXP(LN('Ecoinvent 3.10'!$E$21)^2)-1)*EXP(2*LN(FB12)+LN('Ecoinvent 3.10'!$E$21)^2)</f>
        <v>1.6211593897220148E-13</v>
      </c>
      <c r="FC197" s="50">
        <f>(EXP(LN('Ecoinvent 3.10'!$E$21)^2)-1)*EXP(2*LN(FC12)+LN('Ecoinvent 3.10'!$E$21)^2)</f>
        <v>1.6211593897220148E-13</v>
      </c>
      <c r="FD197" s="224">
        <f>(EXP(LN('Ecoinvent 3.10'!$E$21)^2)-1)*EXP(2*LN(FD12)+LN('Ecoinvent 3.10'!$E$21)^2)</f>
        <v>2.9008062009716391E-13</v>
      </c>
      <c r="FE197" s="50">
        <f>(EXP(LN('Ecoinvent 3.10'!$E$21)^2)-1)*EXP(2*LN(FE12)+LN('Ecoinvent 3.10'!$E$21)^2)</f>
        <v>2.9008062009716391E-13</v>
      </c>
      <c r="FF197" s="224">
        <f>(EXP(LN('Ecoinvent 3.10'!$E$21)^2)-1)*EXP(2*LN(FF12)+LN('Ecoinvent 3.10'!$E$21)^2)</f>
        <v>2.7557891308381488E-13</v>
      </c>
      <c r="FG197" s="50">
        <f>(EXP(LN('Ecoinvent 3.10'!$E$21)^2)-1)*EXP(2*LN(FG12)+LN('Ecoinvent 3.10'!$E$21)^2)</f>
        <v>2.7557891308381488E-13</v>
      </c>
      <c r="FH197" s="224">
        <f>(EXP(LN('Ecoinvent 3.10'!$E$21)^2)-1)*EXP(2*LN(FH12)+LN('Ecoinvent 3.10'!$E$21)^2)</f>
        <v>1.9056930709762692E-13</v>
      </c>
      <c r="FI197" s="50">
        <f>(EXP(LN('Ecoinvent 3.10'!$E$21)^2)-1)*EXP(2*LN(FI12)+LN('Ecoinvent 3.10'!$E$21)^2)</f>
        <v>1.9056930709762692E-13</v>
      </c>
      <c r="FJ197" s="224">
        <f>(EXP(LN('Ecoinvent 3.10'!$E$21)^2)-1)*EXP(2*LN(FJ12)+LN('Ecoinvent 3.10'!$E$21)^2)</f>
        <v>1.5599891125225249E-13</v>
      </c>
      <c r="FK197" s="50">
        <f>(EXP(LN('Ecoinvent 3.10'!$E$21)^2)-1)*EXP(2*LN(FK12)+LN('Ecoinvent 3.10'!$E$21)^2)</f>
        <v>1.5599891125225249E-13</v>
      </c>
      <c r="FL197" s="224">
        <f>(EXP(LN('Ecoinvent 3.10'!$E$21)^2)-1)*EXP(2*LN(FL12)+LN('Ecoinvent 3.10'!$E$21)^2)</f>
        <v>3.4011456963145299E-13</v>
      </c>
      <c r="FM197" s="50">
        <f>(EXP(LN('Ecoinvent 3.10'!$E$21)^2)-1)*EXP(2*LN(FM12)+LN('Ecoinvent 3.10'!$E$21)^2)</f>
        <v>3.4011456963145299E-13</v>
      </c>
      <c r="FN197" s="224">
        <f>(EXP(LN('Ecoinvent 3.10'!$E$21)^2)-1)*EXP(2*LN(FN12)+LN('Ecoinvent 3.10'!$E$21)^2)</f>
        <v>5.4356953965229297E-13</v>
      </c>
      <c r="FO197" s="50">
        <f>(EXP(LN('Ecoinvent 3.10'!$E$21)^2)-1)*EXP(2*LN(FO12)+LN('Ecoinvent 3.10'!$E$21)^2)</f>
        <v>5.4356953965229488E-13</v>
      </c>
      <c r="FP197" s="224">
        <f>(EXP(LN('Ecoinvent 3.10'!$E$21)^2)-1)*EXP(2*LN(FP12)+LN('Ecoinvent 3.10'!$E$21)^2)</f>
        <v>1.4768048866539008E-13</v>
      </c>
      <c r="FQ197" s="50">
        <f>(EXP(LN('Ecoinvent 3.10'!$E$21)^2)-1)*EXP(2*LN(FQ12)+LN('Ecoinvent 3.10'!$E$21)^2)</f>
        <v>1.4768048866539061E-13</v>
      </c>
      <c r="FT197" s="147" t="s">
        <v>66</v>
      </c>
      <c r="FU197" s="224">
        <f>(EXP(LN('Ecoinvent 3.10'!$E$21)^2)-1)*EXP(2*LN(FU12)+LN('Ecoinvent 3.10'!$E$21)^2)</f>
        <v>2.2646384372196253E-8</v>
      </c>
      <c r="FV197" s="50">
        <f>(EXP(LN('Ecoinvent 3.10'!$E$21)^2)-1)*EXP(2*LN(FV12)+LN('Ecoinvent 3.10'!$E$21)^2)</f>
        <v>2.2646384372196253E-8</v>
      </c>
      <c r="FW197" s="224">
        <f>(EXP(LN('Ecoinvent 3.10'!$E$21)^2)-1)*EXP(2*LN(FW12)+LN('Ecoinvent 3.10'!$E$21)^2)</f>
        <v>4.0522093406076903E-8</v>
      </c>
      <c r="FX197" s="50">
        <f>(EXP(LN('Ecoinvent 3.10'!$E$21)^2)-1)*EXP(2*LN(FX12)+LN('Ecoinvent 3.10'!$E$21)^2)</f>
        <v>4.0522093406076903E-8</v>
      </c>
      <c r="FY197" s="224">
        <f>(EXP(LN('Ecoinvent 3.10'!$E$21)^2)-1)*EXP(2*LN(FY12)+LN('Ecoinvent 3.10'!$E$21)^2)</f>
        <v>3.8496313380008024E-8</v>
      </c>
      <c r="FZ197" s="50">
        <f>(EXP(LN('Ecoinvent 3.10'!$E$21)^2)-1)*EXP(2*LN(FZ12)+LN('Ecoinvent 3.10'!$E$21)^2)</f>
        <v>3.8496313380008024E-8</v>
      </c>
      <c r="GA197" s="224">
        <f>(EXP(LN('Ecoinvent 3.10'!$E$21)^2)-1)*EXP(2*LN(GA12)+LN('Ecoinvent 3.10'!$E$21)^2)</f>
        <v>2.6621107125166772E-8</v>
      </c>
      <c r="GB197" s="50">
        <f>(EXP(LN('Ecoinvent 3.10'!$E$21)^2)-1)*EXP(2*LN(GB12)+LN('Ecoinvent 3.10'!$E$21)^2)</f>
        <v>2.6621107125166772E-8</v>
      </c>
      <c r="GC197" s="224">
        <f>(EXP(LN('Ecoinvent 3.10'!$E$21)^2)-1)*EXP(2*LN(GC12)+LN('Ecoinvent 3.10'!$E$21)^2)</f>
        <v>2.1791881342823605E-8</v>
      </c>
      <c r="GD197" s="50">
        <f>(EXP(LN('Ecoinvent 3.10'!$E$21)^2)-1)*EXP(2*LN(GD12)+LN('Ecoinvent 3.10'!$E$21)^2)</f>
        <v>2.1791881342823605E-8</v>
      </c>
      <c r="GE197" s="224">
        <f>(EXP(LN('Ecoinvent 3.10'!$E$21)^2)-1)*EXP(2*LN(GE12)+LN('Ecoinvent 3.10'!$E$21)^2)</f>
        <v>4.751146200238045E-8</v>
      </c>
      <c r="GF197" s="50">
        <f>(EXP(LN('Ecoinvent 3.10'!$E$21)^2)-1)*EXP(2*LN(GF12)+LN('Ecoinvent 3.10'!$E$21)^2)</f>
        <v>4.751146200238045E-8</v>
      </c>
      <c r="GG197" s="224">
        <f>(EXP(LN('Ecoinvent 3.10'!$E$21)^2)-1)*EXP(2*LN(GG12)+LN('Ecoinvent 3.10'!$E$21)^2)</f>
        <v>7.5932599878994224E-8</v>
      </c>
      <c r="GH197" s="50">
        <f>(EXP(LN('Ecoinvent 3.10'!$E$21)^2)-1)*EXP(2*LN(GH12)+LN('Ecoinvent 3.10'!$E$21)^2)</f>
        <v>7.5932599878994224E-8</v>
      </c>
      <c r="GI197" s="224">
        <f>(EXP(LN('Ecoinvent 3.10'!$E$21)^2)-1)*EXP(2*LN(GI12)+LN('Ecoinvent 3.10'!$E$21)^2)</f>
        <v>2.0629859912563454E-8</v>
      </c>
      <c r="GJ197" s="50">
        <f>(EXP(LN('Ecoinvent 3.10'!$E$21)^2)-1)*EXP(2*LN(GJ12)+LN('Ecoinvent 3.10'!$E$21)^2)</f>
        <v>2.0629859912563454E-8</v>
      </c>
      <c r="GM197" s="147" t="s">
        <v>66</v>
      </c>
      <c r="GN197" s="224">
        <f>(EXP(LN('Ecoinvent 3.10'!$E$21)^2)-1)*EXP(2*LN(GN12)+LN('Ecoinvent 3.10'!$E$21)^2)</f>
        <v>8.0549777736994962E-7</v>
      </c>
      <c r="GO197" s="50">
        <f>(EXP(LN('Ecoinvent 3.10'!$E$21)^2)-1)*EXP(2*LN(GO12)+LN('Ecoinvent 3.10'!$E$21)^2)</f>
        <v>8.0549777736994962E-7</v>
      </c>
      <c r="GP197" s="224">
        <f>(EXP(LN('Ecoinvent 3.10'!$E$21)^2)-1)*EXP(2*LN(GP12)+LN('Ecoinvent 3.10'!$E$21)^2)</f>
        <v>1.4413098195509867E-6</v>
      </c>
      <c r="GQ197" s="50">
        <f>(EXP(LN('Ecoinvent 3.10'!$E$21)^2)-1)*EXP(2*LN(GQ12)+LN('Ecoinvent 3.10'!$E$21)^2)</f>
        <v>1.4413098195509854E-6</v>
      </c>
      <c r="GR197" s="224">
        <f>(EXP(LN('Ecoinvent 3.10'!$E$21)^2)-1)*EXP(2*LN(GR12)+LN('Ecoinvent 3.10'!$E$21)^2)</f>
        <v>1.3692558756798264E-6</v>
      </c>
      <c r="GS197" s="50">
        <f>(EXP(LN('Ecoinvent 3.10'!$E$21)^2)-1)*EXP(2*LN(GS12)+LN('Ecoinvent 3.10'!$E$21)^2)</f>
        <v>1.3692558756798277E-6</v>
      </c>
      <c r="GT197" s="224">
        <f>(EXP(LN('Ecoinvent 3.10'!$E$21)^2)-1)*EXP(2*LN(GT12)+LN('Ecoinvent 3.10'!$E$21)^2)</f>
        <v>9.468726781293958E-7</v>
      </c>
      <c r="GU197" s="50">
        <f>(EXP(LN('Ecoinvent 3.10'!$E$21)^2)-1)*EXP(2*LN(GU12)+LN('Ecoinvent 3.10'!$E$21)^2)</f>
        <v>9.468726781293958E-7</v>
      </c>
      <c r="GV197" s="224">
        <f>(EXP(LN('Ecoinvent 3.10'!$E$21)^2)-1)*EXP(2*LN(GV12)+LN('Ecoinvent 3.10'!$E$21)^2)</f>
        <v>7.7510439184741966E-7</v>
      </c>
      <c r="GW197" s="50">
        <f>(EXP(LN('Ecoinvent 3.10'!$E$21)^2)-1)*EXP(2*LN(GW12)+LN('Ecoinvent 3.10'!$E$21)^2)</f>
        <v>7.7510439184741966E-7</v>
      </c>
      <c r="GX197" s="224">
        <f>(EXP(LN('Ecoinvent 3.10'!$E$21)^2)-1)*EXP(2*LN(GX12)+LN('Ecoinvent 3.10'!$E$21)^2)</f>
        <v>1.6899111316639209E-6</v>
      </c>
      <c r="GY197" s="50">
        <f>(EXP(LN('Ecoinvent 3.10'!$E$21)^2)-1)*EXP(2*LN(GY12)+LN('Ecoinvent 3.10'!$E$21)^2)</f>
        <v>1.6899111316639209E-6</v>
      </c>
      <c r="GZ197" s="224">
        <f>(EXP(LN('Ecoinvent 3.10'!$E$21)^2)-1)*EXP(2*LN(GZ12)+LN('Ecoinvent 3.10'!$E$21)^2)</f>
        <v>2.7008081920372306E-6</v>
      </c>
      <c r="HA197" s="50">
        <f>(EXP(LN('Ecoinvent 3.10'!$E$21)^2)-1)*EXP(2*LN(HA12)+LN('Ecoinvent 3.10'!$E$21)^2)</f>
        <v>2.7008081920372331E-6</v>
      </c>
      <c r="HB197" s="224">
        <f>(EXP(LN('Ecoinvent 3.10'!$E$21)^2)-1)*EXP(2*LN(HB12)+LN('Ecoinvent 3.10'!$E$21)^2)</f>
        <v>7.3377304005424039E-7</v>
      </c>
      <c r="HC197" s="50">
        <f>(EXP(LN('Ecoinvent 3.10'!$E$21)^2)-1)*EXP(2*LN(HC12)+LN('Ecoinvent 3.10'!$E$21)^2)</f>
        <v>7.3377304005424166E-7</v>
      </c>
      <c r="HF197" s="147" t="s">
        <v>66</v>
      </c>
      <c r="HG197" s="224">
        <f>(EXP(LN('Ecoinvent 3.10'!$E$21)^2)-1)*EXP(2*LN(HG12)+LN('Ecoinvent 3.10'!$E$21)^2)</f>
        <v>6.2532717787422167E-6</v>
      </c>
      <c r="HH197" s="50">
        <f>(EXP(LN('Ecoinvent 3.10'!$E$21)^2)-1)*EXP(2*LN(HH12)+LN('Ecoinvent 3.10'!$E$21)^2)</f>
        <v>6.2532717787422167E-6</v>
      </c>
      <c r="HI197" s="224">
        <f>(EXP(LN('Ecoinvent 3.10'!$E$21)^2)-1)*EXP(2*LN(HI12)+LN('Ecoinvent 3.10'!$E$21)^2)</f>
        <v>1.1189232636309026E-5</v>
      </c>
      <c r="HJ197" s="50">
        <f>(EXP(LN('Ecoinvent 3.10'!$E$21)^2)-1)*EXP(2*LN(HJ12)+LN('Ecoinvent 3.10'!$E$21)^2)</f>
        <v>1.1189232636309016E-5</v>
      </c>
      <c r="HK197" s="224">
        <f>(EXP(LN('Ecoinvent 3.10'!$E$21)^2)-1)*EXP(2*LN(HK12)+LN('Ecoinvent 3.10'!$E$21)^2)</f>
        <v>1.0629860647440506E-5</v>
      </c>
      <c r="HL197" s="50">
        <f>(EXP(LN('Ecoinvent 3.10'!$E$21)^2)-1)*EXP(2*LN(HL12)+LN('Ecoinvent 3.10'!$E$21)^2)</f>
        <v>1.0629860647440506E-5</v>
      </c>
      <c r="HM197" s="224">
        <f>(EXP(LN('Ecoinvent 3.10'!$E$21)^2)-1)*EXP(2*LN(HM12)+LN('Ecoinvent 3.10'!$E$21)^2)</f>
        <v>7.3507989252826746E-6</v>
      </c>
      <c r="HN197" s="50">
        <f>(EXP(LN('Ecoinvent 3.10'!$E$21)^2)-1)*EXP(2*LN(HN12)+LN('Ecoinvent 3.10'!$E$21)^2)</f>
        <v>7.3507989252826746E-6</v>
      </c>
      <c r="HO197" s="224">
        <f>(EXP(LN('Ecoinvent 3.10'!$E$21)^2)-1)*EXP(2*LN(HO12)+LN('Ecoinvent 3.10'!$E$21)^2)</f>
        <v>6.0173206621928505E-6</v>
      </c>
      <c r="HP197" s="50">
        <f>(EXP(LN('Ecoinvent 3.10'!$E$21)^2)-1)*EXP(2*LN(HP12)+LN('Ecoinvent 3.10'!$E$21)^2)</f>
        <v>6.0173206621928505E-6</v>
      </c>
      <c r="HQ197" s="224">
        <f>(EXP(LN('Ecoinvent 3.10'!$E$21)^2)-1)*EXP(2*LN(HQ12)+LN('Ecoinvent 3.10'!$E$21)^2)</f>
        <v>1.3119184043834888E-5</v>
      </c>
      <c r="HR197" s="50">
        <f>(EXP(LN('Ecoinvent 3.10'!$E$21)^2)-1)*EXP(2*LN(HR12)+LN('Ecoinvent 3.10'!$E$21)^2)</f>
        <v>1.3119184043834888E-5</v>
      </c>
      <c r="HS197" s="224">
        <f>(EXP(LN('Ecoinvent 3.10'!$E$21)^2)-1)*EXP(2*LN(HS12)+LN('Ecoinvent 3.10'!$E$21)^2)</f>
        <v>2.0967019551818637E-5</v>
      </c>
      <c r="HT197" s="50">
        <f>(EXP(LN('Ecoinvent 3.10'!$E$21)^2)-1)*EXP(2*LN(HT12)+LN('Ecoinvent 3.10'!$E$21)^2)</f>
        <v>2.0967019551818654E-5</v>
      </c>
      <c r="HU197" s="224">
        <f>(EXP(LN('Ecoinvent 3.10'!$E$21)^2)-1)*EXP(2*LN(HU12)+LN('Ecoinvent 3.10'!$E$21)^2)</f>
        <v>5.6964554990518139E-6</v>
      </c>
      <c r="HV197" s="50">
        <f>(EXP(LN('Ecoinvent 3.10'!$E$21)^2)-1)*EXP(2*LN(HV12)+LN('Ecoinvent 3.10'!$E$21)^2)</f>
        <v>5.6964554990518139E-6</v>
      </c>
      <c r="HY197" s="147" t="s">
        <v>66</v>
      </c>
      <c r="HZ197" s="224">
        <f>(EXP(LN('Ecoinvent 3.10'!$E$21)^2)-1)*EXP(2*LN(HZ12)+LN('Ecoinvent 3.10'!$E$21)^2)</f>
        <v>1.125367337698169E-10</v>
      </c>
      <c r="IA197" s="50">
        <f>(EXP(LN('Ecoinvent 3.10'!$E$21)^2)-1)*EXP(2*LN(IA12)+LN('Ecoinvent 3.10'!$E$21)^2)</f>
        <v>1.125367337698169E-10</v>
      </c>
      <c r="IB197" s="224">
        <f>(EXP(LN('Ecoinvent 3.10'!$E$21)^2)-1)*EXP(2*LN(IB12)+LN('Ecoinvent 3.10'!$E$21)^2)</f>
        <v>2.013665388031694E-10</v>
      </c>
      <c r="IC197" s="50">
        <f>(EXP(LN('Ecoinvent 3.10'!$E$21)^2)-1)*EXP(2*LN(IC12)+LN('Ecoinvent 3.10'!$E$21)^2)</f>
        <v>2.013665388031687E-10</v>
      </c>
      <c r="ID197" s="224">
        <f>(EXP(LN('Ecoinvent 3.10'!$E$21)^2)-1)*EXP(2*LN(ID12)+LN('Ecoinvent 3.10'!$E$21)^2)</f>
        <v>1.9129982511840889E-10</v>
      </c>
      <c r="IE197" s="50">
        <f>(EXP(LN('Ecoinvent 3.10'!$E$21)^2)-1)*EXP(2*LN(IE12)+LN('Ecoinvent 3.10'!$E$21)^2)</f>
        <v>1.9129982511840889E-10</v>
      </c>
      <c r="IF197" s="224">
        <f>(EXP(LN('Ecoinvent 3.10'!$E$21)^2)-1)*EXP(2*LN(IF12)+LN('Ecoinvent 3.10'!$E$21)^2)</f>
        <v>1.3228833335889087E-10</v>
      </c>
      <c r="IG197" s="50">
        <f>(EXP(LN('Ecoinvent 3.10'!$E$21)^2)-1)*EXP(2*LN(IG12)+LN('Ecoinvent 3.10'!$E$21)^2)</f>
        <v>1.3228833335889087E-10</v>
      </c>
      <c r="IH197" s="224">
        <f>(EXP(LN('Ecoinvent 3.10'!$E$21)^2)-1)*EXP(2*LN(IH12)+LN('Ecoinvent 3.10'!$E$21)^2)</f>
        <v>1.0829044975637103E-10</v>
      </c>
      <c r="II197" s="50">
        <f>(EXP(LN('Ecoinvent 3.10'!$E$21)^2)-1)*EXP(2*LN(II12)+LN('Ecoinvent 3.10'!$E$21)^2)</f>
        <v>1.0829044975637103E-10</v>
      </c>
      <c r="IJ197" s="224">
        <f>(EXP(LN('Ecoinvent 3.10'!$E$21)^2)-1)*EXP(2*LN(IJ12)+LN('Ecoinvent 3.10'!$E$21)^2)</f>
        <v>2.3609882542403117E-10</v>
      </c>
      <c r="IK197" s="50">
        <f>(EXP(LN('Ecoinvent 3.10'!$E$21)^2)-1)*EXP(2*LN(IK12)+LN('Ecoinvent 3.10'!$E$21)^2)</f>
        <v>2.3609882542403117E-10</v>
      </c>
      <c r="IL197" s="224">
        <f>(EXP(LN('Ecoinvent 3.10'!$E$21)^2)-1)*EXP(2*LN(IL12)+LN('Ecoinvent 3.10'!$E$21)^2)</f>
        <v>3.773320560399772E-10</v>
      </c>
      <c r="IM197" s="50">
        <f>(EXP(LN('Ecoinvent 3.10'!$E$21)^2)-1)*EXP(2*LN(IM12)+LN('Ecoinvent 3.10'!$E$21)^2)</f>
        <v>3.773320560399772E-10</v>
      </c>
      <c r="IN197" s="224">
        <f>(EXP(LN('Ecoinvent 3.10'!$E$21)^2)-1)*EXP(2*LN(IN12)+LN('Ecoinvent 3.10'!$E$21)^2)</f>
        <v>1.0251601379419777E-10</v>
      </c>
      <c r="IO197" s="50">
        <f>(EXP(LN('Ecoinvent 3.10'!$E$21)^2)-1)*EXP(2*LN(IO12)+LN('Ecoinvent 3.10'!$E$21)^2)</f>
        <v>1.0251601379419777E-10</v>
      </c>
    </row>
    <row r="198" spans="1:249" x14ac:dyDescent="0.2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58"/>
      <c r="AM198" s="137"/>
      <c r="AN198" s="156"/>
      <c r="AO198" s="158"/>
      <c r="AP198" s="726"/>
      <c r="AQ198" s="147" t="s">
        <v>628</v>
      </c>
      <c r="AR198" s="224">
        <f>(EXP(LN('Ecoinvent 3.10'!$E$6)^2)-1)*EXP(2*LN(AR13)+LN('Ecoinvent 3.10'!$E$6)^2)</f>
        <v>0.20501251260006356</v>
      </c>
      <c r="AS198" s="50">
        <f>(EXP(LN('Ecoinvent 3.10'!$E$6)^2)-1)*EXP(2*LN(AS13)+LN('Ecoinvent 3.10'!$E$6)^2)</f>
        <v>0.20501251260006362</v>
      </c>
      <c r="AT198" s="224">
        <f>(EXP(LN('Ecoinvent 3.10'!$E$6)^2)-1)*EXP(2*LN(AT13)+LN('Ecoinvent 3.10'!$E$6)^2)</f>
        <v>0.36683719787047991</v>
      </c>
      <c r="AU198" s="50">
        <f>(EXP(LN('Ecoinvent 3.10'!$E$6)^2)-1)*EXP(2*LN(AU13)+LN('Ecoinvent 3.10'!$E$6)^2)</f>
        <v>0.36683719787047958</v>
      </c>
      <c r="AV198" s="224">
        <f>(EXP(LN('Ecoinvent 3.10'!$E$6)^2)-1)*EXP(2*LN(AV13)+LN('Ecoinvent 3.10'!$E$6)^2)</f>
        <v>0.34849827690659724</v>
      </c>
      <c r="AW198" s="50">
        <f>(EXP(LN('Ecoinvent 3.10'!$E$6)^2)-1)*EXP(2*LN(AW13)+LN('Ecoinvent 3.10'!$E$6)^2)</f>
        <v>0.34849827690659724</v>
      </c>
      <c r="AX198" s="224">
        <f>(EXP(LN('Ecoinvent 3.10'!$E$6)^2)-1)*EXP(2*LN(AX13)+LN('Ecoinvent 3.10'!$E$6)^2)</f>
        <v>0.24099476411901105</v>
      </c>
      <c r="AY198" s="50">
        <f>(EXP(LN('Ecoinvent 3.10'!$E$6)^2)-1)*EXP(2*LN(AY13)+LN('Ecoinvent 3.10'!$E$6)^2)</f>
        <v>0.24099476411901102</v>
      </c>
      <c r="AZ198" s="224">
        <f>(EXP(LN('Ecoinvent 3.10'!$E$6)^2)-1)*EXP(2*LN(AZ13)+LN('Ecoinvent 3.10'!$E$6)^2)</f>
        <v>0.19727689307701363</v>
      </c>
      <c r="BA198" s="50">
        <f>(EXP(LN('Ecoinvent 3.10'!$E$6)^2)-1)*EXP(2*LN(BA13)+LN('Ecoinvent 3.10'!$E$6)^2)</f>
        <v>0.19727689307701357</v>
      </c>
      <c r="BB198" s="224">
        <f>(EXP(LN('Ecoinvent 3.10'!$E$6)^2)-1)*EXP(2*LN(BB13)+LN('Ecoinvent 3.10'!$E$6)^2)</f>
        <v>0.4301103453127445</v>
      </c>
      <c r="BC198" s="50">
        <f>(EXP(LN('Ecoinvent 3.10'!$E$6)^2)-1)*EXP(2*LN(BC13)+LN('Ecoinvent 3.10'!$E$6)^2)</f>
        <v>0.43011034531274434</v>
      </c>
      <c r="BD198" s="224">
        <f>(EXP(LN('Ecoinvent 3.10'!$E$6)^2)-1)*EXP(2*LN(BD13)+LN('Ecoinvent 3.10'!$E$6)^2)</f>
        <v>0.68740037409946109</v>
      </c>
      <c r="BE198" s="50">
        <f>(EXP(LN('Ecoinvent 3.10'!$E$6)^2)-1)*EXP(2*LN(BE13)+LN('Ecoinvent 3.10'!$E$6)^2)</f>
        <v>0.68740037409946086</v>
      </c>
      <c r="BF198" s="224">
        <f>(EXP(LN('Ecoinvent 3.10'!$E$6)^2)-1)*EXP(2*LN(BF13)+LN('Ecoinvent 3.10'!$E$6)^2)</f>
        <v>0.18675738015179669</v>
      </c>
      <c r="BG198" s="50">
        <f>(EXP(LN('Ecoinvent 3.10'!$E$6)^2)-1)*EXP(2*LN(BG13)+LN('Ecoinvent 3.10'!$E$6)^2)</f>
        <v>0.18675738015179669</v>
      </c>
      <c r="BI198" s="156"/>
      <c r="BJ198" s="147" t="s">
        <v>628</v>
      </c>
      <c r="BK198" s="224">
        <f>(EXP(LN('Ecoinvent 3.10'!$E$6)^2)-1)*EXP(2*LN(BK13)+LN('Ecoinvent 3.10'!$E$6)^2)</f>
        <v>2.3619790963118156E-2</v>
      </c>
      <c r="BL198" s="50">
        <f>(EXP(LN('Ecoinvent 3.10'!$E$6)^2)-1)*EXP(2*LN(BL13)+LN('Ecoinvent 3.10'!$E$6)^2)</f>
        <v>2.3619790963118167E-2</v>
      </c>
      <c r="BM198" s="224">
        <f>(EXP(LN('Ecoinvent 3.10'!$E$6)^2)-1)*EXP(2*LN(BM13)+LN('Ecoinvent 3.10'!$E$6)^2)</f>
        <v>4.2263849270993532E-2</v>
      </c>
      <c r="BN198" s="50">
        <f>(EXP(LN('Ecoinvent 3.10'!$E$6)^2)-1)*EXP(2*LN(BN13)+LN('Ecoinvent 3.10'!$E$6)^2)</f>
        <v>4.2263849270993498E-2</v>
      </c>
      <c r="BO198" s="224">
        <f>(EXP(LN('Ecoinvent 3.10'!$E$6)^2)-1)*EXP(2*LN(BO13)+LN('Ecoinvent 3.10'!$E$6)^2)</f>
        <v>4.0150995405819671E-2</v>
      </c>
      <c r="BP198" s="50">
        <f>(EXP(LN('Ecoinvent 3.10'!$E$6)^2)-1)*EXP(2*LN(BP13)+LN('Ecoinvent 3.10'!$E$6)^2)</f>
        <v>4.0150995405819671E-2</v>
      </c>
      <c r="BQ198" s="224">
        <f>(EXP(LN('Ecoinvent 3.10'!$E$6)^2)-1)*EXP(2*LN(BQ13)+LN('Ecoinvent 3.10'!$E$6)^2)</f>
        <v>2.7765358706672641E-2</v>
      </c>
      <c r="BR198" s="50">
        <f>(EXP(LN('Ecoinvent 3.10'!$E$6)^2)-1)*EXP(2*LN(BR13)+LN('Ecoinvent 3.10'!$E$6)^2)</f>
        <v>2.7765358706672637E-2</v>
      </c>
      <c r="BS198" s="224">
        <f>(EXP(LN('Ecoinvent 3.10'!$E$6)^2)-1)*EXP(2*LN(BS13)+LN('Ecoinvent 3.10'!$E$6)^2)</f>
        <v>2.2728558941289854E-2</v>
      </c>
      <c r="BT198" s="50">
        <f>(EXP(LN('Ecoinvent 3.10'!$E$6)^2)-1)*EXP(2*LN(BT13)+LN('Ecoinvent 3.10'!$E$6)^2)</f>
        <v>2.2728558941289851E-2</v>
      </c>
      <c r="BU198" s="224">
        <f>(EXP(LN('Ecoinvent 3.10'!$E$6)^2)-1)*EXP(2*LN(BU13)+LN('Ecoinvent 3.10'!$E$6)^2)</f>
        <v>4.9553640987659617E-2</v>
      </c>
      <c r="BV198" s="50">
        <f>(EXP(LN('Ecoinvent 3.10'!$E$6)^2)-1)*EXP(2*LN(BV13)+LN('Ecoinvent 3.10'!$E$6)^2)</f>
        <v>4.9553640987659596E-2</v>
      </c>
      <c r="BW198" s="224">
        <f>(EXP(LN('Ecoinvent 3.10'!$E$6)^2)-1)*EXP(2*LN(BW13)+LN('Ecoinvent 3.10'!$E$6)^2)</f>
        <v>7.9196400933205596E-2</v>
      </c>
      <c r="BX198" s="50">
        <f>(EXP(LN('Ecoinvent 3.10'!$E$6)^2)-1)*EXP(2*LN(BX13)+LN('Ecoinvent 3.10'!$E$6)^2)</f>
        <v>7.9196400933205569E-2</v>
      </c>
      <c r="BY198" s="224">
        <f>(EXP(LN('Ecoinvent 3.10'!$E$6)^2)-1)*EXP(2*LN(BY13)+LN('Ecoinvent 3.10'!$E$6)^2)</f>
        <v>2.1516590495187473E-2</v>
      </c>
      <c r="BZ198" s="50">
        <f>(EXP(LN('Ecoinvent 3.10'!$E$6)^2)-1)*EXP(2*LN(BZ13)+LN('Ecoinvent 3.10'!$E$6)^2)</f>
        <v>2.1516590495187473E-2</v>
      </c>
      <c r="CA198" s="156"/>
      <c r="CB198" s="156"/>
      <c r="CC198" s="147" t="s">
        <v>628</v>
      </c>
      <c r="CD198" s="224">
        <f>(EXP(LN('Ecoinvent 3.10'!$E$6)^2)-1)*EXP(2*LN(CD13)+LN('Ecoinvent 3.10'!$E$6)^2)</f>
        <v>0.52375267523629088</v>
      </c>
      <c r="CE198" s="50">
        <f>(EXP(LN('Ecoinvent 3.10'!$E$6)^2)-1)*EXP(2*LN(CE13)+LN('Ecoinvent 3.10'!$E$6)^2)</f>
        <v>0.52375267523629121</v>
      </c>
      <c r="CF198" s="224">
        <f>(EXP(LN('Ecoinvent 3.10'!$E$6)^2)-1)*EXP(2*LN(CF13)+LN('Ecoinvent 3.10'!$E$6)^2)</f>
        <v>0.93717188928686312</v>
      </c>
      <c r="CG198" s="50">
        <f>(EXP(LN('Ecoinvent 3.10'!$E$6)^2)-1)*EXP(2*LN(CG13)+LN('Ecoinvent 3.10'!$E$6)^2)</f>
        <v>0.93717188928686268</v>
      </c>
      <c r="CH198" s="224">
        <f>(EXP(LN('Ecoinvent 3.10'!$E$6)^2)-1)*EXP(2*LN(CH13)+LN('Ecoinvent 3.10'!$E$6)^2)</f>
        <v>0.89032080300942296</v>
      </c>
      <c r="CI198" s="50">
        <f>(EXP(LN('Ecoinvent 3.10'!$E$6)^2)-1)*EXP(2*LN(CI13)+LN('Ecoinvent 3.10'!$E$6)^2)</f>
        <v>0.89032080300942296</v>
      </c>
      <c r="CJ198" s="224">
        <f>(EXP(LN('Ecoinvent 3.10'!$E$6)^2)-1)*EXP(2*LN(CJ13)+LN('Ecoinvent 3.10'!$E$6)^2)</f>
        <v>0.61567779851321991</v>
      </c>
      <c r="CK198" s="50">
        <f>(EXP(LN('Ecoinvent 3.10'!$E$6)^2)-1)*EXP(2*LN(CK13)+LN('Ecoinvent 3.10'!$E$6)^2)</f>
        <v>0.61567779851321991</v>
      </c>
      <c r="CL198" s="224">
        <f>(EXP(LN('Ecoinvent 3.10'!$E$6)^2)-1)*EXP(2*LN(CL13)+LN('Ecoinvent 3.10'!$E$6)^2)</f>
        <v>0.50399021601649097</v>
      </c>
      <c r="CM198" s="50">
        <f>(EXP(LN('Ecoinvent 3.10'!$E$6)^2)-1)*EXP(2*LN(CM13)+LN('Ecoinvent 3.10'!$E$6)^2)</f>
        <v>0.50399021601649074</v>
      </c>
      <c r="CN198" s="224">
        <f>(EXP(LN('Ecoinvent 3.10'!$E$6)^2)-1)*EXP(2*LN(CN13)+LN('Ecoinvent 3.10'!$E$6)^2)</f>
        <v>1.0988180240676924</v>
      </c>
      <c r="CO198" s="50">
        <f>(EXP(LN('Ecoinvent 3.10'!$E$6)^2)-1)*EXP(2*LN(CO13)+LN('Ecoinvent 3.10'!$E$6)^2)</f>
        <v>1.0988180240676924</v>
      </c>
      <c r="CP198" s="224">
        <f>(EXP(LN('Ecoinvent 3.10'!$E$6)^2)-1)*EXP(2*LN(CP13)+LN('Ecoinvent 3.10'!$E$6)^2)</f>
        <v>1.7561259082530185</v>
      </c>
      <c r="CQ198" s="50">
        <f>(EXP(LN('Ecoinvent 3.10'!$E$6)^2)-1)*EXP(2*LN(CQ13)+LN('Ecoinvent 3.10'!$E$6)^2)</f>
        <v>1.7561259082530176</v>
      </c>
      <c r="CR198" s="224">
        <f>(EXP(LN('Ecoinvent 3.10'!$E$6)^2)-1)*EXP(2*LN(CR13)+LN('Ecoinvent 3.10'!$E$6)^2)</f>
        <v>0.47711564642613019</v>
      </c>
      <c r="CS198" s="50">
        <f>(EXP(LN('Ecoinvent 3.10'!$E$6)^2)-1)*EXP(2*LN(CS13)+LN('Ecoinvent 3.10'!$E$6)^2)</f>
        <v>0.47711564642613019</v>
      </c>
      <c r="CV198" s="147" t="s">
        <v>628</v>
      </c>
      <c r="CW198" s="224">
        <f>(EXP(LN('Ecoinvent 3.10'!$E$6)^2)-1)*EXP(2*LN(CW13)+LN('Ecoinvent 3.10'!$E$6)^2)</f>
        <v>1.8456661441962514E-7</v>
      </c>
      <c r="CX198" s="50">
        <f>(EXP(LN('Ecoinvent 3.10'!$E$6)^2)-1)*EXP(2*LN(CX13)+LN('Ecoinvent 3.10'!$E$6)^2)</f>
        <v>1.8456661441962514E-7</v>
      </c>
      <c r="CY198" s="224">
        <f>(EXP(LN('Ecoinvent 3.10'!$E$6)^2)-1)*EXP(2*LN(CY13)+LN('Ecoinvent 3.10'!$E$6)^2)</f>
        <v>3.3025252359214075E-7</v>
      </c>
      <c r="CZ198" s="50">
        <f>(EXP(LN('Ecoinvent 3.10'!$E$6)^2)-1)*EXP(2*LN(CZ13)+LN('Ecoinvent 3.10'!$E$6)^2)</f>
        <v>3.3025252359214017E-7</v>
      </c>
      <c r="DA198" s="224">
        <f>(EXP(LN('Ecoinvent 3.10'!$E$6)^2)-1)*EXP(2*LN(DA13)+LN('Ecoinvent 3.10'!$E$6)^2)</f>
        <v>3.1374254324271752E-7</v>
      </c>
      <c r="DB198" s="50">
        <f>(EXP(LN('Ecoinvent 3.10'!$E$6)^2)-1)*EXP(2*LN(DB13)+LN('Ecoinvent 3.10'!$E$6)^2)</f>
        <v>3.1374254324271752E-7</v>
      </c>
      <c r="DC198" s="224">
        <f>(EXP(LN('Ecoinvent 3.10'!$E$6)^2)-1)*EXP(2*LN(DC13)+LN('Ecoinvent 3.10'!$E$6)^2)</f>
        <v>2.1696035594213894E-7</v>
      </c>
      <c r="DD198" s="50">
        <f>(EXP(LN('Ecoinvent 3.10'!$E$6)^2)-1)*EXP(2*LN(DD13)+LN('Ecoinvent 3.10'!$E$6)^2)</f>
        <v>2.1696035594213852E-7</v>
      </c>
      <c r="DE198" s="224">
        <f>(EXP(LN('Ecoinvent 3.10'!$E$6)^2)-1)*EXP(2*LN(DE13)+LN('Ecoinvent 3.10'!$E$6)^2)</f>
        <v>1.7760246824288446E-7</v>
      </c>
      <c r="DF198" s="50">
        <f>(EXP(LN('Ecoinvent 3.10'!$E$6)^2)-1)*EXP(2*LN(DF13)+LN('Ecoinvent 3.10'!$E$6)^2)</f>
        <v>1.7760246824288446E-7</v>
      </c>
      <c r="DG198" s="224">
        <f>(EXP(LN('Ecoinvent 3.10'!$E$6)^2)-1)*EXP(2*LN(DG13)+LN('Ecoinvent 3.10'!$E$6)^2)</f>
        <v>3.872154399477589E-7</v>
      </c>
      <c r="DH198" s="50">
        <f>(EXP(LN('Ecoinvent 3.10'!$E$6)^2)-1)*EXP(2*LN(DH13)+LN('Ecoinvent 3.10'!$E$6)^2)</f>
        <v>3.872154399477589E-7</v>
      </c>
      <c r="DI198" s="224">
        <f>(EXP(LN('Ecoinvent 3.10'!$E$6)^2)-1)*EXP(2*LN(DI13)+LN('Ecoinvent 3.10'!$E$6)^2)</f>
        <v>6.1884593378854053E-7</v>
      </c>
      <c r="DJ198" s="50">
        <f>(EXP(LN('Ecoinvent 3.10'!$E$6)^2)-1)*EXP(2*LN(DJ13)+LN('Ecoinvent 3.10'!$E$6)^2)</f>
        <v>6.1884593378854053E-7</v>
      </c>
      <c r="DK198" s="224">
        <f>(EXP(LN('Ecoinvent 3.10'!$E$6)^2)-1)*EXP(2*LN(DK13)+LN('Ecoinvent 3.10'!$E$6)^2)</f>
        <v>1.6813206635703319E-7</v>
      </c>
      <c r="DL198" s="50">
        <f>(EXP(LN('Ecoinvent 3.10'!$E$6)^2)-1)*EXP(2*LN(DL13)+LN('Ecoinvent 3.10'!$E$6)^2)</f>
        <v>1.6813206635703319E-7</v>
      </c>
      <c r="DO198" s="147" t="s">
        <v>628</v>
      </c>
      <c r="DP198" s="224">
        <f>(EXP(LN('Ecoinvent 3.10'!$E$6)^2)-1)*EXP(2*LN(DP13)+LN('Ecoinvent 3.10'!$E$6)^2)</f>
        <v>1.0285347806737063E-2</v>
      </c>
      <c r="DQ198" s="50">
        <f>(EXP(LN('Ecoinvent 3.10'!$E$6)^2)-1)*EXP(2*LN(DQ13)+LN('Ecoinvent 3.10'!$E$6)^2)</f>
        <v>1.0285347806737066E-2</v>
      </c>
      <c r="DR198" s="224">
        <f>(EXP(LN('Ecoinvent 3.10'!$E$6)^2)-1)*EXP(2*LN(DR13)+LN('Ecoinvent 3.10'!$E$6)^2)</f>
        <v>1.8403989691629874E-2</v>
      </c>
      <c r="DS198" s="50">
        <f>(EXP(LN('Ecoinvent 3.10'!$E$6)^2)-1)*EXP(2*LN(DS13)+LN('Ecoinvent 3.10'!$E$6)^2)</f>
        <v>1.8403989691629864E-2</v>
      </c>
      <c r="DT198" s="224">
        <f>(EXP(LN('Ecoinvent 3.10'!$E$6)^2)-1)*EXP(2*LN(DT13)+LN('Ecoinvent 3.10'!$E$6)^2)</f>
        <v>1.748393765128561E-2</v>
      </c>
      <c r="DU198" s="50">
        <f>(EXP(LN('Ecoinvent 3.10'!$E$6)^2)-1)*EXP(2*LN(DU13)+LN('Ecoinvent 3.10'!$E$6)^2)</f>
        <v>1.748393765128561E-2</v>
      </c>
      <c r="DV198" s="224">
        <f>(EXP(LN('Ecoinvent 3.10'!$E$6)^2)-1)*EXP(2*LN(DV13)+LN('Ecoinvent 3.10'!$E$6)^2)</f>
        <v>1.2090554557526147E-2</v>
      </c>
      <c r="DW198" s="50">
        <f>(EXP(LN('Ecoinvent 3.10'!$E$6)^2)-1)*EXP(2*LN(DW13)+LN('Ecoinvent 3.10'!$E$6)^2)</f>
        <v>1.2090554557526147E-2</v>
      </c>
      <c r="DX198" s="224">
        <f>(EXP(LN('Ecoinvent 3.10'!$E$6)^2)-1)*EXP(2*LN(DX13)+LN('Ecoinvent 3.10'!$E$6)^2)</f>
        <v>9.8972566786098455E-3</v>
      </c>
      <c r="DY198" s="50">
        <f>(EXP(LN('Ecoinvent 3.10'!$E$6)^2)-1)*EXP(2*LN(DY13)+LN('Ecoinvent 3.10'!$E$6)^2)</f>
        <v>9.897256678609842E-3</v>
      </c>
      <c r="DZ198" s="224">
        <f>(EXP(LN('Ecoinvent 3.10'!$E$6)^2)-1)*EXP(2*LN(DZ13)+LN('Ecoinvent 3.10'!$E$6)^2)</f>
        <v>2.1578363392127833E-2</v>
      </c>
      <c r="EA198" s="50">
        <f>(EXP(LN('Ecoinvent 3.10'!$E$6)^2)-1)*EXP(2*LN(EA13)+LN('Ecoinvent 3.10'!$E$6)^2)</f>
        <v>2.1578363392127823E-2</v>
      </c>
      <c r="EB198" s="224">
        <f>(EXP(LN('Ecoinvent 3.10'!$E$6)^2)-1)*EXP(2*LN(EB13)+LN('Ecoinvent 3.10'!$E$6)^2)</f>
        <v>3.4486441049022772E-2</v>
      </c>
      <c r="EC198" s="50">
        <f>(EXP(LN('Ecoinvent 3.10'!$E$6)^2)-1)*EXP(2*LN(EC13)+LN('Ecoinvent 3.10'!$E$6)^2)</f>
        <v>3.4486441049022765E-2</v>
      </c>
      <c r="ED198" s="224">
        <f>(EXP(LN('Ecoinvent 3.10'!$E$6)^2)-1)*EXP(2*LN(ED13)+LN('Ecoinvent 3.10'!$E$6)^2)</f>
        <v>9.3694993831105623E-3</v>
      </c>
      <c r="EE198" s="50">
        <f>(EXP(LN('Ecoinvent 3.10'!$E$6)^2)-1)*EXP(2*LN(EE13)+LN('Ecoinvent 3.10'!$E$6)^2)</f>
        <v>9.3694993831105623E-3</v>
      </c>
      <c r="EH198" s="147" t="s">
        <v>628</v>
      </c>
      <c r="EI198" s="224">
        <f>(EXP(LN('Ecoinvent 3.10'!$E$6)^2)-1)*EXP(2*LN(EI13)+LN('Ecoinvent 3.10'!$E$6)^2)</f>
        <v>1.3392997798884804E-6</v>
      </c>
      <c r="EJ198" s="50">
        <f>(EXP(LN('Ecoinvent 3.10'!$E$6)^2)-1)*EXP(2*LN(EJ13)+LN('Ecoinvent 3.10'!$E$6)^2)</f>
        <v>1.3392997798884804E-6</v>
      </c>
      <c r="EK198" s="224">
        <f>(EXP(LN('Ecoinvent 3.10'!$E$6)^2)-1)*EXP(2*LN(EK13)+LN('Ecoinvent 3.10'!$E$6)^2)</f>
        <v>2.3964633774391776E-6</v>
      </c>
      <c r="EL198" s="50">
        <f>(EXP(LN('Ecoinvent 3.10'!$E$6)^2)-1)*EXP(2*LN(EL13)+LN('Ecoinvent 3.10'!$E$6)^2)</f>
        <v>2.3964633774391776E-6</v>
      </c>
      <c r="EM198" s="224">
        <f>(EXP(LN('Ecoinvent 3.10'!$E$6)^2)-1)*EXP(2*LN(EM13)+LN('Ecoinvent 3.10'!$E$6)^2)</f>
        <v>2.2766594079213092E-6</v>
      </c>
      <c r="EN198" s="50">
        <f>(EXP(LN('Ecoinvent 3.10'!$E$6)^2)-1)*EXP(2*LN(EN13)+LN('Ecoinvent 3.10'!$E$6)^2)</f>
        <v>2.2766594079213092E-6</v>
      </c>
      <c r="EO198" s="224">
        <f>(EXP(LN('Ecoinvent 3.10'!$E$6)^2)-1)*EXP(2*LN(EO13)+LN('Ecoinvent 3.10'!$E$6)^2)</f>
        <v>1.5743635861315118E-6</v>
      </c>
      <c r="EP198" s="50">
        <f>(EXP(LN('Ecoinvent 3.10'!$E$6)^2)-1)*EXP(2*LN(EP13)+LN('Ecoinvent 3.10'!$E$6)^2)</f>
        <v>1.5743635861315088E-6</v>
      </c>
      <c r="EQ198" s="224">
        <f>(EXP(LN('Ecoinvent 3.10'!$E$6)^2)-1)*EXP(2*LN(EQ13)+LN('Ecoinvent 3.10'!$E$6)^2)</f>
        <v>1.2887647496450681E-6</v>
      </c>
      <c r="ER198" s="50">
        <f>(EXP(LN('Ecoinvent 3.10'!$E$6)^2)-1)*EXP(2*LN(ER13)+LN('Ecoinvent 3.10'!$E$6)^2)</f>
        <v>1.2887647496450681E-6</v>
      </c>
      <c r="ES198" s="224">
        <f>(EXP(LN('Ecoinvent 3.10'!$E$6)^2)-1)*EXP(2*LN(ES13)+LN('Ecoinvent 3.10'!$E$6)^2)</f>
        <v>2.8098123548627635E-6</v>
      </c>
      <c r="ET198" s="50">
        <f>(EXP(LN('Ecoinvent 3.10'!$E$6)^2)-1)*EXP(2*LN(ET13)+LN('Ecoinvent 3.10'!$E$6)^2)</f>
        <v>2.8098123548627635E-6</v>
      </c>
      <c r="EU198" s="224">
        <f>(EXP(LN('Ecoinvent 3.10'!$E$6)^2)-1)*EXP(2*LN(EU13)+LN('Ecoinvent 3.10'!$E$6)^2)</f>
        <v>4.4906291720965992E-6</v>
      </c>
      <c r="EV198" s="50">
        <f>(EXP(LN('Ecoinvent 3.10'!$E$6)^2)-1)*EXP(2*LN(EV13)+LN('Ecoinvent 3.10'!$E$6)^2)</f>
        <v>4.4906291720965992E-6</v>
      </c>
      <c r="EW198" s="224">
        <f>(EXP(LN('Ecoinvent 3.10'!$E$6)^2)-1)*EXP(2*LN(EW13)+LN('Ecoinvent 3.10'!$E$6)^2)</f>
        <v>1.2200431815485826E-6</v>
      </c>
      <c r="EX198" s="50">
        <f>(EXP(LN('Ecoinvent 3.10'!$E$6)^2)-1)*EXP(2*LN(EX13)+LN('Ecoinvent 3.10'!$E$6)^2)</f>
        <v>1.2200431815485826E-6</v>
      </c>
      <c r="FA198" s="147" t="s">
        <v>628</v>
      </c>
      <c r="FB198" s="224">
        <f>(EXP(LN('Ecoinvent 3.10'!$E$6)^2)-1)*EXP(2*LN(FB13)+LN('Ecoinvent 3.10'!$E$6)^2)</f>
        <v>1.4829974567780825E-9</v>
      </c>
      <c r="FC198" s="50">
        <f>(EXP(LN('Ecoinvent 3.10'!$E$6)^2)-1)*EXP(2*LN(FC13)+LN('Ecoinvent 3.10'!$E$6)^2)</f>
        <v>1.4829974567780825E-9</v>
      </c>
      <c r="FD198" s="224">
        <f>(EXP(LN('Ecoinvent 3.10'!$E$6)^2)-1)*EXP(2*LN(FD13)+LN('Ecoinvent 3.10'!$E$6)^2)</f>
        <v>2.6535874547071467E-9</v>
      </c>
      <c r="FE198" s="50">
        <f>(EXP(LN('Ecoinvent 3.10'!$E$6)^2)-1)*EXP(2*LN(FE13)+LN('Ecoinvent 3.10'!$E$6)^2)</f>
        <v>2.6535874547071467E-9</v>
      </c>
      <c r="FF198" s="224">
        <f>(EXP(LN('Ecoinvent 3.10'!$E$6)^2)-1)*EXP(2*LN(FF13)+LN('Ecoinvent 3.10'!$E$6)^2)</f>
        <v>2.5209293412848438E-9</v>
      </c>
      <c r="FG198" s="50">
        <f>(EXP(LN('Ecoinvent 3.10'!$E$6)^2)-1)*EXP(2*LN(FG13)+LN('Ecoinvent 3.10'!$E$6)^2)</f>
        <v>2.5209293412848438E-9</v>
      </c>
      <c r="FH198" s="224">
        <f>(EXP(LN('Ecoinvent 3.10'!$E$6)^2)-1)*EXP(2*LN(FH13)+LN('Ecoinvent 3.10'!$E$6)^2)</f>
        <v>1.743281996560522E-9</v>
      </c>
      <c r="FI198" s="50">
        <f>(EXP(LN('Ecoinvent 3.10'!$E$6)^2)-1)*EXP(2*LN(FI13)+LN('Ecoinvent 3.10'!$E$6)^2)</f>
        <v>1.743281996560516E-9</v>
      </c>
      <c r="FJ198" s="224">
        <f>(EXP(LN('Ecoinvent 3.10'!$E$6)^2)-1)*EXP(2*LN(FJ13)+LN('Ecoinvent 3.10'!$E$6)^2)</f>
        <v>1.4270403645314032E-9</v>
      </c>
      <c r="FK198" s="50">
        <f>(EXP(LN('Ecoinvent 3.10'!$E$6)^2)-1)*EXP(2*LN(FK13)+LN('Ecoinvent 3.10'!$E$6)^2)</f>
        <v>1.427040364531398E-9</v>
      </c>
      <c r="FL198" s="224">
        <f>(EXP(LN('Ecoinvent 3.10'!$E$6)^2)-1)*EXP(2*LN(FL13)+LN('Ecoinvent 3.10'!$E$6)^2)</f>
        <v>3.1112859412491581E-9</v>
      </c>
      <c r="FM198" s="50">
        <f>(EXP(LN('Ecoinvent 3.10'!$E$6)^2)-1)*EXP(2*LN(FM13)+LN('Ecoinvent 3.10'!$E$6)^2)</f>
        <v>3.1112859412491581E-9</v>
      </c>
      <c r="FN198" s="224">
        <f>(EXP(LN('Ecoinvent 3.10'!$E$6)^2)-1)*EXP(2*LN(FN13)+LN('Ecoinvent 3.10'!$E$6)^2)</f>
        <v>4.9724428701894211E-9</v>
      </c>
      <c r="FO198" s="50">
        <f>(EXP(LN('Ecoinvent 3.10'!$E$6)^2)-1)*EXP(2*LN(FO13)+LN('Ecoinvent 3.10'!$E$6)^2)</f>
        <v>4.9724428701894211E-9</v>
      </c>
      <c r="FP198" s="224">
        <f>(EXP(LN('Ecoinvent 3.10'!$E$6)^2)-1)*EXP(2*LN(FP13)+LN('Ecoinvent 3.10'!$E$6)^2)</f>
        <v>1.350945443705403E-9</v>
      </c>
      <c r="FQ198" s="50">
        <f>(EXP(LN('Ecoinvent 3.10'!$E$6)^2)-1)*EXP(2*LN(FQ13)+LN('Ecoinvent 3.10'!$E$6)^2)</f>
        <v>1.350945443705403E-9</v>
      </c>
      <c r="FT198" s="147" t="s">
        <v>628</v>
      </c>
      <c r="FU198" s="224">
        <f>(EXP(LN('Ecoinvent 3.10'!$E$6)^2)-1)*EXP(2*LN(FU13)+LN('Ecoinvent 3.10'!$E$6)^2)</f>
        <v>4.9074798051508061E-5</v>
      </c>
      <c r="FV198" s="50">
        <f>(EXP(LN('Ecoinvent 3.10'!$E$6)^2)-1)*EXP(2*LN(FV13)+LN('Ecoinvent 3.10'!$E$6)^2)</f>
        <v>4.9074798051508108E-5</v>
      </c>
      <c r="FW198" s="224">
        <f>(EXP(LN('Ecoinvent 3.10'!$E$6)^2)-1)*EXP(2*LN(FW13)+LN('Ecoinvent 3.10'!$E$6)^2)</f>
        <v>8.7811525135511766E-5</v>
      </c>
      <c r="FX198" s="50">
        <f>(EXP(LN('Ecoinvent 3.10'!$E$6)^2)-1)*EXP(2*LN(FX13)+LN('Ecoinvent 3.10'!$E$6)^2)</f>
        <v>8.7811525135511685E-5</v>
      </c>
      <c r="FY198" s="224">
        <f>(EXP(LN('Ecoinvent 3.10'!$E$6)^2)-1)*EXP(2*LN(FY13)+LN('Ecoinvent 3.10'!$E$6)^2)</f>
        <v>8.3421652383984792E-5</v>
      </c>
      <c r="FZ198" s="50">
        <f>(EXP(LN('Ecoinvent 3.10'!$E$6)^2)-1)*EXP(2*LN(FZ13)+LN('Ecoinvent 3.10'!$E$6)^2)</f>
        <v>8.3421652383984792E-5</v>
      </c>
      <c r="GA198" s="224">
        <f>(EXP(LN('Ecoinvent 3.10'!$E$6)^2)-1)*EXP(2*LN(GA13)+LN('Ecoinvent 3.10'!$E$6)^2)</f>
        <v>5.7688036845257531E-5</v>
      </c>
      <c r="GB198" s="50">
        <f>(EXP(LN('Ecoinvent 3.10'!$E$6)^2)-1)*EXP(2*LN(GB13)+LN('Ecoinvent 3.10'!$E$6)^2)</f>
        <v>5.7688036845257531E-5</v>
      </c>
      <c r="GC198" s="224">
        <f>(EXP(LN('Ecoinvent 3.10'!$E$6)^2)-1)*EXP(2*LN(GC13)+LN('Ecoinvent 3.10'!$E$6)^2)</f>
        <v>4.722308685065301E-5</v>
      </c>
      <c r="GD198" s="50">
        <f>(EXP(LN('Ecoinvent 3.10'!$E$6)^2)-1)*EXP(2*LN(GD13)+LN('Ecoinvent 3.10'!$E$6)^2)</f>
        <v>4.722308685065301E-5</v>
      </c>
      <c r="GE198" s="224">
        <f>(EXP(LN('Ecoinvent 3.10'!$E$6)^2)-1)*EXP(2*LN(GE13)+LN('Ecoinvent 3.10'!$E$6)^2)</f>
        <v>1.0295751253614357E-4</v>
      </c>
      <c r="GF198" s="50">
        <f>(EXP(LN('Ecoinvent 3.10'!$E$6)^2)-1)*EXP(2*LN(GF13)+LN('Ecoinvent 3.10'!$E$6)^2)</f>
        <v>1.0295751253614357E-4</v>
      </c>
      <c r="GG198" s="224">
        <f>(EXP(LN('Ecoinvent 3.10'!$E$6)^2)-1)*EXP(2*LN(GG13)+LN('Ecoinvent 3.10'!$E$6)^2)</f>
        <v>1.6454622262627547E-4</v>
      </c>
      <c r="GH198" s="50">
        <f>(EXP(LN('Ecoinvent 3.10'!$E$6)^2)-1)*EXP(2*LN(GH13)+LN('Ecoinvent 3.10'!$E$6)^2)</f>
        <v>1.6454622262627547E-4</v>
      </c>
      <c r="GI198" s="224">
        <f>(EXP(LN('Ecoinvent 3.10'!$E$6)^2)-1)*EXP(2*LN(GI13)+LN('Ecoinvent 3.10'!$E$6)^2)</f>
        <v>4.4704982146418045E-5</v>
      </c>
      <c r="GJ198" s="50">
        <f>(EXP(LN('Ecoinvent 3.10'!$E$6)^2)-1)*EXP(2*LN(GJ13)+LN('Ecoinvent 3.10'!$E$6)^2)</f>
        <v>4.4704982146418045E-5</v>
      </c>
      <c r="GM198" s="147" t="s">
        <v>628</v>
      </c>
      <c r="GN198" s="224">
        <f>(EXP(LN('Ecoinvent 3.10'!$E$6)^2)-1)*EXP(2*LN(GN13)+LN('Ecoinvent 3.10'!$E$6)^2)</f>
        <v>2.4949981909654437E-4</v>
      </c>
      <c r="GO198" s="50">
        <f>(EXP(LN('Ecoinvent 3.10'!$E$6)^2)-1)*EXP(2*LN(GO13)+LN('Ecoinvent 3.10'!$E$6)^2)</f>
        <v>2.4949981909654437E-4</v>
      </c>
      <c r="GP198" s="224">
        <f>(EXP(LN('Ecoinvent 3.10'!$E$6)^2)-1)*EXP(2*LN(GP13)+LN('Ecoinvent 3.10'!$E$6)^2)</f>
        <v>4.464401384373821E-4</v>
      </c>
      <c r="GQ198" s="50">
        <f>(EXP(LN('Ecoinvent 3.10'!$E$6)^2)-1)*EXP(2*LN(GQ13)+LN('Ecoinvent 3.10'!$E$6)^2)</f>
        <v>4.464401384373821E-4</v>
      </c>
      <c r="GR198" s="224">
        <f>(EXP(LN('Ecoinvent 3.10'!$E$6)^2)-1)*EXP(2*LN(GR13)+LN('Ecoinvent 3.10'!$E$6)^2)</f>
        <v>4.2412170818702732E-4</v>
      </c>
      <c r="GS198" s="50">
        <f>(EXP(LN('Ecoinvent 3.10'!$E$6)^2)-1)*EXP(2*LN(GS13)+LN('Ecoinvent 3.10'!$E$6)^2)</f>
        <v>4.2412170818702732E-4</v>
      </c>
      <c r="GT198" s="224">
        <f>(EXP(LN('Ecoinvent 3.10'!$E$6)^2)-1)*EXP(2*LN(GT13)+LN('Ecoinvent 3.10'!$E$6)^2)</f>
        <v>2.9329014745653606E-4</v>
      </c>
      <c r="GU198" s="50">
        <f>(EXP(LN('Ecoinvent 3.10'!$E$6)^2)-1)*EXP(2*LN(GU13)+LN('Ecoinvent 3.10'!$E$6)^2)</f>
        <v>2.9329014745653606E-4</v>
      </c>
      <c r="GV198" s="224">
        <f>(EXP(LN('Ecoinvent 3.10'!$E$6)^2)-1)*EXP(2*LN(GV13)+LN('Ecoinvent 3.10'!$E$6)^2)</f>
        <v>2.4008558555965888E-4</v>
      </c>
      <c r="GW198" s="50">
        <f>(EXP(LN('Ecoinvent 3.10'!$E$6)^2)-1)*EXP(2*LN(GW13)+LN('Ecoinvent 3.10'!$E$6)^2)</f>
        <v>2.4008558555965888E-4</v>
      </c>
      <c r="GX198" s="224">
        <f>(EXP(LN('Ecoinvent 3.10'!$E$6)^2)-1)*EXP(2*LN(GX13)+LN('Ecoinvent 3.10'!$E$6)^2)</f>
        <v>5.2344343272562102E-4</v>
      </c>
      <c r="GY198" s="50">
        <f>(EXP(LN('Ecoinvent 3.10'!$E$6)^2)-1)*EXP(2*LN(GY13)+LN('Ecoinvent 3.10'!$E$6)^2)</f>
        <v>5.2344343272562102E-4</v>
      </c>
      <c r="GZ198" s="224">
        <f>(EXP(LN('Ecoinvent 3.10'!$E$6)^2)-1)*EXP(2*LN(GZ13)+LN('Ecoinvent 3.10'!$E$6)^2)</f>
        <v>8.3656488479454528E-4</v>
      </c>
      <c r="HA198" s="50">
        <f>(EXP(LN('Ecoinvent 3.10'!$E$6)^2)-1)*EXP(2*LN(HA13)+LN('Ecoinvent 3.10'!$E$6)^2)</f>
        <v>8.3656488479454528E-4</v>
      </c>
      <c r="HB198" s="224">
        <f>(EXP(LN('Ecoinvent 3.10'!$E$6)^2)-1)*EXP(2*LN(HB13)+LN('Ecoinvent 3.10'!$E$6)^2)</f>
        <v>2.2728335930264273E-4</v>
      </c>
      <c r="HC198" s="50">
        <f>(EXP(LN('Ecoinvent 3.10'!$E$6)^2)-1)*EXP(2*LN(HC13)+LN('Ecoinvent 3.10'!$E$6)^2)</f>
        <v>2.2728335930264273E-4</v>
      </c>
      <c r="HF198" s="147" t="s">
        <v>628</v>
      </c>
      <c r="HG198" s="224">
        <f>(EXP(LN('Ecoinvent 3.10'!$E$6)^2)-1)*EXP(2*LN(HG13)+LN('Ecoinvent 3.10'!$E$6)^2)</f>
        <v>2.5800227864346201E-2</v>
      </c>
      <c r="HH198" s="50">
        <f>(EXP(LN('Ecoinvent 3.10'!$E$6)^2)-1)*EXP(2*LN(HH13)+LN('Ecoinvent 3.10'!$E$6)^2)</f>
        <v>2.5800227864346218E-2</v>
      </c>
      <c r="HI198" s="224">
        <f>(EXP(LN('Ecoinvent 3.10'!$E$6)^2)-1)*EXP(2*LN(HI13)+LN('Ecoinvent 3.10'!$E$6)^2)</f>
        <v>4.6165393390596887E-2</v>
      </c>
      <c r="HJ198" s="50">
        <f>(EXP(LN('Ecoinvent 3.10'!$E$6)^2)-1)*EXP(2*LN(HJ13)+LN('Ecoinvent 3.10'!$E$6)^2)</f>
        <v>4.6165393390596873E-2</v>
      </c>
      <c r="HK198" s="224">
        <f>(EXP(LN('Ecoinvent 3.10'!$E$6)^2)-1)*EXP(2*LN(HK13)+LN('Ecoinvent 3.10'!$E$6)^2)</f>
        <v>4.3857493576806419E-2</v>
      </c>
      <c r="HL198" s="50">
        <f>(EXP(LN('Ecoinvent 3.10'!$E$6)^2)-1)*EXP(2*LN(HL13)+LN('Ecoinvent 3.10'!$E$6)^2)</f>
        <v>4.3857493576806419E-2</v>
      </c>
      <c r="HM198" s="224">
        <f>(EXP(LN('Ecoinvent 3.10'!$E$6)^2)-1)*EXP(2*LN(HM13)+LN('Ecoinvent 3.10'!$E$6)^2)</f>
        <v>3.0328489464027584E-2</v>
      </c>
      <c r="HN198" s="50">
        <f>(EXP(LN('Ecoinvent 3.10'!$E$6)^2)-1)*EXP(2*LN(HN13)+LN('Ecoinvent 3.10'!$E$6)^2)</f>
        <v>3.0328489464027573E-2</v>
      </c>
      <c r="HO198" s="224">
        <f>(EXP(LN('Ecoinvent 3.10'!$E$6)^2)-1)*EXP(2*LN(HO13)+LN('Ecoinvent 3.10'!$E$6)^2)</f>
        <v>2.4826722667832108E-2</v>
      </c>
      <c r="HP198" s="50">
        <f>(EXP(LN('Ecoinvent 3.10'!$E$6)^2)-1)*EXP(2*LN(HP13)+LN('Ecoinvent 3.10'!$E$6)^2)</f>
        <v>2.4826722667832105E-2</v>
      </c>
      <c r="HQ198" s="224">
        <f>(EXP(LN('Ecoinvent 3.10'!$E$6)^2)-1)*EXP(2*LN(HQ13)+LN('Ecoinvent 3.10'!$E$6)^2)</f>
        <v>5.4128134791115196E-2</v>
      </c>
      <c r="HR198" s="50">
        <f>(EXP(LN('Ecoinvent 3.10'!$E$6)^2)-1)*EXP(2*LN(HR13)+LN('Ecoinvent 3.10'!$E$6)^2)</f>
        <v>5.4128134791115147E-2</v>
      </c>
      <c r="HS198" s="224">
        <f>(EXP(LN('Ecoinvent 3.10'!$E$6)^2)-1)*EXP(2*LN(HS13)+LN('Ecoinvent 3.10'!$E$6)^2)</f>
        <v>8.6507335873690597E-2</v>
      </c>
      <c r="HT198" s="50">
        <f>(EXP(LN('Ecoinvent 3.10'!$E$6)^2)-1)*EXP(2*LN(HT13)+LN('Ecoinvent 3.10'!$E$6)^2)</f>
        <v>8.6507335873690569E-2</v>
      </c>
      <c r="HU198" s="224">
        <f>(EXP(LN('Ecoinvent 3.10'!$E$6)^2)-1)*EXP(2*LN(HU13)+LN('Ecoinvent 3.10'!$E$6)^2)</f>
        <v>2.3502872591315126E-2</v>
      </c>
      <c r="HV198" s="50">
        <f>(EXP(LN('Ecoinvent 3.10'!$E$6)^2)-1)*EXP(2*LN(HV13)+LN('Ecoinvent 3.10'!$E$6)^2)</f>
        <v>2.3502872591315126E-2</v>
      </c>
      <c r="HY198" s="147" t="s">
        <v>628</v>
      </c>
      <c r="HZ198" s="224">
        <f>(EXP(LN('Ecoinvent 3.10'!$E$6)^2)-1)*EXP(2*LN(HZ13)+LN('Ecoinvent 3.10'!$E$6)^2)</f>
        <v>4.3571710427388984E-8</v>
      </c>
      <c r="IA198" s="50">
        <f>(EXP(LN('Ecoinvent 3.10'!$E$6)^2)-1)*EXP(2*LN(IA13)+LN('Ecoinvent 3.10'!$E$6)^2)</f>
        <v>4.3571710427388984E-8</v>
      </c>
      <c r="IB198" s="224">
        <f>(EXP(LN('Ecoinvent 3.10'!$E$6)^2)-1)*EXP(2*LN(IB13)+LN('Ecoinvent 3.10'!$E$6)^2)</f>
        <v>7.7964627411733776E-8</v>
      </c>
      <c r="IC198" s="50">
        <f>(EXP(LN('Ecoinvent 3.10'!$E$6)^2)-1)*EXP(2*LN(IC13)+LN('Ecoinvent 3.10'!$E$6)^2)</f>
        <v>7.796462741173363E-8</v>
      </c>
      <c r="ID198" s="224">
        <f>(EXP(LN('Ecoinvent 3.10'!$E$6)^2)-1)*EXP(2*LN(ID13)+LN('Ecoinvent 3.10'!$E$6)^2)</f>
        <v>7.4067020657613991E-8</v>
      </c>
      <c r="IE198" s="50">
        <f>(EXP(LN('Ecoinvent 3.10'!$E$6)^2)-1)*EXP(2*LN(IE13)+LN('Ecoinvent 3.10'!$E$6)^2)</f>
        <v>7.4067020657613991E-8</v>
      </c>
      <c r="IF198" s="224">
        <f>(EXP(LN('Ecoinvent 3.10'!$E$6)^2)-1)*EXP(2*LN(IF13)+LN('Ecoinvent 3.10'!$E$6)^2)</f>
        <v>5.1219088745060284E-8</v>
      </c>
      <c r="IG198" s="50">
        <f>(EXP(LN('Ecoinvent 3.10'!$E$6)^2)-1)*EXP(2*LN(IG13)+LN('Ecoinvent 3.10'!$E$6)^2)</f>
        <v>5.1219088745060284E-8</v>
      </c>
      <c r="IH198" s="224">
        <f>(EXP(LN('Ecoinvent 3.10'!$E$6)^2)-1)*EXP(2*LN(IH13)+LN('Ecoinvent 3.10'!$E$6)^2)</f>
        <v>4.1927644074754577E-8</v>
      </c>
      <c r="II198" s="50">
        <f>(EXP(LN('Ecoinvent 3.10'!$E$6)^2)-1)*EXP(2*LN(II13)+LN('Ecoinvent 3.10'!$E$6)^2)</f>
        <v>4.1927644074754577E-8</v>
      </c>
      <c r="IJ198" s="224">
        <f>(EXP(LN('Ecoinvent 3.10'!$E$6)^2)-1)*EXP(2*LN(IJ13)+LN('Ecoinvent 3.10'!$E$6)^2)</f>
        <v>9.1412193236957384E-8</v>
      </c>
      <c r="IK198" s="50">
        <f>(EXP(LN('Ecoinvent 3.10'!$E$6)^2)-1)*EXP(2*LN(IK13)+LN('Ecoinvent 3.10'!$E$6)^2)</f>
        <v>9.1412193236957384E-8</v>
      </c>
      <c r="IL198" s="224">
        <f>(EXP(LN('Ecoinvent 3.10'!$E$6)^2)-1)*EXP(2*LN(IL13)+LN('Ecoinvent 3.10'!$E$6)^2)</f>
        <v>1.4609454646492287E-7</v>
      </c>
      <c r="IM198" s="50">
        <f>(EXP(LN('Ecoinvent 3.10'!$E$6)^2)-1)*EXP(2*LN(IM13)+LN('Ecoinvent 3.10'!$E$6)^2)</f>
        <v>1.4609454646492287E-7</v>
      </c>
      <c r="IN198" s="224">
        <f>(EXP(LN('Ecoinvent 3.10'!$E$6)^2)-1)*EXP(2*LN(IN13)+LN('Ecoinvent 3.10'!$E$6)^2)</f>
        <v>3.9691911410432419E-8</v>
      </c>
      <c r="IO198" s="50">
        <f>(EXP(LN('Ecoinvent 3.10'!$E$6)^2)-1)*EXP(2*LN(IO13)+LN('Ecoinvent 3.10'!$E$6)^2)</f>
        <v>3.9691911410432419E-8</v>
      </c>
    </row>
    <row r="199" spans="1:249" x14ac:dyDescent="0.2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58"/>
      <c r="AM199" s="137"/>
      <c r="AN199" s="156"/>
      <c r="AO199" s="158"/>
      <c r="AP199" s="726"/>
      <c r="AQ199" s="147" t="s">
        <v>68</v>
      </c>
      <c r="AR199" s="224">
        <f>(EXP(LN('Ecoinvent 3.10'!$E$7)^2)-1)*EXP(2*LN(AR14)+LN('Ecoinvent 3.10'!$E$7)^2)</f>
        <v>168.57734649970683</v>
      </c>
      <c r="AS199" s="50">
        <f>(EXP(LN('Ecoinvent 3.10'!$E$7)^2)-1)*EXP(2*LN(AS14)+LN('Ecoinvent 3.10'!$E$7)^2)</f>
        <v>168.57734649970683</v>
      </c>
      <c r="AT199" s="224">
        <f>(EXP(LN('Ecoinvent 3.10'!$E$7)^2)-1)*EXP(2*LN(AT14)+LN('Ecoinvent 3.10'!$E$7)^2)</f>
        <v>301.64227846439354</v>
      </c>
      <c r="AU199" s="50">
        <f>(EXP(LN('Ecoinvent 3.10'!$E$7)^2)-1)*EXP(2*LN(AU14)+LN('Ecoinvent 3.10'!$E$7)^2)</f>
        <v>301.64227846439354</v>
      </c>
      <c r="AV199" s="224">
        <f>(EXP(LN('Ecoinvent 3.10'!$E$7)^2)-1)*EXP(2*LN(AV14)+LN('Ecoinvent 3.10'!$E$7)^2)</f>
        <v>286.5625811593319</v>
      </c>
      <c r="AW199" s="50">
        <f>(EXP(LN('Ecoinvent 3.10'!$E$7)^2)-1)*EXP(2*LN(AW14)+LN('Ecoinvent 3.10'!$E$7)^2)</f>
        <v>286.5625811593319</v>
      </c>
      <c r="AX199" s="224">
        <f>(EXP(LN('Ecoinvent 3.10'!$E$7)^2)-1)*EXP(2*LN(AX14)+LN('Ecoinvent 3.10'!$E$7)^2)</f>
        <v>198.16477219007095</v>
      </c>
      <c r="AY199" s="50">
        <f>(EXP(LN('Ecoinvent 3.10'!$E$7)^2)-1)*EXP(2*LN(AY14)+LN('Ecoinvent 3.10'!$E$7)^2)</f>
        <v>198.16477219007095</v>
      </c>
      <c r="AZ199" s="224">
        <f>(EXP(LN('Ecoinvent 3.10'!$E$7)^2)-1)*EXP(2*LN(AZ14)+LN('Ecoinvent 3.10'!$E$7)^2)</f>
        <v>162.21651419640739</v>
      </c>
      <c r="BA199" s="50">
        <f>(EXP(LN('Ecoinvent 3.10'!$E$7)^2)-1)*EXP(2*LN(BA14)+LN('Ecoinvent 3.10'!$E$7)^2)</f>
        <v>162.21651419640739</v>
      </c>
      <c r="BB199" s="224">
        <f>(EXP(LN('Ecoinvent 3.10'!$E$7)^2)-1)*EXP(2*LN(BB14)+LN('Ecoinvent 3.10'!$E$7)^2)</f>
        <v>353.67041648009422</v>
      </c>
      <c r="BC199" s="50">
        <f>(EXP(LN('Ecoinvent 3.10'!$E$7)^2)-1)*EXP(2*LN(BC14)+LN('Ecoinvent 3.10'!$E$7)^2)</f>
        <v>353.67041648009422</v>
      </c>
      <c r="BD199" s="224">
        <f>(EXP(LN('Ecoinvent 3.10'!$E$7)^2)-1)*EXP(2*LN(BD14)+LN('Ecoinvent 3.10'!$E$7)^2)</f>
        <v>565.23443168881488</v>
      </c>
      <c r="BE199" s="50">
        <f>(EXP(LN('Ecoinvent 3.10'!$E$7)^2)-1)*EXP(2*LN(BE14)+LN('Ecoinvent 3.10'!$E$7)^2)</f>
        <v>565.23443168881488</v>
      </c>
      <c r="BF199" s="224">
        <f>(EXP(LN('Ecoinvent 3.10'!$E$7)^2)-1)*EXP(2*LN(BF14)+LN('Ecoinvent 3.10'!$E$7)^2)</f>
        <v>161.60330259478729</v>
      </c>
      <c r="BG199" s="50">
        <f>(EXP(LN('Ecoinvent 3.10'!$E$7)^2)-1)*EXP(2*LN(BG14)+LN('Ecoinvent 3.10'!$E$7)^2)</f>
        <v>161.60330259478729</v>
      </c>
      <c r="BI199" s="156"/>
      <c r="BJ199" s="147" t="s">
        <v>68</v>
      </c>
      <c r="BK199" s="224">
        <f>(EXP(LN('Ecoinvent 3.10'!$E$7)^2)-1)*EXP(2*LN(BK14)+LN('Ecoinvent 3.10'!$E$7)^2)</f>
        <v>7.933372857381249</v>
      </c>
      <c r="BL199" s="50">
        <f>(EXP(LN('Ecoinvent 3.10'!$E$7)^2)-1)*EXP(2*LN(BL14)+LN('Ecoinvent 3.10'!$E$7)^2)</f>
        <v>7.933372857381249</v>
      </c>
      <c r="BM199" s="224">
        <f>(EXP(LN('Ecoinvent 3.10'!$E$7)^2)-1)*EXP(2*LN(BM14)+LN('Ecoinvent 3.10'!$E$7)^2)</f>
        <v>14.195505590142966</v>
      </c>
      <c r="BN199" s="50">
        <f>(EXP(LN('Ecoinvent 3.10'!$E$7)^2)-1)*EXP(2*LN(BN14)+LN('Ecoinvent 3.10'!$E$7)^2)</f>
        <v>14.195505590142966</v>
      </c>
      <c r="BO199" s="224">
        <f>(EXP(LN('Ecoinvent 3.10'!$E$7)^2)-1)*EXP(2*LN(BO14)+LN('Ecoinvent 3.10'!$E$7)^2)</f>
        <v>13.485844038448596</v>
      </c>
      <c r="BP199" s="50">
        <f>(EXP(LN('Ecoinvent 3.10'!$E$7)^2)-1)*EXP(2*LN(BP14)+LN('Ecoinvent 3.10'!$E$7)^2)</f>
        <v>13.485844038448596</v>
      </c>
      <c r="BQ199" s="224">
        <f>(EXP(LN('Ecoinvent 3.10'!$E$7)^2)-1)*EXP(2*LN(BQ14)+LN('Ecoinvent 3.10'!$E$7)^2)</f>
        <v>9.3257786863110947</v>
      </c>
      <c r="BR199" s="50">
        <f>(EXP(LN('Ecoinvent 3.10'!$E$7)^2)-1)*EXP(2*LN(BR14)+LN('Ecoinvent 3.10'!$E$7)^2)</f>
        <v>9.3257786863110947</v>
      </c>
      <c r="BS199" s="224">
        <f>(EXP(LN('Ecoinvent 3.10'!$E$7)^2)-1)*EXP(2*LN(BS14)+LN('Ecoinvent 3.10'!$E$7)^2)</f>
        <v>7.6340274506991079</v>
      </c>
      <c r="BT199" s="50">
        <f>(EXP(LN('Ecoinvent 3.10'!$E$7)^2)-1)*EXP(2*LN(BT14)+LN('Ecoinvent 3.10'!$E$7)^2)</f>
        <v>7.6340274506991079</v>
      </c>
      <c r="BU199" s="224">
        <f>(EXP(LN('Ecoinvent 3.10'!$E$7)^2)-1)*EXP(2*LN(BU14)+LN('Ecoinvent 3.10'!$E$7)^2)</f>
        <v>16.643987705470145</v>
      </c>
      <c r="BV199" s="50">
        <f>(EXP(LN('Ecoinvent 3.10'!$E$7)^2)-1)*EXP(2*LN(BV14)+LN('Ecoinvent 3.10'!$E$7)^2)</f>
        <v>16.643987705470145</v>
      </c>
      <c r="BW199" s="224">
        <f>(EXP(LN('Ecoinvent 3.10'!$E$7)^2)-1)*EXP(2*LN(BW14)+LN('Ecoinvent 3.10'!$E$7)^2)</f>
        <v>26.600344539324887</v>
      </c>
      <c r="BX199" s="50">
        <f>(EXP(LN('Ecoinvent 3.10'!$E$7)^2)-1)*EXP(2*LN(BX14)+LN('Ecoinvent 3.10'!$E$7)^2)</f>
        <v>26.600344539324887</v>
      </c>
      <c r="BY199" s="224">
        <f>(EXP(LN('Ecoinvent 3.10'!$E$7)^2)-1)*EXP(2*LN(BY14)+LN('Ecoinvent 3.10'!$E$7)^2)</f>
        <v>7.6051692655565839</v>
      </c>
      <c r="BZ199" s="50">
        <f>(EXP(LN('Ecoinvent 3.10'!$E$7)^2)-1)*EXP(2*LN(BZ14)+LN('Ecoinvent 3.10'!$E$7)^2)</f>
        <v>7.6051692655565839</v>
      </c>
      <c r="CA199" s="156"/>
      <c r="CB199" s="156"/>
      <c r="CC199" s="147" t="s">
        <v>68</v>
      </c>
      <c r="CD199" s="224">
        <f>(EXP(LN('Ecoinvent 3.10'!$E$7)^2)-1)*EXP(2*LN(CD14)+LN('Ecoinvent 3.10'!$E$7)^2)</f>
        <v>574.43436128143207</v>
      </c>
      <c r="CE199" s="50">
        <f>(EXP(LN('Ecoinvent 3.10'!$E$7)^2)-1)*EXP(2*LN(CE14)+LN('Ecoinvent 3.10'!$E$7)^2)</f>
        <v>574.43436128143207</v>
      </c>
      <c r="CF199" s="224">
        <f>(EXP(LN('Ecoinvent 3.10'!$E$7)^2)-1)*EXP(2*LN(CF14)+LN('Ecoinvent 3.10'!$E$7)^2)</f>
        <v>1027.85868423591</v>
      </c>
      <c r="CG199" s="50">
        <f>(EXP(LN('Ecoinvent 3.10'!$E$7)^2)-1)*EXP(2*LN(CG14)+LN('Ecoinvent 3.10'!$E$7)^2)</f>
        <v>1027.85868423591</v>
      </c>
      <c r="CH199" s="224">
        <f>(EXP(LN('Ecoinvent 3.10'!$E$7)^2)-1)*EXP(2*LN(CH14)+LN('Ecoinvent 3.10'!$E$7)^2)</f>
        <v>976.4739847515965</v>
      </c>
      <c r="CI199" s="50">
        <f>(EXP(LN('Ecoinvent 3.10'!$E$7)^2)-1)*EXP(2*LN(CI14)+LN('Ecoinvent 3.10'!$E$7)^2)</f>
        <v>976.4739847515965</v>
      </c>
      <c r="CJ199" s="224">
        <f>(EXP(LN('Ecoinvent 3.10'!$E$7)^2)-1)*EXP(2*LN(CJ14)+LN('Ecoinvent 3.10'!$E$7)^2)</f>
        <v>675.2547522254531</v>
      </c>
      <c r="CK199" s="50">
        <f>(EXP(LN('Ecoinvent 3.10'!$E$7)^2)-1)*EXP(2*LN(CK14)+LN('Ecoinvent 3.10'!$E$7)^2)</f>
        <v>675.2547522254531</v>
      </c>
      <c r="CL199" s="224">
        <f>(EXP(LN('Ecoinvent 3.10'!$E$7)^2)-1)*EXP(2*LN(CL14)+LN('Ecoinvent 3.10'!$E$7)^2)</f>
        <v>552.75955907797891</v>
      </c>
      <c r="CM199" s="50">
        <f>(EXP(LN('Ecoinvent 3.10'!$E$7)^2)-1)*EXP(2*LN(CM14)+LN('Ecoinvent 3.10'!$E$7)^2)</f>
        <v>552.75955907797891</v>
      </c>
      <c r="CN199" s="224">
        <f>(EXP(LN('Ecoinvent 3.10'!$E$7)^2)-1)*EXP(2*LN(CN14)+LN('Ecoinvent 3.10'!$E$7)^2)</f>
        <v>1205.1467413222942</v>
      </c>
      <c r="CO199" s="50">
        <f>(EXP(LN('Ecoinvent 3.10'!$E$7)^2)-1)*EXP(2*LN(CO14)+LN('Ecoinvent 3.10'!$E$7)^2)</f>
        <v>1205.1467413222942</v>
      </c>
      <c r="CP199" s="224">
        <f>(EXP(LN('Ecoinvent 3.10'!$E$7)^2)-1)*EXP(2*LN(CP14)+LN('Ecoinvent 3.10'!$E$7)^2)</f>
        <v>1926.0599747428239</v>
      </c>
      <c r="CQ199" s="50">
        <f>(EXP(LN('Ecoinvent 3.10'!$E$7)^2)-1)*EXP(2*LN(CQ14)+LN('Ecoinvent 3.10'!$E$7)^2)</f>
        <v>1926.0599747428239</v>
      </c>
      <c r="CR199" s="224">
        <f>(EXP(LN('Ecoinvent 3.10'!$E$7)^2)-1)*EXP(2*LN(CR14)+LN('Ecoinvent 3.10'!$E$7)^2)</f>
        <v>550.67001488938536</v>
      </c>
      <c r="CS199" s="50">
        <f>(EXP(LN('Ecoinvent 3.10'!$E$7)^2)-1)*EXP(2*LN(CS14)+LN('Ecoinvent 3.10'!$E$7)^2)</f>
        <v>550.67001488938536</v>
      </c>
      <c r="CV199" s="147" t="s">
        <v>68</v>
      </c>
      <c r="CW199" s="224">
        <f>(EXP(LN('Ecoinvent 3.10'!$E$7)^2)-1)*EXP(2*LN(CW14)+LN('Ecoinvent 3.10'!$E$7)^2)</f>
        <v>6.5282122785838235E-5</v>
      </c>
      <c r="CX199" s="50">
        <f>(EXP(LN('Ecoinvent 3.10'!$E$7)^2)-1)*EXP(2*LN(CX14)+LN('Ecoinvent 3.10'!$E$7)^2)</f>
        <v>6.5282122785838235E-5</v>
      </c>
      <c r="CY199" s="224">
        <f>(EXP(LN('Ecoinvent 3.10'!$E$7)^2)-1)*EXP(2*LN(CY14)+LN('Ecoinvent 3.10'!$E$7)^2)</f>
        <v>1.1681194815904157E-4</v>
      </c>
      <c r="CZ199" s="50">
        <f>(EXP(LN('Ecoinvent 3.10'!$E$7)^2)-1)*EXP(2*LN(CZ14)+LN('Ecoinvent 3.10'!$E$7)^2)</f>
        <v>1.1681194815904157E-4</v>
      </c>
      <c r="DA199" s="224">
        <f>(EXP(LN('Ecoinvent 3.10'!$E$7)^2)-1)*EXP(2*LN(DA14)+LN('Ecoinvent 3.10'!$E$7)^2)</f>
        <v>1.1097228659428894E-4</v>
      </c>
      <c r="DB199" s="50">
        <f>(EXP(LN('Ecoinvent 3.10'!$E$7)^2)-1)*EXP(2*LN(DB14)+LN('Ecoinvent 3.10'!$E$7)^2)</f>
        <v>1.1097228659428894E-4</v>
      </c>
      <c r="DC199" s="224">
        <f>(EXP(LN('Ecoinvent 3.10'!$E$7)^2)-1)*EXP(2*LN(DC14)+LN('Ecoinvent 3.10'!$E$7)^2)</f>
        <v>7.6739949100826304E-5</v>
      </c>
      <c r="DD199" s="50">
        <f>(EXP(LN('Ecoinvent 3.10'!$E$7)^2)-1)*EXP(2*LN(DD14)+LN('Ecoinvent 3.10'!$E$7)^2)</f>
        <v>7.6739949100826304E-5</v>
      </c>
      <c r="DE199" s="224">
        <f>(EXP(LN('Ecoinvent 3.10'!$E$7)^2)-1)*EXP(2*LN(DE14)+LN('Ecoinvent 3.10'!$E$7)^2)</f>
        <v>6.2818869898862369E-5</v>
      </c>
      <c r="DF199" s="50">
        <f>(EXP(LN('Ecoinvent 3.10'!$E$7)^2)-1)*EXP(2*LN(DF14)+LN('Ecoinvent 3.10'!$E$7)^2)</f>
        <v>6.2818869898862369E-5</v>
      </c>
      <c r="DG199" s="224">
        <f>(EXP(LN('Ecoinvent 3.10'!$E$7)^2)-1)*EXP(2*LN(DG14)+LN('Ecoinvent 3.10'!$E$7)^2)</f>
        <v>1.3696001291853412E-4</v>
      </c>
      <c r="DH199" s="50">
        <f>(EXP(LN('Ecoinvent 3.10'!$E$7)^2)-1)*EXP(2*LN(DH14)+LN('Ecoinvent 3.10'!$E$7)^2)</f>
        <v>1.3696001291853412E-4</v>
      </c>
      <c r="DI199" s="224">
        <f>(EXP(LN('Ecoinvent 3.10'!$E$7)^2)-1)*EXP(2*LN(DI14)+LN('Ecoinvent 3.10'!$E$7)^2)</f>
        <v>2.1888886222536932E-4</v>
      </c>
      <c r="DJ199" s="50">
        <f>(EXP(LN('Ecoinvent 3.10'!$E$7)^2)-1)*EXP(2*LN(DJ14)+LN('Ecoinvent 3.10'!$E$7)^2)</f>
        <v>2.1888886222536932E-4</v>
      </c>
      <c r="DK199" s="224">
        <f>(EXP(LN('Ecoinvent 3.10'!$E$7)^2)-1)*EXP(2*LN(DK14)+LN('Ecoinvent 3.10'!$E$7)^2)</f>
        <v>6.2581401722373238E-5</v>
      </c>
      <c r="DL199" s="50">
        <f>(EXP(LN('Ecoinvent 3.10'!$E$7)^2)-1)*EXP(2*LN(DL14)+LN('Ecoinvent 3.10'!$E$7)^2)</f>
        <v>6.2581401722373238E-5</v>
      </c>
      <c r="DO199" s="147" t="s">
        <v>68</v>
      </c>
      <c r="DP199" s="224">
        <f>(EXP(LN('Ecoinvent 3.10'!$E$7)^2)-1)*EXP(2*LN(DP14)+LN('Ecoinvent 3.10'!$E$7)^2)</f>
        <v>4.422896580176535E-4</v>
      </c>
      <c r="DQ199" s="50">
        <f>(EXP(LN('Ecoinvent 3.10'!$E$7)^2)-1)*EXP(2*LN(DQ14)+LN('Ecoinvent 3.10'!$E$7)^2)</f>
        <v>4.422896580176535E-4</v>
      </c>
      <c r="DR199" s="224">
        <f>(EXP(LN('Ecoinvent 3.10'!$E$7)^2)-1)*EXP(2*LN(DR14)+LN('Ecoinvent 3.10'!$E$7)^2)</f>
        <v>7.9140681091402997E-4</v>
      </c>
      <c r="DS199" s="50">
        <f>(EXP(LN('Ecoinvent 3.10'!$E$7)^2)-1)*EXP(2*LN(DS14)+LN('Ecoinvent 3.10'!$E$7)^2)</f>
        <v>7.9140681091402997E-4</v>
      </c>
      <c r="DT199" s="224">
        <f>(EXP(LN('Ecoinvent 3.10'!$E$7)^2)-1)*EXP(2*LN(DT14)+LN('Ecoinvent 3.10'!$E$7)^2)</f>
        <v>7.5184281075296939E-4</v>
      </c>
      <c r="DU199" s="50">
        <f>(EXP(LN('Ecoinvent 3.10'!$E$7)^2)-1)*EXP(2*LN(DU14)+LN('Ecoinvent 3.10'!$E$7)^2)</f>
        <v>7.5184281075296939E-4</v>
      </c>
      <c r="DV199" s="224">
        <f>(EXP(LN('Ecoinvent 3.10'!$E$7)^2)-1)*EXP(2*LN(DV14)+LN('Ecoinvent 3.10'!$E$7)^2)</f>
        <v>5.1991700630573778E-4</v>
      </c>
      <c r="DW199" s="50">
        <f>(EXP(LN('Ecoinvent 3.10'!$E$7)^2)-1)*EXP(2*LN(DW14)+LN('Ecoinvent 3.10'!$E$7)^2)</f>
        <v>5.1991700630573778E-4</v>
      </c>
      <c r="DX199" s="224">
        <f>(EXP(LN('Ecoinvent 3.10'!$E$7)^2)-1)*EXP(2*LN(DX14)+LN('Ecoinvent 3.10'!$E$7)^2)</f>
        <v>4.2560099609154474E-4</v>
      </c>
      <c r="DY199" s="50">
        <f>(EXP(LN('Ecoinvent 3.10'!$E$7)^2)-1)*EXP(2*LN(DY14)+LN('Ecoinvent 3.10'!$E$7)^2)</f>
        <v>4.2560099609154474E-4</v>
      </c>
      <c r="DZ199" s="224">
        <f>(EXP(LN('Ecoinvent 3.10'!$E$7)^2)-1)*EXP(2*LN(DZ14)+LN('Ecoinvent 3.10'!$E$7)^2)</f>
        <v>9.2791096077795882E-4</v>
      </c>
      <c r="EA199" s="50">
        <f>(EXP(LN('Ecoinvent 3.10'!$E$7)^2)-1)*EXP(2*LN(EA14)+LN('Ecoinvent 3.10'!$E$7)^2)</f>
        <v>9.2791096077795882E-4</v>
      </c>
      <c r="EB199" s="224">
        <f>(EXP(LN('Ecoinvent 3.10'!$E$7)^2)-1)*EXP(2*LN(EB14)+LN('Ecoinvent 3.10'!$E$7)^2)</f>
        <v>1.4829830263812058E-3</v>
      </c>
      <c r="EC199" s="50">
        <f>(EXP(LN('Ecoinvent 3.10'!$E$7)^2)-1)*EXP(2*LN(EC14)+LN('Ecoinvent 3.10'!$E$7)^2)</f>
        <v>1.4829830263812058E-3</v>
      </c>
      <c r="ED199" s="224">
        <f>(EXP(LN('Ecoinvent 3.10'!$E$7)^2)-1)*EXP(2*LN(ED14)+LN('Ecoinvent 3.10'!$E$7)^2)</f>
        <v>4.2399213727863539E-4</v>
      </c>
      <c r="EE199" s="50">
        <f>(EXP(LN('Ecoinvent 3.10'!$E$7)^2)-1)*EXP(2*LN(EE14)+LN('Ecoinvent 3.10'!$E$7)^2)</f>
        <v>4.2399213727863539E-4</v>
      </c>
      <c r="EH199" s="147" t="s">
        <v>68</v>
      </c>
      <c r="EI199" s="224">
        <f>(EXP(LN('Ecoinvent 3.10'!$E$7)^2)-1)*EXP(2*LN(EI14)+LN('Ecoinvent 3.10'!$E$7)^2)</f>
        <v>7.5517326593217866E-3</v>
      </c>
      <c r="EJ199" s="50">
        <f>(EXP(LN('Ecoinvent 3.10'!$E$7)^2)-1)*EXP(2*LN(EJ14)+LN('Ecoinvent 3.10'!$E$7)^2)</f>
        <v>7.5517326593217866E-3</v>
      </c>
      <c r="EK199" s="224">
        <f>(EXP(LN('Ecoinvent 3.10'!$E$7)^2)-1)*EXP(2*LN(EK14)+LN('Ecoinvent 3.10'!$E$7)^2)</f>
        <v>1.3512621316030498E-2</v>
      </c>
      <c r="EL199" s="50">
        <f>(EXP(LN('Ecoinvent 3.10'!$E$7)^2)-1)*EXP(2*LN(EL14)+LN('Ecoinvent 3.10'!$E$7)^2)</f>
        <v>1.3512621316030498E-2</v>
      </c>
      <c r="EM199" s="224">
        <f>(EXP(LN('Ecoinvent 3.10'!$E$7)^2)-1)*EXP(2*LN(EM14)+LN('Ecoinvent 3.10'!$E$7)^2)</f>
        <v>1.2837098507089376E-2</v>
      </c>
      <c r="EN199" s="50">
        <f>(EXP(LN('Ecoinvent 3.10'!$E$7)^2)-1)*EXP(2*LN(EN14)+LN('Ecoinvent 3.10'!$E$7)^2)</f>
        <v>1.2837098507089376E-2</v>
      </c>
      <c r="EO199" s="224">
        <f>(EXP(LN('Ecoinvent 3.10'!$E$7)^2)-1)*EXP(2*LN(EO14)+LN('Ecoinvent 3.10'!$E$7)^2)</f>
        <v>8.8771558762044088E-3</v>
      </c>
      <c r="EP199" s="50">
        <f>(EXP(LN('Ecoinvent 3.10'!$E$7)^2)-1)*EXP(2*LN(EP14)+LN('Ecoinvent 3.10'!$E$7)^2)</f>
        <v>8.8771558762044088E-3</v>
      </c>
      <c r="EQ199" s="224">
        <f>(EXP(LN('Ecoinvent 3.10'!$E$7)^2)-1)*EXP(2*LN(EQ14)+LN('Ecoinvent 3.10'!$E$7)^2)</f>
        <v>7.266787463287511E-3</v>
      </c>
      <c r="ER199" s="50">
        <f>(EXP(LN('Ecoinvent 3.10'!$E$7)^2)-1)*EXP(2*LN(ER14)+LN('Ecoinvent 3.10'!$E$7)^2)</f>
        <v>7.266787463287511E-3</v>
      </c>
      <c r="ES199" s="224">
        <f>(EXP(LN('Ecoinvent 3.10'!$E$7)^2)-1)*EXP(2*LN(ES14)+LN('Ecoinvent 3.10'!$E$7)^2)</f>
        <v>1.5843317564458812E-2</v>
      </c>
      <c r="ET199" s="50">
        <f>(EXP(LN('Ecoinvent 3.10'!$E$7)^2)-1)*EXP(2*LN(ET14)+LN('Ecoinvent 3.10'!$E$7)^2)</f>
        <v>1.5843317564458812E-2</v>
      </c>
      <c r="EU199" s="224">
        <f>(EXP(LN('Ecoinvent 3.10'!$E$7)^2)-1)*EXP(2*LN(EU14)+LN('Ecoinvent 3.10'!$E$7)^2)</f>
        <v>2.5320717205410705E-2</v>
      </c>
      <c r="EV199" s="50">
        <f>(EXP(LN('Ecoinvent 3.10'!$E$7)^2)-1)*EXP(2*LN(EV14)+LN('Ecoinvent 3.10'!$E$7)^2)</f>
        <v>2.5320717205410705E-2</v>
      </c>
      <c r="EW199" s="224">
        <f>(EXP(LN('Ecoinvent 3.10'!$E$7)^2)-1)*EXP(2*LN(EW14)+LN('Ecoinvent 3.10'!$E$7)^2)</f>
        <v>7.2393175204085768E-3</v>
      </c>
      <c r="EX199" s="50">
        <f>(EXP(LN('Ecoinvent 3.10'!$E$7)^2)-1)*EXP(2*LN(EX14)+LN('Ecoinvent 3.10'!$E$7)^2)</f>
        <v>7.2393175204085768E-3</v>
      </c>
      <c r="FA199" s="147" t="s">
        <v>68</v>
      </c>
      <c r="FB199" s="224">
        <f>(EXP(LN('Ecoinvent 3.10'!$E$7)^2)-1)*EXP(2*LN(FB14)+LN('Ecoinvent 3.10'!$E$7)^2)</f>
        <v>5.6922849712654696E-7</v>
      </c>
      <c r="FC199" s="50">
        <f>(EXP(LN('Ecoinvent 3.10'!$E$7)^2)-1)*EXP(2*LN(FC14)+LN('Ecoinvent 3.10'!$E$7)^2)</f>
        <v>5.6922849712654696E-7</v>
      </c>
      <c r="FD199" s="224">
        <f>(EXP(LN('Ecoinvent 3.10'!$E$7)^2)-1)*EXP(2*LN(FD14)+LN('Ecoinvent 3.10'!$E$7)^2)</f>
        <v>1.0185436205119809E-6</v>
      </c>
      <c r="FE199" s="50">
        <f>(EXP(LN('Ecoinvent 3.10'!$E$7)^2)-1)*EXP(2*LN(FE14)+LN('Ecoinvent 3.10'!$E$7)^2)</f>
        <v>1.0185436205119809E-6</v>
      </c>
      <c r="FF199" s="224">
        <f>(EXP(LN('Ecoinvent 3.10'!$E$7)^2)-1)*EXP(2*LN(FF14)+LN('Ecoinvent 3.10'!$E$7)^2)</f>
        <v>9.6762459958588976E-7</v>
      </c>
      <c r="FG199" s="50">
        <f>(EXP(LN('Ecoinvent 3.10'!$E$7)^2)-1)*EXP(2*LN(FG14)+LN('Ecoinvent 3.10'!$E$7)^2)</f>
        <v>9.6762459958588976E-7</v>
      </c>
      <c r="FH199" s="224">
        <f>(EXP(LN('Ecoinvent 3.10'!$E$7)^2)-1)*EXP(2*LN(FH14)+LN('Ecoinvent 3.10'!$E$7)^2)</f>
        <v>6.6913519401834097E-7</v>
      </c>
      <c r="FI199" s="50">
        <f>(EXP(LN('Ecoinvent 3.10'!$E$7)^2)-1)*EXP(2*LN(FI14)+LN('Ecoinvent 3.10'!$E$7)^2)</f>
        <v>6.6913519401834097E-7</v>
      </c>
      <c r="FJ199" s="224">
        <f>(EXP(LN('Ecoinvent 3.10'!$E$7)^2)-1)*EXP(2*LN(FJ14)+LN('Ecoinvent 3.10'!$E$7)^2)</f>
        <v>5.4775012480866489E-7</v>
      </c>
      <c r="FK199" s="50">
        <f>(EXP(LN('Ecoinvent 3.10'!$E$7)^2)-1)*EXP(2*LN(FK14)+LN('Ecoinvent 3.10'!$E$7)^2)</f>
        <v>5.4775012480866489E-7</v>
      </c>
      <c r="FL199" s="224">
        <f>(EXP(LN('Ecoinvent 3.10'!$E$7)^2)-1)*EXP(2*LN(FL14)+LN('Ecoinvent 3.10'!$E$7)^2)</f>
        <v>1.1942249882989708E-6</v>
      </c>
      <c r="FM199" s="50">
        <f>(EXP(LN('Ecoinvent 3.10'!$E$7)^2)-1)*EXP(2*LN(FM14)+LN('Ecoinvent 3.10'!$E$7)^2)</f>
        <v>1.1942249882989708E-6</v>
      </c>
      <c r="FN199" s="224">
        <f>(EXP(LN('Ecoinvent 3.10'!$E$7)^2)-1)*EXP(2*LN(FN14)+LN('Ecoinvent 3.10'!$E$7)^2)</f>
        <v>1.9086048793333065E-6</v>
      </c>
      <c r="FO199" s="50">
        <f>(EXP(LN('Ecoinvent 3.10'!$E$7)^2)-1)*EXP(2*LN(FO14)+LN('Ecoinvent 3.10'!$E$7)^2)</f>
        <v>1.9086048793333065E-6</v>
      </c>
      <c r="FP199" s="224">
        <f>(EXP(LN('Ecoinvent 3.10'!$E$7)^2)-1)*EXP(2*LN(FP14)+LN('Ecoinvent 3.10'!$E$7)^2)</f>
        <v>5.4567951730618319E-7</v>
      </c>
      <c r="FQ199" s="50">
        <f>(EXP(LN('Ecoinvent 3.10'!$E$7)^2)-1)*EXP(2*LN(FQ14)+LN('Ecoinvent 3.10'!$E$7)^2)</f>
        <v>5.4567951730618319E-7</v>
      </c>
      <c r="FT199" s="147" t="s">
        <v>68</v>
      </c>
      <c r="FU199" s="224">
        <f>(EXP(LN('Ecoinvent 3.10'!$E$7)^2)-1)*EXP(2*LN(FU14)+LN('Ecoinvent 3.10'!$E$7)^2)</f>
        <v>8.7167666744463364E-3</v>
      </c>
      <c r="FV199" s="50">
        <f>(EXP(LN('Ecoinvent 3.10'!$E$7)^2)-1)*EXP(2*LN(FV14)+LN('Ecoinvent 3.10'!$E$7)^2)</f>
        <v>8.7167666744463364E-3</v>
      </c>
      <c r="FW199" s="224">
        <f>(EXP(LN('Ecoinvent 3.10'!$E$7)^2)-1)*EXP(2*LN(FW14)+LN('Ecoinvent 3.10'!$E$7)^2)</f>
        <v>1.5597263897655792E-2</v>
      </c>
      <c r="FX199" s="50">
        <f>(EXP(LN('Ecoinvent 3.10'!$E$7)^2)-1)*EXP(2*LN(FX14)+LN('Ecoinvent 3.10'!$E$7)^2)</f>
        <v>1.5597263897655792E-2</v>
      </c>
      <c r="FY199" s="224">
        <f>(EXP(LN('Ecoinvent 3.10'!$E$7)^2)-1)*EXP(2*LN(FY14)+LN('Ecoinvent 3.10'!$E$7)^2)</f>
        <v>1.4817525660823777E-2</v>
      </c>
      <c r="FZ199" s="50">
        <f>(EXP(LN('Ecoinvent 3.10'!$E$7)^2)-1)*EXP(2*LN(FZ14)+LN('Ecoinvent 3.10'!$E$7)^2)</f>
        <v>1.4817525660823777E-2</v>
      </c>
      <c r="GA199" s="224">
        <f>(EXP(LN('Ecoinvent 3.10'!$E$7)^2)-1)*EXP(2*LN(GA14)+LN('Ecoinvent 3.10'!$E$7)^2)</f>
        <v>1.0246667883567992E-2</v>
      </c>
      <c r="GB199" s="50">
        <f>(EXP(LN('Ecoinvent 3.10'!$E$7)^2)-1)*EXP(2*LN(GB14)+LN('Ecoinvent 3.10'!$E$7)^2)</f>
        <v>1.0246667883567992E-2</v>
      </c>
      <c r="GC199" s="224">
        <f>(EXP(LN('Ecoinvent 3.10'!$E$7)^2)-1)*EXP(2*LN(GC14)+LN('Ecoinvent 3.10'!$E$7)^2)</f>
        <v>8.3878619182948897E-3</v>
      </c>
      <c r="GD199" s="50">
        <f>(EXP(LN('Ecoinvent 3.10'!$E$7)^2)-1)*EXP(2*LN(GD14)+LN('Ecoinvent 3.10'!$E$7)^2)</f>
        <v>8.3878619182948897E-3</v>
      </c>
      <c r="GE199" s="224">
        <f>(EXP(LN('Ecoinvent 3.10'!$E$7)^2)-1)*EXP(2*LN(GE14)+LN('Ecoinvent 3.10'!$E$7)^2)</f>
        <v>1.8287525365198471E-2</v>
      </c>
      <c r="GF199" s="50">
        <f>(EXP(LN('Ecoinvent 3.10'!$E$7)^2)-1)*EXP(2*LN(GF14)+LN('Ecoinvent 3.10'!$E$7)^2)</f>
        <v>1.8287525365198471E-2</v>
      </c>
      <c r="GG199" s="224">
        <f>(EXP(LN('Ecoinvent 3.10'!$E$7)^2)-1)*EXP(2*LN(GG14)+LN('Ecoinvent 3.10'!$E$7)^2)</f>
        <v>2.9227038861969763E-2</v>
      </c>
      <c r="GH199" s="50">
        <f>(EXP(LN('Ecoinvent 3.10'!$E$7)^2)-1)*EXP(2*LN(GH14)+LN('Ecoinvent 3.10'!$E$7)^2)</f>
        <v>2.9227038861969763E-2</v>
      </c>
      <c r="GI199" s="224">
        <f>(EXP(LN('Ecoinvent 3.10'!$E$7)^2)-1)*EXP(2*LN(GI14)+LN('Ecoinvent 3.10'!$E$7)^2)</f>
        <v>8.3561540846839588E-3</v>
      </c>
      <c r="GJ199" s="50">
        <f>(EXP(LN('Ecoinvent 3.10'!$E$7)^2)-1)*EXP(2*LN(GJ14)+LN('Ecoinvent 3.10'!$E$7)^2)</f>
        <v>8.3561540846839588E-3</v>
      </c>
      <c r="GM199" s="147" t="s">
        <v>68</v>
      </c>
      <c r="GN199" s="224">
        <f>(EXP(LN('Ecoinvent 3.10'!$E$7)^2)-1)*EXP(2*LN(GN14)+LN('Ecoinvent 3.10'!$E$7)^2)</f>
        <v>0.13997807809157869</v>
      </c>
      <c r="GO199" s="50">
        <f>(EXP(LN('Ecoinvent 3.10'!$E$7)^2)-1)*EXP(2*LN(GO14)+LN('Ecoinvent 3.10'!$E$7)^2)</f>
        <v>0.13997807809157869</v>
      </c>
      <c r="GP199" s="224">
        <f>(EXP(LN('Ecoinvent 3.10'!$E$7)^2)-1)*EXP(2*LN(GP14)+LN('Ecoinvent 3.10'!$E$7)^2)</f>
        <v>0.2504684483848133</v>
      </c>
      <c r="GQ199" s="50">
        <f>(EXP(LN('Ecoinvent 3.10'!$E$7)^2)-1)*EXP(2*LN(GQ14)+LN('Ecoinvent 3.10'!$E$7)^2)</f>
        <v>0.2504684483848133</v>
      </c>
      <c r="GR199" s="224">
        <f>(EXP(LN('Ecoinvent 3.10'!$E$7)^2)-1)*EXP(2*LN(GR14)+LN('Ecoinvent 3.10'!$E$7)^2)</f>
        <v>0.23794703260271724</v>
      </c>
      <c r="GS199" s="50">
        <f>(EXP(LN('Ecoinvent 3.10'!$E$7)^2)-1)*EXP(2*LN(GS14)+LN('Ecoinvent 3.10'!$E$7)^2)</f>
        <v>0.23794703260271724</v>
      </c>
      <c r="GT199" s="224">
        <f>(EXP(LN('Ecoinvent 3.10'!$E$7)^2)-1)*EXP(2*LN(GT14)+LN('Ecoinvent 3.10'!$E$7)^2)</f>
        <v>0.16454597567574047</v>
      </c>
      <c r="GU199" s="50">
        <f>(EXP(LN('Ecoinvent 3.10'!$E$7)^2)-1)*EXP(2*LN(GU14)+LN('Ecoinvent 3.10'!$E$7)^2)</f>
        <v>0.16454597567574047</v>
      </c>
      <c r="GV199" s="224">
        <f>(EXP(LN('Ecoinvent 3.10'!$E$7)^2)-1)*EXP(2*LN(GV14)+LN('Ecoinvent 3.10'!$E$7)^2)</f>
        <v>0.13469636557583292</v>
      </c>
      <c r="GW199" s="50">
        <f>(EXP(LN('Ecoinvent 3.10'!$E$7)^2)-1)*EXP(2*LN(GW14)+LN('Ecoinvent 3.10'!$E$7)^2)</f>
        <v>0.13469636557583292</v>
      </c>
      <c r="GX199" s="224">
        <f>(EXP(LN('Ecoinvent 3.10'!$E$7)^2)-1)*EXP(2*LN(GX14)+LN('Ecoinvent 3.10'!$E$7)^2)</f>
        <v>0.29366997526454647</v>
      </c>
      <c r="GY199" s="50">
        <f>(EXP(LN('Ecoinvent 3.10'!$E$7)^2)-1)*EXP(2*LN(GY14)+LN('Ecoinvent 3.10'!$E$7)^2)</f>
        <v>0.29366997526454647</v>
      </c>
      <c r="GZ199" s="224">
        <f>(EXP(LN('Ecoinvent 3.10'!$E$7)^2)-1)*EXP(2*LN(GZ14)+LN('Ecoinvent 3.10'!$E$7)^2)</f>
        <v>0.46934200271756882</v>
      </c>
      <c r="HA199" s="50">
        <f>(EXP(LN('Ecoinvent 3.10'!$E$7)^2)-1)*EXP(2*LN(HA14)+LN('Ecoinvent 3.10'!$E$7)^2)</f>
        <v>0.46934200271756882</v>
      </c>
      <c r="HB199" s="224">
        <f>(EXP(LN('Ecoinvent 3.10'!$E$7)^2)-1)*EXP(2*LN(HB14)+LN('Ecoinvent 3.10'!$E$7)^2)</f>
        <v>0.13418718576466312</v>
      </c>
      <c r="HC199" s="50">
        <f>(EXP(LN('Ecoinvent 3.10'!$E$7)^2)-1)*EXP(2*LN(HC14)+LN('Ecoinvent 3.10'!$E$7)^2)</f>
        <v>0.13418718576466312</v>
      </c>
      <c r="HF199" s="147" t="s">
        <v>68</v>
      </c>
      <c r="HG199" s="224">
        <f>(EXP(LN('Ecoinvent 3.10'!$E$7)^2)-1)*EXP(2*LN(HG14)+LN('Ecoinvent 3.10'!$E$7)^2)</f>
        <v>5.3616482328839998</v>
      </c>
      <c r="HH199" s="50">
        <f>(EXP(LN('Ecoinvent 3.10'!$E$7)^2)-1)*EXP(2*LN(HH14)+LN('Ecoinvent 3.10'!$E$7)^2)</f>
        <v>5.3616482328839998</v>
      </c>
      <c r="HI199" s="224">
        <f>(EXP(LN('Ecoinvent 3.10'!$E$7)^2)-1)*EXP(2*LN(HI14)+LN('Ecoinvent 3.10'!$E$7)^2)</f>
        <v>9.5938144885590049</v>
      </c>
      <c r="HJ199" s="50">
        <f>(EXP(LN('Ecoinvent 3.10'!$E$7)^2)-1)*EXP(2*LN(HJ14)+LN('Ecoinvent 3.10'!$E$7)^2)</f>
        <v>9.5938144885590049</v>
      </c>
      <c r="HK199" s="224">
        <f>(EXP(LN('Ecoinvent 3.10'!$E$7)^2)-1)*EXP(2*LN(HK14)+LN('Ecoinvent 3.10'!$E$7)^2)</f>
        <v>9.11420062532709</v>
      </c>
      <c r="HL199" s="50">
        <f>(EXP(LN('Ecoinvent 3.10'!$E$7)^2)-1)*EXP(2*LN(HL14)+LN('Ecoinvent 3.10'!$E$7)^2)</f>
        <v>9.11420062532709</v>
      </c>
      <c r="HM199" s="224">
        <f>(EXP(LN('Ecoinvent 3.10'!$E$7)^2)-1)*EXP(2*LN(HM14)+LN('Ecoinvent 3.10'!$E$7)^2)</f>
        <v>6.3026843327054092</v>
      </c>
      <c r="HN199" s="50">
        <f>(EXP(LN('Ecoinvent 3.10'!$E$7)^2)-1)*EXP(2*LN(HN14)+LN('Ecoinvent 3.10'!$E$7)^2)</f>
        <v>6.3026843327054092</v>
      </c>
      <c r="HO199" s="224">
        <f>(EXP(LN('Ecoinvent 3.10'!$E$7)^2)-1)*EXP(2*LN(HO14)+LN('Ecoinvent 3.10'!$E$7)^2)</f>
        <v>5.15934023606951</v>
      </c>
      <c r="HP199" s="50">
        <f>(EXP(LN('Ecoinvent 3.10'!$E$7)^2)-1)*EXP(2*LN(HP14)+LN('Ecoinvent 3.10'!$E$7)^2)</f>
        <v>5.15934023606951</v>
      </c>
      <c r="HQ199" s="224">
        <f>(EXP(LN('Ecoinvent 3.10'!$E$7)^2)-1)*EXP(2*LN(HQ14)+LN('Ecoinvent 3.10'!$E$7)^2)</f>
        <v>11.24858353104486</v>
      </c>
      <c r="HR199" s="50">
        <f>(EXP(LN('Ecoinvent 3.10'!$E$7)^2)-1)*EXP(2*LN(HR14)+LN('Ecoinvent 3.10'!$E$7)^2)</f>
        <v>11.24858353104486</v>
      </c>
      <c r="HS199" s="224">
        <f>(EXP(LN('Ecoinvent 3.10'!$E$7)^2)-1)*EXP(2*LN(HS14)+LN('Ecoinvent 3.10'!$E$7)^2)</f>
        <v>17.97743442257109</v>
      </c>
      <c r="HT199" s="50">
        <f>(EXP(LN('Ecoinvent 3.10'!$E$7)^2)-1)*EXP(2*LN(HT14)+LN('Ecoinvent 3.10'!$E$7)^2)</f>
        <v>17.97743442257109</v>
      </c>
      <c r="HU199" s="224">
        <f>(EXP(LN('Ecoinvent 3.10'!$E$7)^2)-1)*EXP(2*LN(HU14)+LN('Ecoinvent 3.10'!$E$7)^2)</f>
        <v>5.1398368747432244</v>
      </c>
      <c r="HV199" s="50">
        <f>(EXP(LN('Ecoinvent 3.10'!$E$7)^2)-1)*EXP(2*LN(HV14)+LN('Ecoinvent 3.10'!$E$7)^2)</f>
        <v>5.1398368747432244</v>
      </c>
      <c r="HY199" s="147" t="s">
        <v>68</v>
      </c>
      <c r="HZ199" s="224">
        <f>(EXP(LN('Ecoinvent 3.10'!$E$7)^2)-1)*EXP(2*LN(HZ14)+LN('Ecoinvent 3.10'!$E$7)^2)</f>
        <v>1.308989141359457E-5</v>
      </c>
      <c r="IA199" s="50">
        <f>(EXP(LN('Ecoinvent 3.10'!$E$7)^2)-1)*EXP(2*LN(IA14)+LN('Ecoinvent 3.10'!$E$7)^2)</f>
        <v>1.308989141359457E-5</v>
      </c>
      <c r="IB199" s="224">
        <f>(EXP(LN('Ecoinvent 3.10'!$E$7)^2)-1)*EXP(2*LN(IB14)+LN('Ecoinvent 3.10'!$E$7)^2)</f>
        <v>2.3422273234411303E-5</v>
      </c>
      <c r="IC199" s="50">
        <f>(EXP(LN('Ecoinvent 3.10'!$E$7)^2)-1)*EXP(2*LN(IC14)+LN('Ecoinvent 3.10'!$E$7)^2)</f>
        <v>2.3422273234411303E-5</v>
      </c>
      <c r="ID199" s="224">
        <f>(EXP(LN('Ecoinvent 3.10'!$E$7)^2)-1)*EXP(2*LN(ID14)+LN('Ecoinvent 3.10'!$E$7)^2)</f>
        <v>2.2251347221090321E-5</v>
      </c>
      <c r="IE199" s="50">
        <f>(EXP(LN('Ecoinvent 3.10'!$E$7)^2)-1)*EXP(2*LN(IE14)+LN('Ecoinvent 3.10'!$E$7)^2)</f>
        <v>2.2251347221090321E-5</v>
      </c>
      <c r="IF199" s="224">
        <f>(EXP(LN('Ecoinvent 3.10'!$E$7)^2)-1)*EXP(2*LN(IF14)+LN('Ecoinvent 3.10'!$E$7)^2)</f>
        <v>1.5387330527071977E-5</v>
      </c>
      <c r="IG199" s="50">
        <f>(EXP(LN('Ecoinvent 3.10'!$E$7)^2)-1)*EXP(2*LN(IG14)+LN('Ecoinvent 3.10'!$E$7)^2)</f>
        <v>1.5387330527071977E-5</v>
      </c>
      <c r="IH199" s="224">
        <f>(EXP(LN('Ecoinvent 3.10'!$E$7)^2)-1)*EXP(2*LN(IH14)+LN('Ecoinvent 3.10'!$E$7)^2)</f>
        <v>1.2595978050505636E-5</v>
      </c>
      <c r="II199" s="50">
        <f>(EXP(LN('Ecoinvent 3.10'!$E$7)^2)-1)*EXP(2*LN(II14)+LN('Ecoinvent 3.10'!$E$7)^2)</f>
        <v>1.2595978050505636E-5</v>
      </c>
      <c r="IJ199" s="224">
        <f>(EXP(LN('Ecoinvent 3.10'!$E$7)^2)-1)*EXP(2*LN(IJ14)+LN('Ecoinvent 3.10'!$E$7)^2)</f>
        <v>2.7462215084357414E-5</v>
      </c>
      <c r="IK199" s="50">
        <f>(EXP(LN('Ecoinvent 3.10'!$E$7)^2)-1)*EXP(2*LN(IK14)+LN('Ecoinvent 3.10'!$E$7)^2)</f>
        <v>2.7462215084357414E-5</v>
      </c>
      <c r="IL199" s="224">
        <f>(EXP(LN('Ecoinvent 3.10'!$E$7)^2)-1)*EXP(2*LN(IL14)+LN('Ecoinvent 3.10'!$E$7)^2)</f>
        <v>4.3889985740428559E-5</v>
      </c>
      <c r="IM199" s="50">
        <f>(EXP(LN('Ecoinvent 3.10'!$E$7)^2)-1)*EXP(2*LN(IM14)+LN('Ecoinvent 3.10'!$E$7)^2)</f>
        <v>4.3889985740428559E-5</v>
      </c>
      <c r="IN199" s="224">
        <f>(EXP(LN('Ecoinvent 3.10'!$E$7)^2)-1)*EXP(2*LN(IN14)+LN('Ecoinvent 3.10'!$E$7)^2)</f>
        <v>1.2548362677233778E-5</v>
      </c>
      <c r="IO199" s="50">
        <f>(EXP(LN('Ecoinvent 3.10'!$E$7)^2)-1)*EXP(2*LN(IO14)+LN('Ecoinvent 3.10'!$E$7)^2)</f>
        <v>1.2548362677233778E-5</v>
      </c>
    </row>
    <row r="200" spans="1:249" x14ac:dyDescent="0.2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37"/>
      <c r="AN200" s="156"/>
      <c r="AO200" s="158"/>
      <c r="AP200" s="726"/>
      <c r="AQ200" s="147" t="s">
        <v>223</v>
      </c>
      <c r="AR200" s="259">
        <f>SUM(AR201:AR217)</f>
        <v>596.15302651006198</v>
      </c>
      <c r="AS200" s="57">
        <f t="shared" ref="AS200:BC200" si="2977">SUM(AS201:AS217)</f>
        <v>596.15302651006198</v>
      </c>
      <c r="AT200" s="259">
        <f t="shared" si="2977"/>
        <v>541.52695249663407</v>
      </c>
      <c r="AU200" s="57">
        <f t="shared" si="2977"/>
        <v>541.52695249663407</v>
      </c>
      <c r="AV200" s="259">
        <f t="shared" si="2977"/>
        <v>628.66149265616559</v>
      </c>
      <c r="AW200" s="57">
        <f t="shared" si="2977"/>
        <v>628.66149265616559</v>
      </c>
      <c r="AX200" s="259">
        <f t="shared" si="2977"/>
        <v>578.3535529531149</v>
      </c>
      <c r="AY200" s="57">
        <f t="shared" si="2977"/>
        <v>578.3535529531149</v>
      </c>
      <c r="AZ200" s="259">
        <f t="shared" si="2977"/>
        <v>561.61939465162732</v>
      </c>
      <c r="BA200" s="57">
        <f t="shared" si="2977"/>
        <v>561.61939465162732</v>
      </c>
      <c r="BB200" s="259">
        <f t="shared" si="2977"/>
        <v>0</v>
      </c>
      <c r="BC200" s="57">
        <f t="shared" si="2977"/>
        <v>0</v>
      </c>
      <c r="BD200" s="259">
        <f>SUM(BD201:BD217)</f>
        <v>454.2965321879816</v>
      </c>
      <c r="BE200" s="57">
        <f>SUM(BE201:BE217)</f>
        <v>454.2965321879816</v>
      </c>
      <c r="BF200" s="259">
        <f t="shared" ref="BF200:BG200" si="2978">SUM(BF201:BF217)</f>
        <v>561.61939465162732</v>
      </c>
      <c r="BG200" s="57">
        <f t="shared" si="2978"/>
        <v>561.61939465162732</v>
      </c>
      <c r="BI200" s="156"/>
      <c r="BJ200" s="147" t="s">
        <v>223</v>
      </c>
      <c r="BK200" s="259">
        <f>SUM(BK201:BK217)</f>
        <v>5.4333246998229932</v>
      </c>
      <c r="BL200" s="57">
        <f t="shared" ref="BL200:BV200" si="2979">SUM(BL201:BL217)</f>
        <v>5.4333246998229932</v>
      </c>
      <c r="BM200" s="259">
        <f t="shared" si="2979"/>
        <v>8.1028346205346509</v>
      </c>
      <c r="BN200" s="57">
        <f t="shared" si="2979"/>
        <v>8.1028346205346509</v>
      </c>
      <c r="BO200" s="259">
        <f t="shared" si="2979"/>
        <v>8.3061662602702508</v>
      </c>
      <c r="BP200" s="57">
        <f t="shared" si="2979"/>
        <v>8.3061662602702508</v>
      </c>
      <c r="BQ200" s="259">
        <f t="shared" si="2979"/>
        <v>5.7163598218895952</v>
      </c>
      <c r="BR200" s="57">
        <f t="shared" si="2979"/>
        <v>5.7163598218895952</v>
      </c>
      <c r="BS200" s="259">
        <f t="shared" si="2979"/>
        <v>5.1242475696429279</v>
      </c>
      <c r="BT200" s="57">
        <f t="shared" si="2979"/>
        <v>5.1242475696429279</v>
      </c>
      <c r="BU200" s="259">
        <f t="shared" si="2979"/>
        <v>0</v>
      </c>
      <c r="BV200" s="57">
        <f t="shared" si="2979"/>
        <v>0</v>
      </c>
      <c r="BW200" s="259">
        <f>SUM(BW201:BW217)</f>
        <v>5.5230279122119619</v>
      </c>
      <c r="BX200" s="57">
        <f>SUM(BX201:BX217)</f>
        <v>5.5230279122119619</v>
      </c>
      <c r="BY200" s="259">
        <f t="shared" ref="BY200:BZ200" si="2980">SUM(BY201:BY217)</f>
        <v>5.1242475696429279</v>
      </c>
      <c r="BZ200" s="57">
        <f t="shared" si="2980"/>
        <v>5.1242475696429279</v>
      </c>
      <c r="CA200" s="156"/>
      <c r="CB200" s="156"/>
      <c r="CC200" s="147" t="s">
        <v>223</v>
      </c>
      <c r="CD200" s="259">
        <f>SUM(CD201:CD217)</f>
        <v>12607.312533227852</v>
      </c>
      <c r="CE200" s="57">
        <f t="shared" ref="CE200:CO200" si="2981">SUM(CE201:CE217)</f>
        <v>12607.312533227852</v>
      </c>
      <c r="CF200" s="259">
        <f t="shared" si="2981"/>
        <v>8986.3996080668458</v>
      </c>
      <c r="CG200" s="57">
        <f t="shared" si="2981"/>
        <v>8986.3996080668458</v>
      </c>
      <c r="CH200" s="259">
        <f t="shared" si="2981"/>
        <v>11308.069359608347</v>
      </c>
      <c r="CI200" s="57">
        <f t="shared" si="2981"/>
        <v>11308.069359608347</v>
      </c>
      <c r="CJ200" s="259">
        <f t="shared" si="2981"/>
        <v>11777.549071028501</v>
      </c>
      <c r="CK200" s="57">
        <f t="shared" si="2981"/>
        <v>11777.549071028501</v>
      </c>
      <c r="CL200" s="259">
        <f t="shared" si="2981"/>
        <v>11887.207054736251</v>
      </c>
      <c r="CM200" s="57">
        <f t="shared" si="2981"/>
        <v>11887.207054736251</v>
      </c>
      <c r="CN200" s="259">
        <f t="shared" si="2981"/>
        <v>0</v>
      </c>
      <c r="CO200" s="57">
        <f t="shared" si="2981"/>
        <v>0</v>
      </c>
      <c r="CP200" s="259">
        <f>SUM(CP201:CP217)</f>
        <v>6223.2886125933628</v>
      </c>
      <c r="CQ200" s="57">
        <f>SUM(CQ201:CQ217)</f>
        <v>6223.2886125933628</v>
      </c>
      <c r="CR200" s="259">
        <f t="shared" ref="CR200:CS200" si="2982">SUM(CR201:CR217)</f>
        <v>11887.207054736251</v>
      </c>
      <c r="CS200" s="57">
        <f t="shared" si="2982"/>
        <v>11887.207054736251</v>
      </c>
      <c r="CV200" s="147" t="s">
        <v>223</v>
      </c>
      <c r="CW200" s="259">
        <f>SUM(CW201:CW217)</f>
        <v>7.7234199037601152E-4</v>
      </c>
      <c r="CX200" s="57">
        <f t="shared" ref="CX200:DH200" si="2983">SUM(CX201:CX217)</f>
        <v>7.7234199037601152E-4</v>
      </c>
      <c r="CY200" s="259">
        <f t="shared" si="2983"/>
        <v>5.843941615336401E-4</v>
      </c>
      <c r="CZ200" s="57">
        <f t="shared" si="2983"/>
        <v>5.843941615336401E-4</v>
      </c>
      <c r="DA200" s="259">
        <f t="shared" si="2983"/>
        <v>7.1526520574509943E-4</v>
      </c>
      <c r="DB200" s="57">
        <f t="shared" si="2983"/>
        <v>7.1526520574509943E-4</v>
      </c>
      <c r="DC200" s="259">
        <f t="shared" si="2983"/>
        <v>7.2399768302206955E-4</v>
      </c>
      <c r="DD200" s="57">
        <f t="shared" si="2983"/>
        <v>7.2399768302206955E-4</v>
      </c>
      <c r="DE200" s="259">
        <f t="shared" si="2983"/>
        <v>7.3037585935218307E-4</v>
      </c>
      <c r="DF200" s="57">
        <f t="shared" si="2983"/>
        <v>7.3037585935218307E-4</v>
      </c>
      <c r="DG200" s="259">
        <f t="shared" si="2983"/>
        <v>0</v>
      </c>
      <c r="DH200" s="57">
        <f t="shared" si="2983"/>
        <v>0</v>
      </c>
      <c r="DI200" s="259">
        <f>SUM(DI201:DI217)</f>
        <v>3.9194261195720696E-4</v>
      </c>
      <c r="DJ200" s="57">
        <f>SUM(DJ201:DJ217)</f>
        <v>3.9194261195720696E-4</v>
      </c>
      <c r="DK200" s="259">
        <f t="shared" ref="DK200:DL200" si="2984">SUM(DK201:DK217)</f>
        <v>7.3037585935218307E-4</v>
      </c>
      <c r="DL200" s="57">
        <f t="shared" si="2984"/>
        <v>7.3037585935218307E-4</v>
      </c>
      <c r="DO200" s="147" t="s">
        <v>223</v>
      </c>
      <c r="DP200" s="259">
        <f>SUM(DP201:DP217)</f>
        <v>10.108727018101598</v>
      </c>
      <c r="DQ200" s="57">
        <f t="shared" ref="DQ200:EA200" si="2985">SUM(DQ201:DQ217)</f>
        <v>10.108727018101598</v>
      </c>
      <c r="DR200" s="259">
        <f t="shared" si="2985"/>
        <v>37.692936785094425</v>
      </c>
      <c r="DS200" s="57">
        <f t="shared" si="2985"/>
        <v>37.692936785094425</v>
      </c>
      <c r="DT200" s="259">
        <f t="shared" si="2985"/>
        <v>35.631330456094958</v>
      </c>
      <c r="DU200" s="57">
        <f t="shared" si="2985"/>
        <v>35.631330456094958</v>
      </c>
      <c r="DV200" s="259">
        <f t="shared" si="2985"/>
        <v>11.642499593650843</v>
      </c>
      <c r="DW200" s="57">
        <f t="shared" si="2985"/>
        <v>11.642499593650843</v>
      </c>
      <c r="DX200" s="259">
        <f t="shared" si="2985"/>
        <v>9.5734006398890088</v>
      </c>
      <c r="DY200" s="57">
        <f t="shared" si="2985"/>
        <v>9.5734006398890088</v>
      </c>
      <c r="DZ200" s="259">
        <f t="shared" si="2985"/>
        <v>0</v>
      </c>
      <c r="EA200" s="57">
        <f t="shared" si="2985"/>
        <v>0</v>
      </c>
      <c r="EB200" s="259">
        <f>SUM(EB201:EB217)</f>
        <v>0.22693638790036449</v>
      </c>
      <c r="EC200" s="57">
        <f>SUM(EC201:EC217)</f>
        <v>0.22693638790036449</v>
      </c>
      <c r="ED200" s="259">
        <f t="shared" ref="ED200:EE200" si="2986">SUM(ED201:ED217)</f>
        <v>9.5734006398890088</v>
      </c>
      <c r="EE200" s="57">
        <f t="shared" si="2986"/>
        <v>9.5734006398890088</v>
      </c>
      <c r="EH200" s="147" t="s">
        <v>223</v>
      </c>
      <c r="EI200" s="259">
        <f>SUM(EI201:EI217)</f>
        <v>0.14166662894181076</v>
      </c>
      <c r="EJ200" s="57">
        <f t="shared" ref="EJ200:ET200" si="2987">SUM(EJ201:EJ217)</f>
        <v>0.14166662894181076</v>
      </c>
      <c r="EK200" s="259">
        <f t="shared" si="2987"/>
        <v>0.10793428301420399</v>
      </c>
      <c r="EL200" s="57">
        <f t="shared" si="2987"/>
        <v>0.10793428301420399</v>
      </c>
      <c r="EM200" s="259">
        <f t="shared" si="2987"/>
        <v>0.13375847950116168</v>
      </c>
      <c r="EN200" s="57">
        <f t="shared" si="2987"/>
        <v>0.13375847950116168</v>
      </c>
      <c r="EO200" s="259">
        <f t="shared" si="2987"/>
        <v>0.13306280709822915</v>
      </c>
      <c r="EP200" s="57">
        <f t="shared" si="2987"/>
        <v>0.13306280709822915</v>
      </c>
      <c r="EQ200" s="259">
        <f t="shared" si="2987"/>
        <v>0.13325400333116724</v>
      </c>
      <c r="ER200" s="57">
        <f t="shared" si="2987"/>
        <v>0.13325400333116724</v>
      </c>
      <c r="ES200" s="259">
        <f t="shared" si="2987"/>
        <v>0</v>
      </c>
      <c r="ET200" s="57">
        <f t="shared" si="2987"/>
        <v>0</v>
      </c>
      <c r="EU200" s="259">
        <f>SUM(EU201:EU217)</f>
        <v>6.9605196507365893E-2</v>
      </c>
      <c r="EV200" s="57">
        <f>SUM(EV201:EV217)</f>
        <v>6.9605196507365893E-2</v>
      </c>
      <c r="EW200" s="259">
        <f t="shared" ref="EW200:EX200" si="2988">SUM(EW201:EW217)</f>
        <v>0.13325400333116724</v>
      </c>
      <c r="EX200" s="57">
        <f t="shared" si="2988"/>
        <v>0.13325400333116724</v>
      </c>
      <c r="FA200" s="147" t="s">
        <v>223</v>
      </c>
      <c r="FB200" s="259">
        <f>SUM(FB201:FB217)</f>
        <v>1.5349319450551383E-6</v>
      </c>
      <c r="FC200" s="57">
        <f t="shared" ref="FC200:FM200" si="2989">SUM(FC201:FC217)</f>
        <v>1.5349319450551383E-6</v>
      </c>
      <c r="FD200" s="259">
        <f t="shared" si="2989"/>
        <v>2.4505631773647705E-6</v>
      </c>
      <c r="FE200" s="57">
        <f t="shared" si="2989"/>
        <v>2.4505631773647705E-6</v>
      </c>
      <c r="FF200" s="259">
        <f t="shared" si="2989"/>
        <v>2.4616960927868338E-6</v>
      </c>
      <c r="FG200" s="57">
        <f t="shared" si="2989"/>
        <v>2.4616960927868338E-6</v>
      </c>
      <c r="FH200" s="259">
        <f t="shared" si="2989"/>
        <v>1.6456239529561306E-6</v>
      </c>
      <c r="FI200" s="57">
        <f t="shared" si="2989"/>
        <v>1.6456239529561306E-6</v>
      </c>
      <c r="FJ200" s="259">
        <f t="shared" si="2989"/>
        <v>1.4544395189513006E-6</v>
      </c>
      <c r="FK200" s="57">
        <f t="shared" si="2989"/>
        <v>1.4544395189513006E-6</v>
      </c>
      <c r="FL200" s="259">
        <f t="shared" si="2989"/>
        <v>0</v>
      </c>
      <c r="FM200" s="57">
        <f t="shared" si="2989"/>
        <v>0</v>
      </c>
      <c r="FN200" s="259">
        <f>SUM(FN201:FN217)</f>
        <v>2.1535358496522418E-6</v>
      </c>
      <c r="FO200" s="57">
        <f>SUM(FO201:FO217)</f>
        <v>2.1535358496522418E-6</v>
      </c>
      <c r="FP200" s="259">
        <f t="shared" ref="FP200:FQ200" si="2990">SUM(FP201:FP217)</f>
        <v>1.4544395189513006E-6</v>
      </c>
      <c r="FQ200" s="57">
        <f t="shared" si="2990"/>
        <v>1.4544395189513006E-6</v>
      </c>
      <c r="FT200" s="147" t="s">
        <v>223</v>
      </c>
      <c r="FU200" s="259">
        <f>SUM(FU201:FU217)</f>
        <v>0.1884013454446157</v>
      </c>
      <c r="FV200" s="57">
        <f t="shared" ref="FV200:GF200" si="2991">SUM(FV201:FV217)</f>
        <v>0.1884013454446157</v>
      </c>
      <c r="FW200" s="259">
        <f t="shared" si="2991"/>
        <v>0.15520231970473269</v>
      </c>
      <c r="FX200" s="57">
        <f t="shared" si="2991"/>
        <v>0.15520231970473269</v>
      </c>
      <c r="FY200" s="259">
        <f t="shared" si="2991"/>
        <v>0.18696837373593297</v>
      </c>
      <c r="FZ200" s="57">
        <f t="shared" si="2991"/>
        <v>0.18696837373593297</v>
      </c>
      <c r="GA200" s="259">
        <f t="shared" si="2991"/>
        <v>0.17799147290496156</v>
      </c>
      <c r="GB200" s="57">
        <f t="shared" si="2991"/>
        <v>0.17799147290496156</v>
      </c>
      <c r="GC200" s="259">
        <f t="shared" si="2991"/>
        <v>0.17754063977456325</v>
      </c>
      <c r="GD200" s="57">
        <f t="shared" si="2991"/>
        <v>0.17754063977456325</v>
      </c>
      <c r="GE200" s="259">
        <f t="shared" si="2991"/>
        <v>0</v>
      </c>
      <c r="GF200" s="57">
        <f t="shared" si="2991"/>
        <v>0</v>
      </c>
      <c r="GG200" s="259">
        <f>SUM(GG201:GG217)</f>
        <v>9.285617486584069E-2</v>
      </c>
      <c r="GH200" s="57">
        <f>SUM(GH201:GH217)</f>
        <v>9.285617486584069E-2</v>
      </c>
      <c r="GI200" s="259">
        <f t="shared" ref="GI200:GJ200" si="2992">SUM(GI201:GI217)</f>
        <v>0.17754063977456325</v>
      </c>
      <c r="GJ200" s="57">
        <f t="shared" si="2992"/>
        <v>0.17754063977456325</v>
      </c>
      <c r="GM200" s="147" t="s">
        <v>223</v>
      </c>
      <c r="GN200" s="259">
        <f>SUM(GN201:GN217)</f>
        <v>0.28503861652652662</v>
      </c>
      <c r="GO200" s="57">
        <f t="shared" ref="GO200:GY200" si="2993">SUM(GO201:GO217)</f>
        <v>0.28503861652652662</v>
      </c>
      <c r="GP200" s="259">
        <f t="shared" si="2993"/>
        <v>0.3657218109841664</v>
      </c>
      <c r="GQ200" s="57">
        <f t="shared" si="2993"/>
        <v>0.3657218109841664</v>
      </c>
      <c r="GR200" s="259">
        <f t="shared" si="2993"/>
        <v>0.39309703075435054</v>
      </c>
      <c r="GS200" s="57">
        <f t="shared" si="2993"/>
        <v>0.39309703075435054</v>
      </c>
      <c r="GT200" s="259">
        <f t="shared" si="2993"/>
        <v>0.28197382503429902</v>
      </c>
      <c r="GU200" s="57">
        <f t="shared" si="2993"/>
        <v>0.28197382503429902</v>
      </c>
      <c r="GV200" s="259">
        <f t="shared" si="2993"/>
        <v>0.26538492154239895</v>
      </c>
      <c r="GW200" s="57">
        <f t="shared" si="2993"/>
        <v>0.26538492154239895</v>
      </c>
      <c r="GX200" s="259">
        <f t="shared" si="2993"/>
        <v>0</v>
      </c>
      <c r="GY200" s="57">
        <f t="shared" si="2993"/>
        <v>0</v>
      </c>
      <c r="GZ200" s="259">
        <f>SUM(GZ201:GZ217)</f>
        <v>0.16906728722657344</v>
      </c>
      <c r="HA200" s="57">
        <f>SUM(HA201:HA217)</f>
        <v>0.16906728722657344</v>
      </c>
      <c r="HB200" s="259">
        <f t="shared" ref="HB200:HC200" si="2994">SUM(HB201:HB217)</f>
        <v>0.26538492154239895</v>
      </c>
      <c r="HC200" s="57">
        <f t="shared" si="2994"/>
        <v>0.26538492154239895</v>
      </c>
      <c r="HF200" s="147" t="s">
        <v>223</v>
      </c>
      <c r="HG200" s="259">
        <f>SUM(HG201:HG217)</f>
        <v>118.08930499519005</v>
      </c>
      <c r="HH200" s="57">
        <f t="shared" ref="HH200:HR200" si="2995">SUM(HH201:HH217)</f>
        <v>118.08930499519005</v>
      </c>
      <c r="HI200" s="259">
        <f t="shared" si="2995"/>
        <v>98.063480990037121</v>
      </c>
      <c r="HJ200" s="57">
        <f t="shared" si="2995"/>
        <v>98.063480990037121</v>
      </c>
      <c r="HK200" s="259">
        <f t="shared" si="2995"/>
        <v>118.04099991985615</v>
      </c>
      <c r="HL200" s="57">
        <f t="shared" si="2995"/>
        <v>118.04099991985615</v>
      </c>
      <c r="HM200" s="259">
        <f t="shared" si="2995"/>
        <v>111.75767477151174</v>
      </c>
      <c r="HN200" s="57">
        <f t="shared" si="2995"/>
        <v>111.75767477151174</v>
      </c>
      <c r="HO200" s="259">
        <f t="shared" si="2995"/>
        <v>111.18642471294145</v>
      </c>
      <c r="HP200" s="57">
        <f t="shared" si="2995"/>
        <v>111.18642471294145</v>
      </c>
      <c r="HQ200" s="259">
        <f t="shared" si="2995"/>
        <v>0</v>
      </c>
      <c r="HR200" s="57">
        <f t="shared" si="2995"/>
        <v>0</v>
      </c>
      <c r="HS200" s="259">
        <f>SUM(HS201:HS217)</f>
        <v>59.338862039188975</v>
      </c>
      <c r="HT200" s="57">
        <f>SUM(HT201:HT217)</f>
        <v>59.338862039188975</v>
      </c>
      <c r="HU200" s="259">
        <f t="shared" ref="HU200:HV200" si="2996">SUM(HU201:HU217)</f>
        <v>111.18642471294145</v>
      </c>
      <c r="HV200" s="57">
        <f t="shared" si="2996"/>
        <v>111.18642471294145</v>
      </c>
      <c r="HY200" s="147" t="s">
        <v>223</v>
      </c>
      <c r="HZ200" s="259">
        <f>SUM(HZ201:HZ217)</f>
        <v>8.2234337034216507E-5</v>
      </c>
      <c r="IA200" s="57">
        <f t="shared" ref="IA200:IK200" si="2997">SUM(IA201:IA217)</f>
        <v>8.2234337034216507E-5</v>
      </c>
      <c r="IB200" s="259">
        <f t="shared" si="2997"/>
        <v>6.8014243452941241E-5</v>
      </c>
      <c r="IC200" s="57">
        <f t="shared" si="2997"/>
        <v>6.8014243452941241E-5</v>
      </c>
      <c r="ID200" s="259">
        <f t="shared" si="2997"/>
        <v>8.1120123413314042E-5</v>
      </c>
      <c r="IE200" s="57">
        <f t="shared" si="2997"/>
        <v>8.1120123413314042E-5</v>
      </c>
      <c r="IF200" s="259">
        <f t="shared" si="2997"/>
        <v>7.7729141145818937E-5</v>
      </c>
      <c r="IG200" s="57">
        <f t="shared" si="2997"/>
        <v>7.7729141145818937E-5</v>
      </c>
      <c r="IH200" s="259">
        <f t="shared" si="2997"/>
        <v>7.773461892922742E-5</v>
      </c>
      <c r="II200" s="57">
        <f t="shared" si="2997"/>
        <v>7.773461892922742E-5</v>
      </c>
      <c r="IJ200" s="259">
        <f t="shared" si="2997"/>
        <v>0</v>
      </c>
      <c r="IK200" s="57">
        <f t="shared" si="2997"/>
        <v>0</v>
      </c>
      <c r="IL200" s="259">
        <f>SUM(IL201:IL217)</f>
        <v>4.2367740774695616E-5</v>
      </c>
      <c r="IM200" s="57">
        <f>SUM(IM201:IM217)</f>
        <v>4.2367740774695616E-5</v>
      </c>
      <c r="IN200" s="259">
        <f t="shared" ref="IN200:IO200" si="2998">SUM(IN201:IN217)</f>
        <v>7.773461892922742E-5</v>
      </c>
      <c r="IO200" s="57">
        <f t="shared" si="2998"/>
        <v>7.773461892922742E-5</v>
      </c>
    </row>
    <row r="201" spans="1:249" ht="14.25" x14ac:dyDescent="0.25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38"/>
      <c r="AN201" s="156"/>
      <c r="AO201" s="158"/>
      <c r="AP201" s="726"/>
      <c r="AQ201" s="148" t="s">
        <v>430</v>
      </c>
      <c r="AR201" s="264"/>
      <c r="AS201" s="265"/>
      <c r="AT201" s="224">
        <f>(EXP(LN('Ecoinvent 3.10'!$E$9)^2)-1)*EXP(2*LN(AT16)+LN('Ecoinvent 3.10'!$E$9)^2)</f>
        <v>46.191145599725601</v>
      </c>
      <c r="AU201" s="50">
        <f>(EXP(LN('Ecoinvent 3.10'!$E$9)^2)-1)*EXP(2*LN(AU16)+LN('Ecoinvent 3.10'!$E$9)^2)</f>
        <v>46.191145599725601</v>
      </c>
      <c r="AV201" s="224">
        <f>(EXP(LN('Ecoinvent 3.10'!$E$9)^2)-1)*EXP(2*LN(AV16)+LN('Ecoinvent 3.10'!$E$9)^2)</f>
        <v>43.542587511043926</v>
      </c>
      <c r="AW201" s="50">
        <f>(EXP(LN('Ecoinvent 3.10'!$E$9)^2)-1)*EXP(2*LN(AW16)+LN('Ecoinvent 3.10'!$E$9)^2)</f>
        <v>43.542587511043926</v>
      </c>
      <c r="AX201" s="264"/>
      <c r="AY201" s="265"/>
      <c r="AZ201" s="264"/>
      <c r="BA201" s="265"/>
      <c r="BB201" s="264"/>
      <c r="BC201" s="265"/>
      <c r="BD201" s="264"/>
      <c r="BE201" s="265"/>
      <c r="BF201" s="264"/>
      <c r="BG201" s="265"/>
      <c r="BI201" s="156"/>
      <c r="BJ201" s="148" t="s">
        <v>430</v>
      </c>
      <c r="BK201" s="264"/>
      <c r="BL201" s="265"/>
      <c r="BM201" s="224">
        <f>(EXP(LN('Ecoinvent 3.10'!$E$9)^2)-1)*EXP(2*LN(BM16)+LN('Ecoinvent 3.10'!$E$9)^2)</f>
        <v>3.413282379108197</v>
      </c>
      <c r="BN201" s="50">
        <f>(EXP(LN('Ecoinvent 3.10'!$E$9)^2)-1)*EXP(2*LN(BN16)+LN('Ecoinvent 3.10'!$E$9)^2)</f>
        <v>3.413282379108197</v>
      </c>
      <c r="BO201" s="224">
        <f>(EXP(LN('Ecoinvent 3.10'!$E$9)^2)-1)*EXP(2*LN(BO16)+LN('Ecoinvent 3.10'!$E$9)^2)</f>
        <v>3.2175678858483607</v>
      </c>
      <c r="BP201" s="50">
        <f>(EXP(LN('Ecoinvent 3.10'!$E$9)^2)-1)*EXP(2*LN(BP16)+LN('Ecoinvent 3.10'!$E$9)^2)</f>
        <v>3.2175678858483607</v>
      </c>
      <c r="BQ201" s="264"/>
      <c r="BR201" s="265"/>
      <c r="BS201" s="264"/>
      <c r="BT201" s="265"/>
      <c r="BU201" s="264"/>
      <c r="BV201" s="265"/>
      <c r="BW201" s="264"/>
      <c r="BX201" s="265"/>
      <c r="BY201" s="264"/>
      <c r="BZ201" s="265"/>
      <c r="CA201" s="156"/>
      <c r="CB201" s="156"/>
      <c r="CC201" s="148" t="s">
        <v>430</v>
      </c>
      <c r="CD201" s="264"/>
      <c r="CE201" s="265"/>
      <c r="CF201" s="224">
        <f>(EXP(LN('Ecoinvent 3.10'!$E$9)^2)-1)*EXP(2*LN(CF16)+LN('Ecoinvent 3.10'!$E$9)^2)</f>
        <v>326.40769700108251</v>
      </c>
      <c r="CG201" s="50">
        <f>(EXP(LN('Ecoinvent 3.10'!$E$9)^2)-1)*EXP(2*LN(CG16)+LN('Ecoinvent 3.10'!$E$9)^2)</f>
        <v>326.40769700108251</v>
      </c>
      <c r="CH201" s="224">
        <f>(EXP(LN('Ecoinvent 3.10'!$E$9)^2)-1)*EXP(2*LN(CH16)+LN('Ecoinvent 3.10'!$E$9)^2)</f>
        <v>307.69177785952934</v>
      </c>
      <c r="CI201" s="50">
        <f>(EXP(LN('Ecoinvent 3.10'!$E$9)^2)-1)*EXP(2*LN(CI16)+LN('Ecoinvent 3.10'!$E$9)^2)</f>
        <v>307.69177785952934</v>
      </c>
      <c r="CJ201" s="264"/>
      <c r="CK201" s="265"/>
      <c r="CL201" s="264"/>
      <c r="CM201" s="265"/>
      <c r="CN201" s="264"/>
      <c r="CO201" s="265"/>
      <c r="CP201" s="264"/>
      <c r="CQ201" s="265"/>
      <c r="CR201" s="264"/>
      <c r="CS201" s="265"/>
      <c r="CV201" s="148" t="s">
        <v>430</v>
      </c>
      <c r="CW201" s="264"/>
      <c r="CX201" s="265"/>
      <c r="CY201" s="224">
        <f>(EXP(LN('Ecoinvent 3.10'!$E$9)^2)-1)*EXP(2*LN(CY16)+LN('Ecoinvent 3.10'!$E$9)^2)</f>
        <v>1.2433833122202462E-4</v>
      </c>
      <c r="CZ201" s="50">
        <f>(EXP(LN('Ecoinvent 3.10'!$E$9)^2)-1)*EXP(2*LN(CZ16)+LN('Ecoinvent 3.10'!$E$9)^2)</f>
        <v>1.2433833122202462E-4</v>
      </c>
      <c r="DA201" s="224">
        <f>(EXP(LN('Ecoinvent 3.10'!$E$9)^2)-1)*EXP(2*LN(DA16)+LN('Ecoinvent 3.10'!$E$9)^2)</f>
        <v>1.1720888490465E-4</v>
      </c>
      <c r="DB201" s="50">
        <f>(EXP(LN('Ecoinvent 3.10'!$E$9)^2)-1)*EXP(2*LN(DB16)+LN('Ecoinvent 3.10'!$E$9)^2)</f>
        <v>1.1720888490465E-4</v>
      </c>
      <c r="DC201" s="264"/>
      <c r="DD201" s="265"/>
      <c r="DE201" s="264"/>
      <c r="DF201" s="265"/>
      <c r="DG201" s="264"/>
      <c r="DH201" s="265"/>
      <c r="DI201" s="264"/>
      <c r="DJ201" s="265"/>
      <c r="DK201" s="264"/>
      <c r="DL201" s="265"/>
      <c r="DO201" s="148" t="s">
        <v>430</v>
      </c>
      <c r="DP201" s="264"/>
      <c r="DQ201" s="265"/>
      <c r="DR201" s="224">
        <f>(EXP(LN('Ecoinvent 3.10'!$E$9)^2)-1)*EXP(2*LN(DR16)+LN('Ecoinvent 3.10'!$E$9)^2)</f>
        <v>37.353155883478337</v>
      </c>
      <c r="DS201" s="50">
        <f>(EXP(LN('Ecoinvent 3.10'!$E$9)^2)-1)*EXP(2*LN(DS16)+LN('Ecoinvent 3.10'!$E$9)^2)</f>
        <v>37.353155883478337</v>
      </c>
      <c r="DT201" s="224">
        <f>(EXP(LN('Ecoinvent 3.10'!$E$9)^2)-1)*EXP(2*LN(DT16)+LN('Ecoinvent 3.10'!$E$9)^2)</f>
        <v>35.211360050781742</v>
      </c>
      <c r="DU201" s="50">
        <f>(EXP(LN('Ecoinvent 3.10'!$E$9)^2)-1)*EXP(2*LN(DU16)+LN('Ecoinvent 3.10'!$E$9)^2)</f>
        <v>35.211360050781742</v>
      </c>
      <c r="DV201" s="264"/>
      <c r="DW201" s="265"/>
      <c r="DX201" s="264"/>
      <c r="DY201" s="265"/>
      <c r="DZ201" s="264"/>
      <c r="EA201" s="265"/>
      <c r="EB201" s="264"/>
      <c r="EC201" s="265"/>
      <c r="ED201" s="264"/>
      <c r="EE201" s="265"/>
      <c r="EH201" s="148" t="s">
        <v>430</v>
      </c>
      <c r="EI201" s="264"/>
      <c r="EJ201" s="265"/>
      <c r="EK201" s="224">
        <f>(EXP(LN('Ecoinvent 3.10'!$E$9)^2)-1)*EXP(2*LN(EK16)+LN('Ecoinvent 3.10'!$E$9)^2)</f>
        <v>3.9982158823414138E-4</v>
      </c>
      <c r="EL201" s="50">
        <f>(EXP(LN('Ecoinvent 3.10'!$E$9)^2)-1)*EXP(2*LN(EL16)+LN('Ecoinvent 3.10'!$E$9)^2)</f>
        <v>3.9982158823414138E-4</v>
      </c>
      <c r="EM201" s="224">
        <f>(EXP(LN('Ecoinvent 3.10'!$E$9)^2)-1)*EXP(2*LN(EM16)+LN('Ecoinvent 3.10'!$E$9)^2)</f>
        <v>3.7689618363985922E-4</v>
      </c>
      <c r="EN201" s="50">
        <f>(EXP(LN('Ecoinvent 3.10'!$E$9)^2)-1)*EXP(2*LN(EN16)+LN('Ecoinvent 3.10'!$E$9)^2)</f>
        <v>3.7689618363985922E-4</v>
      </c>
      <c r="EO201" s="264"/>
      <c r="EP201" s="265"/>
      <c r="EQ201" s="264"/>
      <c r="ER201" s="265"/>
      <c r="ES201" s="264"/>
      <c r="ET201" s="265"/>
      <c r="EU201" s="264"/>
      <c r="EV201" s="265"/>
      <c r="EW201" s="264"/>
      <c r="EX201" s="265"/>
      <c r="FA201" s="148" t="s">
        <v>430</v>
      </c>
      <c r="FB201" s="264"/>
      <c r="FC201" s="265"/>
      <c r="FD201" s="224">
        <f>(EXP(LN('Ecoinvent 3.10'!$E$9)^2)-1)*EXP(2*LN(FD16)+LN('Ecoinvent 3.10'!$E$9)^2)</f>
        <v>1.1352203855793332E-6</v>
      </c>
      <c r="FE201" s="50">
        <f>(EXP(LN('Ecoinvent 3.10'!$E$9)^2)-1)*EXP(2*LN(FE16)+LN('Ecoinvent 3.10'!$E$9)^2)</f>
        <v>1.1352203855793332E-6</v>
      </c>
      <c r="FF201" s="224">
        <f>(EXP(LN('Ecoinvent 3.10'!$E$9)^2)-1)*EXP(2*LN(FF16)+LN('Ecoinvent 3.10'!$E$9)^2)</f>
        <v>1.0701278858020525E-6</v>
      </c>
      <c r="FG201" s="50">
        <f>(EXP(LN('Ecoinvent 3.10'!$E$9)^2)-1)*EXP(2*LN(FG16)+LN('Ecoinvent 3.10'!$E$9)^2)</f>
        <v>1.0701278858020525E-6</v>
      </c>
      <c r="FH201" s="264"/>
      <c r="FI201" s="265"/>
      <c r="FJ201" s="264"/>
      <c r="FK201" s="265"/>
      <c r="FL201" s="264"/>
      <c r="FM201" s="265"/>
      <c r="FN201" s="264"/>
      <c r="FO201" s="265"/>
      <c r="FP201" s="264"/>
      <c r="FQ201" s="265"/>
      <c r="FT201" s="148" t="s">
        <v>430</v>
      </c>
      <c r="FU201" s="264"/>
      <c r="FV201" s="265"/>
      <c r="FW201" s="224">
        <f>(EXP(LN('Ecoinvent 3.10'!$E$9)^2)-1)*EXP(2*LN(FW16)+LN('Ecoinvent 3.10'!$E$9)^2)</f>
        <v>2.5712071931596938E-2</v>
      </c>
      <c r="FX201" s="50">
        <f>(EXP(LN('Ecoinvent 3.10'!$E$9)^2)-1)*EXP(2*LN(FX16)+LN('Ecoinvent 3.10'!$E$9)^2)</f>
        <v>2.5712071931596938E-2</v>
      </c>
      <c r="FY201" s="224">
        <f>(EXP(LN('Ecoinvent 3.10'!$E$9)^2)-1)*EXP(2*LN(FY16)+LN('Ecoinvent 3.10'!$E$9)^2)</f>
        <v>2.4237765217463375E-2</v>
      </c>
      <c r="FZ201" s="50">
        <f>(EXP(LN('Ecoinvent 3.10'!$E$9)^2)-1)*EXP(2*LN(FZ16)+LN('Ecoinvent 3.10'!$E$9)^2)</f>
        <v>2.4237765217463375E-2</v>
      </c>
      <c r="GA201" s="264"/>
      <c r="GB201" s="265"/>
      <c r="GC201" s="264"/>
      <c r="GD201" s="265"/>
      <c r="GE201" s="264"/>
      <c r="GF201" s="265"/>
      <c r="GG201" s="264"/>
      <c r="GH201" s="265"/>
      <c r="GI201" s="264"/>
      <c r="GJ201" s="265"/>
      <c r="GM201" s="148" t="s">
        <v>430</v>
      </c>
      <c r="GN201" s="264"/>
      <c r="GO201" s="265"/>
      <c r="GP201" s="224">
        <f>(EXP(LN('Ecoinvent 3.10'!$E$9)^2)-1)*EXP(2*LN(GP16)+LN('Ecoinvent 3.10'!$E$9)^2)</f>
        <v>0.15030606595683668</v>
      </c>
      <c r="GQ201" s="50">
        <f>(EXP(LN('Ecoinvent 3.10'!$E$9)^2)-1)*EXP(2*LN(GQ16)+LN('Ecoinvent 3.10'!$E$9)^2)</f>
        <v>0.15030606595683668</v>
      </c>
      <c r="GR201" s="224">
        <f>(EXP(LN('Ecoinvent 3.10'!$E$9)^2)-1)*EXP(2*LN(GR16)+LN('Ecoinvent 3.10'!$E$9)^2)</f>
        <v>0.14168765345376449</v>
      </c>
      <c r="GS201" s="50">
        <f>(EXP(LN('Ecoinvent 3.10'!$E$9)^2)-1)*EXP(2*LN(GS16)+LN('Ecoinvent 3.10'!$E$9)^2)</f>
        <v>0.14168765345376449</v>
      </c>
      <c r="GT201" s="264"/>
      <c r="GU201" s="265"/>
      <c r="GV201" s="264"/>
      <c r="GW201" s="265"/>
      <c r="GX201" s="264"/>
      <c r="GY201" s="265"/>
      <c r="GZ201" s="264"/>
      <c r="HA201" s="265"/>
      <c r="HB201" s="264"/>
      <c r="HC201" s="265"/>
      <c r="HF201" s="148" t="s">
        <v>430</v>
      </c>
      <c r="HG201" s="264"/>
      <c r="HH201" s="265"/>
      <c r="HI201" s="224">
        <f>(EXP(LN('Ecoinvent 3.10'!$E$9)^2)-1)*EXP(2*LN(HI16)+LN('Ecoinvent 3.10'!$E$9)^2)</f>
        <v>12.873844409446844</v>
      </c>
      <c r="HJ201" s="50">
        <f>(EXP(LN('Ecoinvent 3.10'!$E$9)^2)-1)*EXP(2*LN(HJ16)+LN('Ecoinvent 3.10'!$E$9)^2)</f>
        <v>12.873844409446844</v>
      </c>
      <c r="HK201" s="224">
        <f>(EXP(LN('Ecoinvent 3.10'!$E$9)^2)-1)*EXP(2*LN(HK16)+LN('Ecoinvent 3.10'!$E$9)^2)</f>
        <v>12.135669932490977</v>
      </c>
      <c r="HL201" s="50">
        <f>(EXP(LN('Ecoinvent 3.10'!$E$9)^2)-1)*EXP(2*LN(HL16)+LN('Ecoinvent 3.10'!$E$9)^2)</f>
        <v>12.135669932490977</v>
      </c>
      <c r="HM201" s="264"/>
      <c r="HN201" s="265"/>
      <c r="HO201" s="264"/>
      <c r="HP201" s="265"/>
      <c r="HQ201" s="264"/>
      <c r="HR201" s="265"/>
      <c r="HS201" s="264"/>
      <c r="HT201" s="265"/>
      <c r="HU201" s="264"/>
      <c r="HV201" s="265"/>
      <c r="HY201" s="148" t="s">
        <v>430</v>
      </c>
      <c r="HZ201" s="264"/>
      <c r="IA201" s="265"/>
      <c r="IB201" s="224">
        <f>(EXP(LN('Ecoinvent 3.10'!$E$9)^2)-1)*EXP(2*LN(IB16)+LN('Ecoinvent 3.10'!$E$9)^2)</f>
        <v>1.8355528489116035E-5</v>
      </c>
      <c r="IC201" s="50">
        <f>(EXP(LN('Ecoinvent 3.10'!$E$9)^2)-1)*EXP(2*LN(IC16)+LN('Ecoinvent 3.10'!$E$9)^2)</f>
        <v>1.8355528489116035E-5</v>
      </c>
      <c r="ID201" s="224">
        <f>(EXP(LN('Ecoinvent 3.10'!$E$9)^2)-1)*EXP(2*LN(ID16)+LN('Ecoinvent 3.10'!$E$9)^2)</f>
        <v>1.7303039255071894E-5</v>
      </c>
      <c r="IE201" s="50">
        <f>(EXP(LN('Ecoinvent 3.10'!$E$9)^2)-1)*EXP(2*LN(IE16)+LN('Ecoinvent 3.10'!$E$9)^2)</f>
        <v>1.7303039255071894E-5</v>
      </c>
      <c r="IF201" s="264"/>
      <c r="IG201" s="265"/>
      <c r="IH201" s="264"/>
      <c r="II201" s="265"/>
      <c r="IJ201" s="264"/>
      <c r="IK201" s="265"/>
      <c r="IL201" s="264"/>
      <c r="IM201" s="265"/>
      <c r="IN201" s="264"/>
      <c r="IO201" s="265"/>
    </row>
    <row r="202" spans="1:249" x14ac:dyDescent="0.2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38"/>
      <c r="AN202" s="156"/>
      <c r="AO202" s="158"/>
      <c r="AP202" s="726"/>
      <c r="AQ202" s="148" t="s">
        <v>131</v>
      </c>
      <c r="AR202" s="224">
        <f>(EXP(LN('Ecoinvent 3.10'!$E$10)^2)-1)*EXP(2*LN(AR17)+LN('Ecoinvent 3.10'!$E$10)^2)</f>
        <v>14.9602349336984</v>
      </c>
      <c r="AS202" s="50">
        <f>(EXP(LN('Ecoinvent 3.10'!$E$10)^2)-1)*EXP(2*LN(AS17)+LN('Ecoinvent 3.10'!$E$10)^2)</f>
        <v>14.9602349336984</v>
      </c>
      <c r="AT202" s="264"/>
      <c r="AU202" s="265"/>
      <c r="AV202" s="264"/>
      <c r="AW202" s="265"/>
      <c r="AX202" s="224">
        <f>(EXP(LN('Ecoinvent 3.10'!$E$10)^2)-1)*EXP(2*LN(AX17)+LN('Ecoinvent 3.10'!$E$10)^2)</f>
        <v>17.375783456899846</v>
      </c>
      <c r="AY202" s="50">
        <f>(EXP(LN('Ecoinvent 3.10'!$E$10)^2)-1)*EXP(2*LN(AY17)+LN('Ecoinvent 3.10'!$E$10)^2)</f>
        <v>17.375783456899846</v>
      </c>
      <c r="AZ202" s="224">
        <f>(EXP(LN('Ecoinvent 3.10'!$E$10)^2)-1)*EXP(2*LN(AZ17)+LN('Ecoinvent 3.10'!$E$10)^2)</f>
        <v>14.172450289039134</v>
      </c>
      <c r="BA202" s="50">
        <f>(EXP(LN('Ecoinvent 3.10'!$E$10)^2)-1)*EXP(2*LN(BA17)+LN('Ecoinvent 3.10'!$E$10)^2)</f>
        <v>14.172450289039134</v>
      </c>
      <c r="BB202" s="264"/>
      <c r="BC202" s="265"/>
      <c r="BD202" s="264"/>
      <c r="BE202" s="265"/>
      <c r="BF202" s="224">
        <f>(EXP(LN('Ecoinvent 3.10'!$E$10)^2)-1)*EXP(2*LN(BF17)+LN('Ecoinvent 3.10'!$E$10)^2)</f>
        <v>14.172450289039134</v>
      </c>
      <c r="BG202" s="50">
        <f>(EXP(LN('Ecoinvent 3.10'!$E$10)^2)-1)*EXP(2*LN(BG17)+LN('Ecoinvent 3.10'!$E$10)^2)</f>
        <v>14.172450289039134</v>
      </c>
      <c r="BI202" s="156"/>
      <c r="BJ202" s="148" t="s">
        <v>131</v>
      </c>
      <c r="BK202" s="224">
        <f>(EXP(LN('Ecoinvent 3.10'!$E$10)^2)-1)*EXP(2*LN(BK17)+LN('Ecoinvent 3.10'!$E$10)^2)</f>
        <v>1.2336633834382889</v>
      </c>
      <c r="BL202" s="50">
        <f>(EXP(LN('Ecoinvent 3.10'!$E$10)^2)-1)*EXP(2*LN(BL17)+LN('Ecoinvent 3.10'!$E$10)^2)</f>
        <v>1.2336633834382889</v>
      </c>
      <c r="BM202" s="264"/>
      <c r="BN202" s="265"/>
      <c r="BO202" s="264"/>
      <c r="BP202" s="265"/>
      <c r="BQ202" s="224">
        <f>(EXP(LN('Ecoinvent 3.10'!$E$10)^2)-1)*EXP(2*LN(BQ17)+LN('Ecoinvent 3.10'!$E$10)^2)</f>
        <v>1.4328563625057209</v>
      </c>
      <c r="BR202" s="50">
        <f>(EXP(LN('Ecoinvent 3.10'!$E$10)^2)-1)*EXP(2*LN(BR17)+LN('Ecoinvent 3.10'!$E$10)^2)</f>
        <v>1.4328563625057209</v>
      </c>
      <c r="BS202" s="224">
        <f>(EXP(LN('Ecoinvent 3.10'!$E$10)^2)-1)*EXP(2*LN(BS17)+LN('Ecoinvent 3.10'!$E$10)^2)</f>
        <v>1.1687004283471261</v>
      </c>
      <c r="BT202" s="50">
        <f>(EXP(LN('Ecoinvent 3.10'!$E$10)^2)-1)*EXP(2*LN(BT17)+LN('Ecoinvent 3.10'!$E$10)^2)</f>
        <v>1.1687004283471261</v>
      </c>
      <c r="BU202" s="264"/>
      <c r="BV202" s="265"/>
      <c r="BW202" s="264"/>
      <c r="BX202" s="265"/>
      <c r="BY202" s="224">
        <f>(EXP(LN('Ecoinvent 3.10'!$E$10)^2)-1)*EXP(2*LN(BY17)+LN('Ecoinvent 3.10'!$E$10)^2)</f>
        <v>1.1687004283471261</v>
      </c>
      <c r="BZ202" s="50">
        <f>(EXP(LN('Ecoinvent 3.10'!$E$10)^2)-1)*EXP(2*LN(BZ17)+LN('Ecoinvent 3.10'!$E$10)^2)</f>
        <v>1.1687004283471261</v>
      </c>
      <c r="CA202" s="156"/>
      <c r="CB202" s="156"/>
      <c r="CC202" s="148" t="s">
        <v>131</v>
      </c>
      <c r="CD202" s="224">
        <f>(EXP(LN('Ecoinvent 3.10'!$E$10)^2)-1)*EXP(2*LN(CD17)+LN('Ecoinvent 3.10'!$E$10)^2)</f>
        <v>103.21907850508421</v>
      </c>
      <c r="CE202" s="50">
        <f>(EXP(LN('Ecoinvent 3.10'!$E$10)^2)-1)*EXP(2*LN(CE17)+LN('Ecoinvent 3.10'!$E$10)^2)</f>
        <v>103.21907850508421</v>
      </c>
      <c r="CF202" s="264"/>
      <c r="CG202" s="265"/>
      <c r="CH202" s="264"/>
      <c r="CI202" s="265"/>
      <c r="CJ202" s="224">
        <f>(EXP(LN('Ecoinvent 3.10'!$E$10)^2)-1)*EXP(2*LN(CJ17)+LN('Ecoinvent 3.10'!$E$10)^2)</f>
        <v>119.88530692690823</v>
      </c>
      <c r="CK202" s="50">
        <f>(EXP(LN('Ecoinvent 3.10'!$E$10)^2)-1)*EXP(2*LN(CK17)+LN('Ecoinvent 3.10'!$E$10)^2)</f>
        <v>119.88530692690823</v>
      </c>
      <c r="CL202" s="224">
        <f>(EXP(LN('Ecoinvent 3.10'!$E$10)^2)-1)*EXP(2*LN(CL17)+LN('Ecoinvent 3.10'!$E$10)^2)</f>
        <v>97.78370897762963</v>
      </c>
      <c r="CM202" s="50">
        <f>(EXP(LN('Ecoinvent 3.10'!$E$10)^2)-1)*EXP(2*LN(CM17)+LN('Ecoinvent 3.10'!$E$10)^2)</f>
        <v>97.78370897762963</v>
      </c>
      <c r="CN202" s="264"/>
      <c r="CO202" s="265"/>
      <c r="CP202" s="264"/>
      <c r="CQ202" s="265"/>
      <c r="CR202" s="224">
        <f>(EXP(LN('Ecoinvent 3.10'!$E$10)^2)-1)*EXP(2*LN(CR17)+LN('Ecoinvent 3.10'!$E$10)^2)</f>
        <v>97.78370897762963</v>
      </c>
      <c r="CS202" s="50">
        <f>(EXP(LN('Ecoinvent 3.10'!$E$10)^2)-1)*EXP(2*LN(CS17)+LN('Ecoinvent 3.10'!$E$10)^2)</f>
        <v>97.78370897762963</v>
      </c>
      <c r="CV202" s="148" t="s">
        <v>131</v>
      </c>
      <c r="CW202" s="224">
        <f>(EXP(LN('Ecoinvent 3.10'!$E$10)^2)-1)*EXP(2*LN(CW17)+LN('Ecoinvent 3.10'!$E$10)^2)</f>
        <v>3.5580597451807253E-5</v>
      </c>
      <c r="CX202" s="50">
        <f>(EXP(LN('Ecoinvent 3.10'!$E$10)^2)-1)*EXP(2*LN(CX17)+LN('Ecoinvent 3.10'!$E$10)^2)</f>
        <v>3.5580597451807253E-5</v>
      </c>
      <c r="CY202" s="264"/>
      <c r="CZ202" s="265"/>
      <c r="DA202" s="264"/>
      <c r="DB202" s="265"/>
      <c r="DC202" s="224">
        <f>(EXP(LN('Ecoinvent 3.10'!$E$10)^2)-1)*EXP(2*LN(DC17)+LN('Ecoinvent 3.10'!$E$10)^2)</f>
        <v>4.1325604800304173E-5</v>
      </c>
      <c r="DD202" s="50">
        <f>(EXP(LN('Ecoinvent 3.10'!$E$10)^2)-1)*EXP(2*LN(DD17)+LN('Ecoinvent 3.10'!$E$10)^2)</f>
        <v>4.1325604800304173E-5</v>
      </c>
      <c r="DE202" s="224">
        <f>(EXP(LN('Ecoinvent 3.10'!$E$10)^2)-1)*EXP(2*LN(DE17)+LN('Ecoinvent 3.10'!$E$10)^2)</f>
        <v>3.3706973912834702E-5</v>
      </c>
      <c r="DF202" s="50">
        <f>(EXP(LN('Ecoinvent 3.10'!$E$10)^2)-1)*EXP(2*LN(DF17)+LN('Ecoinvent 3.10'!$E$10)^2)</f>
        <v>3.3706973912834702E-5</v>
      </c>
      <c r="DG202" s="264"/>
      <c r="DH202" s="265"/>
      <c r="DI202" s="264"/>
      <c r="DJ202" s="265"/>
      <c r="DK202" s="224">
        <f>(EXP(LN('Ecoinvent 3.10'!$E$10)^2)-1)*EXP(2*LN(DK17)+LN('Ecoinvent 3.10'!$E$10)^2)</f>
        <v>3.3706973912834702E-5</v>
      </c>
      <c r="DL202" s="50">
        <f>(EXP(LN('Ecoinvent 3.10'!$E$10)^2)-1)*EXP(2*LN(DL17)+LN('Ecoinvent 3.10'!$E$10)^2)</f>
        <v>3.3706973912834702E-5</v>
      </c>
      <c r="DO202" s="148" t="s">
        <v>131</v>
      </c>
      <c r="DP202" s="224">
        <f>(EXP(LN('Ecoinvent 3.10'!$E$10)^2)-1)*EXP(2*LN(DP17)+LN('Ecoinvent 3.10'!$E$10)^2)</f>
        <v>9.6637521493793912</v>
      </c>
      <c r="DQ202" s="50">
        <f>(EXP(LN('Ecoinvent 3.10'!$E$10)^2)-1)*EXP(2*LN(DQ17)+LN('Ecoinvent 3.10'!$E$10)^2)</f>
        <v>9.6637521493793912</v>
      </c>
      <c r="DR202" s="264"/>
      <c r="DS202" s="265"/>
      <c r="DT202" s="264"/>
      <c r="DU202" s="265"/>
      <c r="DV202" s="224">
        <f>(EXP(LN('Ecoinvent 3.10'!$E$10)^2)-1)*EXP(2*LN(DV17)+LN('Ecoinvent 3.10'!$E$10)^2)</f>
        <v>11.22410613689844</v>
      </c>
      <c r="DW202" s="50">
        <f>(EXP(LN('Ecoinvent 3.10'!$E$10)^2)-1)*EXP(2*LN(DW17)+LN('Ecoinvent 3.10'!$E$10)^2)</f>
        <v>11.22410613689844</v>
      </c>
      <c r="DX202" s="224">
        <f>(EXP(LN('Ecoinvent 3.10'!$E$10)^2)-1)*EXP(2*LN(DX17)+LN('Ecoinvent 3.10'!$E$10)^2)</f>
        <v>9.1548727376045296</v>
      </c>
      <c r="DY202" s="50">
        <f>(EXP(LN('Ecoinvent 3.10'!$E$10)^2)-1)*EXP(2*LN(DY17)+LN('Ecoinvent 3.10'!$E$10)^2)</f>
        <v>9.1548727376045296</v>
      </c>
      <c r="DZ202" s="264"/>
      <c r="EA202" s="265"/>
      <c r="EB202" s="264"/>
      <c r="EC202" s="265"/>
      <c r="ED202" s="224">
        <f>(EXP(LN('Ecoinvent 3.10'!$E$10)^2)-1)*EXP(2*LN(ED17)+LN('Ecoinvent 3.10'!$E$10)^2)</f>
        <v>9.1548727376045296</v>
      </c>
      <c r="EE202" s="50">
        <f>(EXP(LN('Ecoinvent 3.10'!$E$10)^2)-1)*EXP(2*LN(EE17)+LN('Ecoinvent 3.10'!$E$10)^2)</f>
        <v>9.1548727376045296</v>
      </c>
      <c r="EH202" s="148" t="s">
        <v>131</v>
      </c>
      <c r="EI202" s="224">
        <f>(EXP(LN('Ecoinvent 3.10'!$E$10)^2)-1)*EXP(2*LN(EI17)+LN('Ecoinvent 3.10'!$E$10)^2)</f>
        <v>1.133341861401695E-4</v>
      </c>
      <c r="EJ202" s="50">
        <f>(EXP(LN('Ecoinvent 3.10'!$E$10)^2)-1)*EXP(2*LN(EJ17)+LN('Ecoinvent 3.10'!$E$10)^2)</f>
        <v>1.133341861401695E-4</v>
      </c>
      <c r="EK202" s="264"/>
      <c r="EL202" s="265"/>
      <c r="EM202" s="264"/>
      <c r="EN202" s="265"/>
      <c r="EO202" s="224">
        <f>(EXP(LN('Ecoinvent 3.10'!$E$10)^2)-1)*EXP(2*LN(EO17)+LN('Ecoinvent 3.10'!$E$10)^2)</f>
        <v>1.3163364648771124E-4</v>
      </c>
      <c r="EP202" s="50">
        <f>(EXP(LN('Ecoinvent 3.10'!$E$10)^2)-1)*EXP(2*LN(EP17)+LN('Ecoinvent 3.10'!$E$10)^2)</f>
        <v>1.3163364648771124E-4</v>
      </c>
      <c r="EQ202" s="224">
        <f>(EXP(LN('Ecoinvent 3.10'!$E$10)^2)-1)*EXP(2*LN(EQ17)+LN('Ecoinvent 3.10'!$E$10)^2)</f>
        <v>1.0736616946450425E-4</v>
      </c>
      <c r="ER202" s="50">
        <f>(EXP(LN('Ecoinvent 3.10'!$E$10)^2)-1)*EXP(2*LN(ER17)+LN('Ecoinvent 3.10'!$E$10)^2)</f>
        <v>1.0736616946450425E-4</v>
      </c>
      <c r="ES202" s="264"/>
      <c r="ET202" s="265"/>
      <c r="EU202" s="264"/>
      <c r="EV202" s="265"/>
      <c r="EW202" s="224">
        <f>(EXP(LN('Ecoinvent 3.10'!$E$10)^2)-1)*EXP(2*LN(EW17)+LN('Ecoinvent 3.10'!$E$10)^2)</f>
        <v>1.0736616946450425E-4</v>
      </c>
      <c r="EX202" s="50">
        <f>(EXP(LN('Ecoinvent 3.10'!$E$10)^2)-1)*EXP(2*LN(EX17)+LN('Ecoinvent 3.10'!$E$10)^2)</f>
        <v>1.0736616946450425E-4</v>
      </c>
      <c r="FA202" s="148" t="s">
        <v>131</v>
      </c>
      <c r="FB202" s="224">
        <f>(EXP(LN('Ecoinvent 3.10'!$E$10)^2)-1)*EXP(2*LN(FB17)+LN('Ecoinvent 3.10'!$E$10)^2)</f>
        <v>3.2173537029082279E-7</v>
      </c>
      <c r="FC202" s="50">
        <f>(EXP(LN('Ecoinvent 3.10'!$E$10)^2)-1)*EXP(2*LN(FC17)+LN('Ecoinvent 3.10'!$E$10)^2)</f>
        <v>3.2173537029082279E-7</v>
      </c>
      <c r="FD202" s="264"/>
      <c r="FE202" s="265"/>
      <c r="FF202" s="264"/>
      <c r="FG202" s="265"/>
      <c r="FH202" s="224">
        <f>(EXP(LN('Ecoinvent 3.10'!$E$10)^2)-1)*EXP(2*LN(FH17)+LN('Ecoinvent 3.10'!$E$10)^2)</f>
        <v>3.7368424689683615E-7</v>
      </c>
      <c r="FI202" s="50">
        <f>(EXP(LN('Ecoinvent 3.10'!$E$10)^2)-1)*EXP(2*LN(FI17)+LN('Ecoinvent 3.10'!$E$10)^2)</f>
        <v>3.7368424689683615E-7</v>
      </c>
      <c r="FJ202" s="224">
        <f>(EXP(LN('Ecoinvent 3.10'!$E$10)^2)-1)*EXP(2*LN(FJ17)+LN('Ecoinvent 3.10'!$E$10)^2)</f>
        <v>3.0479324434947476E-7</v>
      </c>
      <c r="FK202" s="50">
        <f>(EXP(LN('Ecoinvent 3.10'!$E$10)^2)-1)*EXP(2*LN(FK17)+LN('Ecoinvent 3.10'!$E$10)^2)</f>
        <v>3.0479324434947476E-7</v>
      </c>
      <c r="FL202" s="264"/>
      <c r="FM202" s="265"/>
      <c r="FN202" s="264"/>
      <c r="FO202" s="265"/>
      <c r="FP202" s="224">
        <f>(EXP(LN('Ecoinvent 3.10'!$E$10)^2)-1)*EXP(2*LN(FP17)+LN('Ecoinvent 3.10'!$E$10)^2)</f>
        <v>3.0479324434947476E-7</v>
      </c>
      <c r="FQ202" s="50">
        <f>(EXP(LN('Ecoinvent 3.10'!$E$10)^2)-1)*EXP(2*LN(FQ17)+LN('Ecoinvent 3.10'!$E$10)^2)</f>
        <v>3.0479324434947476E-7</v>
      </c>
      <c r="FT202" s="148" t="s">
        <v>131</v>
      </c>
      <c r="FU202" s="224">
        <f>(EXP(LN('Ecoinvent 3.10'!$E$10)^2)-1)*EXP(2*LN(FU17)+LN('Ecoinvent 3.10'!$E$10)^2)</f>
        <v>7.7020246370211104E-3</v>
      </c>
      <c r="FV202" s="50">
        <f>(EXP(LN('Ecoinvent 3.10'!$E$10)^2)-1)*EXP(2*LN(FV17)+LN('Ecoinvent 3.10'!$E$10)^2)</f>
        <v>7.7020246370211104E-3</v>
      </c>
      <c r="FW202" s="264"/>
      <c r="FX202" s="265"/>
      <c r="FY202" s="264"/>
      <c r="FZ202" s="265"/>
      <c r="GA202" s="224">
        <f>(EXP(LN('Ecoinvent 3.10'!$E$10)^2)-1)*EXP(2*LN(GA17)+LN('Ecoinvent 3.10'!$E$10)^2)</f>
        <v>8.9456290536676693E-3</v>
      </c>
      <c r="GB202" s="50">
        <f>(EXP(LN('Ecoinvent 3.10'!$E$10)^2)-1)*EXP(2*LN(GB17)+LN('Ecoinvent 3.10'!$E$10)^2)</f>
        <v>8.9456290536676693E-3</v>
      </c>
      <c r="GC202" s="224">
        <f>(EXP(LN('Ecoinvent 3.10'!$E$10)^2)-1)*EXP(2*LN(GC17)+LN('Ecoinvent 3.10'!$E$10)^2)</f>
        <v>7.2964469994557177E-3</v>
      </c>
      <c r="GD202" s="50">
        <f>(EXP(LN('Ecoinvent 3.10'!$E$10)^2)-1)*EXP(2*LN(GD17)+LN('Ecoinvent 3.10'!$E$10)^2)</f>
        <v>7.2964469994557177E-3</v>
      </c>
      <c r="GE202" s="264"/>
      <c r="GF202" s="265"/>
      <c r="GG202" s="264"/>
      <c r="GH202" s="265"/>
      <c r="GI202" s="224">
        <f>(EXP(LN('Ecoinvent 3.10'!$E$10)^2)-1)*EXP(2*LN(GI17)+LN('Ecoinvent 3.10'!$E$10)^2)</f>
        <v>7.2964469994557177E-3</v>
      </c>
      <c r="GJ202" s="50">
        <f>(EXP(LN('Ecoinvent 3.10'!$E$10)^2)-1)*EXP(2*LN(GJ17)+LN('Ecoinvent 3.10'!$E$10)^2)</f>
        <v>7.2964469994557177E-3</v>
      </c>
      <c r="GM202" s="148" t="s">
        <v>131</v>
      </c>
      <c r="GN202" s="224">
        <f>(EXP(LN('Ecoinvent 3.10'!$E$10)^2)-1)*EXP(2*LN(GN17)+LN('Ecoinvent 3.10'!$E$10)^2)</f>
        <v>4.6462403731880868E-2</v>
      </c>
      <c r="GO202" s="50">
        <f>(EXP(LN('Ecoinvent 3.10'!$E$10)^2)-1)*EXP(2*LN(GO17)+LN('Ecoinvent 3.10'!$E$10)^2)</f>
        <v>4.6462403731880868E-2</v>
      </c>
      <c r="GP202" s="264"/>
      <c r="GQ202" s="265"/>
      <c r="GR202" s="264"/>
      <c r="GS202" s="265"/>
      <c r="GT202" s="224">
        <f>(EXP(LN('Ecoinvent 3.10'!$E$10)^2)-1)*EXP(2*LN(GT17)+LN('Ecoinvent 3.10'!$E$10)^2)</f>
        <v>5.3964437705032391E-2</v>
      </c>
      <c r="GU202" s="50">
        <f>(EXP(LN('Ecoinvent 3.10'!$E$10)^2)-1)*EXP(2*LN(GU17)+LN('Ecoinvent 3.10'!$E$10)^2)</f>
        <v>5.3964437705032391E-2</v>
      </c>
      <c r="GV202" s="224">
        <f>(EXP(LN('Ecoinvent 3.10'!$E$10)^2)-1)*EXP(2*LN(GV17)+LN('Ecoinvent 3.10'!$E$10)^2)</f>
        <v>4.4015759787039616E-2</v>
      </c>
      <c r="GW202" s="50">
        <f>(EXP(LN('Ecoinvent 3.10'!$E$10)^2)-1)*EXP(2*LN(GW17)+LN('Ecoinvent 3.10'!$E$10)^2)</f>
        <v>4.4015759787039616E-2</v>
      </c>
      <c r="GX202" s="264"/>
      <c r="GY202" s="265"/>
      <c r="GZ202" s="264"/>
      <c r="HA202" s="265"/>
      <c r="HB202" s="224">
        <f>(EXP(LN('Ecoinvent 3.10'!$E$10)^2)-1)*EXP(2*LN(HB17)+LN('Ecoinvent 3.10'!$E$10)^2)</f>
        <v>4.4015759787039616E-2</v>
      </c>
      <c r="HC202" s="50">
        <f>(EXP(LN('Ecoinvent 3.10'!$E$10)^2)-1)*EXP(2*LN(HC17)+LN('Ecoinvent 3.10'!$E$10)^2)</f>
        <v>4.4015759787039616E-2</v>
      </c>
      <c r="HF202" s="148" t="s">
        <v>131</v>
      </c>
      <c r="HG202" s="224">
        <f>(EXP(LN('Ecoinvent 3.10'!$E$10)^2)-1)*EXP(2*LN(HG17)+LN('Ecoinvent 3.10'!$E$10)^2)</f>
        <v>3.8748704031342753</v>
      </c>
      <c r="HH202" s="50">
        <f>(EXP(LN('Ecoinvent 3.10'!$E$10)^2)-1)*EXP(2*LN(HH17)+LN('Ecoinvent 3.10'!$E$10)^2)</f>
        <v>3.8748704031342753</v>
      </c>
      <c r="HI202" s="264"/>
      <c r="HJ202" s="265"/>
      <c r="HK202" s="264"/>
      <c r="HL202" s="265"/>
      <c r="HM202" s="224">
        <f>(EXP(LN('Ecoinvent 3.10'!$E$10)^2)-1)*EXP(2*LN(HM17)+LN('Ecoinvent 3.10'!$E$10)^2)</f>
        <v>4.5005248478251394</v>
      </c>
      <c r="HN202" s="50">
        <f>(EXP(LN('Ecoinvent 3.10'!$E$10)^2)-1)*EXP(2*LN(HN17)+LN('Ecoinvent 3.10'!$E$10)^2)</f>
        <v>4.5005248478251394</v>
      </c>
      <c r="HO202" s="224">
        <f>(EXP(LN('Ecoinvent 3.10'!$E$10)^2)-1)*EXP(2*LN(HO17)+LN('Ecoinvent 3.10'!$E$10)^2)</f>
        <v>3.6708252516268014</v>
      </c>
      <c r="HP202" s="50">
        <f>(EXP(LN('Ecoinvent 3.10'!$E$10)^2)-1)*EXP(2*LN(HP17)+LN('Ecoinvent 3.10'!$E$10)^2)</f>
        <v>3.6708252516268014</v>
      </c>
      <c r="HQ202" s="264"/>
      <c r="HR202" s="265"/>
      <c r="HS202" s="264"/>
      <c r="HT202" s="265"/>
      <c r="HU202" s="224">
        <f>(EXP(LN('Ecoinvent 3.10'!$E$10)^2)-1)*EXP(2*LN(HU17)+LN('Ecoinvent 3.10'!$E$10)^2)</f>
        <v>3.6708252516268014</v>
      </c>
      <c r="HV202" s="50">
        <f>(EXP(LN('Ecoinvent 3.10'!$E$10)^2)-1)*EXP(2*LN(HV17)+LN('Ecoinvent 3.10'!$E$10)^2)</f>
        <v>3.6708252516268014</v>
      </c>
      <c r="HY202" s="148" t="s">
        <v>131</v>
      </c>
      <c r="HZ202" s="224">
        <f>(EXP(LN('Ecoinvent 3.10'!$E$10)^2)-1)*EXP(2*LN(HZ17)+LN('Ecoinvent 3.10'!$E$10)^2)</f>
        <v>5.3896864980596398E-6</v>
      </c>
      <c r="IA202" s="50">
        <f>(EXP(LN('Ecoinvent 3.10'!$E$10)^2)-1)*EXP(2*LN(IA17)+LN('Ecoinvent 3.10'!$E$10)^2)</f>
        <v>5.3896864980596398E-6</v>
      </c>
      <c r="IB202" s="264"/>
      <c r="IC202" s="265"/>
      <c r="ID202" s="264"/>
      <c r="IE202" s="265"/>
      <c r="IF202" s="224">
        <f>(EXP(LN('Ecoinvent 3.10'!$E$10)^2)-1)*EXP(2*LN(IF17)+LN('Ecoinvent 3.10'!$E$10)^2)</f>
        <v>6.2599301351820042E-6</v>
      </c>
      <c r="IG202" s="50">
        <f>(EXP(LN('Ecoinvent 3.10'!$E$10)^2)-1)*EXP(2*LN(IG17)+LN('Ecoinvent 3.10'!$E$10)^2)</f>
        <v>6.2599301351820042E-6</v>
      </c>
      <c r="IH202" s="224">
        <f>(EXP(LN('Ecoinvent 3.10'!$E$10)^2)-1)*EXP(2*LN(IH17)+LN('Ecoinvent 3.10'!$E$10)^2)</f>
        <v>5.1058732904786075E-6</v>
      </c>
      <c r="II202" s="50">
        <f>(EXP(LN('Ecoinvent 3.10'!$E$10)^2)-1)*EXP(2*LN(II17)+LN('Ecoinvent 3.10'!$E$10)^2)</f>
        <v>5.1058732904786075E-6</v>
      </c>
      <c r="IJ202" s="264"/>
      <c r="IK202" s="265"/>
      <c r="IL202" s="264"/>
      <c r="IM202" s="265"/>
      <c r="IN202" s="224">
        <f>(EXP(LN('Ecoinvent 3.10'!$E$10)^2)-1)*EXP(2*LN(IN17)+LN('Ecoinvent 3.10'!$E$10)^2)</f>
        <v>5.1058732904786075E-6</v>
      </c>
      <c r="IO202" s="50">
        <f>(EXP(LN('Ecoinvent 3.10'!$E$10)^2)-1)*EXP(2*LN(IO17)+LN('Ecoinvent 3.10'!$E$10)^2)</f>
        <v>5.1058732904786075E-6</v>
      </c>
    </row>
    <row r="203" spans="1:249" ht="12.75" customHeight="1" x14ac:dyDescent="0.25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38"/>
      <c r="AN203" s="156"/>
      <c r="AO203" s="158"/>
      <c r="AP203" s="726"/>
      <c r="AQ203" s="148" t="s">
        <v>577</v>
      </c>
      <c r="AR203" s="264"/>
      <c r="AS203" s="265"/>
      <c r="AT203" s="264"/>
      <c r="AU203" s="265"/>
      <c r="AV203" s="264"/>
      <c r="AW203" s="265"/>
      <c r="AX203" s="264"/>
      <c r="AY203" s="265"/>
      <c r="AZ203" s="264"/>
      <c r="BA203" s="265"/>
      <c r="BB203" s="264"/>
      <c r="BC203" s="265"/>
      <c r="BD203" s="224">
        <f>(EXP(LN('Ecoinvent 3.10'!$E$11)^2)-1)*EXP(2*LN(BD18)+LN('Ecoinvent 3.10'!$E$11)^2)</f>
        <v>0.22629248135849422</v>
      </c>
      <c r="BE203" s="50">
        <f>(EXP(LN('Ecoinvent 3.10'!$E$11)^2)-1)*EXP(2*LN(BE18)+LN('Ecoinvent 3.10'!$E$11)^2)</f>
        <v>0.22629248135849422</v>
      </c>
      <c r="BF203" s="264"/>
      <c r="BG203" s="265"/>
      <c r="BI203" s="156"/>
      <c r="BJ203" s="148" t="s">
        <v>577</v>
      </c>
      <c r="BK203" s="264"/>
      <c r="BL203" s="265"/>
      <c r="BM203" s="264"/>
      <c r="BN203" s="265"/>
      <c r="BO203" s="264"/>
      <c r="BP203" s="265"/>
      <c r="BQ203" s="264"/>
      <c r="BR203" s="265"/>
      <c r="BS203" s="264"/>
      <c r="BT203" s="265"/>
      <c r="BU203" s="264"/>
      <c r="BV203" s="265"/>
      <c r="BW203" s="224">
        <f>(EXP(LN('Ecoinvent 3.10'!$E$11)^2)-1)*EXP(2*LN(BW18)+LN('Ecoinvent 3.10'!$E$11)^2)</f>
        <v>1.4883460810509938E-2</v>
      </c>
      <c r="BX203" s="50">
        <f>(EXP(LN('Ecoinvent 3.10'!$E$11)^2)-1)*EXP(2*LN(BX18)+LN('Ecoinvent 3.10'!$E$11)^2)</f>
        <v>1.4883460810509938E-2</v>
      </c>
      <c r="BY203" s="264"/>
      <c r="BZ203" s="265"/>
      <c r="CA203" s="156"/>
      <c r="CB203" s="156"/>
      <c r="CC203" s="148" t="s">
        <v>577</v>
      </c>
      <c r="CD203" s="264"/>
      <c r="CE203" s="265"/>
      <c r="CF203" s="264"/>
      <c r="CG203" s="265"/>
      <c r="CH203" s="264"/>
      <c r="CI203" s="265"/>
      <c r="CJ203" s="264"/>
      <c r="CK203" s="265"/>
      <c r="CL203" s="264"/>
      <c r="CM203" s="265"/>
      <c r="CN203" s="264"/>
      <c r="CO203" s="265"/>
      <c r="CP203" s="224">
        <f>(EXP(LN('Ecoinvent 3.10'!$E$11)^2)-1)*EXP(2*LN(CP18)+LN('Ecoinvent 3.10'!$E$11)^2)</f>
        <v>3.6419573465721591</v>
      </c>
      <c r="CQ203" s="50">
        <f>(EXP(LN('Ecoinvent 3.10'!$E$11)^2)-1)*EXP(2*LN(CQ18)+LN('Ecoinvent 3.10'!$E$11)^2)</f>
        <v>3.6419573465721591</v>
      </c>
      <c r="CR203" s="264"/>
      <c r="CS203" s="265"/>
      <c r="CV203" s="148" t="s">
        <v>577</v>
      </c>
      <c r="CW203" s="264"/>
      <c r="CX203" s="265"/>
      <c r="CY203" s="264"/>
      <c r="CZ203" s="265"/>
      <c r="DA203" s="264"/>
      <c r="DB203" s="265"/>
      <c r="DC203" s="264"/>
      <c r="DD203" s="265"/>
      <c r="DE203" s="264"/>
      <c r="DF203" s="265"/>
      <c r="DG203" s="264"/>
      <c r="DH203" s="265"/>
      <c r="DI203" s="224">
        <f>(EXP(LN('Ecoinvent 3.10'!$E$11)^2)-1)*EXP(2*LN(DI18)+LN('Ecoinvent 3.10'!$E$11)^2)</f>
        <v>1.2769794068289156E-6</v>
      </c>
      <c r="DJ203" s="50">
        <f>(EXP(LN('Ecoinvent 3.10'!$E$11)^2)-1)*EXP(2*LN(DJ18)+LN('Ecoinvent 3.10'!$E$11)^2)</f>
        <v>1.2769794068289156E-6</v>
      </c>
      <c r="DK203" s="264"/>
      <c r="DL203" s="265"/>
      <c r="DO203" s="148" t="s">
        <v>577</v>
      </c>
      <c r="DP203" s="264"/>
      <c r="DQ203" s="265"/>
      <c r="DR203" s="264"/>
      <c r="DS203" s="265"/>
      <c r="DT203" s="264"/>
      <c r="DU203" s="265"/>
      <c r="DV203" s="264"/>
      <c r="DW203" s="265"/>
      <c r="DX203" s="264"/>
      <c r="DY203" s="265"/>
      <c r="DZ203" s="264"/>
      <c r="EA203" s="265"/>
      <c r="EB203" s="224">
        <f>(EXP(LN('Ecoinvent 3.10'!$E$11)^2)-1)*EXP(2*LN(EB18)+LN('Ecoinvent 3.10'!$E$11)^2)</f>
        <v>7.3086319866448618E-6</v>
      </c>
      <c r="EC203" s="50">
        <f>(EXP(LN('Ecoinvent 3.10'!$E$11)^2)-1)*EXP(2*LN(EC18)+LN('Ecoinvent 3.10'!$E$11)^2)</f>
        <v>7.3086319866448618E-6</v>
      </c>
      <c r="ED203" s="264"/>
      <c r="EE203" s="265"/>
      <c r="EH203" s="148" t="s">
        <v>577</v>
      </c>
      <c r="EI203" s="264"/>
      <c r="EJ203" s="265"/>
      <c r="EK203" s="264"/>
      <c r="EL203" s="265"/>
      <c r="EM203" s="264"/>
      <c r="EN203" s="265"/>
      <c r="EO203" s="264"/>
      <c r="EP203" s="265"/>
      <c r="EQ203" s="264"/>
      <c r="ER203" s="265"/>
      <c r="ES203" s="264"/>
      <c r="ET203" s="265"/>
      <c r="EU203" s="224">
        <f>(EXP(LN('Ecoinvent 3.10'!$E$11)^2)-1)*EXP(2*LN(EU18)+LN('Ecoinvent 3.10'!$E$11)^2)</f>
        <v>3.4082425747281867E-5</v>
      </c>
      <c r="EV203" s="50">
        <f>(EXP(LN('Ecoinvent 3.10'!$E$11)^2)-1)*EXP(2*LN(EV18)+LN('Ecoinvent 3.10'!$E$11)^2)</f>
        <v>3.4082425747281867E-5</v>
      </c>
      <c r="EW203" s="264"/>
      <c r="EX203" s="265"/>
      <c r="FA203" s="148" t="s">
        <v>577</v>
      </c>
      <c r="FB203" s="264"/>
      <c r="FC203" s="265"/>
      <c r="FD203" s="264"/>
      <c r="FE203" s="265"/>
      <c r="FF203" s="264"/>
      <c r="FG203" s="265"/>
      <c r="FH203" s="264"/>
      <c r="FI203" s="265"/>
      <c r="FJ203" s="264"/>
      <c r="FK203" s="265"/>
      <c r="FL203" s="264"/>
      <c r="FM203" s="265"/>
      <c r="FN203" s="224">
        <f>(EXP(LN('Ecoinvent 3.10'!$E$11)^2)-1)*EXP(2*LN(FN18)+LN('Ecoinvent 3.10'!$E$11)^2)</f>
        <v>4.5420985591199022E-9</v>
      </c>
      <c r="FO203" s="50">
        <f>(EXP(LN('Ecoinvent 3.10'!$E$11)^2)-1)*EXP(2*LN(FO18)+LN('Ecoinvent 3.10'!$E$11)^2)</f>
        <v>4.5420985591199022E-9</v>
      </c>
      <c r="FP203" s="264"/>
      <c r="FQ203" s="265"/>
      <c r="FT203" s="148" t="s">
        <v>577</v>
      </c>
      <c r="FU203" s="264"/>
      <c r="FV203" s="265"/>
      <c r="FW203" s="264"/>
      <c r="FX203" s="265"/>
      <c r="FY203" s="264"/>
      <c r="FZ203" s="265"/>
      <c r="GA203" s="264"/>
      <c r="GB203" s="265"/>
      <c r="GC203" s="264"/>
      <c r="GD203" s="265"/>
      <c r="GE203" s="264"/>
      <c r="GF203" s="265"/>
      <c r="GG203" s="224">
        <f>(EXP(LN('Ecoinvent 3.10'!$E$11)^2)-1)*EXP(2*LN(GG18)+LN('Ecoinvent 3.10'!$E$11)^2)</f>
        <v>2.7573670980046792E-4</v>
      </c>
      <c r="GH203" s="50">
        <f>(EXP(LN('Ecoinvent 3.10'!$E$11)^2)-1)*EXP(2*LN(GH18)+LN('Ecoinvent 3.10'!$E$11)^2)</f>
        <v>2.7573670980046792E-4</v>
      </c>
      <c r="GI203" s="264"/>
      <c r="GJ203" s="265"/>
      <c r="GM203" s="148" t="s">
        <v>577</v>
      </c>
      <c r="GN203" s="264"/>
      <c r="GO203" s="265"/>
      <c r="GP203" s="264"/>
      <c r="GQ203" s="265"/>
      <c r="GR203" s="264"/>
      <c r="GS203" s="265"/>
      <c r="GT203" s="264"/>
      <c r="GU203" s="265"/>
      <c r="GV203" s="264"/>
      <c r="GW203" s="265"/>
      <c r="GX203" s="264"/>
      <c r="GY203" s="265"/>
      <c r="GZ203" s="224">
        <f>(EXP(LN('Ecoinvent 3.10'!$E$11)^2)-1)*EXP(2*LN(GZ18)+LN('Ecoinvent 3.10'!$E$11)^2)</f>
        <v>2.1841066518088043E-3</v>
      </c>
      <c r="HA203" s="50">
        <f>(EXP(LN('Ecoinvent 3.10'!$E$11)^2)-1)*EXP(2*LN(HA18)+LN('Ecoinvent 3.10'!$E$11)^2)</f>
        <v>2.1841066518088043E-3</v>
      </c>
      <c r="HB203" s="264"/>
      <c r="HC203" s="265"/>
      <c r="HF203" s="148" t="s">
        <v>577</v>
      </c>
      <c r="HG203" s="264"/>
      <c r="HH203" s="265"/>
      <c r="HI203" s="264"/>
      <c r="HJ203" s="265"/>
      <c r="HK203" s="264"/>
      <c r="HL203" s="265"/>
      <c r="HM203" s="264"/>
      <c r="HN203" s="265"/>
      <c r="HO203" s="264"/>
      <c r="HP203" s="265"/>
      <c r="HQ203" s="264"/>
      <c r="HR203" s="265"/>
      <c r="HS203" s="224">
        <f>(EXP(LN('Ecoinvent 3.10'!$E$11)^2)-1)*EXP(2*LN(HS18)+LN('Ecoinvent 3.10'!$E$11)^2)</f>
        <v>9.272674907874455E-2</v>
      </c>
      <c r="HT203" s="50">
        <f>(EXP(LN('Ecoinvent 3.10'!$E$11)^2)-1)*EXP(2*LN(HT18)+LN('Ecoinvent 3.10'!$E$11)^2)</f>
        <v>9.272674907874455E-2</v>
      </c>
      <c r="HU203" s="264"/>
      <c r="HV203" s="265"/>
      <c r="HY203" s="148" t="s">
        <v>577</v>
      </c>
      <c r="HZ203" s="264"/>
      <c r="IA203" s="265"/>
      <c r="IB203" s="264"/>
      <c r="IC203" s="265"/>
      <c r="ID203" s="264"/>
      <c r="IE203" s="265"/>
      <c r="IF203" s="264"/>
      <c r="IG203" s="265"/>
      <c r="IH203" s="264"/>
      <c r="II203" s="265"/>
      <c r="IJ203" s="264"/>
      <c r="IK203" s="265"/>
      <c r="IL203" s="224">
        <f>(EXP(LN('Ecoinvent 3.10'!$E$11)^2)-1)*EXP(2*LN(IL18)+LN('Ecoinvent 3.10'!$E$11)^2)</f>
        <v>9.1060789236260173E-8</v>
      </c>
      <c r="IM203" s="50">
        <f>(EXP(LN('Ecoinvent 3.10'!$E$11)^2)-1)*EXP(2*LN(IM18)+LN('Ecoinvent 3.10'!$E$11)^2)</f>
        <v>9.1060789236260173E-8</v>
      </c>
      <c r="IN203" s="264"/>
      <c r="IO203" s="265"/>
    </row>
    <row r="204" spans="1:249" ht="14.25" x14ac:dyDescent="0.25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  <c r="AA204" s="158"/>
      <c r="AB204" s="158"/>
      <c r="AC204" s="158"/>
      <c r="AD204" s="158"/>
      <c r="AE204" s="158"/>
      <c r="AF204" s="158"/>
      <c r="AG204" s="158"/>
      <c r="AH204" s="158"/>
      <c r="AI204" s="158"/>
      <c r="AJ204" s="158"/>
      <c r="AK204" s="158"/>
      <c r="AL204" s="158"/>
      <c r="AM204" s="138"/>
      <c r="AN204" s="156"/>
      <c r="AO204" s="158"/>
      <c r="AP204" s="726"/>
      <c r="AQ204" s="148" t="s">
        <v>376</v>
      </c>
      <c r="AR204" s="224"/>
      <c r="AS204" s="50"/>
      <c r="AT204" s="224"/>
      <c r="AU204" s="50"/>
      <c r="AV204" s="224"/>
      <c r="AW204" s="50"/>
      <c r="AX204" s="224"/>
      <c r="AY204" s="50"/>
      <c r="AZ204" s="224"/>
      <c r="BA204" s="50"/>
      <c r="BB204" s="224"/>
      <c r="BC204" s="50"/>
      <c r="BD204" s="224"/>
      <c r="BE204" s="50"/>
      <c r="BF204" s="224"/>
      <c r="BG204" s="50"/>
      <c r="BI204" s="156"/>
      <c r="BJ204" s="148" t="s">
        <v>376</v>
      </c>
      <c r="BK204" s="224"/>
      <c r="BL204" s="50"/>
      <c r="BM204" s="224"/>
      <c r="BN204" s="50"/>
      <c r="BO204" s="224"/>
      <c r="BP204" s="50"/>
      <c r="BQ204" s="224"/>
      <c r="BR204" s="50"/>
      <c r="BS204" s="224"/>
      <c r="BT204" s="50"/>
      <c r="BU204" s="224"/>
      <c r="BV204" s="50"/>
      <c r="BW204" s="224"/>
      <c r="BX204" s="50"/>
      <c r="BY204" s="224"/>
      <c r="BZ204" s="50"/>
      <c r="CA204" s="156"/>
      <c r="CB204" s="156"/>
      <c r="CC204" s="148" t="s">
        <v>376</v>
      </c>
      <c r="CD204" s="224"/>
      <c r="CE204" s="50"/>
      <c r="CF204" s="224"/>
      <c r="CG204" s="50"/>
      <c r="CH204" s="224"/>
      <c r="CI204" s="50"/>
      <c r="CJ204" s="224"/>
      <c r="CK204" s="50"/>
      <c r="CL204" s="224"/>
      <c r="CM204" s="50"/>
      <c r="CN204" s="224"/>
      <c r="CO204" s="50"/>
      <c r="CP204" s="224"/>
      <c r="CQ204" s="50"/>
      <c r="CR204" s="224"/>
      <c r="CS204" s="50"/>
      <c r="CV204" s="148" t="s">
        <v>376</v>
      </c>
      <c r="CW204" s="224"/>
      <c r="CX204" s="50"/>
      <c r="CY204" s="224"/>
      <c r="CZ204" s="50"/>
      <c r="DA204" s="224"/>
      <c r="DB204" s="50"/>
      <c r="DC204" s="224"/>
      <c r="DD204" s="50"/>
      <c r="DE204" s="224"/>
      <c r="DF204" s="50"/>
      <c r="DG204" s="224"/>
      <c r="DH204" s="50"/>
      <c r="DI204" s="224"/>
      <c r="DJ204" s="50"/>
      <c r="DK204" s="224"/>
      <c r="DL204" s="50"/>
      <c r="DO204" s="148" t="s">
        <v>376</v>
      </c>
      <c r="DP204" s="224"/>
      <c r="DQ204" s="50"/>
      <c r="DR204" s="224"/>
      <c r="DS204" s="50"/>
      <c r="DT204" s="224"/>
      <c r="DU204" s="50"/>
      <c r="DV204" s="224"/>
      <c r="DW204" s="50"/>
      <c r="DX204" s="224"/>
      <c r="DY204" s="50"/>
      <c r="DZ204" s="224"/>
      <c r="EA204" s="50"/>
      <c r="EB204" s="224"/>
      <c r="EC204" s="50"/>
      <c r="ED204" s="224"/>
      <c r="EE204" s="50"/>
      <c r="EH204" s="148" t="s">
        <v>376</v>
      </c>
      <c r="EI204" s="224"/>
      <c r="EJ204" s="50"/>
      <c r="EK204" s="224"/>
      <c r="EL204" s="50"/>
      <c r="EM204" s="224"/>
      <c r="EN204" s="50"/>
      <c r="EO204" s="224"/>
      <c r="EP204" s="50"/>
      <c r="EQ204" s="224"/>
      <c r="ER204" s="50"/>
      <c r="ES204" s="224"/>
      <c r="ET204" s="50"/>
      <c r="EU204" s="224"/>
      <c r="EV204" s="50"/>
      <c r="EW204" s="224"/>
      <c r="EX204" s="50"/>
      <c r="FA204" s="148" t="s">
        <v>376</v>
      </c>
      <c r="FB204" s="224"/>
      <c r="FC204" s="50"/>
      <c r="FD204" s="224"/>
      <c r="FE204" s="50"/>
      <c r="FF204" s="224"/>
      <c r="FG204" s="50"/>
      <c r="FH204" s="224"/>
      <c r="FI204" s="50"/>
      <c r="FJ204" s="224"/>
      <c r="FK204" s="50"/>
      <c r="FL204" s="224"/>
      <c r="FM204" s="50"/>
      <c r="FN204" s="224"/>
      <c r="FO204" s="50"/>
      <c r="FP204" s="224"/>
      <c r="FQ204" s="50"/>
      <c r="FT204" s="148" t="s">
        <v>376</v>
      </c>
      <c r="FU204" s="224"/>
      <c r="FV204" s="50"/>
      <c r="FW204" s="224"/>
      <c r="FX204" s="50"/>
      <c r="FY204" s="224"/>
      <c r="FZ204" s="50"/>
      <c r="GA204" s="224"/>
      <c r="GB204" s="50"/>
      <c r="GC204" s="224"/>
      <c r="GD204" s="50"/>
      <c r="GE204" s="224"/>
      <c r="GF204" s="50"/>
      <c r="GG204" s="224"/>
      <c r="GH204" s="50"/>
      <c r="GI204" s="224"/>
      <c r="GJ204" s="50"/>
      <c r="GM204" s="148" t="s">
        <v>376</v>
      </c>
      <c r="GN204" s="224"/>
      <c r="GO204" s="50"/>
      <c r="GP204" s="224"/>
      <c r="GQ204" s="50"/>
      <c r="GR204" s="224"/>
      <c r="GS204" s="50"/>
      <c r="GT204" s="224"/>
      <c r="GU204" s="50"/>
      <c r="GV204" s="224"/>
      <c r="GW204" s="50"/>
      <c r="GX204" s="224"/>
      <c r="GY204" s="50"/>
      <c r="GZ204" s="224"/>
      <c r="HA204" s="50"/>
      <c r="HB204" s="224"/>
      <c r="HC204" s="50"/>
      <c r="HF204" s="148" t="s">
        <v>376</v>
      </c>
      <c r="HG204" s="224"/>
      <c r="HH204" s="50"/>
      <c r="HI204" s="224"/>
      <c r="HJ204" s="50"/>
      <c r="HK204" s="224"/>
      <c r="HL204" s="50"/>
      <c r="HM204" s="224"/>
      <c r="HN204" s="50"/>
      <c r="HO204" s="224"/>
      <c r="HP204" s="50"/>
      <c r="HQ204" s="224"/>
      <c r="HR204" s="50"/>
      <c r="HS204" s="224"/>
      <c r="HT204" s="50"/>
      <c r="HU204" s="224"/>
      <c r="HV204" s="50"/>
      <c r="HY204" s="148" t="s">
        <v>376</v>
      </c>
      <c r="HZ204" s="224"/>
      <c r="IA204" s="50"/>
      <c r="IB204" s="224"/>
      <c r="IC204" s="50"/>
      <c r="ID204" s="224"/>
      <c r="IE204" s="50"/>
      <c r="IF204" s="224"/>
      <c r="IG204" s="50"/>
      <c r="IH204" s="224"/>
      <c r="II204" s="50"/>
      <c r="IJ204" s="224"/>
      <c r="IK204" s="50"/>
      <c r="IL204" s="224"/>
      <c r="IM204" s="50"/>
      <c r="IN204" s="224"/>
      <c r="IO204" s="50"/>
    </row>
    <row r="205" spans="1:249" x14ac:dyDescent="0.2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  <c r="AA205" s="158"/>
      <c r="AB205" s="158"/>
      <c r="AC205" s="158"/>
      <c r="AD205" s="158"/>
      <c r="AE205" s="158"/>
      <c r="AF205" s="158"/>
      <c r="AG205" s="158"/>
      <c r="AH205" s="158"/>
      <c r="AI205" s="158"/>
      <c r="AJ205" s="158"/>
      <c r="AK205" s="158"/>
      <c r="AL205" s="158"/>
      <c r="AM205" s="138"/>
      <c r="AN205" s="156"/>
      <c r="AO205" s="158"/>
      <c r="AP205" s="726"/>
      <c r="AQ205" s="148" t="s">
        <v>333</v>
      </c>
      <c r="AR205" s="224">
        <f>(EXP(LN('Ecoinvent 3.10'!$E$34)^2)-1)*EXP(2*LN(AR20)+LN('Ecoinvent 3.10'!$E$34)^2)</f>
        <v>46.134163620246802</v>
      </c>
      <c r="AS205" s="50">
        <f>(EXP(LN('Ecoinvent 3.10'!$E$34)^2)-1)*EXP(2*LN(AS20)+LN('Ecoinvent 3.10'!$E$34)^2)</f>
        <v>46.134163620246802</v>
      </c>
      <c r="AT205" s="224">
        <f>(EXP(LN('Ecoinvent 3.10'!$E$34)^2)-1)*EXP(2*LN(AT20)+LN('Ecoinvent 3.10'!$E$34)^2)</f>
        <v>63.205781959571894</v>
      </c>
      <c r="AU205" s="50">
        <f>(EXP(LN('Ecoinvent 3.10'!$E$34)^2)-1)*EXP(2*LN(AU20)+LN('Ecoinvent 3.10'!$E$34)^2)</f>
        <v>63.205781959571894</v>
      </c>
      <c r="AV205" s="224">
        <f>(EXP(LN('Ecoinvent 3.10'!$E$34)^2)-1)*EXP(2*LN(AV20)+LN('Ecoinvent 3.10'!$E$34)^2)</f>
        <v>60.045999237029584</v>
      </c>
      <c r="AW205" s="50">
        <f>(EXP(LN('Ecoinvent 3.10'!$E$34)^2)-1)*EXP(2*LN(AW20)+LN('Ecoinvent 3.10'!$E$34)^2)</f>
        <v>60.045999237029584</v>
      </c>
      <c r="AX205" s="224">
        <f>(EXP(LN('Ecoinvent 3.10'!$E$34)^2)-1)*EXP(2*LN(AX20)+LN('Ecoinvent 3.10'!$E$34)^2)</f>
        <v>54.231284415202047</v>
      </c>
      <c r="AY205" s="50">
        <f>(EXP(LN('Ecoinvent 3.10'!$E$34)^2)-1)*EXP(2*LN(AY20)+LN('Ecoinvent 3.10'!$E$34)^2)</f>
        <v>54.231284415202047</v>
      </c>
      <c r="AZ205" s="224">
        <f>(EXP(LN('Ecoinvent 3.10'!$E$34)^2)-1)*EXP(2*LN(AZ20)+LN('Ecoinvent 3.10'!$E$34)^2)</f>
        <v>44.393409691355892</v>
      </c>
      <c r="BA205" s="50">
        <f>(EXP(LN('Ecoinvent 3.10'!$E$34)^2)-1)*EXP(2*LN(BA20)+LN('Ecoinvent 3.10'!$E$34)^2)</f>
        <v>44.393409691355892</v>
      </c>
      <c r="BB205" s="224"/>
      <c r="BC205" s="50"/>
      <c r="BD205" s="224">
        <f>(EXP(LN('Ecoinvent 3.10'!$E$34)^2)-1)*EXP(2*LN(BD20)+LN('Ecoinvent 3.10'!$E$34)^2)</f>
        <v>154.68636976899117</v>
      </c>
      <c r="BE205" s="50">
        <f>(EXP(LN('Ecoinvent 3.10'!$E$34)^2)-1)*EXP(2*LN(BE20)+LN('Ecoinvent 3.10'!$E$34)^2)</f>
        <v>154.68636976899117</v>
      </c>
      <c r="BF205" s="224">
        <f>(EXP(LN('Ecoinvent 3.10'!$E$34)^2)-1)*EXP(2*LN(BF20)+LN('Ecoinvent 3.10'!$E$34)^2)</f>
        <v>44.393409691355892</v>
      </c>
      <c r="BG205" s="50">
        <f>(EXP(LN('Ecoinvent 3.10'!$E$34)^2)-1)*EXP(2*LN(BG20)+LN('Ecoinvent 3.10'!$E$34)^2)</f>
        <v>44.393409691355892</v>
      </c>
      <c r="BI205" s="156"/>
      <c r="BJ205" s="148" t="s">
        <v>333</v>
      </c>
      <c r="BK205" s="224">
        <f>(EXP(LN('Ecoinvent 3.10'!$E$34)^2)-1)*EXP(2*LN(BK20)+LN('Ecoinvent 3.10'!$E$34)^2)</f>
        <v>0.65681684614277325</v>
      </c>
      <c r="BL205" s="50">
        <f>(EXP(LN('Ecoinvent 3.10'!$E$34)^2)-1)*EXP(2*LN(BL20)+LN('Ecoinvent 3.10'!$E$34)^2)</f>
        <v>0.65681684614277325</v>
      </c>
      <c r="BM205" s="224">
        <f>(EXP(LN('Ecoinvent 3.10'!$E$34)^2)-1)*EXP(2*LN(BM20)+LN('Ecoinvent 3.10'!$E$34)^2)</f>
        <v>0.89986723735583996</v>
      </c>
      <c r="BN205" s="50">
        <f>(EXP(LN('Ecoinvent 3.10'!$E$34)^2)-1)*EXP(2*LN(BN20)+LN('Ecoinvent 3.10'!$E$34)^2)</f>
        <v>0.89986723735583996</v>
      </c>
      <c r="BO205" s="224">
        <f>(EXP(LN('Ecoinvent 3.10'!$E$34)^2)-1)*EXP(2*LN(BO20)+LN('Ecoinvent 3.10'!$E$34)^2)</f>
        <v>0.85488108480736635</v>
      </c>
      <c r="BP205" s="50">
        <f>(EXP(LN('Ecoinvent 3.10'!$E$34)^2)-1)*EXP(2*LN(BP20)+LN('Ecoinvent 3.10'!$E$34)^2)</f>
        <v>0.85488108480736635</v>
      </c>
      <c r="BQ205" s="224">
        <f>(EXP(LN('Ecoinvent 3.10'!$E$34)^2)-1)*EXP(2*LN(BQ20)+LN('Ecoinvent 3.10'!$E$34)^2)</f>
        <v>0.77209639010844111</v>
      </c>
      <c r="BR205" s="50">
        <f>(EXP(LN('Ecoinvent 3.10'!$E$34)^2)-1)*EXP(2*LN(BR20)+LN('Ecoinvent 3.10'!$E$34)^2)</f>
        <v>0.77209639010844111</v>
      </c>
      <c r="BS205" s="224">
        <f>(EXP(LN('Ecoinvent 3.10'!$E$34)^2)-1)*EXP(2*LN(BS20)+LN('Ecoinvent 3.10'!$E$34)^2)</f>
        <v>0.63203355290056062</v>
      </c>
      <c r="BT205" s="50">
        <f>(EXP(LN('Ecoinvent 3.10'!$E$34)^2)-1)*EXP(2*LN(BT20)+LN('Ecoinvent 3.10'!$E$34)^2)</f>
        <v>0.63203355290056062</v>
      </c>
      <c r="BU205" s="224"/>
      <c r="BV205" s="50"/>
      <c r="BW205" s="224">
        <f>(EXP(LN('Ecoinvent 3.10'!$E$34)^2)-1)*EXP(2*LN(BW20)+LN('Ecoinvent 3.10'!$E$34)^2)</f>
        <v>2.2022858021068421</v>
      </c>
      <c r="BX205" s="50">
        <f>(EXP(LN('Ecoinvent 3.10'!$E$34)^2)-1)*EXP(2*LN(BX20)+LN('Ecoinvent 3.10'!$E$34)^2)</f>
        <v>2.2022858021068421</v>
      </c>
      <c r="BY205" s="224">
        <f>(EXP(LN('Ecoinvent 3.10'!$E$34)^2)-1)*EXP(2*LN(BY20)+LN('Ecoinvent 3.10'!$E$34)^2)</f>
        <v>0.63203355290056062</v>
      </c>
      <c r="BZ205" s="50">
        <f>(EXP(LN('Ecoinvent 3.10'!$E$34)^2)-1)*EXP(2*LN(BZ20)+LN('Ecoinvent 3.10'!$E$34)^2)</f>
        <v>0.63203355290056062</v>
      </c>
      <c r="CA205" s="156"/>
      <c r="CB205" s="156"/>
      <c r="CC205" s="148" t="s">
        <v>333</v>
      </c>
      <c r="CD205" s="224">
        <f>(EXP(LN('Ecoinvent 3.10'!$E$34)^2)-1)*EXP(2*LN(CD20)+LN('Ecoinvent 3.10'!$E$34)^2)</f>
        <v>14.113595820935402</v>
      </c>
      <c r="CE205" s="50">
        <f>(EXP(LN('Ecoinvent 3.10'!$E$34)^2)-1)*EXP(2*LN(CE20)+LN('Ecoinvent 3.10'!$E$34)^2)</f>
        <v>14.113595820935402</v>
      </c>
      <c r="CF205" s="224">
        <f>(EXP(LN('Ecoinvent 3.10'!$E$34)^2)-1)*EXP(2*LN(CF20)+LN('Ecoinvent 3.10'!$E$34)^2)</f>
        <v>19.336231333173458</v>
      </c>
      <c r="CG205" s="50">
        <f>(EXP(LN('Ecoinvent 3.10'!$E$34)^2)-1)*EXP(2*LN(CG20)+LN('Ecoinvent 3.10'!$E$34)^2)</f>
        <v>19.336231333173458</v>
      </c>
      <c r="CH205" s="224">
        <f>(EXP(LN('Ecoinvent 3.10'!$E$34)^2)-1)*EXP(2*LN(CH20)+LN('Ecoinvent 3.10'!$E$34)^2)</f>
        <v>18.369574679440056</v>
      </c>
      <c r="CI205" s="50">
        <f>(EXP(LN('Ecoinvent 3.10'!$E$34)^2)-1)*EXP(2*LN(CI20)+LN('Ecoinvent 3.10'!$E$34)^2)</f>
        <v>18.369574679440056</v>
      </c>
      <c r="CJ205" s="224">
        <f>(EXP(LN('Ecoinvent 3.10'!$E$34)^2)-1)*EXP(2*LN(CJ20)+LN('Ecoinvent 3.10'!$E$34)^2)</f>
        <v>16.590707818759398</v>
      </c>
      <c r="CK205" s="50">
        <f>(EXP(LN('Ecoinvent 3.10'!$E$34)^2)-1)*EXP(2*LN(CK20)+LN('Ecoinvent 3.10'!$E$34)^2)</f>
        <v>16.590707818759398</v>
      </c>
      <c r="CL205" s="224">
        <f>(EXP(LN('Ecoinvent 3.10'!$E$34)^2)-1)*EXP(2*LN(CL20)+LN('Ecoinvent 3.10'!$E$34)^2)</f>
        <v>13.581055606739561</v>
      </c>
      <c r="CM205" s="50">
        <f>(EXP(LN('Ecoinvent 3.10'!$E$34)^2)-1)*EXP(2*LN(CM20)+LN('Ecoinvent 3.10'!$E$34)^2)</f>
        <v>13.581055606739561</v>
      </c>
      <c r="CN205" s="224"/>
      <c r="CO205" s="50"/>
      <c r="CP205" s="224">
        <f>(EXP(LN('Ecoinvent 3.10'!$E$34)^2)-1)*EXP(2*LN(CP20)+LN('Ecoinvent 3.10'!$E$34)^2)</f>
        <v>47.32243375859472</v>
      </c>
      <c r="CQ205" s="50">
        <f>(EXP(LN('Ecoinvent 3.10'!$E$34)^2)-1)*EXP(2*LN(CQ20)+LN('Ecoinvent 3.10'!$E$34)^2)</f>
        <v>47.32243375859472</v>
      </c>
      <c r="CR205" s="224">
        <f>(EXP(LN('Ecoinvent 3.10'!$E$34)^2)-1)*EXP(2*LN(CR20)+LN('Ecoinvent 3.10'!$E$34)^2)</f>
        <v>13.581055606739561</v>
      </c>
      <c r="CS205" s="50">
        <f>(EXP(LN('Ecoinvent 3.10'!$E$34)^2)-1)*EXP(2*LN(CS20)+LN('Ecoinvent 3.10'!$E$34)^2)</f>
        <v>13.581055606739561</v>
      </c>
      <c r="CV205" s="148" t="s">
        <v>333</v>
      </c>
      <c r="CW205" s="224">
        <f>(EXP(LN('Ecoinvent 3.10'!$E$34)^2)-1)*EXP(2*LN(CW20)+LN('Ecoinvent 3.10'!$E$34)^2)</f>
        <v>7.6725143121927661E-6</v>
      </c>
      <c r="CX205" s="50">
        <f>(EXP(LN('Ecoinvent 3.10'!$E$34)^2)-1)*EXP(2*LN(CX20)+LN('Ecoinvent 3.10'!$E$34)^2)</f>
        <v>7.6725143121927661E-6</v>
      </c>
      <c r="CY205" s="224">
        <f>(EXP(LN('Ecoinvent 3.10'!$E$34)^2)-1)*EXP(2*LN(CY20)+LN('Ecoinvent 3.10'!$E$34)^2)</f>
        <v>1.0511673533089107E-5</v>
      </c>
      <c r="CZ205" s="50">
        <f>(EXP(LN('Ecoinvent 3.10'!$E$34)^2)-1)*EXP(2*LN(CZ20)+LN('Ecoinvent 3.10'!$E$34)^2)</f>
        <v>1.0511673533089107E-5</v>
      </c>
      <c r="DA205" s="224">
        <f>(EXP(LN('Ecoinvent 3.10'!$E$34)^2)-1)*EXP(2*LN(DA20)+LN('Ecoinvent 3.10'!$E$34)^2)</f>
        <v>9.9861740710920122E-6</v>
      </c>
      <c r="DB205" s="50">
        <f>(EXP(LN('Ecoinvent 3.10'!$E$34)^2)-1)*EXP(2*LN(DB20)+LN('Ecoinvent 3.10'!$E$34)^2)</f>
        <v>9.9861740710920122E-6</v>
      </c>
      <c r="DC205" s="224">
        <f>(EXP(LN('Ecoinvent 3.10'!$E$34)^2)-1)*EXP(2*LN(DC20)+LN('Ecoinvent 3.10'!$E$34)^2)</f>
        <v>9.0191362147427234E-6</v>
      </c>
      <c r="DD205" s="50">
        <f>(EXP(LN('Ecoinvent 3.10'!$E$34)^2)-1)*EXP(2*LN(DD20)+LN('Ecoinvent 3.10'!$E$34)^2)</f>
        <v>9.0191362147427234E-6</v>
      </c>
      <c r="DE205" s="224">
        <f>(EXP(LN('Ecoinvent 3.10'!$E$34)^2)-1)*EXP(2*LN(DE20)+LN('Ecoinvent 3.10'!$E$34)^2)</f>
        <v>7.3830117313426729E-6</v>
      </c>
      <c r="DF205" s="50">
        <f>(EXP(LN('Ecoinvent 3.10'!$E$34)^2)-1)*EXP(2*LN(DF20)+LN('Ecoinvent 3.10'!$E$34)^2)</f>
        <v>7.3830117313426729E-6</v>
      </c>
      <c r="DG205" s="224"/>
      <c r="DH205" s="50"/>
      <c r="DI205" s="224">
        <f>(EXP(LN('Ecoinvent 3.10'!$E$34)^2)-1)*EXP(2*LN(DI20)+LN('Ecoinvent 3.10'!$E$34)^2)</f>
        <v>2.5725694210545154E-5</v>
      </c>
      <c r="DJ205" s="50">
        <f>(EXP(LN('Ecoinvent 3.10'!$E$34)^2)-1)*EXP(2*LN(DJ20)+LN('Ecoinvent 3.10'!$E$34)^2)</f>
        <v>2.5725694210545154E-5</v>
      </c>
      <c r="DK205" s="224">
        <f>(EXP(LN('Ecoinvent 3.10'!$E$34)^2)-1)*EXP(2*LN(DK20)+LN('Ecoinvent 3.10'!$E$34)^2)</f>
        <v>7.3830117313426729E-6</v>
      </c>
      <c r="DL205" s="50">
        <f>(EXP(LN('Ecoinvent 3.10'!$E$34)^2)-1)*EXP(2*LN(DL20)+LN('Ecoinvent 3.10'!$E$34)^2)</f>
        <v>7.3830117313426729E-6</v>
      </c>
      <c r="DO205" s="148" t="s">
        <v>333</v>
      </c>
      <c r="DP205" s="224">
        <f>(EXP(LN('Ecoinvent 3.10'!$E$34)^2)-1)*EXP(2*LN(DP20)+LN('Ecoinvent 3.10'!$E$34)^2)</f>
        <v>2.5072259654691675E-5</v>
      </c>
      <c r="DQ205" s="50">
        <f>(EXP(LN('Ecoinvent 3.10'!$E$34)^2)-1)*EXP(2*LN(DQ20)+LN('Ecoinvent 3.10'!$E$34)^2)</f>
        <v>2.5072259654691675E-5</v>
      </c>
      <c r="DR205" s="224">
        <f>(EXP(LN('Ecoinvent 3.10'!$E$34)^2)-1)*EXP(2*LN(DR20)+LN('Ecoinvent 3.10'!$E$34)^2)</f>
        <v>3.4350070590046071E-5</v>
      </c>
      <c r="DS205" s="50">
        <f>(EXP(LN('Ecoinvent 3.10'!$E$34)^2)-1)*EXP(2*LN(DS20)+LN('Ecoinvent 3.10'!$E$34)^2)</f>
        <v>3.4350070590046071E-5</v>
      </c>
      <c r="DT205" s="224">
        <f>(EXP(LN('Ecoinvent 3.10'!$E$34)^2)-1)*EXP(2*LN(DT20)+LN('Ecoinvent 3.10'!$E$34)^2)</f>
        <v>3.2632842257391939E-5</v>
      </c>
      <c r="DU205" s="50">
        <f>(EXP(LN('Ecoinvent 3.10'!$E$34)^2)-1)*EXP(2*LN(DU20)+LN('Ecoinvent 3.10'!$E$34)^2)</f>
        <v>3.2632842257391939E-5</v>
      </c>
      <c r="DV205" s="224">
        <f>(EXP(LN('Ecoinvent 3.10'!$E$34)^2)-1)*EXP(2*LN(DV20)+LN('Ecoinvent 3.10'!$E$34)^2)</f>
        <v>2.947275375918272E-5</v>
      </c>
      <c r="DW205" s="50">
        <f>(EXP(LN('Ecoinvent 3.10'!$E$34)^2)-1)*EXP(2*LN(DW20)+LN('Ecoinvent 3.10'!$E$34)^2)</f>
        <v>2.947275375918272E-5</v>
      </c>
      <c r="DX205" s="224">
        <f>(EXP(LN('Ecoinvent 3.10'!$E$34)^2)-1)*EXP(2*LN(DX20)+LN('Ecoinvent 3.10'!$E$34)^2)</f>
        <v>2.4126222464999902E-5</v>
      </c>
      <c r="DY205" s="50">
        <f>(EXP(LN('Ecoinvent 3.10'!$E$34)^2)-1)*EXP(2*LN(DY20)+LN('Ecoinvent 3.10'!$E$34)^2)</f>
        <v>2.4126222464999902E-5</v>
      </c>
      <c r="DZ205" s="224"/>
      <c r="EA205" s="50"/>
      <c r="EB205" s="224">
        <f>(EXP(LN('Ecoinvent 3.10'!$E$34)^2)-1)*EXP(2*LN(EB20)+LN('Ecoinvent 3.10'!$E$34)^2)</f>
        <v>8.4066481833599649E-5</v>
      </c>
      <c r="EC205" s="50">
        <f>(EXP(LN('Ecoinvent 3.10'!$E$34)^2)-1)*EXP(2*LN(EC20)+LN('Ecoinvent 3.10'!$E$34)^2)</f>
        <v>8.4066481833599649E-5</v>
      </c>
      <c r="ED205" s="224">
        <f>(EXP(LN('Ecoinvent 3.10'!$E$34)^2)-1)*EXP(2*LN(ED20)+LN('Ecoinvent 3.10'!$E$34)^2)</f>
        <v>2.4126222464999902E-5</v>
      </c>
      <c r="EE205" s="50">
        <f>(EXP(LN('Ecoinvent 3.10'!$E$34)^2)-1)*EXP(2*LN(EE20)+LN('Ecoinvent 3.10'!$E$34)^2)</f>
        <v>2.4126222464999902E-5</v>
      </c>
      <c r="EH205" s="148" t="s">
        <v>333</v>
      </c>
      <c r="EI205" s="224">
        <f>(EXP(LN('Ecoinvent 3.10'!$E$34)^2)-1)*EXP(2*LN(EI20)+LN('Ecoinvent 3.10'!$E$34)^2)</f>
        <v>1.4192142841607522E-4</v>
      </c>
      <c r="EJ205" s="50">
        <f>(EXP(LN('Ecoinvent 3.10'!$E$34)^2)-1)*EXP(2*LN(EJ20)+LN('Ecoinvent 3.10'!$E$34)^2)</f>
        <v>1.4192142841607522E-4</v>
      </c>
      <c r="EK205" s="224">
        <f>(EXP(LN('Ecoinvent 3.10'!$E$34)^2)-1)*EXP(2*LN(EK20)+LN('Ecoinvent 3.10'!$E$34)^2)</f>
        <v>1.9443844118853133E-4</v>
      </c>
      <c r="EL205" s="50">
        <f>(EXP(LN('Ecoinvent 3.10'!$E$34)^2)-1)*EXP(2*LN(EL20)+LN('Ecoinvent 3.10'!$E$34)^2)</f>
        <v>1.9443844118853133E-4</v>
      </c>
      <c r="EM205" s="224">
        <f>(EXP(LN('Ecoinvent 3.10'!$E$34)^2)-1)*EXP(2*LN(EM20)+LN('Ecoinvent 3.10'!$E$34)^2)</f>
        <v>1.8471807687979523E-4</v>
      </c>
      <c r="EN205" s="50">
        <f>(EXP(LN('Ecoinvent 3.10'!$E$34)^2)-1)*EXP(2*LN(EN20)+LN('Ecoinvent 3.10'!$E$34)^2)</f>
        <v>1.8471807687979523E-4</v>
      </c>
      <c r="EO205" s="224">
        <f>(EXP(LN('Ecoinvent 3.10'!$E$34)^2)-1)*EXP(2*LN(EO20)+LN('Ecoinvent 3.10'!$E$34)^2)</f>
        <v>1.6683040820677478E-4</v>
      </c>
      <c r="EP205" s="50">
        <f>(EXP(LN('Ecoinvent 3.10'!$E$34)^2)-1)*EXP(2*LN(EP20)+LN('Ecoinvent 3.10'!$E$34)^2)</f>
        <v>1.6683040820677478E-4</v>
      </c>
      <c r="EQ205" s="224">
        <f>(EXP(LN('Ecoinvent 3.10'!$E$34)^2)-1)*EXP(2*LN(EQ20)+LN('Ecoinvent 3.10'!$E$34)^2)</f>
        <v>1.3656638857742793E-4</v>
      </c>
      <c r="ER205" s="50">
        <f>(EXP(LN('Ecoinvent 3.10'!$E$34)^2)-1)*EXP(2*LN(ER20)+LN('Ecoinvent 3.10'!$E$34)^2)</f>
        <v>1.3656638857742793E-4</v>
      </c>
      <c r="ES205" s="224"/>
      <c r="ET205" s="50"/>
      <c r="EU205" s="224">
        <f>(EXP(LN('Ecoinvent 3.10'!$E$34)^2)-1)*EXP(2*LN(EU20)+LN('Ecoinvent 3.10'!$E$34)^2)</f>
        <v>4.7585799397645957E-4</v>
      </c>
      <c r="EV205" s="50">
        <f>(EXP(LN('Ecoinvent 3.10'!$E$34)^2)-1)*EXP(2*LN(EV20)+LN('Ecoinvent 3.10'!$E$34)^2)</f>
        <v>4.7585799397645957E-4</v>
      </c>
      <c r="EW205" s="224">
        <f>(EXP(LN('Ecoinvent 3.10'!$E$34)^2)-1)*EXP(2*LN(EW20)+LN('Ecoinvent 3.10'!$E$34)^2)</f>
        <v>1.3656638857742793E-4</v>
      </c>
      <c r="EX205" s="50">
        <f>(EXP(LN('Ecoinvent 3.10'!$E$34)^2)-1)*EXP(2*LN(EX20)+LN('Ecoinvent 3.10'!$E$34)^2)</f>
        <v>1.3656638857742793E-4</v>
      </c>
      <c r="FA205" s="148" t="s">
        <v>333</v>
      </c>
      <c r="FB205" s="224">
        <f>(EXP(LN('Ecoinvent 3.10'!$E$34)^2)-1)*EXP(2*LN(FB20)+LN('Ecoinvent 3.10'!$E$34)^2)</f>
        <v>5.0357511287578132E-7</v>
      </c>
      <c r="FC205" s="50">
        <f>(EXP(LN('Ecoinvent 3.10'!$E$34)^2)-1)*EXP(2*LN(FC20)+LN('Ecoinvent 3.10'!$E$34)^2)</f>
        <v>5.0357511287578132E-7</v>
      </c>
      <c r="FD205" s="224">
        <f>(EXP(LN('Ecoinvent 3.10'!$E$34)^2)-1)*EXP(2*LN(FD20)+LN('Ecoinvent 3.10'!$E$34)^2)</f>
        <v>6.8991949321315482E-7</v>
      </c>
      <c r="FE205" s="50">
        <f>(EXP(LN('Ecoinvent 3.10'!$E$34)^2)-1)*EXP(2*LN(FE20)+LN('Ecoinvent 3.10'!$E$34)^2)</f>
        <v>6.8991949321315482E-7</v>
      </c>
      <c r="FF205" s="224">
        <f>(EXP(LN('Ecoinvent 3.10'!$E$34)^2)-1)*EXP(2*LN(FF20)+LN('Ecoinvent 3.10'!$E$34)^2)</f>
        <v>6.5542904586777595E-7</v>
      </c>
      <c r="FG205" s="50">
        <f>(EXP(LN('Ecoinvent 3.10'!$E$34)^2)-1)*EXP(2*LN(FG20)+LN('Ecoinvent 3.10'!$E$34)^2)</f>
        <v>6.5542904586777595E-7</v>
      </c>
      <c r="FH205" s="224">
        <f>(EXP(LN('Ecoinvent 3.10'!$E$34)^2)-1)*EXP(2*LN(FH20)+LN('Ecoinvent 3.10'!$E$34)^2)</f>
        <v>5.9195882243758074E-7</v>
      </c>
      <c r="FI205" s="50">
        <f>(EXP(LN('Ecoinvent 3.10'!$E$34)^2)-1)*EXP(2*LN(FI20)+LN('Ecoinvent 3.10'!$E$34)^2)</f>
        <v>5.9195882243758074E-7</v>
      </c>
      <c r="FJ205" s="224">
        <f>(EXP(LN('Ecoinvent 3.10'!$E$34)^2)-1)*EXP(2*LN(FJ20)+LN('Ecoinvent 3.10'!$E$34)^2)</f>
        <v>4.8457400204074008E-7</v>
      </c>
      <c r="FK205" s="50">
        <f>(EXP(LN('Ecoinvent 3.10'!$E$34)^2)-1)*EXP(2*LN(FK20)+LN('Ecoinvent 3.10'!$E$34)^2)</f>
        <v>4.8457400204074008E-7</v>
      </c>
      <c r="FL205" s="224"/>
      <c r="FM205" s="50"/>
      <c r="FN205" s="224">
        <f>(EXP(LN('Ecoinvent 3.10'!$E$34)^2)-1)*EXP(2*LN(FN20)+LN('Ecoinvent 3.10'!$E$34)^2)</f>
        <v>1.6884711893330669E-6</v>
      </c>
      <c r="FO205" s="50">
        <f>(EXP(LN('Ecoinvent 3.10'!$E$34)^2)-1)*EXP(2*LN(FO20)+LN('Ecoinvent 3.10'!$E$34)^2)</f>
        <v>1.6884711893330669E-6</v>
      </c>
      <c r="FP205" s="224">
        <f>(EXP(LN('Ecoinvent 3.10'!$E$34)^2)-1)*EXP(2*LN(FP20)+LN('Ecoinvent 3.10'!$E$34)^2)</f>
        <v>4.8457400204074008E-7</v>
      </c>
      <c r="FQ205" s="50">
        <f>(EXP(LN('Ecoinvent 3.10'!$E$34)^2)-1)*EXP(2*LN(FQ20)+LN('Ecoinvent 3.10'!$E$34)^2)</f>
        <v>4.8457400204074008E-7</v>
      </c>
      <c r="FT205" s="148" t="s">
        <v>333</v>
      </c>
      <c r="FU205" s="224">
        <f>(EXP(LN('Ecoinvent 3.10'!$E$34)^2)-1)*EXP(2*LN(FU20)+LN('Ecoinvent 3.10'!$E$34)^2)</f>
        <v>7.2579363043519913E-4</v>
      </c>
      <c r="FV205" s="50">
        <f>(EXP(LN('Ecoinvent 3.10'!$E$34)^2)-1)*EXP(2*LN(FV20)+LN('Ecoinvent 3.10'!$E$34)^2)</f>
        <v>7.2579363043519913E-4</v>
      </c>
      <c r="FW205" s="224">
        <f>(EXP(LN('Ecoinvent 3.10'!$E$34)^2)-1)*EXP(2*LN(FW20)+LN('Ecoinvent 3.10'!$E$34)^2)</f>
        <v>9.9436838891342819E-4</v>
      </c>
      <c r="FX205" s="50">
        <f>(EXP(LN('Ecoinvent 3.10'!$E$34)^2)-1)*EXP(2*LN(FX20)+LN('Ecoinvent 3.10'!$E$34)^2)</f>
        <v>9.9436838891342819E-4</v>
      </c>
      <c r="FY205" s="224">
        <f>(EXP(LN('Ecoinvent 3.10'!$E$34)^2)-1)*EXP(2*LN(FY20)+LN('Ecoinvent 3.10'!$E$34)^2)</f>
        <v>9.4465793588651076E-4</v>
      </c>
      <c r="FZ205" s="50">
        <f>(EXP(LN('Ecoinvent 3.10'!$E$34)^2)-1)*EXP(2*LN(FZ20)+LN('Ecoinvent 3.10'!$E$34)^2)</f>
        <v>9.4465793588651076E-4</v>
      </c>
      <c r="GA205" s="224">
        <f>(EXP(LN('Ecoinvent 3.10'!$E$34)^2)-1)*EXP(2*LN(GA20)+LN('Ecoinvent 3.10'!$E$34)^2)</f>
        <v>8.5317945986559886E-4</v>
      </c>
      <c r="GB205" s="50">
        <f>(EXP(LN('Ecoinvent 3.10'!$E$34)^2)-1)*EXP(2*LN(GB20)+LN('Ecoinvent 3.10'!$E$34)^2)</f>
        <v>8.5317945986559886E-4</v>
      </c>
      <c r="GC205" s="224">
        <f>(EXP(LN('Ecoinvent 3.10'!$E$34)^2)-1)*EXP(2*LN(GC20)+LN('Ecoinvent 3.10'!$E$34)^2)</f>
        <v>6.9840767576299565E-4</v>
      </c>
      <c r="GD205" s="50">
        <f>(EXP(LN('Ecoinvent 3.10'!$E$34)^2)-1)*EXP(2*LN(GD20)+LN('Ecoinvent 3.10'!$E$34)^2)</f>
        <v>6.9840767576299565E-4</v>
      </c>
      <c r="GE205" s="224"/>
      <c r="GF205" s="50"/>
      <c r="GG205" s="224">
        <f>(EXP(LN('Ecoinvent 3.10'!$E$34)^2)-1)*EXP(2*LN(GG20)+LN('Ecoinvent 3.10'!$E$34)^2)</f>
        <v>2.4335627457697253E-3</v>
      </c>
      <c r="GH205" s="50">
        <f>(EXP(LN('Ecoinvent 3.10'!$E$34)^2)-1)*EXP(2*LN(GH20)+LN('Ecoinvent 3.10'!$E$34)^2)</f>
        <v>2.4335627457697253E-3</v>
      </c>
      <c r="GI205" s="224">
        <f>(EXP(LN('Ecoinvent 3.10'!$E$34)^2)-1)*EXP(2*LN(GI20)+LN('Ecoinvent 3.10'!$E$34)^2)</f>
        <v>6.9840767576299565E-4</v>
      </c>
      <c r="GJ205" s="50">
        <f>(EXP(LN('Ecoinvent 3.10'!$E$34)^2)-1)*EXP(2*LN(GJ20)+LN('Ecoinvent 3.10'!$E$34)^2)</f>
        <v>6.9840767576299565E-4</v>
      </c>
      <c r="GM205" s="148" t="s">
        <v>333</v>
      </c>
      <c r="GN205" s="224">
        <f>(EXP(LN('Ecoinvent 3.10'!$E$34)^2)-1)*EXP(2*LN(GN20)+LN('Ecoinvent 3.10'!$E$34)^2)</f>
        <v>1.0682031233687198E-2</v>
      </c>
      <c r="GO205" s="50">
        <f>(EXP(LN('Ecoinvent 3.10'!$E$34)^2)-1)*EXP(2*LN(GO20)+LN('Ecoinvent 3.10'!$E$34)^2)</f>
        <v>1.0682031233687198E-2</v>
      </c>
      <c r="GP205" s="224">
        <f>(EXP(LN('Ecoinvent 3.10'!$E$34)^2)-1)*EXP(2*LN(GP20)+LN('Ecoinvent 3.10'!$E$34)^2)</f>
        <v>1.4634840735369064E-2</v>
      </c>
      <c r="GQ205" s="50">
        <f>(EXP(LN('Ecoinvent 3.10'!$E$34)^2)-1)*EXP(2*LN(GQ20)+LN('Ecoinvent 3.10'!$E$34)^2)</f>
        <v>1.4634840735369064E-2</v>
      </c>
      <c r="GR205" s="224">
        <f>(EXP(LN('Ecoinvent 3.10'!$E$34)^2)-1)*EXP(2*LN(GR20)+LN('Ecoinvent 3.10'!$E$34)^2)</f>
        <v>1.3903215946162981E-2</v>
      </c>
      <c r="GS205" s="50">
        <f>(EXP(LN('Ecoinvent 3.10'!$E$34)^2)-1)*EXP(2*LN(GS20)+LN('Ecoinvent 3.10'!$E$34)^2)</f>
        <v>1.3903215946162981E-2</v>
      </c>
      <c r="GT205" s="224">
        <f>(EXP(LN('Ecoinvent 3.10'!$E$34)^2)-1)*EXP(2*LN(GT20)+LN('Ecoinvent 3.10'!$E$34)^2)</f>
        <v>1.2556860870713294E-2</v>
      </c>
      <c r="GU205" s="50">
        <f>(EXP(LN('Ecoinvent 3.10'!$E$34)^2)-1)*EXP(2*LN(GU20)+LN('Ecoinvent 3.10'!$E$34)^2)</f>
        <v>1.2556860870713294E-2</v>
      </c>
      <c r="GV205" s="224">
        <f>(EXP(LN('Ecoinvent 3.10'!$E$34)^2)-1)*EXP(2*LN(GV20)+LN('Ecoinvent 3.10'!$E$34)^2)</f>
        <v>1.0278972277386618E-2</v>
      </c>
      <c r="GW205" s="50">
        <f>(EXP(LN('Ecoinvent 3.10'!$E$34)^2)-1)*EXP(2*LN(GW20)+LN('Ecoinvent 3.10'!$E$34)^2)</f>
        <v>1.0278972277386618E-2</v>
      </c>
      <c r="GX205" s="224"/>
      <c r="GY205" s="50"/>
      <c r="GZ205" s="224">
        <f>(EXP(LN('Ecoinvent 3.10'!$E$34)^2)-1)*EXP(2*LN(GZ20)+LN('Ecoinvent 3.10'!$E$34)^2)</f>
        <v>3.5816507846538261E-2</v>
      </c>
      <c r="HA205" s="50">
        <f>(EXP(LN('Ecoinvent 3.10'!$E$34)^2)-1)*EXP(2*LN(HA20)+LN('Ecoinvent 3.10'!$E$34)^2)</f>
        <v>3.5816507846538261E-2</v>
      </c>
      <c r="HB205" s="224">
        <f>(EXP(LN('Ecoinvent 3.10'!$E$34)^2)-1)*EXP(2*LN(HB20)+LN('Ecoinvent 3.10'!$E$34)^2)</f>
        <v>1.0278972277386618E-2</v>
      </c>
      <c r="HC205" s="50">
        <f>(EXP(LN('Ecoinvent 3.10'!$E$34)^2)-1)*EXP(2*LN(HC20)+LN('Ecoinvent 3.10'!$E$34)^2)</f>
        <v>1.0278972277386618E-2</v>
      </c>
      <c r="HF205" s="148" t="s">
        <v>333</v>
      </c>
      <c r="HG205" s="224">
        <f>(EXP(LN('Ecoinvent 3.10'!$E$34)^2)-1)*EXP(2*LN(HG20)+LN('Ecoinvent 3.10'!$E$34)^2)</f>
        <v>0.9061098157305435</v>
      </c>
      <c r="HH205" s="50">
        <f>(EXP(LN('Ecoinvent 3.10'!$E$34)^2)-1)*EXP(2*LN(HH20)+LN('Ecoinvent 3.10'!$E$34)^2)</f>
        <v>0.9061098157305435</v>
      </c>
      <c r="HI205" s="224">
        <f>(EXP(LN('Ecoinvent 3.10'!$E$34)^2)-1)*EXP(2*LN(HI20)+LN('Ecoinvent 3.10'!$E$34)^2)</f>
        <v>1.2414092930332872</v>
      </c>
      <c r="HJ205" s="50">
        <f>(EXP(LN('Ecoinvent 3.10'!$E$34)^2)-1)*EXP(2*LN(HJ20)+LN('Ecoinvent 3.10'!$E$34)^2)</f>
        <v>1.2414092930332872</v>
      </c>
      <c r="HK205" s="224">
        <f>(EXP(LN('Ecoinvent 3.10'!$E$34)^2)-1)*EXP(2*LN(HK20)+LN('Ecoinvent 3.10'!$E$34)^2)</f>
        <v>1.1793487739776247</v>
      </c>
      <c r="HL205" s="50">
        <f>(EXP(LN('Ecoinvent 3.10'!$E$34)^2)-1)*EXP(2*LN(HL20)+LN('Ecoinvent 3.10'!$E$34)^2)</f>
        <v>1.1793487739776247</v>
      </c>
      <c r="HM205" s="224">
        <f>(EXP(LN('Ecoinvent 3.10'!$E$34)^2)-1)*EXP(2*LN(HM20)+LN('Ecoinvent 3.10'!$E$34)^2)</f>
        <v>1.0651433833889568</v>
      </c>
      <c r="HN205" s="50">
        <f>(EXP(LN('Ecoinvent 3.10'!$E$34)^2)-1)*EXP(2*LN(HN20)+LN('Ecoinvent 3.10'!$E$34)^2)</f>
        <v>1.0651433833889568</v>
      </c>
      <c r="HO205" s="224">
        <f>(EXP(LN('Ecoinvent 3.10'!$E$34)^2)-1)*EXP(2*LN(HO20)+LN('Ecoinvent 3.10'!$E$34)^2)</f>
        <v>0.87192009388529113</v>
      </c>
      <c r="HP205" s="50">
        <f>(EXP(LN('Ecoinvent 3.10'!$E$34)^2)-1)*EXP(2*LN(HP20)+LN('Ecoinvent 3.10'!$E$34)^2)</f>
        <v>0.87192009388529113</v>
      </c>
      <c r="HQ205" s="224"/>
      <c r="HR205" s="50"/>
      <c r="HS205" s="224">
        <f>(EXP(LN('Ecoinvent 3.10'!$E$34)^2)-1)*EXP(2*LN(HS20)+LN('Ecoinvent 3.10'!$E$34)^2)</f>
        <v>3.0381571271380801</v>
      </c>
      <c r="HT205" s="50">
        <f>(EXP(LN('Ecoinvent 3.10'!$E$34)^2)-1)*EXP(2*LN(HT20)+LN('Ecoinvent 3.10'!$E$34)^2)</f>
        <v>3.0381571271380801</v>
      </c>
      <c r="HU205" s="224">
        <f>(EXP(LN('Ecoinvent 3.10'!$E$34)^2)-1)*EXP(2*LN(HU20)+LN('Ecoinvent 3.10'!$E$34)^2)</f>
        <v>0.87192009388529113</v>
      </c>
      <c r="HV205" s="50">
        <f>(EXP(LN('Ecoinvent 3.10'!$E$34)^2)-1)*EXP(2*LN(HV20)+LN('Ecoinvent 3.10'!$E$34)^2)</f>
        <v>0.87192009388529113</v>
      </c>
      <c r="HY205" s="148" t="s">
        <v>333</v>
      </c>
      <c r="HZ205" s="224">
        <f>(EXP(LN('Ecoinvent 3.10'!$E$34)^2)-1)*EXP(2*LN(HZ20)+LN('Ecoinvent 3.10'!$E$34)^2)</f>
        <v>1.2965256451602868E-6</v>
      </c>
      <c r="IA205" s="50">
        <f>(EXP(LN('Ecoinvent 3.10'!$E$34)^2)-1)*EXP(2*LN(IA20)+LN('Ecoinvent 3.10'!$E$34)^2)</f>
        <v>1.2965256451602868E-6</v>
      </c>
      <c r="IB205" s="224">
        <f>(EXP(LN('Ecoinvent 3.10'!$E$34)^2)-1)*EXP(2*LN(IB20)+LN('Ecoinvent 3.10'!$E$34)^2)</f>
        <v>1.7762957167176226E-6</v>
      </c>
      <c r="IC205" s="50">
        <f>(EXP(LN('Ecoinvent 3.10'!$E$34)^2)-1)*EXP(2*LN(IC20)+LN('Ecoinvent 3.10'!$E$34)^2)</f>
        <v>1.7762957167176226E-6</v>
      </c>
      <c r="ID205" s="224">
        <f>(EXP(LN('Ecoinvent 3.10'!$E$34)^2)-1)*EXP(2*LN(ID20)+LN('Ecoinvent 3.10'!$E$34)^2)</f>
        <v>1.6874951617399119E-6</v>
      </c>
      <c r="IE205" s="50">
        <f>(EXP(LN('Ecoinvent 3.10'!$E$34)^2)-1)*EXP(2*LN(IE20)+LN('Ecoinvent 3.10'!$E$34)^2)</f>
        <v>1.6874951617399119E-6</v>
      </c>
      <c r="IF205" s="224">
        <f>(EXP(LN('Ecoinvent 3.10'!$E$34)^2)-1)*EXP(2*LN(IF20)+LN('Ecoinvent 3.10'!$E$34)^2)</f>
        <v>1.5240820575629347E-6</v>
      </c>
      <c r="IG205" s="50">
        <f>(EXP(LN('Ecoinvent 3.10'!$E$34)^2)-1)*EXP(2*LN(IG20)+LN('Ecoinvent 3.10'!$E$34)^2)</f>
        <v>1.5240820575629347E-6</v>
      </c>
      <c r="IH205" s="224">
        <f>(EXP(LN('Ecoinvent 3.10'!$E$34)^2)-1)*EXP(2*LN(IH20)+LN('Ecoinvent 3.10'!$E$34)^2)</f>
        <v>1.2476045868032194E-6</v>
      </c>
      <c r="II205" s="50">
        <f>(EXP(LN('Ecoinvent 3.10'!$E$34)^2)-1)*EXP(2*LN(II20)+LN('Ecoinvent 3.10'!$E$34)^2)</f>
        <v>1.2476045868032194E-6</v>
      </c>
      <c r="IJ205" s="224"/>
      <c r="IK205" s="50"/>
      <c r="IL205" s="224">
        <f>(EXP(LN('Ecoinvent 3.10'!$E$34)^2)-1)*EXP(2*LN(IL20)+LN('Ecoinvent 3.10'!$E$34)^2)</f>
        <v>4.3472088713498832E-6</v>
      </c>
      <c r="IM205" s="50">
        <f>(EXP(LN('Ecoinvent 3.10'!$E$34)^2)-1)*EXP(2*LN(IM20)+LN('Ecoinvent 3.10'!$E$34)^2)</f>
        <v>4.3472088713498832E-6</v>
      </c>
      <c r="IN205" s="224">
        <f>(EXP(LN('Ecoinvent 3.10'!$E$34)^2)-1)*EXP(2*LN(IN20)+LN('Ecoinvent 3.10'!$E$34)^2)</f>
        <v>1.2476045868032194E-6</v>
      </c>
      <c r="IO205" s="50">
        <f>(EXP(LN('Ecoinvent 3.10'!$E$34)^2)-1)*EXP(2*LN(IO20)+LN('Ecoinvent 3.10'!$E$34)^2)</f>
        <v>1.2476045868032194E-6</v>
      </c>
    </row>
    <row r="206" spans="1:249" ht="14.25" x14ac:dyDescent="0.25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58"/>
      <c r="AM206" s="138"/>
      <c r="AN206" s="156"/>
      <c r="AO206" s="158"/>
      <c r="AP206" s="726"/>
      <c r="AQ206" s="148" t="s">
        <v>374</v>
      </c>
      <c r="AR206" s="224"/>
      <c r="AS206" s="50"/>
      <c r="AT206" s="224"/>
      <c r="AU206" s="50"/>
      <c r="AV206" s="224"/>
      <c r="AW206" s="50"/>
      <c r="AX206" s="224"/>
      <c r="AY206" s="50"/>
      <c r="AZ206" s="224"/>
      <c r="BA206" s="50"/>
      <c r="BB206" s="224"/>
      <c r="BC206" s="50"/>
      <c r="BD206" s="224"/>
      <c r="BE206" s="50"/>
      <c r="BF206" s="224"/>
      <c r="BG206" s="50"/>
      <c r="BI206" s="156"/>
      <c r="BJ206" s="148" t="s">
        <v>374</v>
      </c>
      <c r="BK206" s="224"/>
      <c r="BL206" s="50"/>
      <c r="BM206" s="224"/>
      <c r="BN206" s="50"/>
      <c r="BO206" s="224"/>
      <c r="BP206" s="50"/>
      <c r="BQ206" s="224"/>
      <c r="BR206" s="50"/>
      <c r="BS206" s="224"/>
      <c r="BT206" s="50"/>
      <c r="BU206" s="224"/>
      <c r="BV206" s="50"/>
      <c r="BW206" s="224"/>
      <c r="BX206" s="50"/>
      <c r="BY206" s="224"/>
      <c r="BZ206" s="50"/>
      <c r="CA206" s="156"/>
      <c r="CB206" s="156"/>
      <c r="CC206" s="148" t="s">
        <v>374</v>
      </c>
      <c r="CD206" s="224"/>
      <c r="CE206" s="50"/>
      <c r="CF206" s="224"/>
      <c r="CG206" s="50"/>
      <c r="CH206" s="224"/>
      <c r="CI206" s="50"/>
      <c r="CJ206" s="224"/>
      <c r="CK206" s="50"/>
      <c r="CL206" s="224"/>
      <c r="CM206" s="50"/>
      <c r="CN206" s="224"/>
      <c r="CO206" s="50"/>
      <c r="CP206" s="224"/>
      <c r="CQ206" s="50"/>
      <c r="CR206" s="224"/>
      <c r="CS206" s="50"/>
      <c r="CV206" s="148" t="s">
        <v>374</v>
      </c>
      <c r="CW206" s="224"/>
      <c r="CX206" s="50"/>
      <c r="CY206" s="224"/>
      <c r="CZ206" s="50"/>
      <c r="DA206" s="224"/>
      <c r="DB206" s="50"/>
      <c r="DC206" s="224"/>
      <c r="DD206" s="50"/>
      <c r="DE206" s="224"/>
      <c r="DF206" s="50"/>
      <c r="DG206" s="224"/>
      <c r="DH206" s="50"/>
      <c r="DI206" s="224"/>
      <c r="DJ206" s="50"/>
      <c r="DK206" s="224"/>
      <c r="DL206" s="50"/>
      <c r="DO206" s="148" t="s">
        <v>374</v>
      </c>
      <c r="DP206" s="224"/>
      <c r="DQ206" s="50"/>
      <c r="DR206" s="224"/>
      <c r="DS206" s="50"/>
      <c r="DT206" s="224"/>
      <c r="DU206" s="50"/>
      <c r="DV206" s="224"/>
      <c r="DW206" s="50"/>
      <c r="DX206" s="224"/>
      <c r="DY206" s="50"/>
      <c r="DZ206" s="224"/>
      <c r="EA206" s="50"/>
      <c r="EB206" s="224"/>
      <c r="EC206" s="50"/>
      <c r="ED206" s="224"/>
      <c r="EE206" s="50"/>
      <c r="EH206" s="148" t="s">
        <v>374</v>
      </c>
      <c r="EI206" s="224"/>
      <c r="EJ206" s="50"/>
      <c r="EK206" s="224"/>
      <c r="EL206" s="50"/>
      <c r="EM206" s="224"/>
      <c r="EN206" s="50"/>
      <c r="EO206" s="224"/>
      <c r="EP206" s="50"/>
      <c r="EQ206" s="224"/>
      <c r="ER206" s="50"/>
      <c r="ES206" s="224"/>
      <c r="ET206" s="50"/>
      <c r="EU206" s="224"/>
      <c r="EV206" s="50"/>
      <c r="EW206" s="224"/>
      <c r="EX206" s="50"/>
      <c r="FA206" s="148" t="s">
        <v>374</v>
      </c>
      <c r="FB206" s="224"/>
      <c r="FC206" s="50"/>
      <c r="FD206" s="224"/>
      <c r="FE206" s="50"/>
      <c r="FF206" s="224"/>
      <c r="FG206" s="50"/>
      <c r="FH206" s="224"/>
      <c r="FI206" s="50"/>
      <c r="FJ206" s="224"/>
      <c r="FK206" s="50"/>
      <c r="FL206" s="224"/>
      <c r="FM206" s="50"/>
      <c r="FN206" s="224"/>
      <c r="FO206" s="50"/>
      <c r="FP206" s="224"/>
      <c r="FQ206" s="50"/>
      <c r="FT206" s="148" t="s">
        <v>374</v>
      </c>
      <c r="FU206" s="224"/>
      <c r="FV206" s="50"/>
      <c r="FW206" s="224"/>
      <c r="FX206" s="50"/>
      <c r="FY206" s="224"/>
      <c r="FZ206" s="50"/>
      <c r="GA206" s="224"/>
      <c r="GB206" s="50"/>
      <c r="GC206" s="224"/>
      <c r="GD206" s="50"/>
      <c r="GE206" s="224"/>
      <c r="GF206" s="50"/>
      <c r="GG206" s="224"/>
      <c r="GH206" s="50"/>
      <c r="GI206" s="224"/>
      <c r="GJ206" s="50"/>
      <c r="GM206" s="148" t="s">
        <v>374</v>
      </c>
      <c r="GN206" s="224"/>
      <c r="GO206" s="50"/>
      <c r="GP206" s="224"/>
      <c r="GQ206" s="50"/>
      <c r="GR206" s="224"/>
      <c r="GS206" s="50"/>
      <c r="GT206" s="224"/>
      <c r="GU206" s="50"/>
      <c r="GV206" s="224"/>
      <c r="GW206" s="50"/>
      <c r="GX206" s="224"/>
      <c r="GY206" s="50"/>
      <c r="GZ206" s="224"/>
      <c r="HA206" s="50"/>
      <c r="HB206" s="224"/>
      <c r="HC206" s="50"/>
      <c r="HF206" s="148" t="s">
        <v>374</v>
      </c>
      <c r="HG206" s="224"/>
      <c r="HH206" s="50"/>
      <c r="HI206" s="224"/>
      <c r="HJ206" s="50"/>
      <c r="HK206" s="224"/>
      <c r="HL206" s="50"/>
      <c r="HM206" s="224"/>
      <c r="HN206" s="50"/>
      <c r="HO206" s="224"/>
      <c r="HP206" s="50"/>
      <c r="HQ206" s="224"/>
      <c r="HR206" s="50"/>
      <c r="HS206" s="224"/>
      <c r="HT206" s="50"/>
      <c r="HU206" s="224"/>
      <c r="HV206" s="50"/>
      <c r="HY206" s="148" t="s">
        <v>374</v>
      </c>
      <c r="HZ206" s="224"/>
      <c r="IA206" s="50"/>
      <c r="IB206" s="224"/>
      <c r="IC206" s="50"/>
      <c r="ID206" s="224"/>
      <c r="IE206" s="50"/>
      <c r="IF206" s="224"/>
      <c r="IG206" s="50"/>
      <c r="IH206" s="224"/>
      <c r="II206" s="50"/>
      <c r="IJ206" s="224"/>
      <c r="IK206" s="50"/>
      <c r="IL206" s="224"/>
      <c r="IM206" s="50"/>
      <c r="IN206" s="224"/>
      <c r="IO206" s="50"/>
    </row>
    <row r="207" spans="1:249" ht="14.25" x14ac:dyDescent="0.25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58"/>
      <c r="AM207" s="138"/>
      <c r="AN207" s="156"/>
      <c r="AO207" s="158"/>
      <c r="AP207" s="726"/>
      <c r="AQ207" s="148" t="s">
        <v>375</v>
      </c>
      <c r="AR207" s="224"/>
      <c r="AS207" s="50"/>
      <c r="AT207" s="224"/>
      <c r="AU207" s="50"/>
      <c r="AV207" s="224"/>
      <c r="AW207" s="50"/>
      <c r="AX207" s="224"/>
      <c r="AY207" s="50"/>
      <c r="AZ207" s="224"/>
      <c r="BA207" s="50"/>
      <c r="BB207" s="224"/>
      <c r="BC207" s="50"/>
      <c r="BD207" s="224"/>
      <c r="BE207" s="50"/>
      <c r="BF207" s="224"/>
      <c r="BG207" s="50"/>
      <c r="BI207" s="156"/>
      <c r="BJ207" s="148" t="s">
        <v>375</v>
      </c>
      <c r="BK207" s="224"/>
      <c r="BL207" s="50"/>
      <c r="BM207" s="224"/>
      <c r="BN207" s="50"/>
      <c r="BO207" s="224"/>
      <c r="BP207" s="50"/>
      <c r="BQ207" s="224"/>
      <c r="BR207" s="50"/>
      <c r="BS207" s="224"/>
      <c r="BT207" s="50"/>
      <c r="BU207" s="224"/>
      <c r="BV207" s="50"/>
      <c r="BW207" s="224"/>
      <c r="BX207" s="50"/>
      <c r="BY207" s="224"/>
      <c r="BZ207" s="50"/>
      <c r="CA207" s="156"/>
      <c r="CB207" s="156"/>
      <c r="CC207" s="148" t="s">
        <v>375</v>
      </c>
      <c r="CD207" s="224"/>
      <c r="CE207" s="50"/>
      <c r="CF207" s="224"/>
      <c r="CG207" s="50"/>
      <c r="CH207" s="224"/>
      <c r="CI207" s="50"/>
      <c r="CJ207" s="224"/>
      <c r="CK207" s="50"/>
      <c r="CL207" s="224"/>
      <c r="CM207" s="50"/>
      <c r="CN207" s="224"/>
      <c r="CO207" s="50"/>
      <c r="CP207" s="224"/>
      <c r="CQ207" s="50"/>
      <c r="CR207" s="224"/>
      <c r="CS207" s="50"/>
      <c r="CV207" s="148" t="s">
        <v>375</v>
      </c>
      <c r="CW207" s="224"/>
      <c r="CX207" s="50"/>
      <c r="CY207" s="224"/>
      <c r="CZ207" s="50"/>
      <c r="DA207" s="224"/>
      <c r="DB207" s="50"/>
      <c r="DC207" s="224"/>
      <c r="DD207" s="50"/>
      <c r="DE207" s="224"/>
      <c r="DF207" s="50"/>
      <c r="DG207" s="224"/>
      <c r="DH207" s="50"/>
      <c r="DI207" s="224"/>
      <c r="DJ207" s="50"/>
      <c r="DK207" s="224"/>
      <c r="DL207" s="50"/>
      <c r="DO207" s="148" t="s">
        <v>375</v>
      </c>
      <c r="DP207" s="224"/>
      <c r="DQ207" s="50"/>
      <c r="DR207" s="224"/>
      <c r="DS207" s="50"/>
      <c r="DT207" s="224"/>
      <c r="DU207" s="50"/>
      <c r="DV207" s="224"/>
      <c r="DW207" s="50"/>
      <c r="DX207" s="224"/>
      <c r="DY207" s="50"/>
      <c r="DZ207" s="224"/>
      <c r="EA207" s="50"/>
      <c r="EB207" s="224"/>
      <c r="EC207" s="50"/>
      <c r="ED207" s="224"/>
      <c r="EE207" s="50"/>
      <c r="EH207" s="148" t="s">
        <v>375</v>
      </c>
      <c r="EI207" s="224"/>
      <c r="EJ207" s="50"/>
      <c r="EK207" s="224"/>
      <c r="EL207" s="50"/>
      <c r="EM207" s="224"/>
      <c r="EN207" s="50"/>
      <c r="EO207" s="224"/>
      <c r="EP207" s="50"/>
      <c r="EQ207" s="224"/>
      <c r="ER207" s="50"/>
      <c r="ES207" s="224"/>
      <c r="ET207" s="50"/>
      <c r="EU207" s="224"/>
      <c r="EV207" s="50"/>
      <c r="EW207" s="224"/>
      <c r="EX207" s="50"/>
      <c r="FA207" s="148" t="s">
        <v>375</v>
      </c>
      <c r="FB207" s="224"/>
      <c r="FC207" s="50"/>
      <c r="FD207" s="224"/>
      <c r="FE207" s="50"/>
      <c r="FF207" s="224"/>
      <c r="FG207" s="50"/>
      <c r="FH207" s="224"/>
      <c r="FI207" s="50"/>
      <c r="FJ207" s="224"/>
      <c r="FK207" s="50"/>
      <c r="FL207" s="224"/>
      <c r="FM207" s="50"/>
      <c r="FN207" s="224"/>
      <c r="FO207" s="50"/>
      <c r="FP207" s="224"/>
      <c r="FQ207" s="50"/>
      <c r="FT207" s="148" t="s">
        <v>375</v>
      </c>
      <c r="FU207" s="224"/>
      <c r="FV207" s="50"/>
      <c r="FW207" s="224"/>
      <c r="FX207" s="50"/>
      <c r="FY207" s="224"/>
      <c r="FZ207" s="50"/>
      <c r="GA207" s="224"/>
      <c r="GB207" s="50"/>
      <c r="GC207" s="224"/>
      <c r="GD207" s="50"/>
      <c r="GE207" s="224"/>
      <c r="GF207" s="50"/>
      <c r="GG207" s="224"/>
      <c r="GH207" s="50"/>
      <c r="GI207" s="224"/>
      <c r="GJ207" s="50"/>
      <c r="GM207" s="148" t="s">
        <v>375</v>
      </c>
      <c r="GN207" s="224"/>
      <c r="GO207" s="50"/>
      <c r="GP207" s="224"/>
      <c r="GQ207" s="50"/>
      <c r="GR207" s="224"/>
      <c r="GS207" s="50"/>
      <c r="GT207" s="224"/>
      <c r="GU207" s="50"/>
      <c r="GV207" s="224"/>
      <c r="GW207" s="50"/>
      <c r="GX207" s="224"/>
      <c r="GY207" s="50"/>
      <c r="GZ207" s="224"/>
      <c r="HA207" s="50"/>
      <c r="HB207" s="224"/>
      <c r="HC207" s="50"/>
      <c r="HF207" s="148" t="s">
        <v>375</v>
      </c>
      <c r="HG207" s="224"/>
      <c r="HH207" s="50"/>
      <c r="HI207" s="224"/>
      <c r="HJ207" s="50"/>
      <c r="HK207" s="224"/>
      <c r="HL207" s="50"/>
      <c r="HM207" s="224"/>
      <c r="HN207" s="50"/>
      <c r="HO207" s="224"/>
      <c r="HP207" s="50"/>
      <c r="HQ207" s="224"/>
      <c r="HR207" s="50"/>
      <c r="HS207" s="224"/>
      <c r="HT207" s="50"/>
      <c r="HU207" s="224"/>
      <c r="HV207" s="50"/>
      <c r="HY207" s="148" t="s">
        <v>375</v>
      </c>
      <c r="HZ207" s="224"/>
      <c r="IA207" s="50"/>
      <c r="IB207" s="224"/>
      <c r="IC207" s="50"/>
      <c r="ID207" s="224"/>
      <c r="IE207" s="50"/>
      <c r="IF207" s="224"/>
      <c r="IG207" s="50"/>
      <c r="IH207" s="224"/>
      <c r="II207" s="50"/>
      <c r="IJ207" s="224"/>
      <c r="IK207" s="50"/>
      <c r="IL207" s="224"/>
      <c r="IM207" s="50"/>
      <c r="IN207" s="224"/>
      <c r="IO207" s="50"/>
    </row>
    <row r="208" spans="1:249" ht="14.25" x14ac:dyDescent="0.25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38"/>
      <c r="AN208" s="156"/>
      <c r="AO208" s="158"/>
      <c r="AP208" s="726"/>
      <c r="AQ208" s="148" t="s">
        <v>332</v>
      </c>
      <c r="AR208" s="224"/>
      <c r="AS208" s="50"/>
      <c r="AT208" s="224"/>
      <c r="AU208" s="50"/>
      <c r="AV208" s="224"/>
      <c r="AW208" s="50"/>
      <c r="AX208" s="224"/>
      <c r="AY208" s="50"/>
      <c r="AZ208" s="224"/>
      <c r="BA208" s="50"/>
      <c r="BB208" s="224"/>
      <c r="BC208" s="50"/>
      <c r="BD208" s="224"/>
      <c r="BE208" s="50"/>
      <c r="BF208" s="224"/>
      <c r="BG208" s="50"/>
      <c r="BI208" s="156"/>
      <c r="BJ208" s="148" t="s">
        <v>332</v>
      </c>
      <c r="BK208" s="224"/>
      <c r="BL208" s="50"/>
      <c r="BM208" s="224"/>
      <c r="BN208" s="50"/>
      <c r="BO208" s="224"/>
      <c r="BP208" s="50"/>
      <c r="BQ208" s="224"/>
      <c r="BR208" s="50"/>
      <c r="BS208" s="224"/>
      <c r="BT208" s="50"/>
      <c r="BU208" s="224"/>
      <c r="BV208" s="50"/>
      <c r="BW208" s="224"/>
      <c r="BX208" s="50"/>
      <c r="BY208" s="224"/>
      <c r="BZ208" s="50"/>
      <c r="CA208" s="156"/>
      <c r="CB208" s="156"/>
      <c r="CC208" s="148" t="s">
        <v>332</v>
      </c>
      <c r="CD208" s="224"/>
      <c r="CE208" s="50"/>
      <c r="CF208" s="224"/>
      <c r="CG208" s="50"/>
      <c r="CH208" s="224"/>
      <c r="CI208" s="50"/>
      <c r="CJ208" s="224"/>
      <c r="CK208" s="50"/>
      <c r="CL208" s="224"/>
      <c r="CM208" s="50"/>
      <c r="CN208" s="224"/>
      <c r="CO208" s="50"/>
      <c r="CP208" s="224"/>
      <c r="CQ208" s="50"/>
      <c r="CR208" s="224"/>
      <c r="CS208" s="50"/>
      <c r="CV208" s="148" t="s">
        <v>332</v>
      </c>
      <c r="CW208" s="224"/>
      <c r="CX208" s="50"/>
      <c r="CY208" s="224"/>
      <c r="CZ208" s="50"/>
      <c r="DA208" s="224"/>
      <c r="DB208" s="50"/>
      <c r="DC208" s="224"/>
      <c r="DD208" s="50"/>
      <c r="DE208" s="224"/>
      <c r="DF208" s="50"/>
      <c r="DG208" s="224"/>
      <c r="DH208" s="50"/>
      <c r="DI208" s="224"/>
      <c r="DJ208" s="50"/>
      <c r="DK208" s="224"/>
      <c r="DL208" s="50"/>
      <c r="DO208" s="148" t="s">
        <v>332</v>
      </c>
      <c r="DP208" s="224"/>
      <c r="DQ208" s="50"/>
      <c r="DR208" s="224"/>
      <c r="DS208" s="50"/>
      <c r="DT208" s="224"/>
      <c r="DU208" s="50"/>
      <c r="DV208" s="224"/>
      <c r="DW208" s="50"/>
      <c r="DX208" s="224"/>
      <c r="DY208" s="50"/>
      <c r="DZ208" s="224"/>
      <c r="EA208" s="50"/>
      <c r="EB208" s="224"/>
      <c r="EC208" s="50"/>
      <c r="ED208" s="224"/>
      <c r="EE208" s="50"/>
      <c r="EH208" s="148" t="s">
        <v>332</v>
      </c>
      <c r="EI208" s="224"/>
      <c r="EJ208" s="50"/>
      <c r="EK208" s="224"/>
      <c r="EL208" s="50"/>
      <c r="EM208" s="224"/>
      <c r="EN208" s="50"/>
      <c r="EO208" s="224"/>
      <c r="EP208" s="50"/>
      <c r="EQ208" s="224"/>
      <c r="ER208" s="50"/>
      <c r="ES208" s="224"/>
      <c r="ET208" s="50"/>
      <c r="EU208" s="224"/>
      <c r="EV208" s="50"/>
      <c r="EW208" s="224"/>
      <c r="EX208" s="50"/>
      <c r="FA208" s="148" t="s">
        <v>332</v>
      </c>
      <c r="FB208" s="224"/>
      <c r="FC208" s="50"/>
      <c r="FD208" s="224"/>
      <c r="FE208" s="50"/>
      <c r="FF208" s="224"/>
      <c r="FG208" s="50"/>
      <c r="FH208" s="224"/>
      <c r="FI208" s="50"/>
      <c r="FJ208" s="224"/>
      <c r="FK208" s="50"/>
      <c r="FL208" s="224"/>
      <c r="FM208" s="50"/>
      <c r="FN208" s="224"/>
      <c r="FO208" s="50"/>
      <c r="FP208" s="224"/>
      <c r="FQ208" s="50"/>
      <c r="FT208" s="148" t="s">
        <v>332</v>
      </c>
      <c r="FU208" s="224"/>
      <c r="FV208" s="50"/>
      <c r="FW208" s="224"/>
      <c r="FX208" s="50"/>
      <c r="FY208" s="224"/>
      <c r="FZ208" s="50"/>
      <c r="GA208" s="224"/>
      <c r="GB208" s="50"/>
      <c r="GC208" s="224"/>
      <c r="GD208" s="50"/>
      <c r="GE208" s="224"/>
      <c r="GF208" s="50"/>
      <c r="GG208" s="224"/>
      <c r="GH208" s="50"/>
      <c r="GI208" s="224"/>
      <c r="GJ208" s="50"/>
      <c r="GM208" s="148" t="s">
        <v>332</v>
      </c>
      <c r="GN208" s="224"/>
      <c r="GO208" s="50"/>
      <c r="GP208" s="224"/>
      <c r="GQ208" s="50"/>
      <c r="GR208" s="224"/>
      <c r="GS208" s="50"/>
      <c r="GT208" s="224"/>
      <c r="GU208" s="50"/>
      <c r="GV208" s="224"/>
      <c r="GW208" s="50"/>
      <c r="GX208" s="224"/>
      <c r="GY208" s="50"/>
      <c r="GZ208" s="224"/>
      <c r="HA208" s="50"/>
      <c r="HB208" s="224"/>
      <c r="HC208" s="50"/>
      <c r="HF208" s="148" t="s">
        <v>332</v>
      </c>
      <c r="HG208" s="224"/>
      <c r="HH208" s="50"/>
      <c r="HI208" s="224"/>
      <c r="HJ208" s="50"/>
      <c r="HK208" s="224"/>
      <c r="HL208" s="50"/>
      <c r="HM208" s="224"/>
      <c r="HN208" s="50"/>
      <c r="HO208" s="224"/>
      <c r="HP208" s="50"/>
      <c r="HQ208" s="224"/>
      <c r="HR208" s="50"/>
      <c r="HS208" s="224"/>
      <c r="HT208" s="50"/>
      <c r="HU208" s="224"/>
      <c r="HV208" s="50"/>
      <c r="HY208" s="148" t="s">
        <v>332</v>
      </c>
      <c r="HZ208" s="224"/>
      <c r="IA208" s="50"/>
      <c r="IB208" s="224"/>
      <c r="IC208" s="50"/>
      <c r="ID208" s="224"/>
      <c r="IE208" s="50"/>
      <c r="IF208" s="224"/>
      <c r="IG208" s="50"/>
      <c r="IH208" s="224"/>
      <c r="II208" s="50"/>
      <c r="IJ208" s="224"/>
      <c r="IK208" s="50"/>
      <c r="IL208" s="224"/>
      <c r="IM208" s="50"/>
      <c r="IN208" s="224"/>
      <c r="IO208" s="50"/>
    </row>
    <row r="209" spans="1:249" ht="14.25" x14ac:dyDescent="0.25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58"/>
      <c r="AM209" s="139"/>
      <c r="AN209" s="156"/>
      <c r="AO209" s="158"/>
      <c r="AP209" s="726"/>
      <c r="AQ209" s="149" t="s">
        <v>209</v>
      </c>
      <c r="AR209" s="224">
        <f>(EXP(LN('Ecoinvent 3.10'!$E$12)^2)-1)*EXP(2*LN(AR24)+LN('Ecoinvent 3.10'!$E$12)^2)</f>
        <v>512.03342103005969</v>
      </c>
      <c r="AS209" s="50">
        <f>(EXP(LN('Ecoinvent 3.10'!$E$12)^2)-1)*EXP(2*LN(AS24)+LN('Ecoinvent 3.10'!$E$12)^2)</f>
        <v>512.03342103005969</v>
      </c>
      <c r="AT209" s="224">
        <f>(EXP(LN('Ecoinvent 3.10'!$E$12)^2)-1)*EXP(2*LN(AT24)+LN('Ecoinvent 3.10'!$E$12)^2)</f>
        <v>283.62300766998516</v>
      </c>
      <c r="AU209" s="50">
        <f>(EXP(LN('Ecoinvent 3.10'!$E$12)^2)-1)*EXP(2*LN(AU24)+LN('Ecoinvent 3.10'!$E$12)^2)</f>
        <v>283.62300766998516</v>
      </c>
      <c r="AV209" s="224">
        <f>(EXP(LN('Ecoinvent 3.10'!$E$12)^2)-1)*EXP(2*LN(AV24)+LN('Ecoinvent 3.10'!$E$12)^2)</f>
        <v>384.9988658785814</v>
      </c>
      <c r="AW209" s="50">
        <f>(EXP(LN('Ecoinvent 3.10'!$E$12)^2)-1)*EXP(2*LN(AW24)+LN('Ecoinvent 3.10'!$E$12)^2)</f>
        <v>384.9988658785814</v>
      </c>
      <c r="AX209" s="224">
        <f>(EXP(LN('Ecoinvent 3.10'!$E$12)^2)-1)*EXP(2*LN(AX24)+LN('Ecoinvent 3.10'!$E$12)^2)</f>
        <v>469.89329263352124</v>
      </c>
      <c r="AY209" s="50">
        <f>(EXP(LN('Ecoinvent 3.10'!$E$12)^2)-1)*EXP(2*LN(AY24)+LN('Ecoinvent 3.10'!$E$12)^2)</f>
        <v>469.89329263352124</v>
      </c>
      <c r="AZ209" s="224">
        <f>(EXP(LN('Ecoinvent 3.10'!$E$12)^2)-1)*EXP(2*LN(AZ24)+LN('Ecoinvent 3.10'!$E$12)^2)</f>
        <v>485.07047102108464</v>
      </c>
      <c r="BA209" s="50">
        <f>(EXP(LN('Ecoinvent 3.10'!$E$12)^2)-1)*EXP(2*LN(BA24)+LN('Ecoinvent 3.10'!$E$12)^2)</f>
        <v>485.07047102108464</v>
      </c>
      <c r="BB209" s="224"/>
      <c r="BC209" s="50"/>
      <c r="BD209" s="224">
        <f>(EXP(LN('Ecoinvent 3.10'!$E$12)^2)-1)*EXP(2*LN(BD24)+LN('Ecoinvent 3.10'!$E$12)^2)</f>
        <v>253.73200754567844</v>
      </c>
      <c r="BE209" s="50">
        <f>(EXP(LN('Ecoinvent 3.10'!$E$12)^2)-1)*EXP(2*LN(BE24)+LN('Ecoinvent 3.10'!$E$12)^2)</f>
        <v>253.73200754567844</v>
      </c>
      <c r="BF209" s="224">
        <f>(EXP(LN('Ecoinvent 3.10'!$E$12)^2)-1)*EXP(2*LN(BF24)+LN('Ecoinvent 3.10'!$E$12)^2)</f>
        <v>485.07047102108464</v>
      </c>
      <c r="BG209" s="50">
        <f>(EXP(LN('Ecoinvent 3.10'!$E$12)^2)-1)*EXP(2*LN(BG24)+LN('Ecoinvent 3.10'!$E$12)^2)</f>
        <v>485.07047102108464</v>
      </c>
      <c r="BI209" s="156"/>
      <c r="BJ209" s="149" t="s">
        <v>209</v>
      </c>
      <c r="BK209" s="224">
        <f>(EXP(LN('Ecoinvent 3.10'!$E$12)^2)-1)*EXP(2*LN(BK24)+LN('Ecoinvent 3.10'!$E$12)^2)</f>
        <v>2.8671636309895723</v>
      </c>
      <c r="BL209" s="50">
        <f>(EXP(LN('Ecoinvent 3.10'!$E$12)^2)-1)*EXP(2*LN(BL24)+LN('Ecoinvent 3.10'!$E$12)^2)</f>
        <v>2.8671636309895723</v>
      </c>
      <c r="BM209" s="224">
        <f>(EXP(LN('Ecoinvent 3.10'!$E$12)^2)-1)*EXP(2*LN(BM24)+LN('Ecoinvent 3.10'!$E$12)^2)</f>
        <v>1.5881650281095974</v>
      </c>
      <c r="BN209" s="50">
        <f>(EXP(LN('Ecoinvent 3.10'!$E$12)^2)-1)*EXP(2*LN(BN24)+LN('Ecoinvent 3.10'!$E$12)^2)</f>
        <v>1.5881650281095974</v>
      </c>
      <c r="BO209" s="224">
        <f>(EXP(LN('Ecoinvent 3.10'!$E$12)^2)-1)*EXP(2*LN(BO24)+LN('Ecoinvent 3.10'!$E$12)^2)</f>
        <v>2.1558255787262297</v>
      </c>
      <c r="BP209" s="50">
        <f>(EXP(LN('Ecoinvent 3.10'!$E$12)^2)-1)*EXP(2*LN(BP24)+LN('Ecoinvent 3.10'!$E$12)^2)</f>
        <v>2.1558255787262297</v>
      </c>
      <c r="BQ209" s="224">
        <f>(EXP(LN('Ecoinvent 3.10'!$E$12)^2)-1)*EXP(2*LN(BQ24)+LN('Ecoinvent 3.10'!$E$12)^2)</f>
        <v>2.6311973081258686</v>
      </c>
      <c r="BR209" s="50">
        <f>(EXP(LN('Ecoinvent 3.10'!$E$12)^2)-1)*EXP(2*LN(BR24)+LN('Ecoinvent 3.10'!$E$12)^2)</f>
        <v>2.6311973081258686</v>
      </c>
      <c r="BS209" s="224">
        <f>(EXP(LN('Ecoinvent 3.10'!$E$12)^2)-1)*EXP(2*LN(BS24)+LN('Ecoinvent 3.10'!$E$12)^2)</f>
        <v>2.7161828815408247</v>
      </c>
      <c r="BT209" s="50">
        <f>(EXP(LN('Ecoinvent 3.10'!$E$12)^2)-1)*EXP(2*LN(BT24)+LN('Ecoinvent 3.10'!$E$12)^2)</f>
        <v>2.7161828815408247</v>
      </c>
      <c r="BU209" s="224"/>
      <c r="BV209" s="50"/>
      <c r="BW209" s="224">
        <f>(EXP(LN('Ecoinvent 3.10'!$E$12)^2)-1)*EXP(2*LN(BW24)+LN('Ecoinvent 3.10'!$E$12)^2)</f>
        <v>1.4207884762472014</v>
      </c>
      <c r="BX209" s="50">
        <f>(EXP(LN('Ecoinvent 3.10'!$E$12)^2)-1)*EXP(2*LN(BX24)+LN('Ecoinvent 3.10'!$E$12)^2)</f>
        <v>1.4207884762472014</v>
      </c>
      <c r="BY209" s="224">
        <f>(EXP(LN('Ecoinvent 3.10'!$E$12)^2)-1)*EXP(2*LN(BY24)+LN('Ecoinvent 3.10'!$E$12)^2)</f>
        <v>2.7161828815408247</v>
      </c>
      <c r="BZ209" s="50">
        <f>(EXP(LN('Ecoinvent 3.10'!$E$12)^2)-1)*EXP(2*LN(BZ24)+LN('Ecoinvent 3.10'!$E$12)^2)</f>
        <v>2.7161828815408247</v>
      </c>
      <c r="CA209" s="156"/>
      <c r="CB209" s="156"/>
      <c r="CC209" s="149" t="s">
        <v>209</v>
      </c>
      <c r="CD209" s="224">
        <f>(EXP(LN('Ecoinvent 3.10'!$E$12)^2)-1)*EXP(2*LN(CD24)+LN('Ecoinvent 3.10'!$E$12)^2)</f>
        <v>12350.95007307095</v>
      </c>
      <c r="CE209" s="50">
        <f>(EXP(LN('Ecoinvent 3.10'!$E$12)^2)-1)*EXP(2*LN(CE24)+LN('Ecoinvent 3.10'!$E$12)^2)</f>
        <v>12350.95007307095</v>
      </c>
      <c r="CF209" s="224">
        <f>(EXP(LN('Ecoinvent 3.10'!$E$12)^2)-1)*EXP(2*LN(CF24)+LN('Ecoinvent 3.10'!$E$12)^2)</f>
        <v>6841.3768778201611</v>
      </c>
      <c r="CG209" s="50">
        <f>(EXP(LN('Ecoinvent 3.10'!$E$12)^2)-1)*EXP(2*LN(CG24)+LN('Ecoinvent 3.10'!$E$12)^2)</f>
        <v>6841.3768778201611</v>
      </c>
      <c r="CH209" s="224">
        <f>(EXP(LN('Ecoinvent 3.10'!$E$12)^2)-1)*EXP(2*LN(CH24)+LN('Ecoinvent 3.10'!$E$12)^2)</f>
        <v>9286.7019521683396</v>
      </c>
      <c r="CI209" s="50">
        <f>(EXP(LN('Ecoinvent 3.10'!$E$12)^2)-1)*EXP(2*LN(CI24)+LN('Ecoinvent 3.10'!$E$12)^2)</f>
        <v>9286.7019521683396</v>
      </c>
      <c r="CJ209" s="224">
        <f>(EXP(LN('Ecoinvent 3.10'!$E$12)^2)-1)*EXP(2*LN(CJ24)+LN('Ecoinvent 3.10'!$E$12)^2)</f>
        <v>11334.472240722773</v>
      </c>
      <c r="CK209" s="50">
        <f>(EXP(LN('Ecoinvent 3.10'!$E$12)^2)-1)*EXP(2*LN(CK24)+LN('Ecoinvent 3.10'!$E$12)^2)</f>
        <v>11334.472240722773</v>
      </c>
      <c r="CL209" s="224">
        <f>(EXP(LN('Ecoinvent 3.10'!$E$12)^2)-1)*EXP(2*LN(CL24)+LN('Ecoinvent 3.10'!$E$12)^2)</f>
        <v>11700.566649438882</v>
      </c>
      <c r="CM209" s="50">
        <f>(EXP(LN('Ecoinvent 3.10'!$E$12)^2)-1)*EXP(2*LN(CM24)+LN('Ecoinvent 3.10'!$E$12)^2)</f>
        <v>11700.566649438882</v>
      </c>
      <c r="CN209" s="224"/>
      <c r="CO209" s="50"/>
      <c r="CP209" s="224">
        <f>(EXP(LN('Ecoinvent 3.10'!$E$12)^2)-1)*EXP(2*LN(CP24)+LN('Ecoinvent 3.10'!$E$12)^2)</f>
        <v>6120.3648598413538</v>
      </c>
      <c r="CQ209" s="50">
        <f>(EXP(LN('Ecoinvent 3.10'!$E$12)^2)-1)*EXP(2*LN(CQ24)+LN('Ecoinvent 3.10'!$E$12)^2)</f>
        <v>6120.3648598413538</v>
      </c>
      <c r="CR209" s="224">
        <f>(EXP(LN('Ecoinvent 3.10'!$E$12)^2)-1)*EXP(2*LN(CR24)+LN('Ecoinvent 3.10'!$E$12)^2)</f>
        <v>11700.566649438882</v>
      </c>
      <c r="CS209" s="50">
        <f>(EXP(LN('Ecoinvent 3.10'!$E$12)^2)-1)*EXP(2*LN(CS24)+LN('Ecoinvent 3.10'!$E$12)^2)</f>
        <v>11700.566649438882</v>
      </c>
      <c r="CV209" s="149" t="s">
        <v>209</v>
      </c>
      <c r="CW209" s="224">
        <f>(EXP(LN('Ecoinvent 3.10'!$E$12)^2)-1)*EXP(2*LN(CW24)+LN('Ecoinvent 3.10'!$E$12)^2)</f>
        <v>7.2492993093264198E-4</v>
      </c>
      <c r="CX209" s="50">
        <f>(EXP(LN('Ecoinvent 3.10'!$E$12)^2)-1)*EXP(2*LN(CX24)+LN('Ecoinvent 3.10'!$E$12)^2)</f>
        <v>7.2492993093264198E-4</v>
      </c>
      <c r="CY209" s="224">
        <f>(EXP(LN('Ecoinvent 3.10'!$E$12)^2)-1)*EXP(2*LN(CY24)+LN('Ecoinvent 3.10'!$E$12)^2)</f>
        <v>4.0154958429762321E-4</v>
      </c>
      <c r="CZ209" s="50">
        <f>(EXP(LN('Ecoinvent 3.10'!$E$12)^2)-1)*EXP(2*LN(CZ24)+LN('Ecoinvent 3.10'!$E$12)^2)</f>
        <v>4.0154958429762321E-4</v>
      </c>
      <c r="DA209" s="224">
        <f>(EXP(LN('Ecoinvent 3.10'!$E$12)^2)-1)*EXP(2*LN(DA24)+LN('Ecoinvent 3.10'!$E$12)^2)</f>
        <v>5.4507614110236061E-4</v>
      </c>
      <c r="DB209" s="50">
        <f>(EXP(LN('Ecoinvent 3.10'!$E$12)^2)-1)*EXP(2*LN(DB24)+LN('Ecoinvent 3.10'!$E$12)^2)</f>
        <v>5.4507614110236061E-4</v>
      </c>
      <c r="DC209" s="224">
        <f>(EXP(LN('Ecoinvent 3.10'!$E$12)^2)-1)*EXP(2*LN(DC24)+LN('Ecoinvent 3.10'!$E$12)^2)</f>
        <v>6.6526851213982068E-4</v>
      </c>
      <c r="DD209" s="50">
        <f>(EXP(LN('Ecoinvent 3.10'!$E$12)^2)-1)*EXP(2*LN(DD24)+LN('Ecoinvent 3.10'!$E$12)^2)</f>
        <v>6.6526851213982068E-4</v>
      </c>
      <c r="DE209" s="224">
        <f>(EXP(LN('Ecoinvent 3.10'!$E$12)^2)-1)*EXP(2*LN(DE24)+LN('Ecoinvent 3.10'!$E$12)^2)</f>
        <v>6.8675615421231421E-4</v>
      </c>
      <c r="DF209" s="50">
        <f>(EXP(LN('Ecoinvent 3.10'!$E$12)^2)-1)*EXP(2*LN(DF24)+LN('Ecoinvent 3.10'!$E$12)^2)</f>
        <v>6.8675615421231421E-4</v>
      </c>
      <c r="DG209" s="224"/>
      <c r="DH209" s="50"/>
      <c r="DI209" s="224">
        <f>(EXP(LN('Ecoinvent 3.10'!$E$12)^2)-1)*EXP(2*LN(DI24)+LN('Ecoinvent 3.10'!$E$12)^2)</f>
        <v>3.5923031417648533E-4</v>
      </c>
      <c r="DJ209" s="50">
        <f>(EXP(LN('Ecoinvent 3.10'!$E$12)^2)-1)*EXP(2*LN(DJ24)+LN('Ecoinvent 3.10'!$E$12)^2)</f>
        <v>3.5923031417648533E-4</v>
      </c>
      <c r="DK209" s="224">
        <f>(EXP(LN('Ecoinvent 3.10'!$E$12)^2)-1)*EXP(2*LN(DK24)+LN('Ecoinvent 3.10'!$E$12)^2)</f>
        <v>6.8675615421231421E-4</v>
      </c>
      <c r="DL209" s="50">
        <f>(EXP(LN('Ecoinvent 3.10'!$E$12)^2)-1)*EXP(2*LN(DL24)+LN('Ecoinvent 3.10'!$E$12)^2)</f>
        <v>6.8675615421231421E-4</v>
      </c>
      <c r="DO209" s="149" t="s">
        <v>209</v>
      </c>
      <c r="DP209" s="224">
        <f>(EXP(LN('Ecoinvent 3.10'!$E$12)^2)-1)*EXP(2*LN(DP24)+LN('Ecoinvent 3.10'!$E$12)^2)</f>
        <v>0.43389611425270108</v>
      </c>
      <c r="DQ209" s="50">
        <f>(EXP(LN('Ecoinvent 3.10'!$E$12)^2)-1)*EXP(2*LN(DQ24)+LN('Ecoinvent 3.10'!$E$12)^2)</f>
        <v>0.43389611425270108</v>
      </c>
      <c r="DR209" s="224">
        <f>(EXP(LN('Ecoinvent 3.10'!$E$12)^2)-1)*EXP(2*LN(DR24)+LN('Ecoinvent 3.10'!$E$12)^2)</f>
        <v>0.2403415790576803</v>
      </c>
      <c r="DS209" s="50">
        <f>(EXP(LN('Ecoinvent 3.10'!$E$12)^2)-1)*EXP(2*LN(DS24)+LN('Ecoinvent 3.10'!$E$12)^2)</f>
        <v>0.2403415790576803</v>
      </c>
      <c r="DT209" s="224">
        <f>(EXP(LN('Ecoinvent 3.10'!$E$12)^2)-1)*EXP(2*LN(DT24)+LN('Ecoinvent 3.10'!$E$12)^2)</f>
        <v>0.32624728198475594</v>
      </c>
      <c r="DU209" s="50">
        <f>(EXP(LN('Ecoinvent 3.10'!$E$12)^2)-1)*EXP(2*LN(DU24)+LN('Ecoinvent 3.10'!$E$12)^2)</f>
        <v>0.32624728198475594</v>
      </c>
      <c r="DV209" s="224">
        <f>(EXP(LN('Ecoinvent 3.10'!$E$12)^2)-1)*EXP(2*LN(DV24)+LN('Ecoinvent 3.10'!$E$12)^2)</f>
        <v>0.39818665230276595</v>
      </c>
      <c r="DW209" s="50">
        <f>(EXP(LN('Ecoinvent 3.10'!$E$12)^2)-1)*EXP(2*LN(DW24)+LN('Ecoinvent 3.10'!$E$12)^2)</f>
        <v>0.39818665230276595</v>
      </c>
      <c r="DX209" s="224">
        <f>(EXP(LN('Ecoinvent 3.10'!$E$12)^2)-1)*EXP(2*LN(DX24)+LN('Ecoinvent 3.10'!$E$12)^2)</f>
        <v>0.4110477634279654</v>
      </c>
      <c r="DY209" s="50">
        <f>(EXP(LN('Ecoinvent 3.10'!$E$12)^2)-1)*EXP(2*LN(DY24)+LN('Ecoinvent 3.10'!$E$12)^2)</f>
        <v>0.4110477634279654</v>
      </c>
      <c r="DZ209" s="224"/>
      <c r="EA209" s="50"/>
      <c r="EB209" s="224">
        <f>(EXP(LN('Ecoinvent 3.10'!$E$12)^2)-1)*EXP(2*LN(EB24)+LN('Ecoinvent 3.10'!$E$12)^2)</f>
        <v>0.21501200432216219</v>
      </c>
      <c r="EC209" s="50">
        <f>(EXP(LN('Ecoinvent 3.10'!$E$12)^2)-1)*EXP(2*LN(EC24)+LN('Ecoinvent 3.10'!$E$12)^2)</f>
        <v>0.21501200432216219</v>
      </c>
      <c r="ED209" s="224">
        <f>(EXP(LN('Ecoinvent 3.10'!$E$12)^2)-1)*EXP(2*LN(ED24)+LN('Ecoinvent 3.10'!$E$12)^2)</f>
        <v>0.4110477634279654</v>
      </c>
      <c r="EE209" s="50">
        <f>(EXP(LN('Ecoinvent 3.10'!$E$12)^2)-1)*EXP(2*LN(EE24)+LN('Ecoinvent 3.10'!$E$12)^2)</f>
        <v>0.4110477634279654</v>
      </c>
      <c r="EH209" s="149" t="s">
        <v>209</v>
      </c>
      <c r="EI209" s="224">
        <f>(EXP(LN('Ecoinvent 3.10'!$E$12)^2)-1)*EXP(2*LN(EI24)+LN('Ecoinvent 3.10'!$E$12)^2)</f>
        <v>0.13933504719409306</v>
      </c>
      <c r="EJ209" s="50">
        <f>(EXP(LN('Ecoinvent 3.10'!$E$12)^2)-1)*EXP(2*LN(EJ24)+LN('Ecoinvent 3.10'!$E$12)^2)</f>
        <v>0.13933504719409306</v>
      </c>
      <c r="EK209" s="224">
        <f>(EXP(LN('Ecoinvent 3.10'!$E$12)^2)-1)*EXP(2*LN(EK24)+LN('Ecoinvent 3.10'!$E$12)^2)</f>
        <v>7.7179776819115073E-2</v>
      </c>
      <c r="EL209" s="50">
        <f>(EXP(LN('Ecoinvent 3.10'!$E$12)^2)-1)*EXP(2*LN(EL24)+LN('Ecoinvent 3.10'!$E$12)^2)</f>
        <v>7.7179776819115073E-2</v>
      </c>
      <c r="EM209" s="224">
        <f>(EXP(LN('Ecoinvent 3.10'!$E$12)^2)-1)*EXP(2*LN(EM24)+LN('Ecoinvent 3.10'!$E$12)^2)</f>
        <v>0.10476627685542261</v>
      </c>
      <c r="EN209" s="50">
        <f>(EXP(LN('Ecoinvent 3.10'!$E$12)^2)-1)*EXP(2*LN(EN24)+LN('Ecoinvent 3.10'!$E$12)^2)</f>
        <v>0.10476627685542261</v>
      </c>
      <c r="EO209" s="224">
        <f>(EXP(LN('Ecoinvent 3.10'!$E$12)^2)-1)*EXP(2*LN(EO24)+LN('Ecoinvent 3.10'!$E$12)^2)</f>
        <v>0.12786783326285214</v>
      </c>
      <c r="EP209" s="50">
        <f>(EXP(LN('Ecoinvent 3.10'!$E$12)^2)-1)*EXP(2*LN(EP24)+LN('Ecoinvent 3.10'!$E$12)^2)</f>
        <v>0.12786783326285214</v>
      </c>
      <c r="EQ209" s="224">
        <f>(EXP(LN('Ecoinvent 3.10'!$E$12)^2)-1)*EXP(2*LN(EQ24)+LN('Ecoinvent 3.10'!$E$12)^2)</f>
        <v>0.13199786224152713</v>
      </c>
      <c r="ER209" s="50">
        <f>(EXP(LN('Ecoinvent 3.10'!$E$12)^2)-1)*EXP(2*LN(ER24)+LN('Ecoinvent 3.10'!$E$12)^2)</f>
        <v>0.13199786224152713</v>
      </c>
      <c r="ES209" s="224"/>
      <c r="ET209" s="50"/>
      <c r="EU209" s="224">
        <f>(EXP(LN('Ecoinvent 3.10'!$E$12)^2)-1)*EXP(2*LN(EU24)+LN('Ecoinvent 3.10'!$E$12)^2)</f>
        <v>6.9045807937512596E-2</v>
      </c>
      <c r="EV209" s="50">
        <f>(EXP(LN('Ecoinvent 3.10'!$E$12)^2)-1)*EXP(2*LN(EV24)+LN('Ecoinvent 3.10'!$E$12)^2)</f>
        <v>6.9045807937512596E-2</v>
      </c>
      <c r="EW209" s="224">
        <f>(EXP(LN('Ecoinvent 3.10'!$E$12)^2)-1)*EXP(2*LN(EW24)+LN('Ecoinvent 3.10'!$E$12)^2)</f>
        <v>0.13199786224152713</v>
      </c>
      <c r="EX209" s="50">
        <f>(EXP(LN('Ecoinvent 3.10'!$E$12)^2)-1)*EXP(2*LN(EX24)+LN('Ecoinvent 3.10'!$E$12)^2)</f>
        <v>0.13199786224152713</v>
      </c>
      <c r="FA209" s="149" t="s">
        <v>209</v>
      </c>
      <c r="FB209" s="224">
        <f>(EXP(LN('Ecoinvent 3.10'!$E$12)^2)-1)*EXP(2*LN(FB24)+LN('Ecoinvent 3.10'!$E$12)^2)</f>
        <v>6.3996707266032391E-7</v>
      </c>
      <c r="FC209" s="50">
        <f>(EXP(LN('Ecoinvent 3.10'!$E$12)^2)-1)*EXP(2*LN(FC24)+LN('Ecoinvent 3.10'!$E$12)^2)</f>
        <v>6.3996707266032391E-7</v>
      </c>
      <c r="FD209" s="224">
        <f>(EXP(LN('Ecoinvent 3.10'!$E$12)^2)-1)*EXP(2*LN(FD24)+LN('Ecoinvent 3.10'!$E$12)^2)</f>
        <v>3.5448738012556646E-7</v>
      </c>
      <c r="FE209" s="50">
        <f>(EXP(LN('Ecoinvent 3.10'!$E$12)^2)-1)*EXP(2*LN(FE24)+LN('Ecoinvent 3.10'!$E$12)^2)</f>
        <v>3.5448738012556646E-7</v>
      </c>
      <c r="FF209" s="224">
        <f>(EXP(LN('Ecoinvent 3.10'!$E$12)^2)-1)*EXP(2*LN(FF24)+LN('Ecoinvent 3.10'!$E$12)^2)</f>
        <v>4.8119241255424897E-7</v>
      </c>
      <c r="FG209" s="50">
        <f>(EXP(LN('Ecoinvent 3.10'!$E$12)^2)-1)*EXP(2*LN(FG24)+LN('Ecoinvent 3.10'!$E$12)^2)</f>
        <v>4.8119241255424897E-7</v>
      </c>
      <c r="FH209" s="224">
        <f>(EXP(LN('Ecoinvent 3.10'!$E$12)^2)-1)*EXP(2*LN(FH24)+LN('Ecoinvent 3.10'!$E$12)^2)</f>
        <v>5.872980602407611E-7</v>
      </c>
      <c r="FI209" s="50">
        <f>(EXP(LN('Ecoinvent 3.10'!$E$12)^2)-1)*EXP(2*LN(FI24)+LN('Ecoinvent 3.10'!$E$12)^2)</f>
        <v>5.872980602407611E-7</v>
      </c>
      <c r="FJ209" s="224">
        <f>(EXP(LN('Ecoinvent 3.10'!$E$12)^2)-1)*EXP(2*LN(FJ24)+LN('Ecoinvent 3.10'!$E$12)^2)</f>
        <v>6.062673189356192E-7</v>
      </c>
      <c r="FK209" s="50">
        <f>(EXP(LN('Ecoinvent 3.10'!$E$12)^2)-1)*EXP(2*LN(FK24)+LN('Ecoinvent 3.10'!$E$12)^2)</f>
        <v>6.062673189356192E-7</v>
      </c>
      <c r="FL209" s="224"/>
      <c r="FM209" s="50"/>
      <c r="FN209" s="224">
        <f>(EXP(LN('Ecoinvent 3.10'!$E$12)^2)-1)*EXP(2*LN(FN24)+LN('Ecoinvent 3.10'!$E$12)^2)</f>
        <v>3.1712799094749317E-7</v>
      </c>
      <c r="FO209" s="50">
        <f>(EXP(LN('Ecoinvent 3.10'!$E$12)^2)-1)*EXP(2*LN(FO24)+LN('Ecoinvent 3.10'!$E$12)^2)</f>
        <v>3.1712799094749317E-7</v>
      </c>
      <c r="FP209" s="224">
        <f>(EXP(LN('Ecoinvent 3.10'!$E$12)^2)-1)*EXP(2*LN(FP24)+LN('Ecoinvent 3.10'!$E$12)^2)</f>
        <v>6.062673189356192E-7</v>
      </c>
      <c r="FQ209" s="50">
        <f>(EXP(LN('Ecoinvent 3.10'!$E$12)^2)-1)*EXP(2*LN(FQ24)+LN('Ecoinvent 3.10'!$E$12)^2)</f>
        <v>6.062673189356192E-7</v>
      </c>
      <c r="FT209" s="149" t="s">
        <v>209</v>
      </c>
      <c r="FU209" s="224">
        <f>(EXP(LN('Ecoinvent 3.10'!$E$12)^2)-1)*EXP(2*LN(FU24)+LN('Ecoinvent 3.10'!$E$12)^2)</f>
        <v>0.17710002505628841</v>
      </c>
      <c r="FV209" s="50">
        <f>(EXP(LN('Ecoinvent 3.10'!$E$12)^2)-1)*EXP(2*LN(FV24)+LN('Ecoinvent 3.10'!$E$12)^2)</f>
        <v>0.17710002505628841</v>
      </c>
      <c r="FW209" s="224">
        <f>(EXP(LN('Ecoinvent 3.10'!$E$12)^2)-1)*EXP(2*LN(FW24)+LN('Ecoinvent 3.10'!$E$12)^2)</f>
        <v>9.8098365657161762E-2</v>
      </c>
      <c r="FX209" s="50">
        <f>(EXP(LN('Ecoinvent 3.10'!$E$12)^2)-1)*EXP(2*LN(FX24)+LN('Ecoinvent 3.10'!$E$12)^2)</f>
        <v>9.8098365657161762E-2</v>
      </c>
      <c r="FY209" s="224">
        <f>(EXP(LN('Ecoinvent 3.10'!$E$12)^2)-1)*EXP(2*LN(FY24)+LN('Ecoinvent 3.10'!$E$12)^2)</f>
        <v>0.13316183278930255</v>
      </c>
      <c r="FZ209" s="50">
        <f>(EXP(LN('Ecoinvent 3.10'!$E$12)^2)-1)*EXP(2*LN(FZ24)+LN('Ecoinvent 3.10'!$E$12)^2)</f>
        <v>0.13316183278930255</v>
      </c>
      <c r="GA209" s="224">
        <f>(EXP(LN('Ecoinvent 3.10'!$E$12)^2)-1)*EXP(2*LN(GA24)+LN('Ecoinvent 3.10'!$E$12)^2)</f>
        <v>0.16252476983195399</v>
      </c>
      <c r="GB209" s="50">
        <f>(EXP(LN('Ecoinvent 3.10'!$E$12)^2)-1)*EXP(2*LN(GB24)+LN('Ecoinvent 3.10'!$E$12)^2)</f>
        <v>0.16252476983195399</v>
      </c>
      <c r="GC209" s="224">
        <f>(EXP(LN('Ecoinvent 3.10'!$E$12)^2)-1)*EXP(2*LN(GC24)+LN('Ecoinvent 3.10'!$E$12)^2)</f>
        <v>0.16777419020633882</v>
      </c>
      <c r="GD209" s="50">
        <f>(EXP(LN('Ecoinvent 3.10'!$E$12)^2)-1)*EXP(2*LN(GD24)+LN('Ecoinvent 3.10'!$E$12)^2)</f>
        <v>0.16777419020633882</v>
      </c>
      <c r="GE209" s="224"/>
      <c r="GF209" s="50"/>
      <c r="GG209" s="224">
        <f>(EXP(LN('Ecoinvent 3.10'!$E$12)^2)-1)*EXP(2*LN(GG24)+LN('Ecoinvent 3.10'!$E$12)^2)</f>
        <v>8.7759788811293052E-2</v>
      </c>
      <c r="GH209" s="50">
        <f>(EXP(LN('Ecoinvent 3.10'!$E$12)^2)-1)*EXP(2*LN(GH24)+LN('Ecoinvent 3.10'!$E$12)^2)</f>
        <v>8.7759788811293052E-2</v>
      </c>
      <c r="GI209" s="224">
        <f>(EXP(LN('Ecoinvent 3.10'!$E$12)^2)-1)*EXP(2*LN(GI24)+LN('Ecoinvent 3.10'!$E$12)^2)</f>
        <v>0.16777419020633882</v>
      </c>
      <c r="GJ209" s="50">
        <f>(EXP(LN('Ecoinvent 3.10'!$E$12)^2)-1)*EXP(2*LN(GJ24)+LN('Ecoinvent 3.10'!$E$12)^2)</f>
        <v>0.16777419020633882</v>
      </c>
      <c r="GM209" s="149" t="s">
        <v>209</v>
      </c>
      <c r="GN209" s="224">
        <f>(EXP(LN('Ecoinvent 3.10'!$E$12)^2)-1)*EXP(2*LN(GN24)+LN('Ecoinvent 3.10'!$E$12)^2)</f>
        <v>0.21094520137626011</v>
      </c>
      <c r="GO209" s="50">
        <f>(EXP(LN('Ecoinvent 3.10'!$E$12)^2)-1)*EXP(2*LN(GO24)+LN('Ecoinvent 3.10'!$E$12)^2)</f>
        <v>0.21094520137626011</v>
      </c>
      <c r="GP209" s="224">
        <f>(EXP(LN('Ecoinvent 3.10'!$E$12)^2)-1)*EXP(2*LN(GP24)+LN('Ecoinvent 3.10'!$E$12)^2)</f>
        <v>0.11684571750712579</v>
      </c>
      <c r="GQ209" s="50">
        <f>(EXP(LN('Ecoinvent 3.10'!$E$12)^2)-1)*EXP(2*LN(GQ24)+LN('Ecoinvent 3.10'!$E$12)^2)</f>
        <v>0.11684571750712579</v>
      </c>
      <c r="GR209" s="224">
        <f>(EXP(LN('Ecoinvent 3.10'!$E$12)^2)-1)*EXP(2*LN(GR24)+LN('Ecoinvent 3.10'!$E$12)^2)</f>
        <v>0.15861008277352515</v>
      </c>
      <c r="GS209" s="50">
        <f>(EXP(LN('Ecoinvent 3.10'!$E$12)^2)-1)*EXP(2*LN(GS24)+LN('Ecoinvent 3.10'!$E$12)^2)</f>
        <v>0.15861008277352515</v>
      </c>
      <c r="GT209" s="224">
        <f>(EXP(LN('Ecoinvent 3.10'!$E$12)^2)-1)*EXP(2*LN(GT24)+LN('Ecoinvent 3.10'!$E$12)^2)</f>
        <v>0.19358450282508596</v>
      </c>
      <c r="GU209" s="50">
        <f>(EXP(LN('Ecoinvent 3.10'!$E$12)^2)-1)*EXP(2*LN(GU24)+LN('Ecoinvent 3.10'!$E$12)^2)</f>
        <v>0.19358450282508596</v>
      </c>
      <c r="GV209" s="224">
        <f>(EXP(LN('Ecoinvent 3.10'!$E$12)^2)-1)*EXP(2*LN(GV24)+LN('Ecoinvent 3.10'!$E$12)^2)</f>
        <v>0.19983712779016596</v>
      </c>
      <c r="GW209" s="50">
        <f>(EXP(LN('Ecoinvent 3.10'!$E$12)^2)-1)*EXP(2*LN(GW24)+LN('Ecoinvent 3.10'!$E$12)^2)</f>
        <v>0.19983712779016596</v>
      </c>
      <c r="GX209" s="224"/>
      <c r="GY209" s="50"/>
      <c r="GZ209" s="224">
        <f>(EXP(LN('Ecoinvent 3.10'!$E$12)^2)-1)*EXP(2*LN(GZ24)+LN('Ecoinvent 3.10'!$E$12)^2)</f>
        <v>0.10453135914380793</v>
      </c>
      <c r="HA209" s="50">
        <f>(EXP(LN('Ecoinvent 3.10'!$E$12)^2)-1)*EXP(2*LN(HA24)+LN('Ecoinvent 3.10'!$E$12)^2)</f>
        <v>0.10453135914380793</v>
      </c>
      <c r="HB209" s="224">
        <f>(EXP(LN('Ecoinvent 3.10'!$E$12)^2)-1)*EXP(2*LN(HB24)+LN('Ecoinvent 3.10'!$E$12)^2)</f>
        <v>0.19983712779016596</v>
      </c>
      <c r="HC209" s="50">
        <f>(EXP(LN('Ecoinvent 3.10'!$E$12)^2)-1)*EXP(2*LN(HC24)+LN('Ecoinvent 3.10'!$E$12)^2)</f>
        <v>0.19983712779016596</v>
      </c>
      <c r="HF209" s="149" t="s">
        <v>209</v>
      </c>
      <c r="HG209" s="224">
        <f>(EXP(LN('Ecoinvent 3.10'!$E$12)^2)-1)*EXP(2*LN(HG24)+LN('Ecoinvent 3.10'!$E$12)^2)</f>
        <v>111.4601096216215</v>
      </c>
      <c r="HH209" s="50">
        <f>(EXP(LN('Ecoinvent 3.10'!$E$12)^2)-1)*EXP(2*LN(HH24)+LN('Ecoinvent 3.10'!$E$12)^2)</f>
        <v>111.4601096216215</v>
      </c>
      <c r="HI209" s="224">
        <f>(EXP(LN('Ecoinvent 3.10'!$E$12)^2)-1)*EXP(2*LN(HI24)+LN('Ecoinvent 3.10'!$E$12)^2)</f>
        <v>61.739429942903421</v>
      </c>
      <c r="HJ209" s="50">
        <f>(EXP(LN('Ecoinvent 3.10'!$E$12)^2)-1)*EXP(2*LN(HJ24)+LN('Ecoinvent 3.10'!$E$12)^2)</f>
        <v>61.739429942903421</v>
      </c>
      <c r="HK209" s="224">
        <f>(EXP(LN('Ecoinvent 3.10'!$E$12)^2)-1)*EXP(2*LN(HK24)+LN('Ecoinvent 3.10'!$E$12)^2)</f>
        <v>83.80706030614229</v>
      </c>
      <c r="HL209" s="50">
        <f>(EXP(LN('Ecoinvent 3.10'!$E$12)^2)-1)*EXP(2*LN(HL24)+LN('Ecoinvent 3.10'!$E$12)^2)</f>
        <v>83.80706030614229</v>
      </c>
      <c r="HM209" s="224">
        <f>(EXP(LN('Ecoinvent 3.10'!$E$12)^2)-1)*EXP(2*LN(HM24)+LN('Ecoinvent 3.10'!$E$12)^2)</f>
        <v>102.2869909585885</v>
      </c>
      <c r="HN209" s="50">
        <f>(EXP(LN('Ecoinvent 3.10'!$E$12)^2)-1)*EXP(2*LN(HN24)+LN('Ecoinvent 3.10'!$E$12)^2)</f>
        <v>102.2869909585885</v>
      </c>
      <c r="HO209" s="224">
        <f>(EXP(LN('Ecoinvent 3.10'!$E$12)^2)-1)*EXP(2*LN(HO24)+LN('Ecoinvent 3.10'!$E$12)^2)</f>
        <v>105.59077914378472</v>
      </c>
      <c r="HP209" s="50">
        <f>(EXP(LN('Ecoinvent 3.10'!$E$12)^2)-1)*EXP(2*LN(HP24)+LN('Ecoinvent 3.10'!$E$12)^2)</f>
        <v>105.59077914378472</v>
      </c>
      <c r="HQ209" s="224"/>
      <c r="HR209" s="50"/>
      <c r="HS209" s="224">
        <f>(EXP(LN('Ecoinvent 3.10'!$E$12)^2)-1)*EXP(2*LN(HS24)+LN('Ecoinvent 3.10'!$E$12)^2)</f>
        <v>55.232717658668427</v>
      </c>
      <c r="HT209" s="50">
        <f>(EXP(LN('Ecoinvent 3.10'!$E$12)^2)-1)*EXP(2*LN(HT24)+LN('Ecoinvent 3.10'!$E$12)^2)</f>
        <v>55.232717658668427</v>
      </c>
      <c r="HU209" s="224">
        <f>(EXP(LN('Ecoinvent 3.10'!$E$12)^2)-1)*EXP(2*LN(HU24)+LN('Ecoinvent 3.10'!$E$12)^2)</f>
        <v>105.59077914378472</v>
      </c>
      <c r="HV209" s="50">
        <f>(EXP(LN('Ecoinvent 3.10'!$E$12)^2)-1)*EXP(2*LN(HV24)+LN('Ecoinvent 3.10'!$E$12)^2)</f>
        <v>105.59077914378472</v>
      </c>
      <c r="HY209" s="149" t="s">
        <v>209</v>
      </c>
      <c r="HZ209" s="224">
        <f>(EXP(LN('Ecoinvent 3.10'!$E$12)^2)-1)*EXP(2*LN(HZ24)+LN('Ecoinvent 3.10'!$E$12)^2)</f>
        <v>7.495029547352315E-5</v>
      </c>
      <c r="IA209" s="50">
        <f>(EXP(LN('Ecoinvent 3.10'!$E$12)^2)-1)*EXP(2*LN(IA24)+LN('Ecoinvent 3.10'!$E$12)^2)</f>
        <v>7.495029547352315E-5</v>
      </c>
      <c r="IB209" s="224">
        <f>(EXP(LN('Ecoinvent 3.10'!$E$12)^2)-1)*EXP(2*LN(IB24)+LN('Ecoinvent 3.10'!$E$12)^2)</f>
        <v>4.1516095150958381E-5</v>
      </c>
      <c r="IC209" s="50">
        <f>(EXP(LN('Ecoinvent 3.10'!$E$12)^2)-1)*EXP(2*LN(IC24)+LN('Ecoinvent 3.10'!$E$12)^2)</f>
        <v>4.1516095150958381E-5</v>
      </c>
      <c r="ID209" s="224">
        <f>(EXP(LN('Ecoinvent 3.10'!$E$12)^2)-1)*EXP(2*LN(ID24)+LN('Ecoinvent 3.10'!$E$12)^2)</f>
        <v>5.6355264264824099E-5</v>
      </c>
      <c r="IE209" s="50">
        <f>(EXP(LN('Ecoinvent 3.10'!$E$12)^2)-1)*EXP(2*LN(IE24)+LN('Ecoinvent 3.10'!$E$12)^2)</f>
        <v>5.6355264264824099E-5</v>
      </c>
      <c r="IF209" s="224">
        <f>(EXP(LN('Ecoinvent 3.10'!$E$12)^2)-1)*EXP(2*LN(IF24)+LN('Ecoinvent 3.10'!$E$12)^2)</f>
        <v>6.8781918674487276E-5</v>
      </c>
      <c r="IG209" s="50">
        <f>(EXP(LN('Ecoinvent 3.10'!$E$12)^2)-1)*EXP(2*LN(IG24)+LN('Ecoinvent 3.10'!$E$12)^2)</f>
        <v>6.8781918674487276E-5</v>
      </c>
      <c r="IH209" s="224">
        <f>(EXP(LN('Ecoinvent 3.10'!$E$12)^2)-1)*EXP(2*LN(IH24)+LN('Ecoinvent 3.10'!$E$12)^2)</f>
        <v>7.1003519761216771E-5</v>
      </c>
      <c r="II209" s="50">
        <f>(EXP(LN('Ecoinvent 3.10'!$E$12)^2)-1)*EXP(2*LN(II24)+LN('Ecoinvent 3.10'!$E$12)^2)</f>
        <v>7.1003519761216771E-5</v>
      </c>
      <c r="IJ209" s="224"/>
      <c r="IK209" s="50"/>
      <c r="IL209" s="224">
        <f>(EXP(LN('Ecoinvent 3.10'!$E$12)^2)-1)*EXP(2*LN(IL24)+LN('Ecoinvent 3.10'!$E$12)^2)</f>
        <v>3.7140718077311459E-5</v>
      </c>
      <c r="IM209" s="50">
        <f>(EXP(LN('Ecoinvent 3.10'!$E$12)^2)-1)*EXP(2*LN(IM24)+LN('Ecoinvent 3.10'!$E$12)^2)</f>
        <v>3.7140718077311459E-5</v>
      </c>
      <c r="IN209" s="224">
        <f>(EXP(LN('Ecoinvent 3.10'!$E$12)^2)-1)*EXP(2*LN(IN24)+LN('Ecoinvent 3.10'!$E$12)^2)</f>
        <v>7.1003519761216771E-5</v>
      </c>
      <c r="IO209" s="50">
        <f>(EXP(LN('Ecoinvent 3.10'!$E$12)^2)-1)*EXP(2*LN(IO24)+LN('Ecoinvent 3.10'!$E$12)^2)</f>
        <v>7.1003519761216771E-5</v>
      </c>
    </row>
    <row r="210" spans="1:249" ht="14.25" x14ac:dyDescent="0.25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39"/>
      <c r="AN210" s="156"/>
      <c r="AO210" s="158"/>
      <c r="AP210" s="726"/>
      <c r="AQ210" s="149" t="s">
        <v>210</v>
      </c>
      <c r="AR210" s="264"/>
      <c r="AS210" s="265"/>
      <c r="AT210" s="224">
        <f>(EXP(LN('Ecoinvent 3.10'!$E$13)^2)-1)*EXP(2*LN(AT25)+LN('Ecoinvent 3.10'!$E$13)^2)</f>
        <v>0.10918991878160186</v>
      </c>
      <c r="AU210" s="50">
        <f>(EXP(LN('Ecoinvent 3.10'!$E$13)^2)-1)*EXP(2*LN(AU25)+LN('Ecoinvent 3.10'!$E$13)^2)</f>
        <v>0.10918991878160186</v>
      </c>
      <c r="AV210" s="224">
        <f>(EXP(LN('Ecoinvent 3.10'!$E$13)^2)-1)*EXP(2*LN(AV25)+LN('Ecoinvent 3.10'!$E$13)^2)</f>
        <v>4.574625270846449E-2</v>
      </c>
      <c r="AW210" s="50">
        <f>(EXP(LN('Ecoinvent 3.10'!$E$13)^2)-1)*EXP(2*LN(AW25)+LN('Ecoinvent 3.10'!$E$13)^2)</f>
        <v>4.574625270846449E-2</v>
      </c>
      <c r="AX210" s="224">
        <f>(EXP(LN('Ecoinvent 3.10'!$E$13)^2)-1)*EXP(2*LN(AX25)+LN('Ecoinvent 3.10'!$E$13)^2)</f>
        <v>7.8515943870031291E-3</v>
      </c>
      <c r="AY210" s="50">
        <f>(EXP(LN('Ecoinvent 3.10'!$E$13)^2)-1)*EXP(2*LN(AY25)+LN('Ecoinvent 3.10'!$E$13)^2)</f>
        <v>7.8515943870031291E-3</v>
      </c>
      <c r="AZ210" s="224">
        <f>(EXP(LN('Ecoinvent 3.10'!$E$13)^2)-1)*EXP(2*LN(AZ25)+LN('Ecoinvent 3.10'!$E$13)^2)</f>
        <v>1.6010260978378103E-3</v>
      </c>
      <c r="BA210" s="50">
        <f>(EXP(LN('Ecoinvent 3.10'!$E$13)^2)-1)*EXP(2*LN(BA25)+LN('Ecoinvent 3.10'!$E$13)^2)</f>
        <v>1.6010260978378103E-3</v>
      </c>
      <c r="BB210" s="224"/>
      <c r="BC210" s="50"/>
      <c r="BD210" s="224">
        <f>(EXP(LN('Ecoinvent 3.10'!$E$13)^2)-1)*EXP(2*LN(BD25)+LN('Ecoinvent 3.10'!$E$13)^2)</f>
        <v>6.7835002967022565E-2</v>
      </c>
      <c r="BE210" s="50">
        <f>(EXP(LN('Ecoinvent 3.10'!$E$13)^2)-1)*EXP(2*LN(BE25)+LN('Ecoinvent 3.10'!$E$13)^2)</f>
        <v>6.7835002967022565E-2</v>
      </c>
      <c r="BF210" s="224">
        <f>(EXP(LN('Ecoinvent 3.10'!$E$13)^2)-1)*EXP(2*LN(BF25)+LN('Ecoinvent 3.10'!$E$13)^2)</f>
        <v>1.6010260978378103E-3</v>
      </c>
      <c r="BG210" s="50">
        <f>(EXP(LN('Ecoinvent 3.10'!$E$13)^2)-1)*EXP(2*LN(BG25)+LN('Ecoinvent 3.10'!$E$13)^2)</f>
        <v>1.6010260978378103E-3</v>
      </c>
      <c r="BI210" s="156"/>
      <c r="BJ210" s="149" t="s">
        <v>210</v>
      </c>
      <c r="BK210" s="264"/>
      <c r="BL210" s="265"/>
      <c r="BM210" s="224">
        <f>(EXP(LN('Ecoinvent 3.10'!$E$13)^2)-1)*EXP(2*LN(BM25)+LN('Ecoinvent 3.10'!$E$13)^2)</f>
        <v>6.5273911090812159E-3</v>
      </c>
      <c r="BN210" s="50">
        <f>(EXP(LN('Ecoinvent 3.10'!$E$13)^2)-1)*EXP(2*LN(BN25)+LN('Ecoinvent 3.10'!$E$13)^2)</f>
        <v>6.5273911090812159E-3</v>
      </c>
      <c r="BO210" s="224">
        <f>(EXP(LN('Ecoinvent 3.10'!$E$13)^2)-1)*EXP(2*LN(BO25)+LN('Ecoinvent 3.10'!$E$13)^2)</f>
        <v>2.7347184294574936E-3</v>
      </c>
      <c r="BP210" s="50">
        <f>(EXP(LN('Ecoinvent 3.10'!$E$13)^2)-1)*EXP(2*LN(BP25)+LN('Ecoinvent 3.10'!$E$13)^2)</f>
        <v>2.7347184294574936E-3</v>
      </c>
      <c r="BQ210" s="224">
        <f>(EXP(LN('Ecoinvent 3.10'!$E$13)^2)-1)*EXP(2*LN(BQ25)+LN('Ecoinvent 3.10'!$E$13)^2)</f>
        <v>4.6936958984597867E-4</v>
      </c>
      <c r="BR210" s="50">
        <f>(EXP(LN('Ecoinvent 3.10'!$E$13)^2)-1)*EXP(2*LN(BR25)+LN('Ecoinvent 3.10'!$E$13)^2)</f>
        <v>4.6936958984597867E-4</v>
      </c>
      <c r="BS210" s="224">
        <f>(EXP(LN('Ecoinvent 3.10'!$E$13)^2)-1)*EXP(2*LN(BS25)+LN('Ecoinvent 3.10'!$E$13)^2)</f>
        <v>9.5709600602747157E-5</v>
      </c>
      <c r="BT210" s="50">
        <f>(EXP(LN('Ecoinvent 3.10'!$E$13)^2)-1)*EXP(2*LN(BT25)+LN('Ecoinvent 3.10'!$E$13)^2)</f>
        <v>9.5709600602747157E-5</v>
      </c>
      <c r="BU210" s="224"/>
      <c r="BV210" s="50"/>
      <c r="BW210" s="224">
        <f>(EXP(LN('Ecoinvent 3.10'!$E$13)^2)-1)*EXP(2*LN(BW25)+LN('Ecoinvent 3.10'!$E$13)^2)</f>
        <v>4.0551875135751885E-3</v>
      </c>
      <c r="BX210" s="50">
        <f>(EXP(LN('Ecoinvent 3.10'!$E$13)^2)-1)*EXP(2*LN(BX25)+LN('Ecoinvent 3.10'!$E$13)^2)</f>
        <v>4.0551875135751885E-3</v>
      </c>
      <c r="BY210" s="224">
        <f>(EXP(LN('Ecoinvent 3.10'!$E$13)^2)-1)*EXP(2*LN(BY25)+LN('Ecoinvent 3.10'!$E$13)^2)</f>
        <v>9.5709600602747157E-5</v>
      </c>
      <c r="BZ210" s="50">
        <f>(EXP(LN('Ecoinvent 3.10'!$E$13)^2)-1)*EXP(2*LN(BZ25)+LN('Ecoinvent 3.10'!$E$13)^2)</f>
        <v>9.5709600602747157E-5</v>
      </c>
      <c r="CA210" s="156"/>
      <c r="CB210" s="156"/>
      <c r="CC210" s="149" t="s">
        <v>210</v>
      </c>
      <c r="CD210" s="264"/>
      <c r="CE210" s="265"/>
      <c r="CF210" s="224">
        <f>(EXP(LN('Ecoinvent 3.10'!$E$13)^2)-1)*EXP(2*LN(CF25)+LN('Ecoinvent 3.10'!$E$13)^2)</f>
        <v>1.6562571222040201</v>
      </c>
      <c r="CG210" s="50">
        <f>(EXP(LN('Ecoinvent 3.10'!$E$13)^2)-1)*EXP(2*LN(CG25)+LN('Ecoinvent 3.10'!$E$13)^2)</f>
        <v>1.6562571222040201</v>
      </c>
      <c r="CH210" s="224">
        <f>(EXP(LN('Ecoinvent 3.10'!$E$13)^2)-1)*EXP(2*LN(CH25)+LN('Ecoinvent 3.10'!$E$13)^2)</f>
        <v>0.69390615642902953</v>
      </c>
      <c r="CI210" s="50">
        <f>(EXP(LN('Ecoinvent 3.10'!$E$13)^2)-1)*EXP(2*LN(CI25)+LN('Ecoinvent 3.10'!$E$13)^2)</f>
        <v>0.69390615642902953</v>
      </c>
      <c r="CJ210" s="224">
        <f>(EXP(LN('Ecoinvent 3.10'!$E$13)^2)-1)*EXP(2*LN(CJ25)+LN('Ecoinvent 3.10'!$E$13)^2)</f>
        <v>0.11909761697086466</v>
      </c>
      <c r="CK210" s="50">
        <f>(EXP(LN('Ecoinvent 3.10'!$E$13)^2)-1)*EXP(2*LN(CK25)+LN('Ecoinvent 3.10'!$E$13)^2)</f>
        <v>0.11909761697086466</v>
      </c>
      <c r="CL210" s="224">
        <f>(EXP(LN('Ecoinvent 3.10'!$E$13)^2)-1)*EXP(2*LN(CL25)+LN('Ecoinvent 3.10'!$E$13)^2)</f>
        <v>2.4285308634419359E-2</v>
      </c>
      <c r="CM210" s="50">
        <f>(EXP(LN('Ecoinvent 3.10'!$E$13)^2)-1)*EXP(2*LN(CM25)+LN('Ecoinvent 3.10'!$E$13)^2)</f>
        <v>2.4285308634419359E-2</v>
      </c>
      <c r="CN210" s="224"/>
      <c r="CO210" s="50"/>
      <c r="CP210" s="224">
        <f>(EXP(LN('Ecoinvent 3.10'!$E$13)^2)-1)*EXP(2*LN(CP25)+LN('Ecoinvent 3.10'!$E$13)^2)</f>
        <v>1.0289613551557373</v>
      </c>
      <c r="CQ210" s="50">
        <f>(EXP(LN('Ecoinvent 3.10'!$E$13)^2)-1)*EXP(2*LN(CQ25)+LN('Ecoinvent 3.10'!$E$13)^2)</f>
        <v>1.0289613551557373</v>
      </c>
      <c r="CR210" s="224">
        <f>(EXP(LN('Ecoinvent 3.10'!$E$13)^2)-1)*EXP(2*LN(CR25)+LN('Ecoinvent 3.10'!$E$13)^2)</f>
        <v>2.4285308634419359E-2</v>
      </c>
      <c r="CS210" s="50">
        <f>(EXP(LN('Ecoinvent 3.10'!$E$13)^2)-1)*EXP(2*LN(CS25)+LN('Ecoinvent 3.10'!$E$13)^2)</f>
        <v>2.4285308634419359E-2</v>
      </c>
      <c r="CV210" s="149" t="s">
        <v>210</v>
      </c>
      <c r="CW210" s="264"/>
      <c r="CX210" s="265"/>
      <c r="CY210" s="224">
        <f>(EXP(LN('Ecoinvent 3.10'!$E$13)^2)-1)*EXP(2*LN(CY25)+LN('Ecoinvent 3.10'!$E$13)^2)</f>
        <v>4.2957894369490875E-6</v>
      </c>
      <c r="CZ210" s="50">
        <f>(EXP(LN('Ecoinvent 3.10'!$E$13)^2)-1)*EXP(2*LN(CZ25)+LN('Ecoinvent 3.10'!$E$13)^2)</f>
        <v>4.2957894369490875E-6</v>
      </c>
      <c r="DA210" s="224">
        <f>(EXP(LN('Ecoinvent 3.10'!$E$13)^2)-1)*EXP(2*LN(DA25)+LN('Ecoinvent 3.10'!$E$13)^2)</f>
        <v>1.7997656867763643E-6</v>
      </c>
      <c r="DB210" s="50">
        <f>(EXP(LN('Ecoinvent 3.10'!$E$13)^2)-1)*EXP(2*LN(DB25)+LN('Ecoinvent 3.10'!$E$13)^2)</f>
        <v>1.7997656867763643E-6</v>
      </c>
      <c r="DC210" s="224">
        <f>(EXP(LN('Ecoinvent 3.10'!$E$13)^2)-1)*EXP(2*LN(DC25)+LN('Ecoinvent 3.10'!$E$13)^2)</f>
        <v>3.0890027767453555E-7</v>
      </c>
      <c r="DD210" s="50">
        <f>(EXP(LN('Ecoinvent 3.10'!$E$13)^2)-1)*EXP(2*LN(DD25)+LN('Ecoinvent 3.10'!$E$13)^2)</f>
        <v>3.0890027767453555E-7</v>
      </c>
      <c r="DE210" s="224">
        <f>(EXP(LN('Ecoinvent 3.10'!$E$13)^2)-1)*EXP(2*LN(DE25)+LN('Ecoinvent 3.10'!$E$13)^2)</f>
        <v>6.2988150152652605E-8</v>
      </c>
      <c r="DF210" s="50">
        <f>(EXP(LN('Ecoinvent 3.10'!$E$13)^2)-1)*EXP(2*LN(DF25)+LN('Ecoinvent 3.10'!$E$13)^2)</f>
        <v>6.2988150152652605E-8</v>
      </c>
      <c r="DG210" s="224"/>
      <c r="DH210" s="50"/>
      <c r="DI210" s="224">
        <f>(EXP(LN('Ecoinvent 3.10'!$E$13)^2)-1)*EXP(2*LN(DI25)+LN('Ecoinvent 3.10'!$E$13)^2)</f>
        <v>2.6687893209629007E-6</v>
      </c>
      <c r="DJ210" s="50">
        <f>(EXP(LN('Ecoinvent 3.10'!$E$13)^2)-1)*EXP(2*LN(DJ25)+LN('Ecoinvent 3.10'!$E$13)^2)</f>
        <v>2.6687893209629007E-6</v>
      </c>
      <c r="DK210" s="224">
        <f>(EXP(LN('Ecoinvent 3.10'!$E$13)^2)-1)*EXP(2*LN(DK25)+LN('Ecoinvent 3.10'!$E$13)^2)</f>
        <v>6.2988150152652605E-8</v>
      </c>
      <c r="DL210" s="50">
        <f>(EXP(LN('Ecoinvent 3.10'!$E$13)^2)-1)*EXP(2*LN(DL25)+LN('Ecoinvent 3.10'!$E$13)^2)</f>
        <v>6.2988150152652605E-8</v>
      </c>
      <c r="DO210" s="149" t="s">
        <v>210</v>
      </c>
      <c r="DP210" s="264"/>
      <c r="DQ210" s="265"/>
      <c r="DR210" s="224">
        <f>(EXP(LN('Ecoinvent 3.10'!$E$13)^2)-1)*EXP(2*LN(DR25)+LN('Ecoinvent 3.10'!$E$13)^2)</f>
        <v>2.8440209849630615E-5</v>
      </c>
      <c r="DS210" s="50">
        <f>(EXP(LN('Ecoinvent 3.10'!$E$13)^2)-1)*EXP(2*LN(DS25)+LN('Ecoinvent 3.10'!$E$13)^2)</f>
        <v>2.8440209849630615E-5</v>
      </c>
      <c r="DT210" s="224">
        <f>(EXP(LN('Ecoinvent 3.10'!$E$13)^2)-1)*EXP(2*LN(DT25)+LN('Ecoinvent 3.10'!$E$13)^2)</f>
        <v>1.1915321866529152E-5</v>
      </c>
      <c r="DU210" s="50">
        <f>(EXP(LN('Ecoinvent 3.10'!$E$13)^2)-1)*EXP(2*LN(DU25)+LN('Ecoinvent 3.10'!$E$13)^2)</f>
        <v>1.1915321866529152E-5</v>
      </c>
      <c r="DV210" s="224">
        <f>(EXP(LN('Ecoinvent 3.10'!$E$13)^2)-1)*EXP(2*LN(DV25)+LN('Ecoinvent 3.10'!$E$13)^2)</f>
        <v>2.0450696777894886E-6</v>
      </c>
      <c r="DW210" s="50">
        <f>(EXP(LN('Ecoinvent 3.10'!$E$13)^2)-1)*EXP(2*LN(DW25)+LN('Ecoinvent 3.10'!$E$13)^2)</f>
        <v>2.0450696777894886E-6</v>
      </c>
      <c r="DX210" s="224">
        <f>(EXP(LN('Ecoinvent 3.10'!$E$13)^2)-1)*EXP(2*LN(DX25)+LN('Ecoinvent 3.10'!$E$13)^2)</f>
        <v>4.1701210794301657E-7</v>
      </c>
      <c r="DY210" s="50">
        <f>(EXP(LN('Ecoinvent 3.10'!$E$13)^2)-1)*EXP(2*LN(DY25)+LN('Ecoinvent 3.10'!$E$13)^2)</f>
        <v>4.1701210794301657E-7</v>
      </c>
      <c r="DZ210" s="224"/>
      <c r="EA210" s="50"/>
      <c r="EB210" s="224">
        <f>(EXP(LN('Ecoinvent 3.10'!$E$13)^2)-1)*EXP(2*LN(EB25)+LN('Ecoinvent 3.10'!$E$13)^2)</f>
        <v>1.7668679865869705E-5</v>
      </c>
      <c r="EC210" s="50">
        <f>(EXP(LN('Ecoinvent 3.10'!$E$13)^2)-1)*EXP(2*LN(EC25)+LN('Ecoinvent 3.10'!$E$13)^2)</f>
        <v>1.7668679865869705E-5</v>
      </c>
      <c r="ED210" s="224">
        <f>(EXP(LN('Ecoinvent 3.10'!$E$13)^2)-1)*EXP(2*LN(ED25)+LN('Ecoinvent 3.10'!$E$13)^2)</f>
        <v>4.1701210794301657E-7</v>
      </c>
      <c r="EE210" s="50">
        <f>(EXP(LN('Ecoinvent 3.10'!$E$13)^2)-1)*EXP(2*LN(EE25)+LN('Ecoinvent 3.10'!$E$13)^2)</f>
        <v>4.1701210794301657E-7</v>
      </c>
      <c r="EH210" s="149" t="s">
        <v>210</v>
      </c>
      <c r="EI210" s="264"/>
      <c r="EJ210" s="265"/>
      <c r="EK210" s="224">
        <f>(EXP(LN('Ecoinvent 3.10'!$E$13)^2)-1)*EXP(2*LN(EK25)+LN('Ecoinvent 3.10'!$E$13)^2)</f>
        <v>5.7329444424861523E-7</v>
      </c>
      <c r="EL210" s="50">
        <f>(EXP(LN('Ecoinvent 3.10'!$E$13)^2)-1)*EXP(2*LN(EL25)+LN('Ecoinvent 3.10'!$E$13)^2)</f>
        <v>5.7329444424861523E-7</v>
      </c>
      <c r="EM210" s="224">
        <f>(EXP(LN('Ecoinvent 3.10'!$E$13)^2)-1)*EXP(2*LN(EM25)+LN('Ecoinvent 3.10'!$E$13)^2)</f>
        <v>2.401876731441881E-7</v>
      </c>
      <c r="EN210" s="50">
        <f>(EXP(LN('Ecoinvent 3.10'!$E$13)^2)-1)*EXP(2*LN(EN25)+LN('Ecoinvent 3.10'!$E$13)^2)</f>
        <v>2.401876731441881E-7</v>
      </c>
      <c r="EO210" s="224">
        <f>(EXP(LN('Ecoinvent 3.10'!$E$13)^2)-1)*EXP(2*LN(EO25)+LN('Ecoinvent 3.10'!$E$13)^2)</f>
        <v>4.1224276845244339E-8</v>
      </c>
      <c r="EP210" s="50">
        <f>(EXP(LN('Ecoinvent 3.10'!$E$13)^2)-1)*EXP(2*LN(EP25)+LN('Ecoinvent 3.10'!$E$13)^2)</f>
        <v>4.1224276845244339E-8</v>
      </c>
      <c r="EQ210" s="224">
        <f>(EXP(LN('Ecoinvent 3.10'!$E$13)^2)-1)*EXP(2*LN(EQ25)+LN('Ecoinvent 3.10'!$E$13)^2)</f>
        <v>8.4060815982776698E-9</v>
      </c>
      <c r="ER210" s="50">
        <f>(EXP(LN('Ecoinvent 3.10'!$E$13)^2)-1)*EXP(2*LN(ER25)+LN('Ecoinvent 3.10'!$E$13)^2)</f>
        <v>8.4060815982776698E-9</v>
      </c>
      <c r="ES210" s="224"/>
      <c r="ET210" s="50"/>
      <c r="EU210" s="224">
        <f>(EXP(LN('Ecoinvent 3.10'!$E$13)^2)-1)*EXP(2*LN(EU25)+LN('Ecoinvent 3.10'!$E$13)^2)</f>
        <v>3.5616319492248863E-7</v>
      </c>
      <c r="EV210" s="50">
        <f>(EXP(LN('Ecoinvent 3.10'!$E$13)^2)-1)*EXP(2*LN(EV25)+LN('Ecoinvent 3.10'!$E$13)^2)</f>
        <v>3.5616319492248863E-7</v>
      </c>
      <c r="EW210" s="224">
        <f>(EXP(LN('Ecoinvent 3.10'!$E$13)^2)-1)*EXP(2*LN(EW25)+LN('Ecoinvent 3.10'!$E$13)^2)</f>
        <v>8.4060815982776698E-9</v>
      </c>
      <c r="EX210" s="50">
        <f>(EXP(LN('Ecoinvent 3.10'!$E$13)^2)-1)*EXP(2*LN(EX25)+LN('Ecoinvent 3.10'!$E$13)^2)</f>
        <v>8.4060815982776698E-9</v>
      </c>
      <c r="FA210" s="149" t="s">
        <v>210</v>
      </c>
      <c r="FB210" s="264"/>
      <c r="FC210" s="265"/>
      <c r="FD210" s="224">
        <f>(EXP(LN('Ecoinvent 3.10'!$E$13)^2)-1)*EXP(2*LN(FD25)+LN('Ecoinvent 3.10'!$E$13)^2)</f>
        <v>8.6994070683966057E-10</v>
      </c>
      <c r="FE210" s="50">
        <f>(EXP(LN('Ecoinvent 3.10'!$E$13)^2)-1)*EXP(2*LN(FE25)+LN('Ecoinvent 3.10'!$E$13)^2)</f>
        <v>8.6994070683966057E-10</v>
      </c>
      <c r="FF210" s="224">
        <f>(EXP(LN('Ecoinvent 3.10'!$E$13)^2)-1)*EXP(2*LN(FF25)+LN('Ecoinvent 3.10'!$E$13)^2)</f>
        <v>3.6447071177025982E-10</v>
      </c>
      <c r="FG210" s="50">
        <f>(EXP(LN('Ecoinvent 3.10'!$E$13)^2)-1)*EXP(2*LN(FG25)+LN('Ecoinvent 3.10'!$E$13)^2)</f>
        <v>3.6447071177025982E-10</v>
      </c>
      <c r="FH210" s="224">
        <f>(EXP(LN('Ecoinvent 3.10'!$E$13)^2)-1)*EXP(2*LN(FH25)+LN('Ecoinvent 3.10'!$E$13)^2)</f>
        <v>6.255542312939889E-11</v>
      </c>
      <c r="FI210" s="50">
        <f>(EXP(LN('Ecoinvent 3.10'!$E$13)^2)-1)*EXP(2*LN(FI25)+LN('Ecoinvent 3.10'!$E$13)^2)</f>
        <v>6.255542312939889E-11</v>
      </c>
      <c r="FJ210" s="224">
        <f>(EXP(LN('Ecoinvent 3.10'!$E$13)^2)-1)*EXP(2*LN(FJ25)+LN('Ecoinvent 3.10'!$E$13)^2)</f>
        <v>1.275573597602538E-11</v>
      </c>
      <c r="FK210" s="50">
        <f>(EXP(LN('Ecoinvent 3.10'!$E$13)^2)-1)*EXP(2*LN(FK25)+LN('Ecoinvent 3.10'!$E$13)^2)</f>
        <v>1.275573597602538E-11</v>
      </c>
      <c r="FL210" s="224"/>
      <c r="FM210" s="50"/>
      <c r="FN210" s="224">
        <f>(EXP(LN('Ecoinvent 3.10'!$E$13)^2)-1)*EXP(2*LN(FN25)+LN('Ecoinvent 3.10'!$E$13)^2)</f>
        <v>5.4045676641299383E-10</v>
      </c>
      <c r="FO210" s="50">
        <f>(EXP(LN('Ecoinvent 3.10'!$E$13)^2)-1)*EXP(2*LN(FO25)+LN('Ecoinvent 3.10'!$E$13)^2)</f>
        <v>5.4045676641299383E-10</v>
      </c>
      <c r="FP210" s="224">
        <f>(EXP(LN('Ecoinvent 3.10'!$E$13)^2)-1)*EXP(2*LN(FP25)+LN('Ecoinvent 3.10'!$E$13)^2)</f>
        <v>1.275573597602538E-11</v>
      </c>
      <c r="FQ210" s="50">
        <f>(EXP(LN('Ecoinvent 3.10'!$E$13)^2)-1)*EXP(2*LN(FQ25)+LN('Ecoinvent 3.10'!$E$13)^2)</f>
        <v>1.275573597602538E-11</v>
      </c>
      <c r="FT210" s="149" t="s">
        <v>210</v>
      </c>
      <c r="FU210" s="264"/>
      <c r="FV210" s="265"/>
      <c r="FW210" s="224">
        <f>(EXP(LN('Ecoinvent 3.10'!$E$13)^2)-1)*EXP(2*LN(FW25)+LN('Ecoinvent 3.10'!$E$13)^2)</f>
        <v>5.8255408006077665E-5</v>
      </c>
      <c r="FX210" s="50">
        <f>(EXP(LN('Ecoinvent 3.10'!$E$13)^2)-1)*EXP(2*LN(FX25)+LN('Ecoinvent 3.10'!$E$13)^2)</f>
        <v>5.8255408006077665E-5</v>
      </c>
      <c r="FY210" s="224">
        <f>(EXP(LN('Ecoinvent 3.10'!$E$13)^2)-1)*EXP(2*LN(FY25)+LN('Ecoinvent 3.10'!$E$13)^2)</f>
        <v>2.4406709392385518E-5</v>
      </c>
      <c r="FZ210" s="50">
        <f>(EXP(LN('Ecoinvent 3.10'!$E$13)^2)-1)*EXP(2*LN(FZ25)+LN('Ecoinvent 3.10'!$E$13)^2)</f>
        <v>2.4406709392385518E-5</v>
      </c>
      <c r="GA210" s="224">
        <f>(EXP(LN('Ecoinvent 3.10'!$E$13)^2)-1)*EXP(2*LN(GA25)+LN('Ecoinvent 3.10'!$E$13)^2)</f>
        <v>4.1890115829096701E-6</v>
      </c>
      <c r="GB210" s="50">
        <f>(EXP(LN('Ecoinvent 3.10'!$E$13)^2)-1)*EXP(2*LN(GB25)+LN('Ecoinvent 3.10'!$E$13)^2)</f>
        <v>4.1890115829096701E-6</v>
      </c>
      <c r="GC210" s="224">
        <f>(EXP(LN('Ecoinvent 3.10'!$E$13)^2)-1)*EXP(2*LN(GC25)+LN('Ecoinvent 3.10'!$E$13)^2)</f>
        <v>8.5418534603430336E-7</v>
      </c>
      <c r="GD210" s="50">
        <f>(EXP(LN('Ecoinvent 3.10'!$E$13)^2)-1)*EXP(2*LN(GD25)+LN('Ecoinvent 3.10'!$E$13)^2)</f>
        <v>8.5418534603430336E-7</v>
      </c>
      <c r="GE210" s="224"/>
      <c r="GF210" s="50"/>
      <c r="GG210" s="224">
        <f>(EXP(LN('Ecoinvent 3.10'!$E$13)^2)-1)*EXP(2*LN(GG25)+LN('Ecoinvent 3.10'!$E$13)^2)</f>
        <v>3.6191580862346483E-5</v>
      </c>
      <c r="GH210" s="50">
        <f>(EXP(LN('Ecoinvent 3.10'!$E$13)^2)-1)*EXP(2*LN(GH25)+LN('Ecoinvent 3.10'!$E$13)^2)</f>
        <v>3.6191580862346483E-5</v>
      </c>
      <c r="GI210" s="224">
        <f>(EXP(LN('Ecoinvent 3.10'!$E$13)^2)-1)*EXP(2*LN(GI25)+LN('Ecoinvent 3.10'!$E$13)^2)</f>
        <v>8.5418534603430336E-7</v>
      </c>
      <c r="GJ210" s="50">
        <f>(EXP(LN('Ecoinvent 3.10'!$E$13)^2)-1)*EXP(2*LN(GJ25)+LN('Ecoinvent 3.10'!$E$13)^2)</f>
        <v>8.5418534603430336E-7</v>
      </c>
      <c r="GM210" s="149" t="s">
        <v>210</v>
      </c>
      <c r="GN210" s="264"/>
      <c r="GO210" s="265"/>
      <c r="GP210" s="224">
        <f>(EXP(LN('Ecoinvent 3.10'!$E$13)^2)-1)*EXP(2*LN(GP25)+LN('Ecoinvent 3.10'!$E$13)^2)</f>
        <v>4.643209522091105E-4</v>
      </c>
      <c r="GQ210" s="50">
        <f>(EXP(LN('Ecoinvent 3.10'!$E$13)^2)-1)*EXP(2*LN(GQ25)+LN('Ecoinvent 3.10'!$E$13)^2)</f>
        <v>4.643209522091105E-4</v>
      </c>
      <c r="GR210" s="224">
        <f>(EXP(LN('Ecoinvent 3.10'!$E$13)^2)-1)*EXP(2*LN(GR25)+LN('Ecoinvent 3.10'!$E$13)^2)</f>
        <v>1.9453209467147132E-4</v>
      </c>
      <c r="GS210" s="50">
        <f>(EXP(LN('Ecoinvent 3.10'!$E$13)^2)-1)*EXP(2*LN(GS25)+LN('Ecoinvent 3.10'!$E$13)^2)</f>
        <v>1.9453209467147132E-4</v>
      </c>
      <c r="GT210" s="224">
        <f>(EXP(LN('Ecoinvent 3.10'!$E$13)^2)-1)*EXP(2*LN(GT25)+LN('Ecoinvent 3.10'!$E$13)^2)</f>
        <v>3.3388245204439896E-5</v>
      </c>
      <c r="GU210" s="50">
        <f>(EXP(LN('Ecoinvent 3.10'!$E$13)^2)-1)*EXP(2*LN(GU25)+LN('Ecoinvent 3.10'!$E$13)^2)</f>
        <v>3.3388245204439896E-5</v>
      </c>
      <c r="GV210" s="224">
        <f>(EXP(LN('Ecoinvent 3.10'!$E$13)^2)-1)*EXP(2*LN(GV25)+LN('Ecoinvent 3.10'!$E$13)^2)</f>
        <v>6.8082289148560767E-6</v>
      </c>
      <c r="GW210" s="50">
        <f>(EXP(LN('Ecoinvent 3.10'!$E$13)^2)-1)*EXP(2*LN(GW25)+LN('Ecoinvent 3.10'!$E$13)^2)</f>
        <v>6.8082289148560767E-6</v>
      </c>
      <c r="GX210" s="224"/>
      <c r="GY210" s="50"/>
      <c r="GZ210" s="224">
        <f>(EXP(LN('Ecoinvent 3.10'!$E$13)^2)-1)*EXP(2*LN(GZ25)+LN('Ecoinvent 3.10'!$E$13)^2)</f>
        <v>2.8846264858714159E-4</v>
      </c>
      <c r="HA210" s="50">
        <f>(EXP(LN('Ecoinvent 3.10'!$E$13)^2)-1)*EXP(2*LN(HA25)+LN('Ecoinvent 3.10'!$E$13)^2)</f>
        <v>2.8846264858714159E-4</v>
      </c>
      <c r="HB210" s="224">
        <f>(EXP(LN('Ecoinvent 3.10'!$E$13)^2)-1)*EXP(2*LN(HB25)+LN('Ecoinvent 3.10'!$E$13)^2)</f>
        <v>6.8082289148560767E-6</v>
      </c>
      <c r="HC210" s="50">
        <f>(EXP(LN('Ecoinvent 3.10'!$E$13)^2)-1)*EXP(2*LN(HC25)+LN('Ecoinvent 3.10'!$E$13)^2)</f>
        <v>6.8082289148560767E-6</v>
      </c>
      <c r="HF210" s="149" t="s">
        <v>210</v>
      </c>
      <c r="HG210" s="264"/>
      <c r="HH210" s="265"/>
      <c r="HI210" s="224">
        <f>(EXP(LN('Ecoinvent 3.10'!$E$13)^2)-1)*EXP(2*LN(HI25)+LN('Ecoinvent 3.10'!$E$13)^2)</f>
        <v>3.1432681015877262E-2</v>
      </c>
      <c r="HJ210" s="50">
        <f>(EXP(LN('Ecoinvent 3.10'!$E$13)^2)-1)*EXP(2*LN(HJ25)+LN('Ecoinvent 3.10'!$E$13)^2)</f>
        <v>3.1432681015877262E-2</v>
      </c>
      <c r="HK210" s="224">
        <f>(EXP(LN('Ecoinvent 3.10'!$E$13)^2)-1)*EXP(2*LN(HK25)+LN('Ecoinvent 3.10'!$E$13)^2)</f>
        <v>1.3169048801409688E-2</v>
      </c>
      <c r="HL210" s="50">
        <f>(EXP(LN('Ecoinvent 3.10'!$E$13)^2)-1)*EXP(2*LN(HL25)+LN('Ecoinvent 3.10'!$E$13)^2)</f>
        <v>1.3169048801409688E-2</v>
      </c>
      <c r="HM210" s="224">
        <f>(EXP(LN('Ecoinvent 3.10'!$E$13)^2)-1)*EXP(2*LN(HM25)+LN('Ecoinvent 3.10'!$E$13)^2)</f>
        <v>2.2602513545811531E-3</v>
      </c>
      <c r="HN210" s="50">
        <f>(EXP(LN('Ecoinvent 3.10'!$E$13)^2)-1)*EXP(2*LN(HN25)+LN('Ecoinvent 3.10'!$E$13)^2)</f>
        <v>2.2602513545811531E-3</v>
      </c>
      <c r="HO210" s="224">
        <f>(EXP(LN('Ecoinvent 3.10'!$E$13)^2)-1)*EXP(2*LN(HO25)+LN('Ecoinvent 3.10'!$E$13)^2)</f>
        <v>4.6089000883028496E-4</v>
      </c>
      <c r="HP210" s="50">
        <f>(EXP(LN('Ecoinvent 3.10'!$E$13)^2)-1)*EXP(2*LN(HP25)+LN('Ecoinvent 3.10'!$E$13)^2)</f>
        <v>4.6089000883028496E-4</v>
      </c>
      <c r="HQ210" s="224"/>
      <c r="HR210" s="50"/>
      <c r="HS210" s="224">
        <f>(EXP(LN('Ecoinvent 3.10'!$E$13)^2)-1)*EXP(2*LN(HS25)+LN('Ecoinvent 3.10'!$E$13)^2)</f>
        <v>1.9527773568898208E-2</v>
      </c>
      <c r="HT210" s="50">
        <f>(EXP(LN('Ecoinvent 3.10'!$E$13)^2)-1)*EXP(2*LN(HT25)+LN('Ecoinvent 3.10'!$E$13)^2)</f>
        <v>1.9527773568898208E-2</v>
      </c>
      <c r="HU210" s="224">
        <f>(EXP(LN('Ecoinvent 3.10'!$E$13)^2)-1)*EXP(2*LN(HU25)+LN('Ecoinvent 3.10'!$E$13)^2)</f>
        <v>4.6089000883028496E-4</v>
      </c>
      <c r="HV210" s="50">
        <f>(EXP(LN('Ecoinvent 3.10'!$E$13)^2)-1)*EXP(2*LN(HV25)+LN('Ecoinvent 3.10'!$E$13)^2)</f>
        <v>4.6089000883028496E-4</v>
      </c>
      <c r="HY210" s="149" t="s">
        <v>210</v>
      </c>
      <c r="HZ210" s="264"/>
      <c r="IA210" s="265"/>
      <c r="IB210" s="224">
        <f>(EXP(LN('Ecoinvent 3.10'!$E$13)^2)-1)*EXP(2*LN(IB25)+LN('Ecoinvent 3.10'!$E$13)^2)</f>
        <v>4.337147391378531E-7</v>
      </c>
      <c r="IC210" s="50">
        <f>(EXP(LN('Ecoinvent 3.10'!$E$13)^2)-1)*EXP(2*LN(IC25)+LN('Ecoinvent 3.10'!$E$13)^2)</f>
        <v>4.337147391378531E-7</v>
      </c>
      <c r="ID210" s="224">
        <f>(EXP(LN('Ecoinvent 3.10'!$E$13)^2)-1)*EXP(2*LN(ID25)+LN('Ecoinvent 3.10'!$E$13)^2)</f>
        <v>1.8170930321572025E-7</v>
      </c>
      <c r="IE210" s="50">
        <f>(EXP(LN('Ecoinvent 3.10'!$E$13)^2)-1)*EXP(2*LN(IE25)+LN('Ecoinvent 3.10'!$E$13)^2)</f>
        <v>1.8170930321572025E-7</v>
      </c>
      <c r="IF210" s="224">
        <f>(EXP(LN('Ecoinvent 3.10'!$E$13)^2)-1)*EXP(2*LN(IF25)+LN('Ecoinvent 3.10'!$E$13)^2)</f>
        <v>3.1187423247255732E-8</v>
      </c>
      <c r="IG210" s="50">
        <f>(EXP(LN('Ecoinvent 3.10'!$E$13)^2)-1)*EXP(2*LN(IG25)+LN('Ecoinvent 3.10'!$E$13)^2)</f>
        <v>3.1187423247255732E-8</v>
      </c>
      <c r="IH210" s="224">
        <f>(EXP(LN('Ecoinvent 3.10'!$E$13)^2)-1)*EXP(2*LN(IH25)+LN('Ecoinvent 3.10'!$E$13)^2)</f>
        <v>6.3594572111140998E-9</v>
      </c>
      <c r="II210" s="50">
        <f>(EXP(LN('Ecoinvent 3.10'!$E$13)^2)-1)*EXP(2*LN(II25)+LN('Ecoinvent 3.10'!$E$13)^2)</f>
        <v>6.3594572111140998E-9</v>
      </c>
      <c r="IJ210" s="224"/>
      <c r="IK210" s="50"/>
      <c r="IL210" s="224">
        <f>(EXP(LN('Ecoinvent 3.10'!$E$13)^2)-1)*EXP(2*LN(IL25)+LN('Ecoinvent 3.10'!$E$13)^2)</f>
        <v>2.6944832402618314E-7</v>
      </c>
      <c r="IM210" s="50">
        <f>(EXP(LN('Ecoinvent 3.10'!$E$13)^2)-1)*EXP(2*LN(IM25)+LN('Ecoinvent 3.10'!$E$13)^2)</f>
        <v>2.6944832402618314E-7</v>
      </c>
      <c r="IN210" s="224">
        <f>(EXP(LN('Ecoinvent 3.10'!$E$13)^2)-1)*EXP(2*LN(IN25)+LN('Ecoinvent 3.10'!$E$13)^2)</f>
        <v>6.3594572111140998E-9</v>
      </c>
      <c r="IO210" s="50">
        <f>(EXP(LN('Ecoinvent 3.10'!$E$13)^2)-1)*EXP(2*LN(IO25)+LN('Ecoinvent 3.10'!$E$13)^2)</f>
        <v>6.3594572111140998E-9</v>
      </c>
    </row>
    <row r="211" spans="1:249" ht="14.25" x14ac:dyDescent="0.25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39"/>
      <c r="AN211" s="156"/>
      <c r="AO211" s="158"/>
      <c r="AP211" s="726"/>
      <c r="AQ211" s="149" t="s">
        <v>424</v>
      </c>
      <c r="AR211" s="224">
        <f>(EXP(LN('Ecoinvent 3.10'!$E$14)^2)-1)*EXP(2*LN(AR26)+LN('Ecoinvent 3.10'!$E$14)^2)</f>
        <v>8.3502752728920058</v>
      </c>
      <c r="AS211" s="50">
        <f>(EXP(LN('Ecoinvent 3.10'!$E$14)^2)-1)*EXP(2*LN(AS26)+LN('Ecoinvent 3.10'!$E$14)^2)</f>
        <v>8.3502752728920058</v>
      </c>
      <c r="AT211" s="224">
        <f>(EXP(LN('Ecoinvent 3.10'!$E$14)^2)-1)*EXP(2*LN(AT26)+LN('Ecoinvent 3.10'!$E$14)^2)</f>
        <v>122.33560199458266</v>
      </c>
      <c r="AU211" s="50">
        <f>(EXP(LN('Ecoinvent 3.10'!$E$14)^2)-1)*EXP(2*LN(AU26)+LN('Ecoinvent 3.10'!$E$14)^2)</f>
        <v>122.33560199458266</v>
      </c>
      <c r="AV211" s="224">
        <f>(EXP(LN('Ecoinvent 3.10'!$E$14)^2)-1)*EXP(2*LN(AV26)+LN('Ecoinvent 3.10'!$E$14)^2)</f>
        <v>115.32099034142595</v>
      </c>
      <c r="AW211" s="50">
        <f>(EXP(LN('Ecoinvent 3.10'!$E$14)^2)-1)*EXP(2*LN(AW26)+LN('Ecoinvent 3.10'!$E$14)^2)</f>
        <v>115.32099034142595</v>
      </c>
      <c r="AX211" s="224">
        <f>(EXP(LN('Ecoinvent 3.10'!$E$14)^2)-1)*EXP(2*LN(AX26)+LN('Ecoinvent 3.10'!$E$14)^2)</f>
        <v>19.792957605483704</v>
      </c>
      <c r="AY211" s="50">
        <f>(EXP(LN('Ecoinvent 3.10'!$E$14)^2)-1)*EXP(2*LN(AY26)+LN('Ecoinvent 3.10'!$E$14)^2)</f>
        <v>19.792957605483704</v>
      </c>
      <c r="AZ211" s="224">
        <f>(EXP(LN('Ecoinvent 3.10'!$E$14)^2)-1)*EXP(2*LN(AZ26)+LN('Ecoinvent 3.10'!$E$14)^2)</f>
        <v>4.03600085763882</v>
      </c>
      <c r="BA211" s="50">
        <f>(EXP(LN('Ecoinvent 3.10'!$E$14)^2)-1)*EXP(2*LN(BA26)+LN('Ecoinvent 3.10'!$E$14)^2)</f>
        <v>4.03600085763882</v>
      </c>
      <c r="BB211" s="224"/>
      <c r="BC211" s="50"/>
      <c r="BD211" s="264"/>
      <c r="BE211" s="265"/>
      <c r="BF211" s="224">
        <f>(EXP(LN('Ecoinvent 3.10'!$E$14)^2)-1)*EXP(2*LN(BF26)+LN('Ecoinvent 3.10'!$E$14)^2)</f>
        <v>4.03600085763882</v>
      </c>
      <c r="BG211" s="50">
        <f>(EXP(LN('Ecoinvent 3.10'!$E$14)^2)-1)*EXP(2*LN(BG26)+LN('Ecoinvent 3.10'!$E$14)^2)</f>
        <v>4.03600085763882</v>
      </c>
      <c r="BI211" s="156"/>
      <c r="BJ211" s="149" t="s">
        <v>424</v>
      </c>
      <c r="BK211" s="224">
        <f>(EXP(LN('Ecoinvent 3.10'!$E$14)^2)-1)*EXP(2*LN(BK26)+LN('Ecoinvent 3.10'!$E$14)^2)</f>
        <v>7.7177811188634635E-2</v>
      </c>
      <c r="BL211" s="50">
        <f>(EXP(LN('Ecoinvent 3.10'!$E$14)^2)-1)*EXP(2*LN(BL26)+LN('Ecoinvent 3.10'!$E$14)^2)</f>
        <v>7.7177811188634635E-2</v>
      </c>
      <c r="BM211" s="224">
        <f>(EXP(LN('Ecoinvent 3.10'!$E$14)^2)-1)*EXP(2*LN(BM26)+LN('Ecoinvent 3.10'!$E$14)^2)</f>
        <v>1.1306925441172764</v>
      </c>
      <c r="BN211" s="50">
        <f>(EXP(LN('Ecoinvent 3.10'!$E$14)^2)-1)*EXP(2*LN(BN26)+LN('Ecoinvent 3.10'!$E$14)^2)</f>
        <v>1.1306925441172764</v>
      </c>
      <c r="BO211" s="224">
        <f>(EXP(LN('Ecoinvent 3.10'!$E$14)^2)-1)*EXP(2*LN(BO26)+LN('Ecoinvent 3.10'!$E$14)^2)</f>
        <v>1.0658596666328162</v>
      </c>
      <c r="BP211" s="50">
        <f>(EXP(LN('Ecoinvent 3.10'!$E$14)^2)-1)*EXP(2*LN(BP26)+LN('Ecoinvent 3.10'!$E$14)^2)</f>
        <v>1.0658596666328162</v>
      </c>
      <c r="BQ211" s="224">
        <f>(EXP(LN('Ecoinvent 3.10'!$E$14)^2)-1)*EXP(2*LN(BQ26)+LN('Ecoinvent 3.10'!$E$14)^2)</f>
        <v>0.18293733979043</v>
      </c>
      <c r="BR211" s="50">
        <f>(EXP(LN('Ecoinvent 3.10'!$E$14)^2)-1)*EXP(2*LN(BR26)+LN('Ecoinvent 3.10'!$E$14)^2)</f>
        <v>0.18293733979043</v>
      </c>
      <c r="BS211" s="224">
        <f>(EXP(LN('Ecoinvent 3.10'!$E$14)^2)-1)*EXP(2*LN(BS26)+LN('Ecoinvent 3.10'!$E$14)^2)</f>
        <v>3.730292738482812E-2</v>
      </c>
      <c r="BT211" s="50">
        <f>(EXP(LN('Ecoinvent 3.10'!$E$14)^2)-1)*EXP(2*LN(BT26)+LN('Ecoinvent 3.10'!$E$14)^2)</f>
        <v>3.730292738482812E-2</v>
      </c>
      <c r="BU211" s="224"/>
      <c r="BV211" s="50"/>
      <c r="BW211" s="264"/>
      <c r="BX211" s="265"/>
      <c r="BY211" s="224">
        <f>(EXP(LN('Ecoinvent 3.10'!$E$14)^2)-1)*EXP(2*LN(BY26)+LN('Ecoinvent 3.10'!$E$14)^2)</f>
        <v>3.730292738482812E-2</v>
      </c>
      <c r="BZ211" s="50">
        <f>(EXP(LN('Ecoinvent 3.10'!$E$14)^2)-1)*EXP(2*LN(BZ26)+LN('Ecoinvent 3.10'!$E$14)^2)</f>
        <v>3.730292738482812E-2</v>
      </c>
      <c r="CA211" s="156"/>
      <c r="CB211" s="156"/>
      <c r="CC211" s="149" t="s">
        <v>424</v>
      </c>
      <c r="CD211" s="224">
        <f>(EXP(LN('Ecoinvent 3.10'!$E$14)^2)-1)*EXP(2*LN(CD26)+LN('Ecoinvent 3.10'!$E$14)^2)</f>
        <v>120.51300507938784</v>
      </c>
      <c r="CE211" s="50">
        <f>(EXP(LN('Ecoinvent 3.10'!$E$14)^2)-1)*EXP(2*LN(CE26)+LN('Ecoinvent 3.10'!$E$14)^2)</f>
        <v>120.51300507938784</v>
      </c>
      <c r="CF211" s="224">
        <f>(EXP(LN('Ecoinvent 3.10'!$E$14)^2)-1)*EXP(2*LN(CF26)+LN('Ecoinvent 3.10'!$E$14)^2)</f>
        <v>1765.5742526745553</v>
      </c>
      <c r="CG211" s="50">
        <f>(EXP(LN('Ecoinvent 3.10'!$E$14)^2)-1)*EXP(2*LN(CG26)+LN('Ecoinvent 3.10'!$E$14)^2)</f>
        <v>1765.5742526745553</v>
      </c>
      <c r="CH211" s="224">
        <f>(EXP(LN('Ecoinvent 3.10'!$E$14)^2)-1)*EXP(2*LN(CH26)+LN('Ecoinvent 3.10'!$E$14)^2)</f>
        <v>1664.3378380462675</v>
      </c>
      <c r="CI211" s="50">
        <f>(EXP(LN('Ecoinvent 3.10'!$E$14)^2)-1)*EXP(2*LN(CI26)+LN('Ecoinvent 3.10'!$E$14)^2)</f>
        <v>1664.3378380462675</v>
      </c>
      <c r="CJ211" s="224">
        <f>(EXP(LN('Ecoinvent 3.10'!$E$14)^2)-1)*EXP(2*LN(CJ26)+LN('Ecoinvent 3.10'!$E$14)^2)</f>
        <v>285.65630742609613</v>
      </c>
      <c r="CK211" s="50">
        <f>(EXP(LN('Ecoinvent 3.10'!$E$14)^2)-1)*EXP(2*LN(CK26)+LN('Ecoinvent 3.10'!$E$14)^2)</f>
        <v>285.65630742609613</v>
      </c>
      <c r="CL211" s="224">
        <f>(EXP(LN('Ecoinvent 3.10'!$E$14)^2)-1)*EXP(2*LN(CL26)+LN('Ecoinvent 3.10'!$E$14)^2)</f>
        <v>58.248450016497031</v>
      </c>
      <c r="CM211" s="50">
        <f>(EXP(LN('Ecoinvent 3.10'!$E$14)^2)-1)*EXP(2*LN(CM26)+LN('Ecoinvent 3.10'!$E$14)^2)</f>
        <v>58.248450016497031</v>
      </c>
      <c r="CN211" s="224"/>
      <c r="CO211" s="50"/>
      <c r="CP211" s="264"/>
      <c r="CQ211" s="265"/>
      <c r="CR211" s="224">
        <f>(EXP(LN('Ecoinvent 3.10'!$E$14)^2)-1)*EXP(2*LN(CR26)+LN('Ecoinvent 3.10'!$E$14)^2)</f>
        <v>58.248450016497031</v>
      </c>
      <c r="CS211" s="50">
        <f>(EXP(LN('Ecoinvent 3.10'!$E$14)^2)-1)*EXP(2*LN(CS26)+LN('Ecoinvent 3.10'!$E$14)^2)</f>
        <v>58.248450016497031</v>
      </c>
      <c r="CV211" s="149" t="s">
        <v>424</v>
      </c>
      <c r="CW211" s="224">
        <f>(EXP(LN('Ecoinvent 3.10'!$E$14)^2)-1)*EXP(2*LN(CW26)+LN('Ecoinvent 3.10'!$E$14)^2)</f>
        <v>2.8415729507616105E-6</v>
      </c>
      <c r="CX211" s="50">
        <f>(EXP(LN('Ecoinvent 3.10'!$E$14)^2)-1)*EXP(2*LN(CX26)+LN('Ecoinvent 3.10'!$E$14)^2)</f>
        <v>2.8415729507616105E-6</v>
      </c>
      <c r="CY211" s="224">
        <f>(EXP(LN('Ecoinvent 3.10'!$E$14)^2)-1)*EXP(2*LN(CY26)+LN('Ecoinvent 3.10'!$E$14)^2)</f>
        <v>4.1630428480778541E-5</v>
      </c>
      <c r="CZ211" s="50">
        <f>(EXP(LN('Ecoinvent 3.10'!$E$14)^2)-1)*EXP(2*LN(CZ26)+LN('Ecoinvent 3.10'!$E$14)^2)</f>
        <v>4.1630428480778541E-5</v>
      </c>
      <c r="DA211" s="224">
        <f>(EXP(LN('Ecoinvent 3.10'!$E$14)^2)-1)*EXP(2*LN(DA26)+LN('Ecoinvent 3.10'!$E$14)^2)</f>
        <v>3.9243377745048257E-5</v>
      </c>
      <c r="DB211" s="50">
        <f>(EXP(LN('Ecoinvent 3.10'!$E$14)^2)-1)*EXP(2*LN(DB26)+LN('Ecoinvent 3.10'!$E$14)^2)</f>
        <v>3.9243377745048257E-5</v>
      </c>
      <c r="DC211" s="224">
        <f>(EXP(LN('Ecoinvent 3.10'!$E$14)^2)-1)*EXP(2*LN(DC26)+LN('Ecoinvent 3.10'!$E$14)^2)</f>
        <v>6.7354824971937398E-6</v>
      </c>
      <c r="DD211" s="50">
        <f>(EXP(LN('Ecoinvent 3.10'!$E$14)^2)-1)*EXP(2*LN(DD26)+LN('Ecoinvent 3.10'!$E$14)^2)</f>
        <v>6.7354824971937398E-6</v>
      </c>
      <c r="DE211" s="224">
        <f>(EXP(LN('Ecoinvent 3.10'!$E$14)^2)-1)*EXP(2*LN(DE26)+LN('Ecoinvent 3.10'!$E$14)^2)</f>
        <v>1.373438658189904E-6</v>
      </c>
      <c r="DF211" s="50">
        <f>(EXP(LN('Ecoinvent 3.10'!$E$14)^2)-1)*EXP(2*LN(DF26)+LN('Ecoinvent 3.10'!$E$14)^2)</f>
        <v>1.373438658189904E-6</v>
      </c>
      <c r="DG211" s="224"/>
      <c r="DH211" s="50"/>
      <c r="DI211" s="264"/>
      <c r="DJ211" s="265"/>
      <c r="DK211" s="224">
        <f>(EXP(LN('Ecoinvent 3.10'!$E$14)^2)-1)*EXP(2*LN(DK26)+LN('Ecoinvent 3.10'!$E$14)^2)</f>
        <v>1.373438658189904E-6</v>
      </c>
      <c r="DL211" s="50">
        <f>(EXP(LN('Ecoinvent 3.10'!$E$14)^2)-1)*EXP(2*LN(DL26)+LN('Ecoinvent 3.10'!$E$14)^2)</f>
        <v>1.373438658189904E-6</v>
      </c>
      <c r="DO211" s="149" t="s">
        <v>424</v>
      </c>
      <c r="DP211" s="224">
        <f>(EXP(LN('Ecoinvent 3.10'!$E$14)^2)-1)*EXP(2*LN(DP26)+LN('Ecoinvent 3.10'!$E$14)^2)</f>
        <v>6.207054232694775E-3</v>
      </c>
      <c r="DQ211" s="50">
        <f>(EXP(LN('Ecoinvent 3.10'!$E$14)^2)-1)*EXP(2*LN(DQ26)+LN('Ecoinvent 3.10'!$E$14)^2)</f>
        <v>6.207054232694775E-3</v>
      </c>
      <c r="DR211" s="224">
        <f>(EXP(LN('Ecoinvent 3.10'!$E$14)^2)-1)*EXP(2*LN(DR26)+LN('Ecoinvent 3.10'!$E$14)^2)</f>
        <v>9.0936369323636537E-2</v>
      </c>
      <c r="DS211" s="50">
        <f>(EXP(LN('Ecoinvent 3.10'!$E$14)^2)-1)*EXP(2*LN(DS26)+LN('Ecoinvent 3.10'!$E$14)^2)</f>
        <v>9.0936369323636537E-2</v>
      </c>
      <c r="DT211" s="224">
        <f>(EXP(LN('Ecoinvent 3.10'!$E$14)^2)-1)*EXP(2*LN(DT26)+LN('Ecoinvent 3.10'!$E$14)^2)</f>
        <v>8.5722160985645154E-2</v>
      </c>
      <c r="DU211" s="50">
        <f>(EXP(LN('Ecoinvent 3.10'!$E$14)^2)-1)*EXP(2*LN(DU26)+LN('Ecoinvent 3.10'!$E$14)^2)</f>
        <v>8.5722160985645154E-2</v>
      </c>
      <c r="DV211" s="224">
        <f>(EXP(LN('Ecoinvent 3.10'!$E$14)^2)-1)*EXP(2*LN(DV26)+LN('Ecoinvent 3.10'!$E$14)^2)</f>
        <v>1.4712803742111402E-2</v>
      </c>
      <c r="DW211" s="50">
        <f>(EXP(LN('Ecoinvent 3.10'!$E$14)^2)-1)*EXP(2*LN(DW26)+LN('Ecoinvent 3.10'!$E$14)^2)</f>
        <v>1.4712803742111402E-2</v>
      </c>
      <c r="DX211" s="224">
        <f>(EXP(LN('Ecoinvent 3.10'!$E$14)^2)-1)*EXP(2*LN(DX26)+LN('Ecoinvent 3.10'!$E$14)^2)</f>
        <v>3.0001018395038439E-3</v>
      </c>
      <c r="DY211" s="50">
        <f>(EXP(LN('Ecoinvent 3.10'!$E$14)^2)-1)*EXP(2*LN(DY26)+LN('Ecoinvent 3.10'!$E$14)^2)</f>
        <v>3.0001018395038439E-3</v>
      </c>
      <c r="DZ211" s="224"/>
      <c r="EA211" s="50"/>
      <c r="EB211" s="264"/>
      <c r="EC211" s="265"/>
      <c r="ED211" s="224">
        <f>(EXP(LN('Ecoinvent 3.10'!$E$14)^2)-1)*EXP(2*LN(ED26)+LN('Ecoinvent 3.10'!$E$14)^2)</f>
        <v>3.0001018395038439E-3</v>
      </c>
      <c r="EE211" s="50">
        <f>(EXP(LN('Ecoinvent 3.10'!$E$14)^2)-1)*EXP(2*LN(EE26)+LN('Ecoinvent 3.10'!$E$14)^2)</f>
        <v>3.0001018395038439E-3</v>
      </c>
      <c r="EH211" s="149" t="s">
        <v>424</v>
      </c>
      <c r="EI211" s="224">
        <f>(EXP(LN('Ecoinvent 3.10'!$E$14)^2)-1)*EXP(2*LN(EI26)+LN('Ecoinvent 3.10'!$E$14)^2)</f>
        <v>2.0562410998674788E-3</v>
      </c>
      <c r="EJ211" s="50">
        <f>(EXP(LN('Ecoinvent 3.10'!$E$14)^2)-1)*EXP(2*LN(EJ26)+LN('Ecoinvent 3.10'!$E$14)^2)</f>
        <v>2.0562410998674788E-3</v>
      </c>
      <c r="EK211" s="224">
        <f>(EXP(LN('Ecoinvent 3.10'!$E$14)^2)-1)*EXP(2*LN(EK26)+LN('Ecoinvent 3.10'!$E$14)^2)</f>
        <v>3.012493415814893E-2</v>
      </c>
      <c r="EL211" s="50">
        <f>(EXP(LN('Ecoinvent 3.10'!$E$14)^2)-1)*EXP(2*LN(EL26)+LN('Ecoinvent 3.10'!$E$14)^2)</f>
        <v>3.012493415814893E-2</v>
      </c>
      <c r="EM211" s="224">
        <f>(EXP(LN('Ecoinvent 3.10'!$E$14)^2)-1)*EXP(2*LN(EM26)+LN('Ecoinvent 3.10'!$E$14)^2)</f>
        <v>2.83975979555144E-2</v>
      </c>
      <c r="EN211" s="50">
        <f>(EXP(LN('Ecoinvent 3.10'!$E$14)^2)-1)*EXP(2*LN(EN26)+LN('Ecoinvent 3.10'!$E$14)^2)</f>
        <v>2.83975979555144E-2</v>
      </c>
      <c r="EO211" s="224">
        <f>(EXP(LN('Ecoinvent 3.10'!$E$14)^2)-1)*EXP(2*LN(EO26)+LN('Ecoinvent 3.10'!$E$14)^2)</f>
        <v>4.8739821845699E-3</v>
      </c>
      <c r="EP211" s="50">
        <f>(EXP(LN('Ecoinvent 3.10'!$E$14)^2)-1)*EXP(2*LN(EP26)+LN('Ecoinvent 3.10'!$E$14)^2)</f>
        <v>4.8739821845699E-3</v>
      </c>
      <c r="EQ211" s="224">
        <f>(EXP(LN('Ecoinvent 3.10'!$E$14)^2)-1)*EXP(2*LN(EQ26)+LN('Ecoinvent 3.10'!$E$14)^2)</f>
        <v>9.9385835452860355E-4</v>
      </c>
      <c r="ER211" s="50">
        <f>(EXP(LN('Ecoinvent 3.10'!$E$14)^2)-1)*EXP(2*LN(ER26)+LN('Ecoinvent 3.10'!$E$14)^2)</f>
        <v>9.9385835452860355E-4</v>
      </c>
      <c r="ES211" s="224"/>
      <c r="ET211" s="50"/>
      <c r="EU211" s="264"/>
      <c r="EV211" s="265"/>
      <c r="EW211" s="224">
        <f>(EXP(LN('Ecoinvent 3.10'!$E$14)^2)-1)*EXP(2*LN(EW26)+LN('Ecoinvent 3.10'!$E$14)^2)</f>
        <v>9.9385835452860355E-4</v>
      </c>
      <c r="EX211" s="50">
        <f>(EXP(LN('Ecoinvent 3.10'!$E$14)^2)-1)*EXP(2*LN(EX26)+LN('Ecoinvent 3.10'!$E$14)^2)</f>
        <v>9.9385835452860355E-4</v>
      </c>
      <c r="FA211" s="149" t="s">
        <v>424</v>
      </c>
      <c r="FB211" s="224">
        <f>(EXP(LN('Ecoinvent 3.10'!$E$14)^2)-1)*EXP(2*LN(FB26)+LN('Ecoinvent 3.10'!$E$14)^2)</f>
        <v>1.1553958162992635E-8</v>
      </c>
      <c r="FC211" s="50">
        <f>(EXP(LN('Ecoinvent 3.10'!$E$14)^2)-1)*EXP(2*LN(FC26)+LN('Ecoinvent 3.10'!$E$14)^2)</f>
        <v>1.1553958162992635E-8</v>
      </c>
      <c r="FD211" s="224">
        <f>(EXP(LN('Ecoinvent 3.10'!$E$14)^2)-1)*EXP(2*LN(FD26)+LN('Ecoinvent 3.10'!$E$14)^2)</f>
        <v>1.6927111754968429E-7</v>
      </c>
      <c r="FE211" s="50">
        <f>(EXP(LN('Ecoinvent 3.10'!$E$14)^2)-1)*EXP(2*LN(FE26)+LN('Ecoinvent 3.10'!$E$14)^2)</f>
        <v>1.6927111754968429E-7</v>
      </c>
      <c r="FF211" s="224">
        <f>(EXP(LN('Ecoinvent 3.10'!$E$14)^2)-1)*EXP(2*LN(FF26)+LN('Ecoinvent 3.10'!$E$14)^2)</f>
        <v>1.5956526631465744E-7</v>
      </c>
      <c r="FG211" s="50">
        <f>(EXP(LN('Ecoinvent 3.10'!$E$14)^2)-1)*EXP(2*LN(FG26)+LN('Ecoinvent 3.10'!$E$14)^2)</f>
        <v>1.5956526631465744E-7</v>
      </c>
      <c r="FH211" s="224">
        <f>(EXP(LN('Ecoinvent 3.10'!$E$14)^2)-1)*EXP(2*LN(FH26)+LN('Ecoinvent 3.10'!$E$14)^2)</f>
        <v>2.7386762306872155E-8</v>
      </c>
      <c r="FI211" s="50">
        <f>(EXP(LN('Ecoinvent 3.10'!$E$14)^2)-1)*EXP(2*LN(FI26)+LN('Ecoinvent 3.10'!$E$14)^2)</f>
        <v>2.7386762306872155E-8</v>
      </c>
      <c r="FJ211" s="224">
        <f>(EXP(LN('Ecoinvent 3.10'!$E$14)^2)-1)*EXP(2*LN(FJ26)+LN('Ecoinvent 3.10'!$E$14)^2)</f>
        <v>5.5844608148841277E-9</v>
      </c>
      <c r="FK211" s="50">
        <f>(EXP(LN('Ecoinvent 3.10'!$E$14)^2)-1)*EXP(2*LN(FK26)+LN('Ecoinvent 3.10'!$E$14)^2)</f>
        <v>5.5844608148841277E-9</v>
      </c>
      <c r="FL211" s="224"/>
      <c r="FM211" s="50"/>
      <c r="FN211" s="264"/>
      <c r="FO211" s="265"/>
      <c r="FP211" s="224">
        <f>(EXP(LN('Ecoinvent 3.10'!$E$14)^2)-1)*EXP(2*LN(FP26)+LN('Ecoinvent 3.10'!$E$14)^2)</f>
        <v>5.5844608148841277E-9</v>
      </c>
      <c r="FQ211" s="50">
        <f>(EXP(LN('Ecoinvent 3.10'!$E$14)^2)-1)*EXP(2*LN(FQ26)+LN('Ecoinvent 3.10'!$E$14)^2)</f>
        <v>5.5844608148841277E-9</v>
      </c>
      <c r="FT211" s="149" t="s">
        <v>424</v>
      </c>
      <c r="FU211" s="224">
        <f>(EXP(LN('Ecoinvent 3.10'!$E$14)^2)-1)*EXP(2*LN(FU26)+LN('Ecoinvent 3.10'!$E$14)^2)</f>
        <v>1.964704799776311E-3</v>
      </c>
      <c r="FV211" s="50">
        <f>(EXP(LN('Ecoinvent 3.10'!$E$14)^2)-1)*EXP(2*LN(FV26)+LN('Ecoinvent 3.10'!$E$14)^2)</f>
        <v>1.964704799776311E-3</v>
      </c>
      <c r="FW211" s="224">
        <f>(EXP(LN('Ecoinvent 3.10'!$E$14)^2)-1)*EXP(2*LN(FW26)+LN('Ecoinvent 3.10'!$E$14)^2)</f>
        <v>2.8783882754446939E-2</v>
      </c>
      <c r="FX211" s="50">
        <f>(EXP(LN('Ecoinvent 3.10'!$E$14)^2)-1)*EXP(2*LN(FX26)+LN('Ecoinvent 3.10'!$E$14)^2)</f>
        <v>2.8783882754446939E-2</v>
      </c>
      <c r="FY211" s="224">
        <f>(EXP(LN('Ecoinvent 3.10'!$E$14)^2)-1)*EXP(2*LN(FY26)+LN('Ecoinvent 3.10'!$E$14)^2)</f>
        <v>2.7133441214122627E-2</v>
      </c>
      <c r="FZ211" s="50">
        <f>(EXP(LN('Ecoinvent 3.10'!$E$14)^2)-1)*EXP(2*LN(FZ26)+LN('Ecoinvent 3.10'!$E$14)^2)</f>
        <v>2.7133441214122627E-2</v>
      </c>
      <c r="GA211" s="224">
        <f>(EXP(LN('Ecoinvent 3.10'!$E$14)^2)-1)*EXP(2*LN(GA26)+LN('Ecoinvent 3.10'!$E$14)^2)</f>
        <v>4.6570104024600328E-3</v>
      </c>
      <c r="GB211" s="50">
        <f>(EXP(LN('Ecoinvent 3.10'!$E$14)^2)-1)*EXP(2*LN(GB26)+LN('Ecoinvent 3.10'!$E$14)^2)</f>
        <v>4.6570104024600328E-3</v>
      </c>
      <c r="GC211" s="224">
        <f>(EXP(LN('Ecoinvent 3.10'!$E$14)^2)-1)*EXP(2*LN(GC26)+LN('Ecoinvent 3.10'!$E$14)^2)</f>
        <v>9.4961543155906117E-4</v>
      </c>
      <c r="GD211" s="50">
        <f>(EXP(LN('Ecoinvent 3.10'!$E$14)^2)-1)*EXP(2*LN(GD26)+LN('Ecoinvent 3.10'!$E$14)^2)</f>
        <v>9.4961543155906117E-4</v>
      </c>
      <c r="GE211" s="224"/>
      <c r="GF211" s="50"/>
      <c r="GG211" s="264"/>
      <c r="GH211" s="265"/>
      <c r="GI211" s="224">
        <f>(EXP(LN('Ecoinvent 3.10'!$E$14)^2)-1)*EXP(2*LN(GI26)+LN('Ecoinvent 3.10'!$E$14)^2)</f>
        <v>9.4961543155906117E-4</v>
      </c>
      <c r="GJ211" s="50">
        <f>(EXP(LN('Ecoinvent 3.10'!$E$14)^2)-1)*EXP(2*LN(GJ26)+LN('Ecoinvent 3.10'!$E$14)^2)</f>
        <v>9.4961543155906117E-4</v>
      </c>
      <c r="GM211" s="149" t="s">
        <v>424</v>
      </c>
      <c r="GN211" s="224">
        <f>(EXP(LN('Ecoinvent 3.10'!$E$14)^2)-1)*EXP(2*LN(GN26)+LN('Ecoinvent 3.10'!$E$14)^2)</f>
        <v>4.5292509935771453E-3</v>
      </c>
      <c r="GO211" s="50">
        <f>(EXP(LN('Ecoinvent 3.10'!$E$14)^2)-1)*EXP(2*LN(GO26)+LN('Ecoinvent 3.10'!$E$14)^2)</f>
        <v>4.5292509935771453E-3</v>
      </c>
      <c r="GP211" s="224">
        <f>(EXP(LN('Ecoinvent 3.10'!$E$14)^2)-1)*EXP(2*LN(GP26)+LN('Ecoinvent 3.10'!$E$14)^2)</f>
        <v>6.6355734245383796E-2</v>
      </c>
      <c r="GQ211" s="50">
        <f>(EXP(LN('Ecoinvent 3.10'!$E$14)^2)-1)*EXP(2*LN(GQ26)+LN('Ecoinvent 3.10'!$E$14)^2)</f>
        <v>6.6355734245383796E-2</v>
      </c>
      <c r="GR211" s="224">
        <f>(EXP(LN('Ecoinvent 3.10'!$E$14)^2)-1)*EXP(2*LN(GR26)+LN('Ecoinvent 3.10'!$E$14)^2)</f>
        <v>6.2550957066030463E-2</v>
      </c>
      <c r="GS211" s="50">
        <f>(EXP(LN('Ecoinvent 3.10'!$E$14)^2)-1)*EXP(2*LN(GS26)+LN('Ecoinvent 3.10'!$E$14)^2)</f>
        <v>6.2550957066030463E-2</v>
      </c>
      <c r="GT211" s="224">
        <f>(EXP(LN('Ecoinvent 3.10'!$E$14)^2)-1)*EXP(2*LN(GT26)+LN('Ecoinvent 3.10'!$E$14)^2)</f>
        <v>1.0735846420715572E-2</v>
      </c>
      <c r="GU211" s="50">
        <f>(EXP(LN('Ecoinvent 3.10'!$E$14)^2)-1)*EXP(2*LN(GU26)+LN('Ecoinvent 3.10'!$E$14)^2)</f>
        <v>1.0735846420715572E-2</v>
      </c>
      <c r="GV211" s="224">
        <f>(EXP(LN('Ecoinvent 3.10'!$E$14)^2)-1)*EXP(2*LN(GV26)+LN('Ecoinvent 3.10'!$E$14)^2)</f>
        <v>2.1891566801255616E-3</v>
      </c>
      <c r="GW211" s="50">
        <f>(EXP(LN('Ecoinvent 3.10'!$E$14)^2)-1)*EXP(2*LN(GW26)+LN('Ecoinvent 3.10'!$E$14)^2)</f>
        <v>2.1891566801255616E-3</v>
      </c>
      <c r="GX211" s="224"/>
      <c r="GY211" s="50"/>
      <c r="GZ211" s="264"/>
      <c r="HA211" s="265"/>
      <c r="HB211" s="224">
        <f>(EXP(LN('Ecoinvent 3.10'!$E$14)^2)-1)*EXP(2*LN(HB26)+LN('Ecoinvent 3.10'!$E$14)^2)</f>
        <v>2.1891566801255616E-3</v>
      </c>
      <c r="HC211" s="50">
        <f>(EXP(LN('Ecoinvent 3.10'!$E$14)^2)-1)*EXP(2*LN(HC26)+LN('Ecoinvent 3.10'!$E$14)^2)</f>
        <v>2.1891566801255616E-3</v>
      </c>
      <c r="HF211" s="149" t="s">
        <v>424</v>
      </c>
      <c r="HG211" s="224">
        <f>(EXP(LN('Ecoinvent 3.10'!$E$14)^2)-1)*EXP(2*LN(HG26)+LN('Ecoinvent 3.10'!$E$14)^2)</f>
        <v>1.4695208263269297</v>
      </c>
      <c r="HH211" s="50">
        <f>(EXP(LN('Ecoinvent 3.10'!$E$14)^2)-1)*EXP(2*LN(HH26)+LN('Ecoinvent 3.10'!$E$14)^2)</f>
        <v>1.4695208263269297</v>
      </c>
      <c r="HI211" s="224">
        <f>(EXP(LN('Ecoinvent 3.10'!$E$14)^2)-1)*EXP(2*LN(HI26)+LN('Ecoinvent 3.10'!$E$14)^2)</f>
        <v>21.529196230918856</v>
      </c>
      <c r="HJ211" s="50">
        <f>(EXP(LN('Ecoinvent 3.10'!$E$14)^2)-1)*EXP(2*LN(HJ26)+LN('Ecoinvent 3.10'!$E$14)^2)</f>
        <v>21.529196230918856</v>
      </c>
      <c r="HK211" s="224">
        <f>(EXP(LN('Ecoinvent 3.10'!$E$14)^2)-1)*EXP(2*LN(HK26)+LN('Ecoinvent 3.10'!$E$14)^2)</f>
        <v>20.29473178800723</v>
      </c>
      <c r="HL211" s="50">
        <f>(EXP(LN('Ecoinvent 3.10'!$E$14)^2)-1)*EXP(2*LN(HL26)+LN('Ecoinvent 3.10'!$E$14)^2)</f>
        <v>20.29473178800723</v>
      </c>
      <c r="HM211" s="224">
        <f>(EXP(LN('Ecoinvent 3.10'!$E$14)^2)-1)*EXP(2*LN(HM26)+LN('Ecoinvent 3.10'!$E$14)^2)</f>
        <v>3.4832580322577433</v>
      </c>
      <c r="HN211" s="50">
        <f>(EXP(LN('Ecoinvent 3.10'!$E$14)^2)-1)*EXP(2*LN(HN26)+LN('Ecoinvent 3.10'!$E$14)^2)</f>
        <v>3.4832580322577433</v>
      </c>
      <c r="HO211" s="224">
        <f>(EXP(LN('Ecoinvent 3.10'!$E$14)^2)-1)*EXP(2*LN(HO26)+LN('Ecoinvent 3.10'!$E$14)^2)</f>
        <v>0.71027446659485727</v>
      </c>
      <c r="HP211" s="50">
        <f>(EXP(LN('Ecoinvent 3.10'!$E$14)^2)-1)*EXP(2*LN(HP26)+LN('Ecoinvent 3.10'!$E$14)^2)</f>
        <v>0.71027446659485727</v>
      </c>
      <c r="HQ211" s="224"/>
      <c r="HR211" s="50"/>
      <c r="HS211" s="264"/>
      <c r="HT211" s="265"/>
      <c r="HU211" s="224">
        <f>(EXP(LN('Ecoinvent 3.10'!$E$14)^2)-1)*EXP(2*LN(HU26)+LN('Ecoinvent 3.10'!$E$14)^2)</f>
        <v>0.71027446659485727</v>
      </c>
      <c r="HV211" s="50">
        <f>(EXP(LN('Ecoinvent 3.10'!$E$14)^2)-1)*EXP(2*LN(HV26)+LN('Ecoinvent 3.10'!$E$14)^2)</f>
        <v>0.71027446659485727</v>
      </c>
      <c r="HY211" s="149" t="s">
        <v>424</v>
      </c>
      <c r="HZ211" s="224">
        <f>(EXP(LN('Ecoinvent 3.10'!$E$14)^2)-1)*EXP(2*LN(HZ26)+LN('Ecoinvent 3.10'!$E$14)^2)</f>
        <v>3.8076375428711933E-7</v>
      </c>
      <c r="IA211" s="50">
        <f>(EXP(LN('Ecoinvent 3.10'!$E$14)^2)-1)*EXP(2*LN(IA26)+LN('Ecoinvent 3.10'!$E$14)^2)</f>
        <v>3.8076375428711933E-7</v>
      </c>
      <c r="IB211" s="224">
        <f>(EXP(LN('Ecoinvent 3.10'!$E$14)^2)-1)*EXP(2*LN(IB26)+LN('Ecoinvent 3.10'!$E$14)^2)</f>
        <v>5.5783745536689834E-6</v>
      </c>
      <c r="IC211" s="50">
        <f>(EXP(LN('Ecoinvent 3.10'!$E$14)^2)-1)*EXP(2*LN(IC26)+LN('Ecoinvent 3.10'!$E$14)^2)</f>
        <v>5.5783745536689834E-6</v>
      </c>
      <c r="ID211" s="224">
        <f>(EXP(LN('Ecoinvent 3.10'!$E$14)^2)-1)*EXP(2*LN(ID26)+LN('Ecoinvent 3.10'!$E$14)^2)</f>
        <v>5.2585156531375366E-6</v>
      </c>
      <c r="IE211" s="50">
        <f>(EXP(LN('Ecoinvent 3.10'!$E$14)^2)-1)*EXP(2*LN(IE26)+LN('Ecoinvent 3.10'!$E$14)^2)</f>
        <v>5.2585156531375366E-6</v>
      </c>
      <c r="IF211" s="224">
        <f>(EXP(LN('Ecoinvent 3.10'!$E$14)^2)-1)*EXP(2*LN(IF26)+LN('Ecoinvent 3.10'!$E$14)^2)</f>
        <v>9.0253801222287297E-7</v>
      </c>
      <c r="IG211" s="50">
        <f>(EXP(LN('Ecoinvent 3.10'!$E$14)^2)-1)*EXP(2*LN(IG26)+LN('Ecoinvent 3.10'!$E$14)^2)</f>
        <v>9.0253801222287297E-7</v>
      </c>
      <c r="IH211" s="224">
        <f>(EXP(LN('Ecoinvent 3.10'!$E$14)^2)-1)*EXP(2*LN(IH26)+LN('Ecoinvent 3.10'!$E$14)^2)</f>
        <v>1.8403738662957295E-7</v>
      </c>
      <c r="II211" s="50">
        <f>(EXP(LN('Ecoinvent 3.10'!$E$14)^2)-1)*EXP(2*LN(II26)+LN('Ecoinvent 3.10'!$E$14)^2)</f>
        <v>1.8403738662957295E-7</v>
      </c>
      <c r="IJ211" s="224"/>
      <c r="IK211" s="50"/>
      <c r="IL211" s="264"/>
      <c r="IM211" s="265"/>
      <c r="IN211" s="224">
        <f>(EXP(LN('Ecoinvent 3.10'!$E$14)^2)-1)*EXP(2*LN(IN26)+LN('Ecoinvent 3.10'!$E$14)^2)</f>
        <v>1.8403738662957295E-7</v>
      </c>
      <c r="IO211" s="50">
        <f>(EXP(LN('Ecoinvent 3.10'!$E$14)^2)-1)*EXP(2*LN(IO26)+LN('Ecoinvent 3.10'!$E$14)^2)</f>
        <v>1.8403738662957295E-7</v>
      </c>
    </row>
    <row r="212" spans="1:249" ht="14.25" x14ac:dyDescent="0.25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202"/>
      <c r="AN212" s="156"/>
      <c r="AO212" s="158"/>
      <c r="AP212" s="726"/>
      <c r="AQ212" s="181" t="s">
        <v>563</v>
      </c>
      <c r="AR212" s="224">
        <f>(EXP(LN('Ecoinvent 3.10'!$E$15)^2)-1)*EXP(2*LN(AR27)+LN('Ecoinvent 3.10'!$E$15)^2)</f>
        <v>1.7511438761120168E-2</v>
      </c>
      <c r="AS212" s="50">
        <f>(EXP(LN('Ecoinvent 3.10'!$E$15)^2)-1)*EXP(2*LN(AS27)+LN('Ecoinvent 3.10'!$E$15)^2)</f>
        <v>1.7511438761120168E-2</v>
      </c>
      <c r="AT212" s="264"/>
      <c r="AU212" s="265"/>
      <c r="AV212" s="264"/>
      <c r="AW212" s="265"/>
      <c r="AX212" s="264"/>
      <c r="AY212" s="265"/>
      <c r="AZ212" s="264"/>
      <c r="BA212" s="265"/>
      <c r="BB212" s="224"/>
      <c r="BC212" s="50"/>
      <c r="BD212" s="264"/>
      <c r="BE212" s="265"/>
      <c r="BF212" s="264"/>
      <c r="BG212" s="265"/>
      <c r="BI212" s="156"/>
      <c r="BJ212" s="181" t="s">
        <v>563</v>
      </c>
      <c r="BK212" s="224">
        <f>(EXP(LN('Ecoinvent 3.10'!$E$15)^2)-1)*EXP(2*LN(BK27)+LN('Ecoinvent 3.10'!$E$15)^2)</f>
        <v>7.4210061511368285E-4</v>
      </c>
      <c r="BL212" s="50">
        <f>(EXP(LN('Ecoinvent 3.10'!$E$15)^2)-1)*EXP(2*LN(BL27)+LN('Ecoinvent 3.10'!$E$15)^2)</f>
        <v>7.4210061511368285E-4</v>
      </c>
      <c r="BM212" s="264"/>
      <c r="BN212" s="265"/>
      <c r="BO212" s="264"/>
      <c r="BP212" s="265"/>
      <c r="BQ212" s="264"/>
      <c r="BR212" s="265"/>
      <c r="BS212" s="264"/>
      <c r="BT212" s="265"/>
      <c r="BU212" s="224"/>
      <c r="BV212" s="50"/>
      <c r="BW212" s="264"/>
      <c r="BX212" s="265"/>
      <c r="BY212" s="264"/>
      <c r="BZ212" s="265"/>
      <c r="CA212" s="156"/>
      <c r="CB212" s="156"/>
      <c r="CC212" s="181" t="s">
        <v>563</v>
      </c>
      <c r="CD212" s="224">
        <f>(EXP(LN('Ecoinvent 3.10'!$E$15)^2)-1)*EXP(2*LN(CD27)+LN('Ecoinvent 3.10'!$E$15)^2)</f>
        <v>0.26660362761215234</v>
      </c>
      <c r="CE212" s="50">
        <f>(EXP(LN('Ecoinvent 3.10'!$E$15)^2)-1)*EXP(2*LN(CE27)+LN('Ecoinvent 3.10'!$E$15)^2)</f>
        <v>0.26660362761215234</v>
      </c>
      <c r="CF212" s="264"/>
      <c r="CG212" s="265"/>
      <c r="CH212" s="264"/>
      <c r="CI212" s="265"/>
      <c r="CJ212" s="264"/>
      <c r="CK212" s="265"/>
      <c r="CL212" s="264"/>
      <c r="CM212" s="265"/>
      <c r="CN212" s="224"/>
      <c r="CO212" s="50"/>
      <c r="CP212" s="264"/>
      <c r="CQ212" s="265"/>
      <c r="CR212" s="264"/>
      <c r="CS212" s="265"/>
      <c r="CV212" s="181" t="s">
        <v>563</v>
      </c>
      <c r="CW212" s="224">
        <f>(EXP(LN('Ecoinvent 3.10'!$E$15)^2)-1)*EXP(2*LN(CW27)+LN('Ecoinvent 3.10'!$E$15)^2)</f>
        <v>1.3278970954785066E-7</v>
      </c>
      <c r="CX212" s="50">
        <f>(EXP(LN('Ecoinvent 3.10'!$E$15)^2)-1)*EXP(2*LN(CX27)+LN('Ecoinvent 3.10'!$E$15)^2)</f>
        <v>1.3278970954785066E-7</v>
      </c>
      <c r="CY212" s="264"/>
      <c r="CZ212" s="265"/>
      <c r="DA212" s="264"/>
      <c r="DB212" s="265"/>
      <c r="DC212" s="264"/>
      <c r="DD212" s="265"/>
      <c r="DE212" s="264"/>
      <c r="DF212" s="265"/>
      <c r="DG212" s="224"/>
      <c r="DH212" s="50"/>
      <c r="DI212" s="264"/>
      <c r="DJ212" s="265"/>
      <c r="DK212" s="264"/>
      <c r="DL212" s="265"/>
      <c r="DO212" s="181" t="s">
        <v>563</v>
      </c>
      <c r="DP212" s="224">
        <f>(EXP(LN('Ecoinvent 3.10'!$E$15)^2)-1)*EXP(2*LN(DP27)+LN('Ecoinvent 3.10'!$E$15)^2)</f>
        <v>2.0779481190521724E-6</v>
      </c>
      <c r="DQ212" s="50">
        <f>(EXP(LN('Ecoinvent 3.10'!$E$15)^2)-1)*EXP(2*LN(DQ27)+LN('Ecoinvent 3.10'!$E$15)^2)</f>
        <v>2.0779481190521724E-6</v>
      </c>
      <c r="DR212" s="264"/>
      <c r="DS212" s="265"/>
      <c r="DT212" s="264"/>
      <c r="DU212" s="265"/>
      <c r="DV212" s="264"/>
      <c r="DW212" s="265"/>
      <c r="DX212" s="264"/>
      <c r="DY212" s="265"/>
      <c r="DZ212" s="224"/>
      <c r="EA212" s="50"/>
      <c r="EB212" s="264"/>
      <c r="EC212" s="265"/>
      <c r="ED212" s="264"/>
      <c r="EE212" s="265"/>
      <c r="EH212" s="181" t="s">
        <v>563</v>
      </c>
      <c r="EI212" s="224">
        <f>(EXP(LN('Ecoinvent 3.10'!$E$15)^2)-1)*EXP(2*LN(EI27)+LN('Ecoinvent 3.10'!$E$15)^2)</f>
        <v>4.2961527246115333E-7</v>
      </c>
      <c r="EJ212" s="50">
        <f>(EXP(LN('Ecoinvent 3.10'!$E$15)^2)-1)*EXP(2*LN(EJ27)+LN('Ecoinvent 3.10'!$E$15)^2)</f>
        <v>4.2961527246115333E-7</v>
      </c>
      <c r="EK212" s="264"/>
      <c r="EL212" s="265"/>
      <c r="EM212" s="264"/>
      <c r="EN212" s="265"/>
      <c r="EO212" s="264"/>
      <c r="EP212" s="265"/>
      <c r="EQ212" s="264"/>
      <c r="ER212" s="265"/>
      <c r="ES212" s="224"/>
      <c r="ET212" s="50"/>
      <c r="EU212" s="264"/>
      <c r="EV212" s="265"/>
      <c r="EW212" s="264"/>
      <c r="EX212" s="265"/>
      <c r="FA212" s="181" t="s">
        <v>563</v>
      </c>
      <c r="FB212" s="224">
        <f>(EXP(LN('Ecoinvent 3.10'!$E$15)^2)-1)*EXP(2*LN(FB27)+LN('Ecoinvent 3.10'!$E$15)^2)</f>
        <v>2.4494639361286163E-10</v>
      </c>
      <c r="FC212" s="50">
        <f>(EXP(LN('Ecoinvent 3.10'!$E$15)^2)-1)*EXP(2*LN(FC27)+LN('Ecoinvent 3.10'!$E$15)^2)</f>
        <v>2.4494639361286163E-10</v>
      </c>
      <c r="FD212" s="264"/>
      <c r="FE212" s="265"/>
      <c r="FF212" s="264"/>
      <c r="FG212" s="265"/>
      <c r="FH212" s="264"/>
      <c r="FI212" s="265"/>
      <c r="FJ212" s="264"/>
      <c r="FK212" s="265"/>
      <c r="FL212" s="224"/>
      <c r="FM212" s="50"/>
      <c r="FN212" s="264"/>
      <c r="FO212" s="265"/>
      <c r="FP212" s="264"/>
      <c r="FQ212" s="265"/>
      <c r="FT212" s="181" t="s">
        <v>563</v>
      </c>
      <c r="FU212" s="224">
        <f>(EXP(LN('Ecoinvent 3.10'!$E$15)^2)-1)*EXP(2*LN(FU27)+LN('Ecoinvent 3.10'!$E$15)^2)</f>
        <v>1.6329356947606071E-5</v>
      </c>
      <c r="FV212" s="50">
        <f>(EXP(LN('Ecoinvent 3.10'!$E$15)^2)-1)*EXP(2*LN(FV27)+LN('Ecoinvent 3.10'!$E$15)^2)</f>
        <v>1.6329356947606071E-5</v>
      </c>
      <c r="FW212" s="264"/>
      <c r="FX212" s="265"/>
      <c r="FY212" s="264"/>
      <c r="FZ212" s="265"/>
      <c r="GA212" s="264"/>
      <c r="GB212" s="265"/>
      <c r="GC212" s="264"/>
      <c r="GD212" s="265"/>
      <c r="GE212" s="224"/>
      <c r="GF212" s="50"/>
      <c r="GG212" s="264"/>
      <c r="GH212" s="265"/>
      <c r="GI212" s="264"/>
      <c r="GJ212" s="265"/>
      <c r="GM212" s="181" t="s">
        <v>563</v>
      </c>
      <c r="GN212" s="224">
        <f>(EXP(LN('Ecoinvent 3.10'!$E$15)^2)-1)*EXP(2*LN(GN27)+LN('Ecoinvent 3.10'!$E$15)^2)</f>
        <v>2.6344124201170501E-3</v>
      </c>
      <c r="GO212" s="50">
        <f>(EXP(LN('Ecoinvent 3.10'!$E$15)^2)-1)*EXP(2*LN(GO27)+LN('Ecoinvent 3.10'!$E$15)^2)</f>
        <v>2.6344124201170501E-3</v>
      </c>
      <c r="GP212" s="264"/>
      <c r="GQ212" s="265"/>
      <c r="GR212" s="264"/>
      <c r="GS212" s="265"/>
      <c r="GT212" s="264"/>
      <c r="GU212" s="265"/>
      <c r="GV212" s="264"/>
      <c r="GW212" s="265"/>
      <c r="GX212" s="224"/>
      <c r="GY212" s="50"/>
      <c r="GZ212" s="264"/>
      <c r="HA212" s="265"/>
      <c r="HB212" s="264"/>
      <c r="HC212" s="265"/>
      <c r="HF212" s="181" t="s">
        <v>563</v>
      </c>
      <c r="HG212" s="224">
        <f>(EXP(LN('Ecoinvent 3.10'!$E$15)^2)-1)*EXP(2*LN(HG27)+LN('Ecoinvent 3.10'!$E$15)^2)</f>
        <v>6.7082871178781181E-3</v>
      </c>
      <c r="HH212" s="50">
        <f>(EXP(LN('Ecoinvent 3.10'!$E$15)^2)-1)*EXP(2*LN(HH27)+LN('Ecoinvent 3.10'!$E$15)^2)</f>
        <v>6.7082871178781181E-3</v>
      </c>
      <c r="HI212" s="264"/>
      <c r="HJ212" s="265"/>
      <c r="HK212" s="264"/>
      <c r="HL212" s="265"/>
      <c r="HM212" s="264"/>
      <c r="HN212" s="265"/>
      <c r="HO212" s="264"/>
      <c r="HP212" s="265"/>
      <c r="HQ212" s="224"/>
      <c r="HR212" s="50"/>
      <c r="HS212" s="264"/>
      <c r="HT212" s="265"/>
      <c r="HU212" s="264"/>
      <c r="HV212" s="265"/>
      <c r="HY212" s="181" t="s">
        <v>563</v>
      </c>
      <c r="HZ212" s="224">
        <f>(EXP(LN('Ecoinvent 3.10'!$E$15)^2)-1)*EXP(2*LN(HZ27)+LN('Ecoinvent 3.10'!$E$15)^2)</f>
        <v>1.4151521214603913E-8</v>
      </c>
      <c r="IA212" s="50">
        <f>(EXP(LN('Ecoinvent 3.10'!$E$15)^2)-1)*EXP(2*LN(IA27)+LN('Ecoinvent 3.10'!$E$15)^2)</f>
        <v>1.4151521214603913E-8</v>
      </c>
      <c r="IB212" s="264"/>
      <c r="IC212" s="265"/>
      <c r="ID212" s="264"/>
      <c r="IE212" s="265"/>
      <c r="IF212" s="264"/>
      <c r="IG212" s="265"/>
      <c r="IH212" s="264"/>
      <c r="II212" s="265"/>
      <c r="IJ212" s="224"/>
      <c r="IK212" s="50"/>
      <c r="IL212" s="264"/>
      <c r="IM212" s="265"/>
      <c r="IN212" s="264"/>
      <c r="IO212" s="265"/>
    </row>
    <row r="213" spans="1:249" ht="14.25" x14ac:dyDescent="0.25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202"/>
      <c r="AN213" s="156"/>
      <c r="AO213" s="158"/>
      <c r="AP213" s="726"/>
      <c r="AQ213" s="181" t="s">
        <v>620</v>
      </c>
      <c r="AR213" s="224"/>
      <c r="AS213" s="50"/>
      <c r="AT213" s="264"/>
      <c r="AU213" s="265"/>
      <c r="AV213" s="264"/>
      <c r="AW213" s="265"/>
      <c r="AX213" s="264"/>
      <c r="AY213" s="265"/>
      <c r="AZ213" s="264"/>
      <c r="BA213" s="265"/>
      <c r="BB213" s="224"/>
      <c r="BC213" s="50"/>
      <c r="BD213" s="224">
        <f>(EXP(LN('Ecoinvent 3.10'!$E$16)^2)-1)*EXP(2*LN(BD28)+LN('Ecoinvent 3.10'!$E$16)^2)</f>
        <v>0.11756059601443113</v>
      </c>
      <c r="BE213" s="50">
        <f>(EXP(LN('Ecoinvent 3.10'!$E$16)^2)-1)*EXP(2*LN(BE28)+LN('Ecoinvent 3.10'!$E$16)^2)</f>
        <v>0.11756059601443113</v>
      </c>
      <c r="BF213" s="264"/>
      <c r="BG213" s="265"/>
      <c r="BI213" s="156"/>
      <c r="BJ213" s="181" t="s">
        <v>620</v>
      </c>
      <c r="BK213" s="224"/>
      <c r="BL213" s="50"/>
      <c r="BM213" s="264"/>
      <c r="BN213" s="265"/>
      <c r="BO213" s="264"/>
      <c r="BP213" s="265"/>
      <c r="BQ213" s="264"/>
      <c r="BR213" s="265"/>
      <c r="BS213" s="264"/>
      <c r="BT213" s="265"/>
      <c r="BU213" s="224"/>
      <c r="BV213" s="50"/>
      <c r="BW213" s="224">
        <f>(EXP(LN('Ecoinvent 3.10'!$E$16)^2)-1)*EXP(2*LN(BW28)+LN('Ecoinvent 3.10'!$E$16)^2)</f>
        <v>3.0499405248405353E-3</v>
      </c>
      <c r="BX213" s="50">
        <f>(EXP(LN('Ecoinvent 3.10'!$E$16)^2)-1)*EXP(2*LN(BX28)+LN('Ecoinvent 3.10'!$E$16)^2)</f>
        <v>3.0499405248405353E-3</v>
      </c>
      <c r="BY213" s="264"/>
      <c r="BZ213" s="265"/>
      <c r="CA213" s="156"/>
      <c r="CB213" s="156"/>
      <c r="CC213" s="181" t="s">
        <v>620</v>
      </c>
      <c r="CD213" s="224"/>
      <c r="CE213" s="50"/>
      <c r="CF213" s="264"/>
      <c r="CG213" s="265"/>
      <c r="CH213" s="264"/>
      <c r="CI213" s="265"/>
      <c r="CJ213" s="264"/>
      <c r="CK213" s="265"/>
      <c r="CL213" s="264"/>
      <c r="CM213" s="265"/>
      <c r="CN213" s="224"/>
      <c r="CO213" s="50"/>
      <c r="CP213" s="224">
        <f>(EXP(LN('Ecoinvent 3.10'!$E$16)^2)-1)*EXP(2*LN(CP28)+LN('Ecoinvent 3.10'!$E$16)^2)</f>
        <v>2.0091740501768025</v>
      </c>
      <c r="CQ213" s="50">
        <f>(EXP(LN('Ecoinvent 3.10'!$E$16)^2)-1)*EXP(2*LN(CQ28)+LN('Ecoinvent 3.10'!$E$16)^2)</f>
        <v>2.0091740501768025</v>
      </c>
      <c r="CR213" s="264"/>
      <c r="CS213" s="265"/>
      <c r="CV213" s="181" t="s">
        <v>620</v>
      </c>
      <c r="CW213" s="224"/>
      <c r="CX213" s="50"/>
      <c r="CY213" s="264"/>
      <c r="CZ213" s="265"/>
      <c r="DA213" s="264"/>
      <c r="DB213" s="265"/>
      <c r="DC213" s="264"/>
      <c r="DD213" s="265"/>
      <c r="DE213" s="264"/>
      <c r="DF213" s="265"/>
      <c r="DG213" s="224"/>
      <c r="DH213" s="50"/>
      <c r="DI213" s="224">
        <f>(EXP(LN('Ecoinvent 3.10'!$E$16)^2)-1)*EXP(2*LN(DI28)+LN('Ecoinvent 3.10'!$E$16)^2)</f>
        <v>7.8020779179400255E-8</v>
      </c>
      <c r="DJ213" s="50">
        <f>(EXP(LN('Ecoinvent 3.10'!$E$16)^2)-1)*EXP(2*LN(DJ28)+LN('Ecoinvent 3.10'!$E$16)^2)</f>
        <v>7.8020779179400255E-8</v>
      </c>
      <c r="DK213" s="264"/>
      <c r="DL213" s="265"/>
      <c r="DO213" s="181" t="s">
        <v>620</v>
      </c>
      <c r="DP213" s="224"/>
      <c r="DQ213" s="50"/>
      <c r="DR213" s="264"/>
      <c r="DS213" s="265"/>
      <c r="DT213" s="264"/>
      <c r="DU213" s="265"/>
      <c r="DV213" s="264"/>
      <c r="DW213" s="265"/>
      <c r="DX213" s="264"/>
      <c r="DY213" s="265"/>
      <c r="DZ213" s="224"/>
      <c r="EA213" s="50"/>
      <c r="EB213" s="224">
        <f>(EXP(LN('Ecoinvent 3.10'!$E$16)^2)-1)*EXP(2*LN(EB28)+LN('Ecoinvent 3.10'!$E$16)^2)</f>
        <v>4.323812189340033E-6</v>
      </c>
      <c r="EC213" s="50">
        <f>(EXP(LN('Ecoinvent 3.10'!$E$16)^2)-1)*EXP(2*LN(EC28)+LN('Ecoinvent 3.10'!$E$16)^2)</f>
        <v>4.323812189340033E-6</v>
      </c>
      <c r="ED213" s="264"/>
      <c r="EE213" s="265"/>
      <c r="EH213" s="181" t="s">
        <v>620</v>
      </c>
      <c r="EI213" s="224"/>
      <c r="EJ213" s="50"/>
      <c r="EK213" s="264"/>
      <c r="EL213" s="265"/>
      <c r="EM213" s="264"/>
      <c r="EN213" s="265"/>
      <c r="EO213" s="264"/>
      <c r="EP213" s="265"/>
      <c r="EQ213" s="264"/>
      <c r="ER213" s="265"/>
      <c r="ES213" s="224"/>
      <c r="ET213" s="50"/>
      <c r="EU213" s="224">
        <f>(EXP(LN('Ecoinvent 3.10'!$E$16)^2)-1)*EXP(2*LN(EU28)+LN('Ecoinvent 3.10'!$E$16)^2)</f>
        <v>3.1196688103778018E-7</v>
      </c>
      <c r="EV213" s="50">
        <f>(EXP(LN('Ecoinvent 3.10'!$E$16)^2)-1)*EXP(2*LN(EV28)+LN('Ecoinvent 3.10'!$E$16)^2)</f>
        <v>3.1196688103778018E-7</v>
      </c>
      <c r="EW213" s="264"/>
      <c r="EX213" s="265"/>
      <c r="FA213" s="181" t="s">
        <v>620</v>
      </c>
      <c r="FB213" s="224"/>
      <c r="FC213" s="50"/>
      <c r="FD213" s="264"/>
      <c r="FE213" s="265"/>
      <c r="FF213" s="264"/>
      <c r="FG213" s="265"/>
      <c r="FH213" s="264"/>
      <c r="FI213" s="265"/>
      <c r="FJ213" s="264"/>
      <c r="FK213" s="265"/>
      <c r="FL213" s="224"/>
      <c r="FM213" s="50"/>
      <c r="FN213" s="224">
        <f>(EXP(LN('Ecoinvent 3.10'!$E$16)^2)-1)*EXP(2*LN(FN28)+LN('Ecoinvent 3.10'!$E$16)^2)</f>
        <v>1.8541738018071373E-9</v>
      </c>
      <c r="FO213" s="50">
        <f>(EXP(LN('Ecoinvent 3.10'!$E$16)^2)-1)*EXP(2*LN(FO28)+LN('Ecoinvent 3.10'!$E$16)^2)</f>
        <v>1.8541738018071373E-9</v>
      </c>
      <c r="FP213" s="264"/>
      <c r="FQ213" s="265"/>
      <c r="FT213" s="181" t="s">
        <v>620</v>
      </c>
      <c r="FU213" s="224"/>
      <c r="FV213" s="50"/>
      <c r="FW213" s="264"/>
      <c r="FX213" s="265"/>
      <c r="FY213" s="264"/>
      <c r="FZ213" s="265"/>
      <c r="GA213" s="264"/>
      <c r="GB213" s="265"/>
      <c r="GC213" s="264"/>
      <c r="GD213" s="265"/>
      <c r="GE213" s="224"/>
      <c r="GF213" s="50"/>
      <c r="GG213" s="224">
        <f>(EXP(LN('Ecoinvent 3.10'!$E$16)^2)-1)*EXP(2*LN(GG28)+LN('Ecoinvent 3.10'!$E$16)^2)</f>
        <v>1.7168562359428678E-4</v>
      </c>
      <c r="GH213" s="50">
        <f>(EXP(LN('Ecoinvent 3.10'!$E$16)^2)-1)*EXP(2*LN(GH28)+LN('Ecoinvent 3.10'!$E$16)^2)</f>
        <v>1.7168562359428678E-4</v>
      </c>
      <c r="GI213" s="264"/>
      <c r="GJ213" s="265"/>
      <c r="GM213" s="181" t="s">
        <v>620</v>
      </c>
      <c r="GN213" s="224"/>
      <c r="GO213" s="50"/>
      <c r="GP213" s="264"/>
      <c r="GQ213" s="265"/>
      <c r="GR213" s="264"/>
      <c r="GS213" s="265"/>
      <c r="GT213" s="264"/>
      <c r="GU213" s="265"/>
      <c r="GV213" s="264"/>
      <c r="GW213" s="265"/>
      <c r="GX213" s="224"/>
      <c r="GY213" s="50"/>
      <c r="GZ213" s="224">
        <f>(EXP(LN('Ecoinvent 3.10'!$E$16)^2)-1)*EXP(2*LN(GZ28)+LN('Ecoinvent 3.10'!$E$16)^2)</f>
        <v>1.2327962528395206E-3</v>
      </c>
      <c r="HA213" s="50">
        <f>(EXP(LN('Ecoinvent 3.10'!$E$16)^2)-1)*EXP(2*LN(HA28)+LN('Ecoinvent 3.10'!$E$16)^2)</f>
        <v>1.2327962528395206E-3</v>
      </c>
      <c r="HB213" s="264"/>
      <c r="HC213" s="265"/>
      <c r="HF213" s="181" t="s">
        <v>620</v>
      </c>
      <c r="HG213" s="224"/>
      <c r="HH213" s="50"/>
      <c r="HI213" s="264"/>
      <c r="HJ213" s="265"/>
      <c r="HK213" s="264"/>
      <c r="HL213" s="265"/>
      <c r="HM213" s="264"/>
      <c r="HN213" s="265"/>
      <c r="HO213" s="264"/>
      <c r="HP213" s="265"/>
      <c r="HQ213" s="224"/>
      <c r="HR213" s="50"/>
      <c r="HS213" s="224">
        <f>(EXP(LN('Ecoinvent 3.10'!$E$16)^2)-1)*EXP(2*LN(HS28)+LN('Ecoinvent 3.10'!$E$16)^2)</f>
        <v>4.8601588503367682E-2</v>
      </c>
      <c r="HT213" s="50">
        <f>(EXP(LN('Ecoinvent 3.10'!$E$16)^2)-1)*EXP(2*LN(HT28)+LN('Ecoinvent 3.10'!$E$16)^2)</f>
        <v>4.8601588503367682E-2</v>
      </c>
      <c r="HU213" s="264"/>
      <c r="HV213" s="265"/>
      <c r="HY213" s="181" t="s">
        <v>620</v>
      </c>
      <c r="HZ213" s="224"/>
      <c r="IA213" s="50"/>
      <c r="IB213" s="264"/>
      <c r="IC213" s="265"/>
      <c r="ID213" s="264"/>
      <c r="IE213" s="265"/>
      <c r="IF213" s="264"/>
      <c r="IG213" s="265"/>
      <c r="IH213" s="264"/>
      <c r="II213" s="265"/>
      <c r="IJ213" s="224"/>
      <c r="IK213" s="50"/>
      <c r="IL213" s="224">
        <f>(EXP(LN('Ecoinvent 3.10'!$E$16)^2)-1)*EXP(2*LN(IL28)+LN('Ecoinvent 3.10'!$E$16)^2)</f>
        <v>1.2711425418119865E-8</v>
      </c>
      <c r="IM213" s="50">
        <f>(EXP(LN('Ecoinvent 3.10'!$E$16)^2)-1)*EXP(2*LN(IM28)+LN('Ecoinvent 3.10'!$E$16)^2)</f>
        <v>1.2711425418119865E-8</v>
      </c>
      <c r="IN213" s="264"/>
      <c r="IO213" s="265"/>
    </row>
    <row r="214" spans="1:249" x14ac:dyDescent="0.2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  <c r="AA214" s="158"/>
      <c r="AB214" s="158"/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39"/>
      <c r="AN214" s="156"/>
      <c r="AO214" s="158"/>
      <c r="AP214" s="726"/>
      <c r="AQ214" s="149" t="s">
        <v>54</v>
      </c>
      <c r="AR214" s="224">
        <f>(EXP(LN('Ecoinvent 3.10'!$E$17)^2)-1)*EXP(2*LN(AR29)+LN('Ecoinvent 3.10'!$E$17)^2)</f>
        <v>3.5426264287485942</v>
      </c>
      <c r="AS214" s="50">
        <f>(EXP(LN('Ecoinvent 3.10'!$E$17)^2)-1)*EXP(2*LN(AS29)+LN('Ecoinvent 3.10'!$E$17)^2)</f>
        <v>3.5426264287485942</v>
      </c>
      <c r="AT214" s="224">
        <f>(EXP(LN('Ecoinvent 3.10'!$E$17)^2)-1)*EXP(2*LN(AT29)+LN('Ecoinvent 3.10'!$E$17)^2)</f>
        <v>6.1713678442184214</v>
      </c>
      <c r="AU214" s="50">
        <f>(EXP(LN('Ecoinvent 3.10'!$E$17)^2)-1)*EXP(2*LN(AU29)+LN('Ecoinvent 3.10'!$E$17)^2)</f>
        <v>6.1713678442184214</v>
      </c>
      <c r="AV214" s="224">
        <f>(EXP(LN('Ecoinvent 3.10'!$E$17)^2)-1)*EXP(2*LN(AV29)+LN('Ecoinvent 3.10'!$E$17)^2)</f>
        <v>5.8175072501626639</v>
      </c>
      <c r="AW214" s="50">
        <f>(EXP(LN('Ecoinvent 3.10'!$E$17)^2)-1)*EXP(2*LN(AW29)+LN('Ecoinvent 3.10'!$E$17)^2)</f>
        <v>5.8175072501626639</v>
      </c>
      <c r="AX214" s="224">
        <f>(EXP(LN('Ecoinvent 3.10'!$E$17)^2)-1)*EXP(2*LN(AX29)+LN('Ecoinvent 3.10'!$E$17)^2)</f>
        <v>3.9939190265764077</v>
      </c>
      <c r="AY214" s="50">
        <f>(EXP(LN('Ecoinvent 3.10'!$E$17)^2)-1)*EXP(2*LN(AY29)+LN('Ecoinvent 3.10'!$E$17)^2)</f>
        <v>3.9939190265764077</v>
      </c>
      <c r="AZ214" s="224">
        <f>(EXP(LN('Ecoinvent 3.10'!$E$17)^2)-1)*EXP(2*LN(AZ29)+LN('Ecoinvent 3.10'!$E$17)^2)</f>
        <v>3.2576153474175942</v>
      </c>
      <c r="BA214" s="50">
        <f>(EXP(LN('Ecoinvent 3.10'!$E$17)^2)-1)*EXP(2*LN(BA29)+LN('Ecoinvent 3.10'!$E$17)^2)</f>
        <v>3.2576153474175942</v>
      </c>
      <c r="BB214" s="224"/>
      <c r="BC214" s="50"/>
      <c r="BD214" s="224">
        <f>(EXP(LN('Ecoinvent 3.10'!$E$17)^2)-1)*EXP(2*LN(BD29)+LN('Ecoinvent 3.10'!$E$17)^2)</f>
        <v>8.6265125165638086</v>
      </c>
      <c r="BE214" s="50">
        <f>(EXP(LN('Ecoinvent 3.10'!$E$17)^2)-1)*EXP(2*LN(BE29)+LN('Ecoinvent 3.10'!$E$17)^2)</f>
        <v>8.6265125165638086</v>
      </c>
      <c r="BF214" s="224">
        <f>(EXP(LN('Ecoinvent 3.10'!$E$17)^2)-1)*EXP(2*LN(BF29)+LN('Ecoinvent 3.10'!$E$17)^2)</f>
        <v>3.2576153474175942</v>
      </c>
      <c r="BG214" s="50">
        <f>(EXP(LN('Ecoinvent 3.10'!$E$17)^2)-1)*EXP(2*LN(BG29)+LN('Ecoinvent 3.10'!$E$17)^2)</f>
        <v>3.2576153474175942</v>
      </c>
      <c r="BI214" s="156"/>
      <c r="BJ214" s="149" t="s">
        <v>54</v>
      </c>
      <c r="BK214" s="224">
        <f>(EXP(LN('Ecoinvent 3.10'!$E$17)^2)-1)*EXP(2*LN(BK29)+LN('Ecoinvent 3.10'!$E$17)^2)</f>
        <v>0.1147861676803868</v>
      </c>
      <c r="BL214" s="50">
        <f>(EXP(LN('Ecoinvent 3.10'!$E$17)^2)-1)*EXP(2*LN(BL29)+LN('Ecoinvent 3.10'!$E$17)^2)</f>
        <v>0.1147861676803868</v>
      </c>
      <c r="BM214" s="224">
        <f>(EXP(LN('Ecoinvent 3.10'!$E$17)^2)-1)*EXP(2*LN(BM29)+LN('Ecoinvent 3.10'!$E$17)^2)</f>
        <v>0.19996115267339534</v>
      </c>
      <c r="BN214" s="50">
        <f>(EXP(LN('Ecoinvent 3.10'!$E$17)^2)-1)*EXP(2*LN(BN29)+LN('Ecoinvent 3.10'!$E$17)^2)</f>
        <v>0.19996115267339534</v>
      </c>
      <c r="BO214" s="224">
        <f>(EXP(LN('Ecoinvent 3.10'!$E$17)^2)-1)*EXP(2*LN(BO29)+LN('Ecoinvent 3.10'!$E$17)^2)</f>
        <v>0.1884955628626421</v>
      </c>
      <c r="BP214" s="50">
        <f>(EXP(LN('Ecoinvent 3.10'!$E$17)^2)-1)*EXP(2*LN(BP29)+LN('Ecoinvent 3.10'!$E$17)^2)</f>
        <v>0.1884955628626421</v>
      </c>
      <c r="BQ214" s="224">
        <f>(EXP(LN('Ecoinvent 3.10'!$E$17)^2)-1)*EXP(2*LN(BQ29)+LN('Ecoinvent 3.10'!$E$17)^2)</f>
        <v>0.12940869389054652</v>
      </c>
      <c r="BR214" s="50">
        <f>(EXP(LN('Ecoinvent 3.10'!$E$17)^2)-1)*EXP(2*LN(BR29)+LN('Ecoinvent 3.10'!$E$17)^2)</f>
        <v>0.12940869389054652</v>
      </c>
      <c r="BS214" s="224">
        <f>(EXP(LN('Ecoinvent 3.10'!$E$17)^2)-1)*EXP(2*LN(BS29)+LN('Ecoinvent 3.10'!$E$17)^2)</f>
        <v>0.10555140064230967</v>
      </c>
      <c r="BT214" s="50">
        <f>(EXP(LN('Ecoinvent 3.10'!$E$17)^2)-1)*EXP(2*LN(BT29)+LN('Ecoinvent 3.10'!$E$17)^2)</f>
        <v>0.10555140064230967</v>
      </c>
      <c r="BU214" s="224"/>
      <c r="BV214" s="50"/>
      <c r="BW214" s="224">
        <f>(EXP(LN('Ecoinvent 3.10'!$E$17)^2)-1)*EXP(2*LN(BW29)+LN('Ecoinvent 3.10'!$E$17)^2)</f>
        <v>0.27951135467959315</v>
      </c>
      <c r="BX214" s="50">
        <f>(EXP(LN('Ecoinvent 3.10'!$E$17)^2)-1)*EXP(2*LN(BX29)+LN('Ecoinvent 3.10'!$E$17)^2)</f>
        <v>0.27951135467959315</v>
      </c>
      <c r="BY214" s="224">
        <f>(EXP(LN('Ecoinvent 3.10'!$E$17)^2)-1)*EXP(2*LN(BY29)+LN('Ecoinvent 3.10'!$E$17)^2)</f>
        <v>0.10555140064230967</v>
      </c>
      <c r="BZ214" s="50">
        <f>(EXP(LN('Ecoinvent 3.10'!$E$17)^2)-1)*EXP(2*LN(BZ29)+LN('Ecoinvent 3.10'!$E$17)^2)</f>
        <v>0.10555140064230967</v>
      </c>
      <c r="CA214" s="156"/>
      <c r="CB214" s="156"/>
      <c r="CC214" s="149" t="s">
        <v>54</v>
      </c>
      <c r="CD214" s="224">
        <f>(EXP(LN('Ecoinvent 3.10'!$E$17)^2)-1)*EXP(2*LN(CD29)+LN('Ecoinvent 3.10'!$E$17)^2)</f>
        <v>12.898657190403425</v>
      </c>
      <c r="CE214" s="50">
        <f>(EXP(LN('Ecoinvent 3.10'!$E$17)^2)-1)*EXP(2*LN(CE29)+LN('Ecoinvent 3.10'!$E$17)^2)</f>
        <v>12.898657190403425</v>
      </c>
      <c r="CF214" s="224">
        <f>(EXP(LN('Ecoinvent 3.10'!$E$17)^2)-1)*EXP(2*LN(CF29)+LN('Ecoinvent 3.10'!$E$17)^2)</f>
        <v>22.469870820269165</v>
      </c>
      <c r="CG214" s="50">
        <f>(EXP(LN('Ecoinvent 3.10'!$E$17)^2)-1)*EXP(2*LN(CG29)+LN('Ecoinvent 3.10'!$E$17)^2)</f>
        <v>22.469870820269165</v>
      </c>
      <c r="CH214" s="224">
        <f>(EXP(LN('Ecoinvent 3.10'!$E$17)^2)-1)*EXP(2*LN(CH29)+LN('Ecoinvent 3.10'!$E$17)^2)</f>
        <v>21.181468955799932</v>
      </c>
      <c r="CI214" s="50">
        <f>(EXP(LN('Ecoinvent 3.10'!$E$17)^2)-1)*EXP(2*LN(CI29)+LN('Ecoinvent 3.10'!$E$17)^2)</f>
        <v>21.181468955799932</v>
      </c>
      <c r="CJ214" s="224">
        <f>(EXP(LN('Ecoinvent 3.10'!$E$17)^2)-1)*EXP(2*LN(CJ29)+LN('Ecoinvent 3.10'!$E$17)^2)</f>
        <v>14.541807725472355</v>
      </c>
      <c r="CK214" s="50">
        <f>(EXP(LN('Ecoinvent 3.10'!$E$17)^2)-1)*EXP(2*LN(CK29)+LN('Ecoinvent 3.10'!$E$17)^2)</f>
        <v>14.541807725472355</v>
      </c>
      <c r="CL214" s="224">
        <f>(EXP(LN('Ecoinvent 3.10'!$E$17)^2)-1)*EXP(2*LN(CL29)+LN('Ecoinvent 3.10'!$E$17)^2)</f>
        <v>11.860935514834779</v>
      </c>
      <c r="CM214" s="50">
        <f>(EXP(LN('Ecoinvent 3.10'!$E$17)^2)-1)*EXP(2*LN(CM29)+LN('Ecoinvent 3.10'!$E$17)^2)</f>
        <v>11.860935514834779</v>
      </c>
      <c r="CN214" s="224"/>
      <c r="CO214" s="50"/>
      <c r="CP214" s="224">
        <f>(EXP(LN('Ecoinvent 3.10'!$E$17)^2)-1)*EXP(2*LN(CP29)+LN('Ecoinvent 3.10'!$E$17)^2)</f>
        <v>31.409020944719337</v>
      </c>
      <c r="CQ214" s="50">
        <f>(EXP(LN('Ecoinvent 3.10'!$E$17)^2)-1)*EXP(2*LN(CQ29)+LN('Ecoinvent 3.10'!$E$17)^2)</f>
        <v>31.409020944719337</v>
      </c>
      <c r="CR214" s="224">
        <f>(EXP(LN('Ecoinvent 3.10'!$E$17)^2)-1)*EXP(2*LN(CR29)+LN('Ecoinvent 3.10'!$E$17)^2)</f>
        <v>11.860935514834779</v>
      </c>
      <c r="CS214" s="50">
        <f>(EXP(LN('Ecoinvent 3.10'!$E$17)^2)-1)*EXP(2*LN(CS29)+LN('Ecoinvent 3.10'!$E$17)^2)</f>
        <v>11.860935514834779</v>
      </c>
      <c r="CV214" s="149" t="s">
        <v>54</v>
      </c>
      <c r="CW214" s="224">
        <f>(EXP(LN('Ecoinvent 3.10'!$E$17)^2)-1)*EXP(2*LN(CW29)+LN('Ecoinvent 3.10'!$E$17)^2)</f>
        <v>1.0854623855180179E-6</v>
      </c>
      <c r="CX214" s="50">
        <f>(EXP(LN('Ecoinvent 3.10'!$E$17)^2)-1)*EXP(2*LN(CX29)+LN('Ecoinvent 3.10'!$E$17)^2)</f>
        <v>1.0854623855180179E-6</v>
      </c>
      <c r="CY214" s="224">
        <f>(EXP(LN('Ecoinvent 3.10'!$E$17)^2)-1)*EXP(2*LN(CY29)+LN('Ecoinvent 3.10'!$E$17)^2)</f>
        <v>1.8909099779004397E-6</v>
      </c>
      <c r="CZ214" s="50">
        <f>(EXP(LN('Ecoinvent 3.10'!$E$17)^2)-1)*EXP(2*LN(CZ29)+LN('Ecoinvent 3.10'!$E$17)^2)</f>
        <v>1.8909099779004397E-6</v>
      </c>
      <c r="DA214" s="224">
        <f>(EXP(LN('Ecoinvent 3.10'!$E$17)^2)-1)*EXP(2*LN(DA29)+LN('Ecoinvent 3.10'!$E$17)^2)</f>
        <v>1.7824869272938135E-6</v>
      </c>
      <c r="DB214" s="50">
        <f>(EXP(LN('Ecoinvent 3.10'!$E$17)^2)-1)*EXP(2*LN(DB29)+LN('Ecoinvent 3.10'!$E$17)^2)</f>
        <v>1.7824869272938135E-6</v>
      </c>
      <c r="DC214" s="224">
        <f>(EXP(LN('Ecoinvent 3.10'!$E$17)^2)-1)*EXP(2*LN(DC29)+LN('Ecoinvent 3.10'!$E$17)^2)</f>
        <v>1.2237386473980614E-6</v>
      </c>
      <c r="DD214" s="50">
        <f>(EXP(LN('Ecoinvent 3.10'!$E$17)^2)-1)*EXP(2*LN(DD29)+LN('Ecoinvent 3.10'!$E$17)^2)</f>
        <v>1.2237386473980614E-6</v>
      </c>
      <c r="DE214" s="224">
        <f>(EXP(LN('Ecoinvent 3.10'!$E$17)^2)-1)*EXP(2*LN(DE29)+LN('Ecoinvent 3.10'!$E$17)^2)</f>
        <v>9.9813485763360155E-7</v>
      </c>
      <c r="DF214" s="50">
        <f>(EXP(LN('Ecoinvent 3.10'!$E$17)^2)-1)*EXP(2*LN(DF29)+LN('Ecoinvent 3.10'!$E$17)^2)</f>
        <v>9.9813485763360155E-7</v>
      </c>
      <c r="DG214" s="224"/>
      <c r="DH214" s="50"/>
      <c r="DI214" s="224">
        <f>(EXP(LN('Ecoinvent 3.10'!$E$17)^2)-1)*EXP(2*LN(DI29)+LN('Ecoinvent 3.10'!$E$17)^2)</f>
        <v>2.6431674474460642E-6</v>
      </c>
      <c r="DJ214" s="50">
        <f>(EXP(LN('Ecoinvent 3.10'!$E$17)^2)-1)*EXP(2*LN(DJ29)+LN('Ecoinvent 3.10'!$E$17)^2)</f>
        <v>2.6431674474460642E-6</v>
      </c>
      <c r="DK214" s="224">
        <f>(EXP(LN('Ecoinvent 3.10'!$E$17)^2)-1)*EXP(2*LN(DK29)+LN('Ecoinvent 3.10'!$E$17)^2)</f>
        <v>9.9813485763360155E-7</v>
      </c>
      <c r="DL214" s="50">
        <f>(EXP(LN('Ecoinvent 3.10'!$E$17)^2)-1)*EXP(2*LN(DL29)+LN('Ecoinvent 3.10'!$E$17)^2)</f>
        <v>9.9813485763360155E-7</v>
      </c>
      <c r="DO214" s="149" t="s">
        <v>54</v>
      </c>
      <c r="DP214" s="224">
        <f>(EXP(LN('Ecoinvent 3.10'!$E$17)^2)-1)*EXP(2*LN(DP29)+LN('Ecoinvent 3.10'!$E$17)^2)</f>
        <v>4.8277396273955766E-3</v>
      </c>
      <c r="DQ214" s="50">
        <f>(EXP(LN('Ecoinvent 3.10'!$E$17)^2)-1)*EXP(2*LN(DQ29)+LN('Ecoinvent 3.10'!$E$17)^2)</f>
        <v>4.8277396273955766E-3</v>
      </c>
      <c r="DR214" s="224">
        <f>(EXP(LN('Ecoinvent 3.10'!$E$17)^2)-1)*EXP(2*LN(DR29)+LN('Ecoinvent 3.10'!$E$17)^2)</f>
        <v>8.4100758846572792E-3</v>
      </c>
      <c r="DS214" s="50">
        <f>(EXP(LN('Ecoinvent 3.10'!$E$17)^2)-1)*EXP(2*LN(DS29)+LN('Ecoinvent 3.10'!$E$17)^2)</f>
        <v>8.4100758846572792E-3</v>
      </c>
      <c r="DT214" s="224">
        <f>(EXP(LN('Ecoinvent 3.10'!$E$17)^2)-1)*EXP(2*LN(DT29)+LN('Ecoinvent 3.10'!$E$17)^2)</f>
        <v>7.9278498168355704E-3</v>
      </c>
      <c r="DU214" s="50">
        <f>(EXP(LN('Ecoinvent 3.10'!$E$17)^2)-1)*EXP(2*LN(DU29)+LN('Ecoinvent 3.10'!$E$17)^2)</f>
        <v>7.9278498168355704E-3</v>
      </c>
      <c r="DV214" s="224">
        <f>(EXP(LN('Ecoinvent 3.10'!$E$17)^2)-1)*EXP(2*LN(DV29)+LN('Ecoinvent 3.10'!$E$17)^2)</f>
        <v>5.4427418586224406E-3</v>
      </c>
      <c r="DW214" s="50">
        <f>(EXP(LN('Ecoinvent 3.10'!$E$17)^2)-1)*EXP(2*LN(DW29)+LN('Ecoinvent 3.10'!$E$17)^2)</f>
        <v>5.4427418586224406E-3</v>
      </c>
      <c r="DX214" s="224">
        <f>(EXP(LN('Ecoinvent 3.10'!$E$17)^2)-1)*EXP(2*LN(DX29)+LN('Ecoinvent 3.10'!$E$17)^2)</f>
        <v>4.4393387278757902E-3</v>
      </c>
      <c r="DY214" s="50">
        <f>(EXP(LN('Ecoinvent 3.10'!$E$17)^2)-1)*EXP(2*LN(DY29)+LN('Ecoinvent 3.10'!$E$17)^2)</f>
        <v>4.4393387278757902E-3</v>
      </c>
      <c r="DZ214" s="224"/>
      <c r="EA214" s="50"/>
      <c r="EB214" s="224">
        <f>(EXP(LN('Ecoinvent 3.10'!$E$17)^2)-1)*EXP(2*LN(EB29)+LN('Ecoinvent 3.10'!$E$17)^2)</f>
        <v>1.1755841932549003E-2</v>
      </c>
      <c r="EC214" s="50">
        <f>(EXP(LN('Ecoinvent 3.10'!$E$17)^2)-1)*EXP(2*LN(EC29)+LN('Ecoinvent 3.10'!$E$17)^2)</f>
        <v>1.1755841932549003E-2</v>
      </c>
      <c r="ED214" s="224">
        <f>(EXP(LN('Ecoinvent 3.10'!$E$17)^2)-1)*EXP(2*LN(ED29)+LN('Ecoinvent 3.10'!$E$17)^2)</f>
        <v>4.4393387278757902E-3</v>
      </c>
      <c r="EE214" s="50">
        <f>(EXP(LN('Ecoinvent 3.10'!$E$17)^2)-1)*EXP(2*LN(EE29)+LN('Ecoinvent 3.10'!$E$17)^2)</f>
        <v>4.4393387278757902E-3</v>
      </c>
      <c r="EH214" s="149" t="s">
        <v>54</v>
      </c>
      <c r="EI214" s="224">
        <f>(EXP(LN('Ecoinvent 3.10'!$E$17)^2)-1)*EXP(2*LN(EI29)+LN('Ecoinvent 3.10'!$E$17)^2)</f>
        <v>1.0164236009224094E-5</v>
      </c>
      <c r="EJ214" s="50">
        <f>(EXP(LN('Ecoinvent 3.10'!$E$17)^2)-1)*EXP(2*LN(EJ29)+LN('Ecoinvent 3.10'!$E$17)^2)</f>
        <v>1.0164236009224094E-5</v>
      </c>
      <c r="EK214" s="224">
        <f>(EXP(LN('Ecoinvent 3.10'!$E$17)^2)-1)*EXP(2*LN(EK29)+LN('Ecoinvent 3.10'!$E$17)^2)</f>
        <v>1.7706422206794855E-5</v>
      </c>
      <c r="EL214" s="50">
        <f>(EXP(LN('Ecoinvent 3.10'!$E$17)^2)-1)*EXP(2*LN(EL29)+LN('Ecoinvent 3.10'!$E$17)^2)</f>
        <v>1.7706422206794855E-5</v>
      </c>
      <c r="EM214" s="224">
        <f>(EXP(LN('Ecoinvent 3.10'!$E$17)^2)-1)*EXP(2*LN(EM29)+LN('Ecoinvent 3.10'!$E$17)^2)</f>
        <v>1.6691152133958693E-5</v>
      </c>
      <c r="EN214" s="50">
        <f>(EXP(LN('Ecoinvent 3.10'!$E$17)^2)-1)*EXP(2*LN(EN29)+LN('Ecoinvent 3.10'!$E$17)^2)</f>
        <v>1.6691152133958693E-5</v>
      </c>
      <c r="EO214" s="224">
        <f>(EXP(LN('Ecoinvent 3.10'!$E$17)^2)-1)*EXP(2*LN(EO29)+LN('Ecoinvent 3.10'!$E$17)^2)</f>
        <v>1.1459050623690241E-5</v>
      </c>
      <c r="EP214" s="50">
        <f>(EXP(LN('Ecoinvent 3.10'!$E$17)^2)-1)*EXP(2*LN(EP29)+LN('Ecoinvent 3.10'!$E$17)^2)</f>
        <v>1.1459050623690241E-5</v>
      </c>
      <c r="EQ214" s="224">
        <f>(EXP(LN('Ecoinvent 3.10'!$E$17)^2)-1)*EXP(2*LN(EQ29)+LN('Ecoinvent 3.10'!$E$17)^2)</f>
        <v>9.3465037548763531E-6</v>
      </c>
      <c r="ER214" s="50">
        <f>(EXP(LN('Ecoinvent 3.10'!$E$17)^2)-1)*EXP(2*LN(ER29)+LN('Ecoinvent 3.10'!$E$17)^2)</f>
        <v>9.3465037548763531E-6</v>
      </c>
      <c r="ES214" s="224"/>
      <c r="ET214" s="50"/>
      <c r="EU214" s="224">
        <f>(EXP(LN('Ecoinvent 3.10'!$E$17)^2)-1)*EXP(2*LN(EU29)+LN('Ecoinvent 3.10'!$E$17)^2)</f>
        <v>2.4750537748868189E-5</v>
      </c>
      <c r="EV214" s="50">
        <f>(EXP(LN('Ecoinvent 3.10'!$E$17)^2)-1)*EXP(2*LN(EV29)+LN('Ecoinvent 3.10'!$E$17)^2)</f>
        <v>2.4750537748868189E-5</v>
      </c>
      <c r="EW214" s="224">
        <f>(EXP(LN('Ecoinvent 3.10'!$E$17)^2)-1)*EXP(2*LN(EW29)+LN('Ecoinvent 3.10'!$E$17)^2)</f>
        <v>9.3465037548763531E-6</v>
      </c>
      <c r="EX214" s="50">
        <f>(EXP(LN('Ecoinvent 3.10'!$E$17)^2)-1)*EXP(2*LN(EX29)+LN('Ecoinvent 3.10'!$E$17)^2)</f>
        <v>9.3465037548763531E-6</v>
      </c>
      <c r="FA214" s="149" t="s">
        <v>54</v>
      </c>
      <c r="FB214" s="224">
        <f>(EXP(LN('Ecoinvent 3.10'!$E$17)^2)-1)*EXP(2*LN(FB29)+LN('Ecoinvent 3.10'!$E$17)^2)</f>
        <v>5.7676345881749811E-8</v>
      </c>
      <c r="FC214" s="50">
        <f>(EXP(LN('Ecoinvent 3.10'!$E$17)^2)-1)*EXP(2*LN(FC29)+LN('Ecoinvent 3.10'!$E$17)^2)</f>
        <v>5.7676345881749811E-8</v>
      </c>
      <c r="FD214" s="224">
        <f>(EXP(LN('Ecoinvent 3.10'!$E$17)^2)-1)*EXP(2*LN(FD29)+LN('Ecoinvent 3.10'!$E$17)^2)</f>
        <v>1.0047402781680946E-7</v>
      </c>
      <c r="FE214" s="50">
        <f>(EXP(LN('Ecoinvent 3.10'!$E$17)^2)-1)*EXP(2*LN(FE29)+LN('Ecoinvent 3.10'!$E$17)^2)</f>
        <v>1.0047402781680946E-7</v>
      </c>
      <c r="FF214" s="224">
        <f>(EXP(LN('Ecoinvent 3.10'!$E$17)^2)-1)*EXP(2*LN(FF29)+LN('Ecoinvent 3.10'!$E$17)^2)</f>
        <v>9.4712938854378109E-8</v>
      </c>
      <c r="FG214" s="50">
        <f>(EXP(LN('Ecoinvent 3.10'!$E$17)^2)-1)*EXP(2*LN(FG29)+LN('Ecoinvent 3.10'!$E$17)^2)</f>
        <v>9.4712938854378109E-8</v>
      </c>
      <c r="FH214" s="224">
        <f>(EXP(LN('Ecoinvent 3.10'!$E$17)^2)-1)*EXP(2*LN(FH29)+LN('Ecoinvent 3.10'!$E$17)^2)</f>
        <v>6.502369353177709E-8</v>
      </c>
      <c r="FI214" s="50">
        <f>(EXP(LN('Ecoinvent 3.10'!$E$17)^2)-1)*EXP(2*LN(FI29)+LN('Ecoinvent 3.10'!$E$17)^2)</f>
        <v>6.502369353177709E-8</v>
      </c>
      <c r="FJ214" s="224">
        <f>(EXP(LN('Ecoinvent 3.10'!$E$17)^2)-1)*EXP(2*LN(FJ29)+LN('Ecoinvent 3.10'!$E$17)^2)</f>
        <v>5.303617338894062E-8</v>
      </c>
      <c r="FK214" s="50">
        <f>(EXP(LN('Ecoinvent 3.10'!$E$17)^2)-1)*EXP(2*LN(FK29)+LN('Ecoinvent 3.10'!$E$17)^2)</f>
        <v>5.303617338894062E-8</v>
      </c>
      <c r="FL214" s="224"/>
      <c r="FM214" s="50"/>
      <c r="FN214" s="224">
        <f>(EXP(LN('Ecoinvent 3.10'!$E$17)^2)-1)*EXP(2*LN(FN29)+LN('Ecoinvent 3.10'!$E$17)^2)</f>
        <v>1.4044543777491469E-7</v>
      </c>
      <c r="FO214" s="50">
        <f>(EXP(LN('Ecoinvent 3.10'!$E$17)^2)-1)*EXP(2*LN(FO29)+LN('Ecoinvent 3.10'!$E$17)^2)</f>
        <v>1.4044543777491469E-7</v>
      </c>
      <c r="FP214" s="224">
        <f>(EXP(LN('Ecoinvent 3.10'!$E$17)^2)-1)*EXP(2*LN(FP29)+LN('Ecoinvent 3.10'!$E$17)^2)</f>
        <v>5.303617338894062E-8</v>
      </c>
      <c r="FQ214" s="50">
        <f>(EXP(LN('Ecoinvent 3.10'!$E$17)^2)-1)*EXP(2*LN(FQ29)+LN('Ecoinvent 3.10'!$E$17)^2)</f>
        <v>5.303617338894062E-8</v>
      </c>
      <c r="FT214" s="149" t="s">
        <v>54</v>
      </c>
      <c r="FU214" s="224">
        <f>(EXP(LN('Ecoinvent 3.10'!$E$17)^2)-1)*EXP(2*LN(FU29)+LN('Ecoinvent 3.10'!$E$17)^2)</f>
        <v>8.7917792213695303E-4</v>
      </c>
      <c r="FV214" s="50">
        <f>(EXP(LN('Ecoinvent 3.10'!$E$17)^2)-1)*EXP(2*LN(FV29)+LN('Ecoinvent 3.10'!$E$17)^2)</f>
        <v>8.7917792213695303E-4</v>
      </c>
      <c r="FW214" s="224">
        <f>(EXP(LN('Ecoinvent 3.10'!$E$17)^2)-1)*EXP(2*LN(FW29)+LN('Ecoinvent 3.10'!$E$17)^2)</f>
        <v>1.5315558857667516E-3</v>
      </c>
      <c r="FX214" s="50">
        <f>(EXP(LN('Ecoinvent 3.10'!$E$17)^2)-1)*EXP(2*LN(FX29)+LN('Ecoinvent 3.10'!$E$17)^2)</f>
        <v>1.5315558857667516E-3</v>
      </c>
      <c r="FY214" s="224">
        <f>(EXP(LN('Ecoinvent 3.10'!$E$17)^2)-1)*EXP(2*LN(FY29)+LN('Ecoinvent 3.10'!$E$17)^2)</f>
        <v>1.4437378704989152E-3</v>
      </c>
      <c r="FZ214" s="50">
        <f>(EXP(LN('Ecoinvent 3.10'!$E$17)^2)-1)*EXP(2*LN(FZ29)+LN('Ecoinvent 3.10'!$E$17)^2)</f>
        <v>1.4437378704989152E-3</v>
      </c>
      <c r="GA214" s="224">
        <f>(EXP(LN('Ecoinvent 3.10'!$E$17)^2)-1)*EXP(2*LN(GA29)+LN('Ecoinvent 3.10'!$E$17)^2)</f>
        <v>9.9117575662897362E-4</v>
      </c>
      <c r="GB214" s="50">
        <f>(EXP(LN('Ecoinvent 3.10'!$E$17)^2)-1)*EXP(2*LN(GB29)+LN('Ecoinvent 3.10'!$E$17)^2)</f>
        <v>9.9117575662897362E-4</v>
      </c>
      <c r="GC214" s="224">
        <f>(EXP(LN('Ecoinvent 3.10'!$E$17)^2)-1)*EXP(2*LN(GC29)+LN('Ecoinvent 3.10'!$E$17)^2)</f>
        <v>8.0844637442501757E-4</v>
      </c>
      <c r="GD214" s="50">
        <f>(EXP(LN('Ecoinvent 3.10'!$E$17)^2)-1)*EXP(2*LN(GD29)+LN('Ecoinvent 3.10'!$E$17)^2)</f>
        <v>8.0844637442501757E-4</v>
      </c>
      <c r="GE214" s="224"/>
      <c r="GF214" s="50"/>
      <c r="GG214" s="224">
        <f>(EXP(LN('Ecoinvent 3.10'!$E$17)^2)-1)*EXP(2*LN(GG29)+LN('Ecoinvent 3.10'!$E$17)^2)</f>
        <v>2.1408521339011354E-3</v>
      </c>
      <c r="GH214" s="50">
        <f>(EXP(LN('Ecoinvent 3.10'!$E$17)^2)-1)*EXP(2*LN(GH29)+LN('Ecoinvent 3.10'!$E$17)^2)</f>
        <v>2.1408521339011354E-3</v>
      </c>
      <c r="GI214" s="224">
        <f>(EXP(LN('Ecoinvent 3.10'!$E$17)^2)-1)*EXP(2*LN(GI29)+LN('Ecoinvent 3.10'!$E$17)^2)</f>
        <v>8.0844637442501757E-4</v>
      </c>
      <c r="GJ214" s="50">
        <f>(EXP(LN('Ecoinvent 3.10'!$E$17)^2)-1)*EXP(2*LN(GJ29)+LN('Ecoinvent 3.10'!$E$17)^2)</f>
        <v>8.0844637442501757E-4</v>
      </c>
      <c r="GM214" s="149" t="s">
        <v>54</v>
      </c>
      <c r="GN214" s="224">
        <f>(EXP(LN('Ecoinvent 3.10'!$E$17)^2)-1)*EXP(2*LN(GN29)+LN('Ecoinvent 3.10'!$E$17)^2)</f>
        <v>8.348780862384721E-3</v>
      </c>
      <c r="GO214" s="50">
        <f>(EXP(LN('Ecoinvent 3.10'!$E$17)^2)-1)*EXP(2*LN(GO29)+LN('Ecoinvent 3.10'!$E$17)^2)</f>
        <v>8.348780862384721E-3</v>
      </c>
      <c r="GP214" s="224">
        <f>(EXP(LN('Ecoinvent 3.10'!$E$17)^2)-1)*EXP(2*LN(GP29)+LN('Ecoinvent 3.10'!$E$17)^2)</f>
        <v>1.4543841635243332E-2</v>
      </c>
      <c r="GQ214" s="50">
        <f>(EXP(LN('Ecoinvent 3.10'!$E$17)^2)-1)*EXP(2*LN(GQ29)+LN('Ecoinvent 3.10'!$E$17)^2)</f>
        <v>1.4543841635243332E-2</v>
      </c>
      <c r="GR214" s="224">
        <f>(EXP(LN('Ecoinvent 3.10'!$E$17)^2)-1)*EXP(2*LN(GR29)+LN('Ecoinvent 3.10'!$E$17)^2)</f>
        <v>1.3709911043061662E-2</v>
      </c>
      <c r="GS214" s="50">
        <f>(EXP(LN('Ecoinvent 3.10'!$E$17)^2)-1)*EXP(2*LN(GS29)+LN('Ecoinvent 3.10'!$E$17)^2)</f>
        <v>1.3709911043061662E-2</v>
      </c>
      <c r="GT214" s="224">
        <f>(EXP(LN('Ecoinvent 3.10'!$E$17)^2)-1)*EXP(2*LN(GT29)+LN('Ecoinvent 3.10'!$E$17)^2)</f>
        <v>9.4123259693441579E-3</v>
      </c>
      <c r="GU214" s="50">
        <f>(EXP(LN('Ecoinvent 3.10'!$E$17)^2)-1)*EXP(2*LN(GU29)+LN('Ecoinvent 3.10'!$E$17)^2)</f>
        <v>9.4123259693441579E-3</v>
      </c>
      <c r="GV214" s="224">
        <f>(EXP(LN('Ecoinvent 3.10'!$E$17)^2)-1)*EXP(2*LN(GV29)+LN('Ecoinvent 3.10'!$E$17)^2)</f>
        <v>7.6771054517136761E-3</v>
      </c>
      <c r="GW214" s="50">
        <f>(EXP(LN('Ecoinvent 3.10'!$E$17)^2)-1)*EXP(2*LN(GW29)+LN('Ecoinvent 3.10'!$E$17)^2)</f>
        <v>7.6771054517136761E-3</v>
      </c>
      <c r="GX214" s="224"/>
      <c r="GY214" s="50"/>
      <c r="GZ214" s="224">
        <f>(EXP(LN('Ecoinvent 3.10'!$E$17)^2)-1)*EXP(2*LN(GZ29)+LN('Ecoinvent 3.10'!$E$17)^2)</f>
        <v>2.0329793179138845E-2</v>
      </c>
      <c r="HA214" s="50">
        <f>(EXP(LN('Ecoinvent 3.10'!$E$17)^2)-1)*EXP(2*LN(HA29)+LN('Ecoinvent 3.10'!$E$17)^2)</f>
        <v>2.0329793179138845E-2</v>
      </c>
      <c r="HB214" s="224">
        <f>(EXP(LN('Ecoinvent 3.10'!$E$17)^2)-1)*EXP(2*LN(HB29)+LN('Ecoinvent 3.10'!$E$17)^2)</f>
        <v>7.6771054517136761E-3</v>
      </c>
      <c r="HC214" s="50">
        <f>(EXP(LN('Ecoinvent 3.10'!$E$17)^2)-1)*EXP(2*LN(HC29)+LN('Ecoinvent 3.10'!$E$17)^2)</f>
        <v>7.6771054517136761E-3</v>
      </c>
      <c r="HF214" s="149" t="s">
        <v>54</v>
      </c>
      <c r="HG214" s="224">
        <f>(EXP(LN('Ecoinvent 3.10'!$E$17)^2)-1)*EXP(2*LN(HG29)+LN('Ecoinvent 3.10'!$E$17)^2)</f>
        <v>0.36887424414419895</v>
      </c>
      <c r="HH214" s="50">
        <f>(EXP(LN('Ecoinvent 3.10'!$E$17)^2)-1)*EXP(2*LN(HH29)+LN('Ecoinvent 3.10'!$E$17)^2)</f>
        <v>0.36887424414419895</v>
      </c>
      <c r="HI214" s="224">
        <f>(EXP(LN('Ecoinvent 3.10'!$E$17)^2)-1)*EXP(2*LN(HI29)+LN('Ecoinvent 3.10'!$E$17)^2)</f>
        <v>0.64259065827497563</v>
      </c>
      <c r="HJ214" s="50">
        <f>(EXP(LN('Ecoinvent 3.10'!$E$17)^2)-1)*EXP(2*LN(HJ29)+LN('Ecoinvent 3.10'!$E$17)^2)</f>
        <v>0.64259065827497563</v>
      </c>
      <c r="HK214" s="224">
        <f>(EXP(LN('Ecoinvent 3.10'!$E$17)^2)-1)*EXP(2*LN(HK29)+LN('Ecoinvent 3.10'!$E$17)^2)</f>
        <v>0.60574509699719714</v>
      </c>
      <c r="HL214" s="50">
        <f>(EXP(LN('Ecoinvent 3.10'!$E$17)^2)-1)*EXP(2*LN(HL29)+LN('Ecoinvent 3.10'!$E$17)^2)</f>
        <v>0.60574509699719714</v>
      </c>
      <c r="HM214" s="224">
        <f>(EXP(LN('Ecoinvent 3.10'!$E$17)^2)-1)*EXP(2*LN(HM29)+LN('Ecoinvent 3.10'!$E$17)^2)</f>
        <v>0.41586486515935672</v>
      </c>
      <c r="HN214" s="50">
        <f>(EXP(LN('Ecoinvent 3.10'!$E$17)^2)-1)*EXP(2*LN(HN29)+LN('Ecoinvent 3.10'!$E$17)^2)</f>
        <v>0.41586486515935672</v>
      </c>
      <c r="HO214" s="224">
        <f>(EXP(LN('Ecoinvent 3.10'!$E$17)^2)-1)*EXP(2*LN(HO29)+LN('Ecoinvent 3.10'!$E$17)^2)</f>
        <v>0.33919760470360449</v>
      </c>
      <c r="HP214" s="50">
        <f>(EXP(LN('Ecoinvent 3.10'!$E$17)^2)-1)*EXP(2*LN(HP29)+LN('Ecoinvent 3.10'!$E$17)^2)</f>
        <v>0.33919760470360449</v>
      </c>
      <c r="HQ214" s="224"/>
      <c r="HR214" s="50"/>
      <c r="HS214" s="224">
        <f>(EXP(LN('Ecoinvent 3.10'!$E$17)^2)-1)*EXP(2*LN(HS29)+LN('Ecoinvent 3.10'!$E$17)^2)</f>
        <v>0.89823139643656957</v>
      </c>
      <c r="HT214" s="50">
        <f>(EXP(LN('Ecoinvent 3.10'!$E$17)^2)-1)*EXP(2*LN(HT29)+LN('Ecoinvent 3.10'!$E$17)^2)</f>
        <v>0.89823139643656957</v>
      </c>
      <c r="HU214" s="224">
        <f>(EXP(LN('Ecoinvent 3.10'!$E$17)^2)-1)*EXP(2*LN(HU29)+LN('Ecoinvent 3.10'!$E$17)^2)</f>
        <v>0.33919760470360449</v>
      </c>
      <c r="HV214" s="50">
        <f>(EXP(LN('Ecoinvent 3.10'!$E$17)^2)-1)*EXP(2*LN(HV29)+LN('Ecoinvent 3.10'!$E$17)^2)</f>
        <v>0.33919760470360449</v>
      </c>
      <c r="HY214" s="149" t="s">
        <v>54</v>
      </c>
      <c r="HZ214" s="224">
        <f>(EXP(LN('Ecoinvent 3.10'!$E$17)^2)-1)*EXP(2*LN(HZ29)+LN('Ecoinvent 3.10'!$E$17)^2)</f>
        <v>1.8727102105421133E-7</v>
      </c>
      <c r="IA214" s="50">
        <f>(EXP(LN('Ecoinvent 3.10'!$E$17)^2)-1)*EXP(2*LN(IA29)+LN('Ecoinvent 3.10'!$E$17)^2)</f>
        <v>1.8727102105421133E-7</v>
      </c>
      <c r="IB214" s="224">
        <f>(EXP(LN('Ecoinvent 3.10'!$E$17)^2)-1)*EXP(2*LN(IB29)+LN('Ecoinvent 3.10'!$E$17)^2)</f>
        <v>3.2623207124217162E-7</v>
      </c>
      <c r="IC214" s="50">
        <f>(EXP(LN('Ecoinvent 3.10'!$E$17)^2)-1)*EXP(2*LN(IC29)+LN('Ecoinvent 3.10'!$E$17)^2)</f>
        <v>3.2623207124217162E-7</v>
      </c>
      <c r="ID214" s="224">
        <f>(EXP(LN('Ecoinvent 3.10'!$E$17)^2)-1)*EXP(2*LN(ID29)+LN('Ecoinvent 3.10'!$E$17)^2)</f>
        <v>3.0752622232118352E-7</v>
      </c>
      <c r="IE214" s="50">
        <f>(EXP(LN('Ecoinvent 3.10'!$E$17)^2)-1)*EXP(2*LN(IE29)+LN('Ecoinvent 3.10'!$E$17)^2)</f>
        <v>3.0752622232118352E-7</v>
      </c>
      <c r="IF214" s="224">
        <f>(EXP(LN('Ecoinvent 3.10'!$E$17)^2)-1)*EXP(2*LN(IF29)+LN('Ecoinvent 3.10'!$E$17)^2)</f>
        <v>2.1112733988692451E-7</v>
      </c>
      <c r="IG214" s="50">
        <f>(EXP(LN('Ecoinvent 3.10'!$E$17)^2)-1)*EXP(2*LN(IG29)+LN('Ecoinvent 3.10'!$E$17)^2)</f>
        <v>2.1112733988692451E-7</v>
      </c>
      <c r="IH214" s="224">
        <f>(EXP(LN('Ecoinvent 3.10'!$E$17)^2)-1)*EXP(2*LN(IH29)+LN('Ecoinvent 3.10'!$E$17)^2)</f>
        <v>1.7220470873307994E-7</v>
      </c>
      <c r="II214" s="50">
        <f>(EXP(LN('Ecoinvent 3.10'!$E$17)^2)-1)*EXP(2*LN(II29)+LN('Ecoinvent 3.10'!$E$17)^2)</f>
        <v>1.7220470873307994E-7</v>
      </c>
      <c r="IJ214" s="224"/>
      <c r="IK214" s="50"/>
      <c r="IL214" s="224">
        <f>(EXP(LN('Ecoinvent 3.10'!$E$17)^2)-1)*EXP(2*LN(IL29)+LN('Ecoinvent 3.10'!$E$17)^2)</f>
        <v>4.5601641595738323E-7</v>
      </c>
      <c r="IM214" s="50">
        <f>(EXP(LN('Ecoinvent 3.10'!$E$17)^2)-1)*EXP(2*LN(IM29)+LN('Ecoinvent 3.10'!$E$17)^2)</f>
        <v>4.5601641595738323E-7</v>
      </c>
      <c r="IN214" s="224">
        <f>(EXP(LN('Ecoinvent 3.10'!$E$17)^2)-1)*EXP(2*LN(IN29)+LN('Ecoinvent 3.10'!$E$17)^2)</f>
        <v>1.7220470873307994E-7</v>
      </c>
      <c r="IO214" s="50">
        <f>(EXP(LN('Ecoinvent 3.10'!$E$17)^2)-1)*EXP(2*LN(IO29)+LN('Ecoinvent 3.10'!$E$17)^2)</f>
        <v>1.7220470873307994E-7</v>
      </c>
    </row>
    <row r="215" spans="1:249" ht="14.25" x14ac:dyDescent="0.25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  <c r="AA215" s="158"/>
      <c r="AB215" s="158"/>
      <c r="AC215" s="158"/>
      <c r="AD215" s="158"/>
      <c r="AE215" s="158"/>
      <c r="AF215" s="158"/>
      <c r="AG215" s="158"/>
      <c r="AH215" s="158"/>
      <c r="AI215" s="158"/>
      <c r="AJ215" s="158"/>
      <c r="AK215" s="158"/>
      <c r="AL215" s="158"/>
      <c r="AM215" s="139"/>
      <c r="AN215" s="156"/>
      <c r="AO215" s="158"/>
      <c r="AP215" s="726"/>
      <c r="AQ215" s="149" t="s">
        <v>216</v>
      </c>
      <c r="AR215" s="224">
        <f>(EXP(LN('Ecoinvent 3.10'!$E$18)^2)-1)*EXP(2*LN(AR30)+LN('Ecoinvent 3.10'!$E$18)^2)</f>
        <v>0.50644206404185232</v>
      </c>
      <c r="AS215" s="50">
        <f>(EXP(LN('Ecoinvent 3.10'!$E$18)^2)-1)*EXP(2*LN(AS30)+LN('Ecoinvent 3.10'!$E$18)^2)</f>
        <v>0.50644206404185232</v>
      </c>
      <c r="AT215" s="224">
        <f>(EXP(LN('Ecoinvent 3.10'!$E$18)^2)-1)*EXP(2*LN(AT30)+LN('Ecoinvent 3.10'!$E$18)^2)</f>
        <v>0.90890382203100328</v>
      </c>
      <c r="AU215" s="50">
        <f>(EXP(LN('Ecoinvent 3.10'!$E$18)^2)-1)*EXP(2*LN(AU30)+LN('Ecoinvent 3.10'!$E$18)^2)</f>
        <v>0.90890382203100328</v>
      </c>
      <c r="AV215" s="224">
        <f>(EXP(LN('Ecoinvent 3.10'!$E$18)^2)-1)*EXP(2*LN(AV30)+LN('Ecoinvent 3.10'!$E$18)^2)</f>
        <v>0.85678810724586885</v>
      </c>
      <c r="AW215" s="50">
        <f>(EXP(LN('Ecoinvent 3.10'!$E$18)^2)-1)*EXP(2*LN(AW30)+LN('Ecoinvent 3.10'!$E$18)^2)</f>
        <v>0.85678810724586885</v>
      </c>
      <c r="AX215" s="224">
        <f>(EXP(LN('Ecoinvent 3.10'!$E$18)^2)-1)*EXP(2*LN(AX30)+LN('Ecoinvent 3.10'!$E$18)^2)</f>
        <v>0.58821453521660505</v>
      </c>
      <c r="AY215" s="50">
        <f>(EXP(LN('Ecoinvent 3.10'!$E$18)^2)-1)*EXP(2*LN(AY30)+LN('Ecoinvent 3.10'!$E$18)^2)</f>
        <v>0.58821453521660505</v>
      </c>
      <c r="AZ215" s="224">
        <f>(EXP(LN('Ecoinvent 3.10'!$E$18)^2)-1)*EXP(2*LN(AZ30)+LN('Ecoinvent 3.10'!$E$18)^2)</f>
        <v>0.47977354692097235</v>
      </c>
      <c r="BA215" s="50">
        <f>(EXP(LN('Ecoinvent 3.10'!$E$18)^2)-1)*EXP(2*LN(BA30)+LN('Ecoinvent 3.10'!$E$18)^2)</f>
        <v>0.47977354692097235</v>
      </c>
      <c r="BB215" s="224"/>
      <c r="BC215" s="50"/>
      <c r="BD215" s="224">
        <f>(EXP(LN('Ecoinvent 3.10'!$E$18)^2)-1)*EXP(2*LN(BD30)+LN('Ecoinvent 3.10'!$E$18)^2)</f>
        <v>1.2704914688319182</v>
      </c>
      <c r="BE215" s="50">
        <f>(EXP(LN('Ecoinvent 3.10'!$E$18)^2)-1)*EXP(2*LN(BE30)+LN('Ecoinvent 3.10'!$E$18)^2)</f>
        <v>1.2704914688319182</v>
      </c>
      <c r="BF215" s="224">
        <f>(EXP(LN('Ecoinvent 3.10'!$E$18)^2)-1)*EXP(2*LN(BF30)+LN('Ecoinvent 3.10'!$E$18)^2)</f>
        <v>0.47977354692097235</v>
      </c>
      <c r="BG215" s="50">
        <f>(EXP(LN('Ecoinvent 3.10'!$E$18)^2)-1)*EXP(2*LN(BG30)+LN('Ecoinvent 3.10'!$E$18)^2)</f>
        <v>0.47977354692097235</v>
      </c>
      <c r="BI215" s="156"/>
      <c r="BJ215" s="149" t="s">
        <v>216</v>
      </c>
      <c r="BK215" s="224">
        <f>(EXP(LN('Ecoinvent 3.10'!$E$18)^2)-1)*EXP(2*LN(BK30)+LN('Ecoinvent 3.10'!$E$18)^2)</f>
        <v>2.4807539693924106E-2</v>
      </c>
      <c r="BL215" s="50">
        <f>(EXP(LN('Ecoinvent 3.10'!$E$18)^2)-1)*EXP(2*LN(BL30)+LN('Ecoinvent 3.10'!$E$18)^2)</f>
        <v>2.4807539693924106E-2</v>
      </c>
      <c r="BM215" s="224">
        <f>(EXP(LN('Ecoinvent 3.10'!$E$18)^2)-1)*EXP(2*LN(BM30)+LN('Ecoinvent 3.10'!$E$18)^2)</f>
        <v>4.4521711848031061E-2</v>
      </c>
      <c r="BN215" s="50">
        <f>(EXP(LN('Ecoinvent 3.10'!$E$18)^2)-1)*EXP(2*LN(BN30)+LN('Ecoinvent 3.10'!$E$18)^2)</f>
        <v>4.4521711848031061E-2</v>
      </c>
      <c r="BO215" s="224">
        <f>(EXP(LN('Ecoinvent 3.10'!$E$18)^2)-1)*EXP(2*LN(BO30)+LN('Ecoinvent 3.10'!$E$18)^2)</f>
        <v>4.1968877565484966E-2</v>
      </c>
      <c r="BP215" s="50">
        <f>(EXP(LN('Ecoinvent 3.10'!$E$18)^2)-1)*EXP(2*LN(BP30)+LN('Ecoinvent 3.10'!$E$18)^2)</f>
        <v>4.1968877565484966E-2</v>
      </c>
      <c r="BQ215" s="224">
        <f>(EXP(LN('Ecoinvent 3.10'!$E$18)^2)-1)*EXP(2*LN(BQ30)+LN('Ecoinvent 3.10'!$E$18)^2)</f>
        <v>2.8813079455665341E-2</v>
      </c>
      <c r="BR215" s="50">
        <f>(EXP(LN('Ecoinvent 3.10'!$E$18)^2)-1)*EXP(2*LN(BR30)+LN('Ecoinvent 3.10'!$E$18)^2)</f>
        <v>2.8813079455665341E-2</v>
      </c>
      <c r="BS215" s="224">
        <f>(EXP(LN('Ecoinvent 3.10'!$E$18)^2)-1)*EXP(2*LN(BS30)+LN('Ecoinvent 3.10'!$E$18)^2)</f>
        <v>2.3501210018670959E-2</v>
      </c>
      <c r="BT215" s="50">
        <f>(EXP(LN('Ecoinvent 3.10'!$E$18)^2)-1)*EXP(2*LN(BT30)+LN('Ecoinvent 3.10'!$E$18)^2)</f>
        <v>2.3501210018670959E-2</v>
      </c>
      <c r="BU215" s="224"/>
      <c r="BV215" s="50"/>
      <c r="BW215" s="224">
        <f>(EXP(LN('Ecoinvent 3.10'!$E$18)^2)-1)*EXP(2*LN(BW30)+LN('Ecoinvent 3.10'!$E$18)^2)</f>
        <v>6.2233708022395071E-2</v>
      </c>
      <c r="BX215" s="50">
        <f>(EXP(LN('Ecoinvent 3.10'!$E$18)^2)-1)*EXP(2*LN(BX30)+LN('Ecoinvent 3.10'!$E$18)^2)</f>
        <v>6.2233708022395071E-2</v>
      </c>
      <c r="BY215" s="224">
        <f>(EXP(LN('Ecoinvent 3.10'!$E$18)^2)-1)*EXP(2*LN(BY30)+LN('Ecoinvent 3.10'!$E$18)^2)</f>
        <v>2.3501210018670959E-2</v>
      </c>
      <c r="BZ215" s="50">
        <f>(EXP(LN('Ecoinvent 3.10'!$E$18)^2)-1)*EXP(2*LN(BZ30)+LN('Ecoinvent 3.10'!$E$18)^2)</f>
        <v>2.3501210018670959E-2</v>
      </c>
      <c r="CA215" s="156"/>
      <c r="CB215" s="156"/>
      <c r="CC215" s="149" t="s">
        <v>216</v>
      </c>
      <c r="CD215" s="224">
        <f>(EXP(LN('Ecoinvent 3.10'!$E$18)^2)-1)*EXP(2*LN(CD30)+LN('Ecoinvent 3.10'!$E$18)^2)</f>
        <v>0.5107968162675155</v>
      </c>
      <c r="CE215" s="50">
        <f>(EXP(LN('Ecoinvent 3.10'!$E$18)^2)-1)*EXP(2*LN(CE30)+LN('Ecoinvent 3.10'!$E$18)^2)</f>
        <v>0.5107968162675155</v>
      </c>
      <c r="CF215" s="224">
        <f>(EXP(LN('Ecoinvent 3.10'!$E$18)^2)-1)*EXP(2*LN(CF30)+LN('Ecoinvent 3.10'!$E$18)^2)</f>
        <v>0.91671922920771887</v>
      </c>
      <c r="CG215" s="50">
        <f>(EXP(LN('Ecoinvent 3.10'!$E$18)^2)-1)*EXP(2*LN(CG30)+LN('Ecoinvent 3.10'!$E$18)^2)</f>
        <v>0.91671922920771887</v>
      </c>
      <c r="CH215" s="224">
        <f>(EXP(LN('Ecoinvent 3.10'!$E$18)^2)-1)*EXP(2*LN(CH30)+LN('Ecoinvent 3.10'!$E$18)^2)</f>
        <v>0.86415538611518961</v>
      </c>
      <c r="CI215" s="50">
        <f>(EXP(LN('Ecoinvent 3.10'!$E$18)^2)-1)*EXP(2*LN(CI30)+LN('Ecoinvent 3.10'!$E$18)^2)</f>
        <v>0.86415538611518961</v>
      </c>
      <c r="CJ215" s="224">
        <f>(EXP(LN('Ecoinvent 3.10'!$E$18)^2)-1)*EXP(2*LN(CJ30)+LN('Ecoinvent 3.10'!$E$18)^2)</f>
        <v>0.59327242581905382</v>
      </c>
      <c r="CK215" s="50">
        <f>(EXP(LN('Ecoinvent 3.10'!$E$18)^2)-1)*EXP(2*LN(CK30)+LN('Ecoinvent 3.10'!$E$18)^2)</f>
        <v>0.59327242581905382</v>
      </c>
      <c r="CL215" s="224">
        <f>(EXP(LN('Ecoinvent 3.10'!$E$18)^2)-1)*EXP(2*LN(CL30)+LN('Ecoinvent 3.10'!$E$18)^2)</f>
        <v>0.48389898410246163</v>
      </c>
      <c r="CM215" s="50">
        <f>(EXP(LN('Ecoinvent 3.10'!$E$18)^2)-1)*EXP(2*LN(CM30)+LN('Ecoinvent 3.10'!$E$18)^2)</f>
        <v>0.48389898410246163</v>
      </c>
      <c r="CN215" s="224"/>
      <c r="CO215" s="50"/>
      <c r="CP215" s="224">
        <f>(EXP(LN('Ecoinvent 3.10'!$E$18)^2)-1)*EXP(2*LN(CP30)+LN('Ecoinvent 3.10'!$E$18)^2)</f>
        <v>1.2814160660255762</v>
      </c>
      <c r="CQ215" s="50">
        <f>(EXP(LN('Ecoinvent 3.10'!$E$18)^2)-1)*EXP(2*LN(CQ30)+LN('Ecoinvent 3.10'!$E$18)^2)</f>
        <v>1.2814160660255762</v>
      </c>
      <c r="CR215" s="224">
        <f>(EXP(LN('Ecoinvent 3.10'!$E$18)^2)-1)*EXP(2*LN(CR30)+LN('Ecoinvent 3.10'!$E$18)^2)</f>
        <v>0.48389898410246163</v>
      </c>
      <c r="CS215" s="50">
        <f>(EXP(LN('Ecoinvent 3.10'!$E$18)^2)-1)*EXP(2*LN(CS30)+LN('Ecoinvent 3.10'!$E$18)^2)</f>
        <v>0.48389898410246163</v>
      </c>
      <c r="CV215" s="149" t="s">
        <v>216</v>
      </c>
      <c r="CW215" s="224">
        <f>(EXP(LN('Ecoinvent 3.10'!$E$18)^2)-1)*EXP(2*LN(CW30)+LN('Ecoinvent 3.10'!$E$18)^2)</f>
        <v>1.5051864660156149E-8</v>
      </c>
      <c r="CX215" s="50">
        <f>(EXP(LN('Ecoinvent 3.10'!$E$18)^2)-1)*EXP(2*LN(CX30)+LN('Ecoinvent 3.10'!$E$18)^2)</f>
        <v>1.5051864660156149E-8</v>
      </c>
      <c r="CY215" s="224">
        <f>(EXP(LN('Ecoinvent 3.10'!$E$18)^2)-1)*EXP(2*LN(CY30)+LN('Ecoinvent 3.10'!$E$18)^2)</f>
        <v>2.7013351160299256E-8</v>
      </c>
      <c r="CZ215" s="50">
        <f>(EXP(LN('Ecoinvent 3.10'!$E$18)^2)-1)*EXP(2*LN(CZ30)+LN('Ecoinvent 3.10'!$E$18)^2)</f>
        <v>2.7013351160299256E-8</v>
      </c>
      <c r="DA215" s="224">
        <f>(EXP(LN('Ecoinvent 3.10'!$E$18)^2)-1)*EXP(2*LN(DA30)+LN('Ecoinvent 3.10'!$E$18)^2)</f>
        <v>2.5464430284034305E-8</v>
      </c>
      <c r="DB215" s="50">
        <f>(EXP(LN('Ecoinvent 3.10'!$E$18)^2)-1)*EXP(2*LN(DB30)+LN('Ecoinvent 3.10'!$E$18)^2)</f>
        <v>2.5464430284034305E-8</v>
      </c>
      <c r="DC215" s="224">
        <f>(EXP(LN('Ecoinvent 3.10'!$E$18)^2)-1)*EXP(2*LN(DC30)+LN('Ecoinvent 3.10'!$E$18)^2)</f>
        <v>1.7482208141552253E-8</v>
      </c>
      <c r="DD215" s="50">
        <f>(EXP(LN('Ecoinvent 3.10'!$E$18)^2)-1)*EXP(2*LN(DD30)+LN('Ecoinvent 3.10'!$E$18)^2)</f>
        <v>1.7482208141552253E-8</v>
      </c>
      <c r="DE215" s="224">
        <f>(EXP(LN('Ecoinvent 3.10'!$E$18)^2)-1)*EXP(2*LN(DE30)+LN('Ecoinvent 3.10'!$E$18)^2)</f>
        <v>1.425925492472674E-8</v>
      </c>
      <c r="DF215" s="50">
        <f>(EXP(LN('Ecoinvent 3.10'!$E$18)^2)-1)*EXP(2*LN(DF30)+LN('Ecoinvent 3.10'!$E$18)^2)</f>
        <v>1.425925492472674E-8</v>
      </c>
      <c r="DG215" s="224"/>
      <c r="DH215" s="50"/>
      <c r="DI215" s="224">
        <f>(EXP(LN('Ecoinvent 3.10'!$E$18)^2)-1)*EXP(2*LN(DI30)+LN('Ecoinvent 3.10'!$E$18)^2)</f>
        <v>3.776002626661889E-8</v>
      </c>
      <c r="DJ215" s="50">
        <f>(EXP(LN('Ecoinvent 3.10'!$E$18)^2)-1)*EXP(2*LN(DJ30)+LN('Ecoinvent 3.10'!$E$18)^2)</f>
        <v>3.776002626661889E-8</v>
      </c>
      <c r="DK215" s="224">
        <f>(EXP(LN('Ecoinvent 3.10'!$E$18)^2)-1)*EXP(2*LN(DK30)+LN('Ecoinvent 3.10'!$E$18)^2)</f>
        <v>1.425925492472674E-8</v>
      </c>
      <c r="DL215" s="50">
        <f>(EXP(LN('Ecoinvent 3.10'!$E$18)^2)-1)*EXP(2*LN(DL30)+LN('Ecoinvent 3.10'!$E$18)^2)</f>
        <v>1.425925492472674E-8</v>
      </c>
      <c r="DO215" s="149" t="s">
        <v>216</v>
      </c>
      <c r="DP215" s="224">
        <f>(EXP(LN('Ecoinvent 3.10'!$E$18)^2)-1)*EXP(2*LN(DP30)+LN('Ecoinvent 3.10'!$E$18)^2)</f>
        <v>1.4102660606689195E-6</v>
      </c>
      <c r="DQ215" s="50">
        <f>(EXP(LN('Ecoinvent 3.10'!$E$18)^2)-1)*EXP(2*LN(DQ30)+LN('Ecoinvent 3.10'!$E$18)^2)</f>
        <v>1.4102660606689195E-6</v>
      </c>
      <c r="DR215" s="224">
        <f>(EXP(LN('Ecoinvent 3.10'!$E$18)^2)-1)*EXP(2*LN(DR30)+LN('Ecoinvent 3.10'!$E$18)^2)</f>
        <v>2.5309829171627796E-6</v>
      </c>
      <c r="DS215" s="50">
        <f>(EXP(LN('Ecoinvent 3.10'!$E$18)^2)-1)*EXP(2*LN(DS30)+LN('Ecoinvent 3.10'!$E$18)^2)</f>
        <v>2.5309829171627796E-6</v>
      </c>
      <c r="DT215" s="224">
        <f>(EXP(LN('Ecoinvent 3.10'!$E$18)^2)-1)*EXP(2*LN(DT30)+LN('Ecoinvent 3.10'!$E$18)^2)</f>
        <v>2.3858586689863837E-6</v>
      </c>
      <c r="DU215" s="50">
        <f>(EXP(LN('Ecoinvent 3.10'!$E$18)^2)-1)*EXP(2*LN(DU30)+LN('Ecoinvent 3.10'!$E$18)^2)</f>
        <v>2.3858586689863837E-6</v>
      </c>
      <c r="DV215" s="224">
        <f>(EXP(LN('Ecoinvent 3.10'!$E$18)^2)-1)*EXP(2*LN(DV30)+LN('Ecoinvent 3.10'!$E$18)^2)</f>
        <v>1.6379741224251218E-6</v>
      </c>
      <c r="DW215" s="50">
        <f>(EXP(LN('Ecoinvent 3.10'!$E$18)^2)-1)*EXP(2*LN(DW30)+LN('Ecoinvent 3.10'!$E$18)^2)</f>
        <v>1.6379741224251218E-6</v>
      </c>
      <c r="DX215" s="224">
        <f>(EXP(LN('Ecoinvent 3.10'!$E$18)^2)-1)*EXP(2*LN(DX30)+LN('Ecoinvent 3.10'!$E$18)^2)</f>
        <v>1.3360034603552982E-6</v>
      </c>
      <c r="DY215" s="50">
        <f>(EXP(LN('Ecoinvent 3.10'!$E$18)^2)-1)*EXP(2*LN(DY30)+LN('Ecoinvent 3.10'!$E$18)^2)</f>
        <v>1.3360034603552982E-6</v>
      </c>
      <c r="DZ215" s="224"/>
      <c r="EA215" s="50"/>
      <c r="EB215" s="224">
        <f>(EXP(LN('Ecoinvent 3.10'!$E$18)^2)-1)*EXP(2*LN(EB30)+LN('Ecoinvent 3.10'!$E$18)^2)</f>
        <v>3.537879505038483E-6</v>
      </c>
      <c r="EC215" s="50">
        <f>(EXP(LN('Ecoinvent 3.10'!$E$18)^2)-1)*EXP(2*LN(EC30)+LN('Ecoinvent 3.10'!$E$18)^2)</f>
        <v>3.537879505038483E-6</v>
      </c>
      <c r="ED215" s="224">
        <f>(EXP(LN('Ecoinvent 3.10'!$E$18)^2)-1)*EXP(2*LN(ED30)+LN('Ecoinvent 3.10'!$E$18)^2)</f>
        <v>1.3360034603552982E-6</v>
      </c>
      <c r="EE215" s="50">
        <f>(EXP(LN('Ecoinvent 3.10'!$E$18)^2)-1)*EXP(2*LN(EE30)+LN('Ecoinvent 3.10'!$E$18)^2)</f>
        <v>1.3360034603552982E-6</v>
      </c>
      <c r="EH215" s="149" t="s">
        <v>216</v>
      </c>
      <c r="EI215" s="224">
        <f>(EXP(LN('Ecoinvent 3.10'!$E$18)^2)-1)*EXP(2*LN(EI30)+LN('Ecoinvent 3.10'!$E$18)^2)</f>
        <v>9.2314140405019165E-6</v>
      </c>
      <c r="EJ215" s="50">
        <f>(EXP(LN('Ecoinvent 3.10'!$E$18)^2)-1)*EXP(2*LN(EJ30)+LN('Ecoinvent 3.10'!$E$18)^2)</f>
        <v>9.2314140405019165E-6</v>
      </c>
      <c r="EK215" s="224">
        <f>(EXP(LN('Ecoinvent 3.10'!$E$18)^2)-1)*EXP(2*LN(EK30)+LN('Ecoinvent 3.10'!$E$18)^2)</f>
        <v>1.6567477506113076E-5</v>
      </c>
      <c r="EL215" s="50">
        <f>(EXP(LN('Ecoinvent 3.10'!$E$18)^2)-1)*EXP(2*LN(EL30)+LN('Ecoinvent 3.10'!$E$18)^2)</f>
        <v>1.6567477506113076E-5</v>
      </c>
      <c r="EM215" s="224">
        <f>(EXP(LN('Ecoinvent 3.10'!$E$18)^2)-1)*EXP(2*LN(EM30)+LN('Ecoinvent 3.10'!$E$18)^2)</f>
        <v>1.5617513481879649E-5</v>
      </c>
      <c r="EN215" s="50">
        <f>(EXP(LN('Ecoinvent 3.10'!$E$18)^2)-1)*EXP(2*LN(EN30)+LN('Ecoinvent 3.10'!$E$18)^2)</f>
        <v>1.5617513481879649E-5</v>
      </c>
      <c r="EO215" s="224">
        <f>(EXP(LN('Ecoinvent 3.10'!$E$18)^2)-1)*EXP(2*LN(EO30)+LN('Ecoinvent 3.10'!$E$18)^2)</f>
        <v>1.0721960723185787E-5</v>
      </c>
      <c r="EP215" s="50">
        <f>(EXP(LN('Ecoinvent 3.10'!$E$18)^2)-1)*EXP(2*LN(EP30)+LN('Ecoinvent 3.10'!$E$18)^2)</f>
        <v>1.0721960723185787E-5</v>
      </c>
      <c r="EQ215" s="224">
        <f>(EXP(LN('Ecoinvent 3.10'!$E$18)^2)-1)*EXP(2*LN(EQ30)+LN('Ecoinvent 3.10'!$E$18)^2)</f>
        <v>8.7453009372097934E-6</v>
      </c>
      <c r="ER215" s="50">
        <f>(EXP(LN('Ecoinvent 3.10'!$E$18)^2)-1)*EXP(2*LN(ER30)+LN('Ecoinvent 3.10'!$E$18)^2)</f>
        <v>8.7453009372097934E-6</v>
      </c>
      <c r="ES215" s="224"/>
      <c r="ET215" s="50"/>
      <c r="EU215" s="224">
        <f>(EXP(LN('Ecoinvent 3.10'!$E$18)^2)-1)*EXP(2*LN(EU30)+LN('Ecoinvent 3.10'!$E$18)^2)</f>
        <v>2.3158488633644852E-5</v>
      </c>
      <c r="EV215" s="50">
        <f>(EXP(LN('Ecoinvent 3.10'!$E$18)^2)-1)*EXP(2*LN(EV30)+LN('Ecoinvent 3.10'!$E$18)^2)</f>
        <v>2.3158488633644852E-5</v>
      </c>
      <c r="EW215" s="224">
        <f>(EXP(LN('Ecoinvent 3.10'!$E$18)^2)-1)*EXP(2*LN(EW30)+LN('Ecoinvent 3.10'!$E$18)^2)</f>
        <v>8.7453009372097934E-6</v>
      </c>
      <c r="EX215" s="50">
        <f>(EXP(LN('Ecoinvent 3.10'!$E$18)^2)-1)*EXP(2*LN(EX30)+LN('Ecoinvent 3.10'!$E$18)^2)</f>
        <v>8.7453009372097934E-6</v>
      </c>
      <c r="FA215" s="149" t="s">
        <v>216</v>
      </c>
      <c r="FB215" s="224">
        <f>(EXP(LN('Ecoinvent 3.10'!$E$18)^2)-1)*EXP(2*LN(FB30)+LN('Ecoinvent 3.10'!$E$18)^2)</f>
        <v>5.4653283382464096E-11</v>
      </c>
      <c r="FC215" s="50">
        <f>(EXP(LN('Ecoinvent 3.10'!$E$18)^2)-1)*EXP(2*LN(FC30)+LN('Ecoinvent 3.10'!$E$18)^2)</f>
        <v>5.4653283382464096E-11</v>
      </c>
      <c r="FD215" s="224">
        <f>(EXP(LN('Ecoinvent 3.10'!$E$18)^2)-1)*EXP(2*LN(FD30)+LN('Ecoinvent 3.10'!$E$18)^2)</f>
        <v>9.8085411303355075E-11</v>
      </c>
      <c r="FE215" s="50">
        <f>(EXP(LN('Ecoinvent 3.10'!$E$18)^2)-1)*EXP(2*LN(FE30)+LN('Ecoinvent 3.10'!$E$18)^2)</f>
        <v>9.8085411303355075E-11</v>
      </c>
      <c r="FF215" s="224">
        <f>(EXP(LN('Ecoinvent 3.10'!$E$18)^2)-1)*EXP(2*LN(FF30)+LN('Ecoinvent 3.10'!$E$18)^2)</f>
        <v>9.2461283429576587E-11</v>
      </c>
      <c r="FG215" s="50">
        <f>(EXP(LN('Ecoinvent 3.10'!$E$18)^2)-1)*EXP(2*LN(FG30)+LN('Ecoinvent 3.10'!$E$18)^2)</f>
        <v>9.2461283429576587E-11</v>
      </c>
      <c r="FH215" s="224">
        <f>(EXP(LN('Ecoinvent 3.10'!$E$18)^2)-1)*EXP(2*LN(FH30)+LN('Ecoinvent 3.10'!$E$18)^2)</f>
        <v>6.3477854557161963E-11</v>
      </c>
      <c r="FI215" s="50">
        <f>(EXP(LN('Ecoinvent 3.10'!$E$18)^2)-1)*EXP(2*LN(FI30)+LN('Ecoinvent 3.10'!$E$18)^2)</f>
        <v>6.3477854557161963E-11</v>
      </c>
      <c r="FJ215" s="224">
        <f>(EXP(LN('Ecoinvent 3.10'!$E$18)^2)-1)*EXP(2*LN(FJ30)+LN('Ecoinvent 3.10'!$E$18)^2)</f>
        <v>5.1775319391943216E-11</v>
      </c>
      <c r="FK215" s="50">
        <f>(EXP(LN('Ecoinvent 3.10'!$E$18)^2)-1)*EXP(2*LN(FK30)+LN('Ecoinvent 3.10'!$E$18)^2)</f>
        <v>5.1775319391943216E-11</v>
      </c>
      <c r="FL215" s="224"/>
      <c r="FM215" s="50"/>
      <c r="FN215" s="224">
        <f>(EXP(LN('Ecoinvent 3.10'!$E$18)^2)-1)*EXP(2*LN(FN30)+LN('Ecoinvent 3.10'!$E$18)^2)</f>
        <v>1.3710656205550847E-10</v>
      </c>
      <c r="FO215" s="50">
        <f>(EXP(LN('Ecoinvent 3.10'!$E$18)^2)-1)*EXP(2*LN(FO30)+LN('Ecoinvent 3.10'!$E$18)^2)</f>
        <v>1.3710656205550847E-10</v>
      </c>
      <c r="FP215" s="224">
        <f>(EXP(LN('Ecoinvent 3.10'!$E$18)^2)-1)*EXP(2*LN(FP30)+LN('Ecoinvent 3.10'!$E$18)^2)</f>
        <v>5.1775319391943216E-11</v>
      </c>
      <c r="FQ215" s="50">
        <f>(EXP(LN('Ecoinvent 3.10'!$E$18)^2)-1)*EXP(2*LN(FQ30)+LN('Ecoinvent 3.10'!$E$18)^2)</f>
        <v>5.1775319391943216E-11</v>
      </c>
      <c r="FT215" s="149" t="s">
        <v>216</v>
      </c>
      <c r="FU215" s="224">
        <f>(EXP(LN('Ecoinvent 3.10'!$E$18)^2)-1)*EXP(2*LN(FU30)+LN('Ecoinvent 3.10'!$E$18)^2)</f>
        <v>7.3478303214201897E-6</v>
      </c>
      <c r="FV215" s="50">
        <f>(EXP(LN('Ecoinvent 3.10'!$E$18)^2)-1)*EXP(2*LN(FV30)+LN('Ecoinvent 3.10'!$E$18)^2)</f>
        <v>7.3478303214201897E-6</v>
      </c>
      <c r="FW215" s="224">
        <f>(EXP(LN('Ecoinvent 3.10'!$E$18)^2)-1)*EXP(2*LN(FW30)+LN('Ecoinvent 3.10'!$E$18)^2)</f>
        <v>1.3187038630784433E-5</v>
      </c>
      <c r="FX215" s="50">
        <f>(EXP(LN('Ecoinvent 3.10'!$E$18)^2)-1)*EXP(2*LN(FX30)+LN('Ecoinvent 3.10'!$E$18)^2)</f>
        <v>1.3187038630784433E-5</v>
      </c>
      <c r="FY215" s="224">
        <f>(EXP(LN('Ecoinvent 3.10'!$E$18)^2)-1)*EXP(2*LN(FY30)+LN('Ecoinvent 3.10'!$E$18)^2)</f>
        <v>1.2430905883309791E-5</v>
      </c>
      <c r="FZ215" s="50">
        <f>(EXP(LN('Ecoinvent 3.10'!$E$18)^2)-1)*EXP(2*LN(FZ30)+LN('Ecoinvent 3.10'!$E$18)^2)</f>
        <v>1.2430905883309791E-5</v>
      </c>
      <c r="GA215" s="224">
        <f>(EXP(LN('Ecoinvent 3.10'!$E$18)^2)-1)*EXP(2*LN(GA30)+LN('Ecoinvent 3.10'!$E$18)^2)</f>
        <v>8.534244890462892E-6</v>
      </c>
      <c r="GB215" s="50">
        <f>(EXP(LN('Ecoinvent 3.10'!$E$18)^2)-1)*EXP(2*LN(GB30)+LN('Ecoinvent 3.10'!$E$18)^2)</f>
        <v>8.534244890462892E-6</v>
      </c>
      <c r="GC215" s="224">
        <f>(EXP(LN('Ecoinvent 3.10'!$E$18)^2)-1)*EXP(2*LN(GC30)+LN('Ecoinvent 3.10'!$E$18)^2)</f>
        <v>6.9609040515834923E-6</v>
      </c>
      <c r="GD215" s="50">
        <f>(EXP(LN('Ecoinvent 3.10'!$E$18)^2)-1)*EXP(2*LN(GD30)+LN('Ecoinvent 3.10'!$E$18)^2)</f>
        <v>6.9609040515834923E-6</v>
      </c>
      <c r="GE215" s="224"/>
      <c r="GF215" s="50"/>
      <c r="GG215" s="224">
        <f>(EXP(LN('Ecoinvent 3.10'!$E$18)^2)-1)*EXP(2*LN(GG30)+LN('Ecoinvent 3.10'!$E$18)^2)</f>
        <v>1.8433215565240593E-5</v>
      </c>
      <c r="GH215" s="50">
        <f>(EXP(LN('Ecoinvent 3.10'!$E$18)^2)-1)*EXP(2*LN(GH30)+LN('Ecoinvent 3.10'!$E$18)^2)</f>
        <v>1.8433215565240593E-5</v>
      </c>
      <c r="GI215" s="224">
        <f>(EXP(LN('Ecoinvent 3.10'!$E$18)^2)-1)*EXP(2*LN(GI30)+LN('Ecoinvent 3.10'!$E$18)^2)</f>
        <v>6.9609040515834923E-6</v>
      </c>
      <c r="GJ215" s="50">
        <f>(EXP(LN('Ecoinvent 3.10'!$E$18)^2)-1)*EXP(2*LN(GJ30)+LN('Ecoinvent 3.10'!$E$18)^2)</f>
        <v>6.9609040515834923E-6</v>
      </c>
      <c r="GM215" s="149" t="s">
        <v>216</v>
      </c>
      <c r="GN215" s="224">
        <f>(EXP(LN('Ecoinvent 3.10'!$E$18)^2)-1)*EXP(2*LN(GN30)+LN('Ecoinvent 3.10'!$E$18)^2)</f>
        <v>1.5681180725138683E-4</v>
      </c>
      <c r="GO215" s="50">
        <f>(EXP(LN('Ecoinvent 3.10'!$E$18)^2)-1)*EXP(2*LN(GO30)+LN('Ecoinvent 3.10'!$E$18)^2)</f>
        <v>1.5681180725138683E-4</v>
      </c>
      <c r="GP215" s="224">
        <f>(EXP(LN('Ecoinvent 3.10'!$E$18)^2)-1)*EXP(2*LN(GP30)+LN('Ecoinvent 3.10'!$E$18)^2)</f>
        <v>2.8142775071423785E-4</v>
      </c>
      <c r="GQ215" s="50">
        <f>(EXP(LN('Ecoinvent 3.10'!$E$18)^2)-1)*EXP(2*LN(GQ30)+LN('Ecoinvent 3.10'!$E$18)^2)</f>
        <v>2.8142775071423785E-4</v>
      </c>
      <c r="GR215" s="224">
        <f>(EXP(LN('Ecoinvent 3.10'!$E$18)^2)-1)*EXP(2*LN(GR30)+LN('Ecoinvent 3.10'!$E$18)^2)</f>
        <v>2.652909405993116E-4</v>
      </c>
      <c r="GS215" s="50">
        <f>(EXP(LN('Ecoinvent 3.10'!$E$18)^2)-1)*EXP(2*LN(GS30)+LN('Ecoinvent 3.10'!$E$18)^2)</f>
        <v>2.652909405993116E-4</v>
      </c>
      <c r="GT215" s="224">
        <f>(EXP(LN('Ecoinvent 3.10'!$E$18)^2)-1)*EXP(2*LN(GT30)+LN('Ecoinvent 3.10'!$E$18)^2)</f>
        <v>1.8213136480548693E-4</v>
      </c>
      <c r="GU215" s="50">
        <f>(EXP(LN('Ecoinvent 3.10'!$E$18)^2)-1)*EXP(2*LN(GU30)+LN('Ecoinvent 3.10'!$E$18)^2)</f>
        <v>1.8213136480548693E-4</v>
      </c>
      <c r="GV215" s="224">
        <f>(EXP(LN('Ecoinvent 3.10'!$E$18)^2)-1)*EXP(2*LN(GV30)+LN('Ecoinvent 3.10'!$E$18)^2)</f>
        <v>1.4855432102865054E-4</v>
      </c>
      <c r="GW215" s="50">
        <f>(EXP(LN('Ecoinvent 3.10'!$E$18)^2)-1)*EXP(2*LN(GW30)+LN('Ecoinvent 3.10'!$E$18)^2)</f>
        <v>1.4855432102865054E-4</v>
      </c>
      <c r="GX215" s="224"/>
      <c r="GY215" s="50"/>
      <c r="GZ215" s="224">
        <f>(EXP(LN('Ecoinvent 3.10'!$E$18)^2)-1)*EXP(2*LN(GZ30)+LN('Ecoinvent 3.10'!$E$18)^2)</f>
        <v>3.9338766952923959E-4</v>
      </c>
      <c r="HA215" s="50">
        <f>(EXP(LN('Ecoinvent 3.10'!$E$18)^2)-1)*EXP(2*LN(HA30)+LN('Ecoinvent 3.10'!$E$18)^2)</f>
        <v>3.9338766952923959E-4</v>
      </c>
      <c r="HB215" s="224">
        <f>(EXP(LN('Ecoinvent 3.10'!$E$18)^2)-1)*EXP(2*LN(HB30)+LN('Ecoinvent 3.10'!$E$18)^2)</f>
        <v>1.4855432102865054E-4</v>
      </c>
      <c r="HC215" s="50">
        <f>(EXP(LN('Ecoinvent 3.10'!$E$18)^2)-1)*EXP(2*LN(HC30)+LN('Ecoinvent 3.10'!$E$18)^2)</f>
        <v>1.4855432102865054E-4</v>
      </c>
      <c r="HF215" s="149" t="s">
        <v>216</v>
      </c>
      <c r="HG215" s="224">
        <f>(EXP(LN('Ecoinvent 3.10'!$E$18)^2)-1)*EXP(2*LN(HG30)+LN('Ecoinvent 3.10'!$E$18)^2)</f>
        <v>1.8168868381397626E-3</v>
      </c>
      <c r="HH215" s="50">
        <f>(EXP(LN('Ecoinvent 3.10'!$E$18)^2)-1)*EXP(2*LN(HH30)+LN('Ecoinvent 3.10'!$E$18)^2)</f>
        <v>1.8168868381397626E-3</v>
      </c>
      <c r="HI215" s="224">
        <f>(EXP(LN('Ecoinvent 3.10'!$E$18)^2)-1)*EXP(2*LN(HI30)+LN('Ecoinvent 3.10'!$E$18)^2)</f>
        <v>3.2607390037937027E-3</v>
      </c>
      <c r="HJ215" s="50">
        <f>(EXP(LN('Ecoinvent 3.10'!$E$18)^2)-1)*EXP(2*LN(HJ30)+LN('Ecoinvent 3.10'!$E$18)^2)</f>
        <v>3.2607390037937027E-3</v>
      </c>
      <c r="HK215" s="224">
        <f>(EXP(LN('Ecoinvent 3.10'!$E$18)^2)-1)*EXP(2*LN(HK30)+LN('Ecoinvent 3.10'!$E$18)^2)</f>
        <v>3.0737712083115094E-3</v>
      </c>
      <c r="HL215" s="50">
        <f>(EXP(LN('Ecoinvent 3.10'!$E$18)^2)-1)*EXP(2*LN(HL30)+LN('Ecoinvent 3.10'!$E$18)^2)</f>
        <v>3.0737712083115094E-3</v>
      </c>
      <c r="HM215" s="224">
        <f>(EXP(LN('Ecoinvent 3.10'!$E$18)^2)-1)*EXP(2*LN(HM30)+LN('Ecoinvent 3.10'!$E$18)^2)</f>
        <v>2.1102497658038715E-3</v>
      </c>
      <c r="HN215" s="50">
        <f>(EXP(LN('Ecoinvent 3.10'!$E$18)^2)-1)*EXP(2*LN(HN30)+LN('Ecoinvent 3.10'!$E$18)^2)</f>
        <v>2.1102497658038715E-3</v>
      </c>
      <c r="HO215" s="224">
        <f>(EXP(LN('Ecoinvent 3.10'!$E$18)^2)-1)*EXP(2*LN(HO30)+LN('Ecoinvent 3.10'!$E$18)^2)</f>
        <v>1.721212167353279E-3</v>
      </c>
      <c r="HP215" s="50">
        <f>(EXP(LN('Ecoinvent 3.10'!$E$18)^2)-1)*EXP(2*LN(HP30)+LN('Ecoinvent 3.10'!$E$18)^2)</f>
        <v>1.721212167353279E-3</v>
      </c>
      <c r="HQ215" s="224"/>
      <c r="HR215" s="50"/>
      <c r="HS215" s="224">
        <f>(EXP(LN('Ecoinvent 3.10'!$E$18)^2)-1)*EXP(2*LN(HS30)+LN('Ecoinvent 3.10'!$E$18)^2)</f>
        <v>4.5579532025183571E-3</v>
      </c>
      <c r="HT215" s="50">
        <f>(EXP(LN('Ecoinvent 3.10'!$E$18)^2)-1)*EXP(2*LN(HT30)+LN('Ecoinvent 3.10'!$E$18)^2)</f>
        <v>4.5579532025183571E-3</v>
      </c>
      <c r="HU215" s="224">
        <f>(EXP(LN('Ecoinvent 3.10'!$E$18)^2)-1)*EXP(2*LN(HU30)+LN('Ecoinvent 3.10'!$E$18)^2)</f>
        <v>1.721212167353279E-3</v>
      </c>
      <c r="HV215" s="50">
        <f>(EXP(LN('Ecoinvent 3.10'!$E$18)^2)-1)*EXP(2*LN(HV30)+LN('Ecoinvent 3.10'!$E$18)^2)</f>
        <v>1.721212167353279E-3</v>
      </c>
      <c r="HY215" s="149" t="s">
        <v>216</v>
      </c>
      <c r="HZ215" s="224">
        <f>(EXP(LN('Ecoinvent 3.10'!$E$18)^2)-1)*EXP(2*LN(HZ30)+LN('Ecoinvent 3.10'!$E$18)^2)</f>
        <v>2.2195850511406695E-9</v>
      </c>
      <c r="IA215" s="50">
        <f>(EXP(LN('Ecoinvent 3.10'!$E$18)^2)-1)*EXP(2*LN(IA30)+LN('Ecoinvent 3.10'!$E$18)^2)</f>
        <v>2.2195850511406695E-9</v>
      </c>
      <c r="IB215" s="224">
        <f>(EXP(LN('Ecoinvent 3.10'!$E$18)^2)-1)*EXP(2*LN(IB30)+LN('Ecoinvent 3.10'!$E$18)^2)</f>
        <v>3.9834553239991528E-9</v>
      </c>
      <c r="IC215" s="50">
        <f>(EXP(LN('Ecoinvent 3.10'!$E$18)^2)-1)*EXP(2*LN(IC30)+LN('Ecoinvent 3.10'!$E$18)^2)</f>
        <v>3.9834553239991528E-9</v>
      </c>
      <c r="ID215" s="224">
        <f>(EXP(LN('Ecoinvent 3.10'!$E$18)^2)-1)*EXP(2*LN(ID30)+LN('Ecoinvent 3.10'!$E$18)^2)</f>
        <v>3.7550476349864988E-9</v>
      </c>
      <c r="IE215" s="50">
        <f>(EXP(LN('Ecoinvent 3.10'!$E$18)^2)-1)*EXP(2*LN(IE30)+LN('Ecoinvent 3.10'!$E$18)^2)</f>
        <v>3.7550476349864988E-9</v>
      </c>
      <c r="IF215" s="224">
        <f>(EXP(LN('Ecoinvent 3.10'!$E$18)^2)-1)*EXP(2*LN(IF30)+LN('Ecoinvent 3.10'!$E$18)^2)</f>
        <v>2.5779694893640163E-9</v>
      </c>
      <c r="IG215" s="50">
        <f>(EXP(LN('Ecoinvent 3.10'!$E$18)^2)-1)*EXP(2*LN(IG30)+LN('Ecoinvent 3.10'!$E$18)^2)</f>
        <v>2.5779694893640163E-9</v>
      </c>
      <c r="IH215" s="224">
        <f>(EXP(LN('Ecoinvent 3.10'!$E$18)^2)-1)*EXP(2*LN(IH30)+LN('Ecoinvent 3.10'!$E$18)^2)</f>
        <v>2.102704866534398E-9</v>
      </c>
      <c r="II215" s="50">
        <f>(EXP(LN('Ecoinvent 3.10'!$E$18)^2)-1)*EXP(2*LN(II30)+LN('Ecoinvent 3.10'!$E$18)^2)</f>
        <v>2.102704866534398E-9</v>
      </c>
      <c r="IJ215" s="224"/>
      <c r="IK215" s="50"/>
      <c r="IL215" s="224">
        <f>(EXP(LN('Ecoinvent 3.10'!$E$18)^2)-1)*EXP(2*LN(IL30)+LN('Ecoinvent 3.10'!$E$18)^2)</f>
        <v>5.5681865153839833E-9</v>
      </c>
      <c r="IM215" s="50">
        <f>(EXP(LN('Ecoinvent 3.10'!$E$18)^2)-1)*EXP(2*LN(IM30)+LN('Ecoinvent 3.10'!$E$18)^2)</f>
        <v>5.5681865153839833E-9</v>
      </c>
      <c r="IN215" s="224">
        <f>(EXP(LN('Ecoinvent 3.10'!$E$18)^2)-1)*EXP(2*LN(IN30)+LN('Ecoinvent 3.10'!$E$18)^2)</f>
        <v>2.102704866534398E-9</v>
      </c>
      <c r="IO215" s="50">
        <f>(EXP(LN('Ecoinvent 3.10'!$E$18)^2)-1)*EXP(2*LN(IO30)+LN('Ecoinvent 3.10'!$E$18)^2)</f>
        <v>2.102704866534398E-9</v>
      </c>
    </row>
    <row r="216" spans="1:249" x14ac:dyDescent="0.2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  <c r="AA216" s="158"/>
      <c r="AB216" s="158"/>
      <c r="AC216" s="158"/>
      <c r="AD216" s="158"/>
      <c r="AE216" s="158"/>
      <c r="AF216" s="158"/>
      <c r="AG216" s="158"/>
      <c r="AH216" s="158"/>
      <c r="AI216" s="158"/>
      <c r="AJ216" s="158"/>
      <c r="AK216" s="158"/>
      <c r="AL216" s="158"/>
      <c r="AM216" s="139"/>
      <c r="AN216" s="156"/>
      <c r="AO216" s="158"/>
      <c r="AP216" s="726"/>
      <c r="AQ216" s="149" t="s">
        <v>396</v>
      </c>
      <c r="AR216" s="224">
        <f>(EXP(LN('Ecoinvent 3.10'!$E$26)^2)-1)*EXP(2*LN(AR31)+LN('Ecoinvent 3.10'!$E$26)^2)</f>
        <v>1.0249024255377729E-7</v>
      </c>
      <c r="AS216" s="50">
        <f>(EXP(LN('Ecoinvent 3.10'!$E$26)^2)-1)*EXP(2*LN(AS31)+LN('Ecoinvent 3.10'!$E$26)^2)</f>
        <v>1.0249024255377729E-7</v>
      </c>
      <c r="AT216" s="224">
        <f>(EXP(LN('Ecoinvent 3.10'!$E$26)^2)-1)*EXP(2*LN(AT31)+LN('Ecoinvent 3.10'!$E$26)^2)</f>
        <v>1.8338994489003592E-7</v>
      </c>
      <c r="AU216" s="50">
        <f>(EXP(LN('Ecoinvent 3.10'!$E$26)^2)-1)*EXP(2*LN(AU31)+LN('Ecoinvent 3.10'!$E$26)^2)</f>
        <v>1.8338994489003592E-7</v>
      </c>
      <c r="AV216" s="224">
        <f>(EXP(LN('Ecoinvent 3.10'!$E$26)^2)-1)*EXP(2*LN(AV31)+LN('Ecoinvent 3.10'!$E$26)^2)</f>
        <v>1.742219168807921E-7</v>
      </c>
      <c r="AW216" s="50">
        <f>(EXP(LN('Ecoinvent 3.10'!$E$26)^2)-1)*EXP(2*LN(AW31)+LN('Ecoinvent 3.10'!$E$26)^2)</f>
        <v>1.742219168807921E-7</v>
      </c>
      <c r="AX216" s="224">
        <f>(EXP(LN('Ecoinvent 3.10'!$E$26)^2)-1)*EXP(2*LN(AX31)+LN('Ecoinvent 3.10'!$E$26)^2)</f>
        <v>1.2047855770116605E-7</v>
      </c>
      <c r="AY216" s="50">
        <f>(EXP(LN('Ecoinvent 3.10'!$E$26)^2)-1)*EXP(2*LN(AY31)+LN('Ecoinvent 3.10'!$E$26)^2)</f>
        <v>1.2047855770116605E-7</v>
      </c>
      <c r="AZ216" s="224">
        <f>(EXP(LN('Ecoinvent 3.10'!$E$26)^2)-1)*EXP(2*LN(AZ31)+LN('Ecoinvent 3.10'!$E$26)^2)</f>
        <v>9.8623037029752771E-8</v>
      </c>
      <c r="BA216" s="50">
        <f>(EXP(LN('Ecoinvent 3.10'!$E$26)^2)-1)*EXP(2*LN(BA31)+LN('Ecoinvent 3.10'!$E$26)^2)</f>
        <v>9.8623037029752771E-8</v>
      </c>
      <c r="BB216" s="224"/>
      <c r="BC216" s="50"/>
      <c r="BD216" s="224">
        <f>(EXP(LN('Ecoinvent 3.10'!$E$26)^2)-1)*EXP(2*LN(BD31)+LN('Ecoinvent 3.10'!$E$26)^2)</f>
        <v>3.4364649347256065E-7</v>
      </c>
      <c r="BE216" s="50">
        <f>(EXP(LN('Ecoinvent 3.10'!$E$26)^2)-1)*EXP(2*LN(BE31)+LN('Ecoinvent 3.10'!$E$26)^2)</f>
        <v>3.4364649347256065E-7</v>
      </c>
      <c r="BF216" s="224">
        <f>(EXP(LN('Ecoinvent 3.10'!$E$26)^2)-1)*EXP(2*LN(BF31)+LN('Ecoinvent 3.10'!$E$26)^2)</f>
        <v>9.8623037029752771E-8</v>
      </c>
      <c r="BG216" s="50">
        <f>(EXP(LN('Ecoinvent 3.10'!$E$26)^2)-1)*EXP(2*LN(BG31)+LN('Ecoinvent 3.10'!$E$26)^2)</f>
        <v>9.8623037029752771E-8</v>
      </c>
      <c r="BI216" s="156"/>
      <c r="BJ216" s="149" t="s">
        <v>396</v>
      </c>
      <c r="BK216" s="224">
        <f>(EXP(LN('Ecoinvent 3.10'!$E$26)^2)-1)*EXP(2*LN(BK31)+LN('Ecoinvent 3.10'!$E$26)^2)</f>
        <v>6.0821802301914247E-9</v>
      </c>
      <c r="BL216" s="50">
        <f>(EXP(LN('Ecoinvent 3.10'!$E$26)^2)-1)*EXP(2*LN(BL31)+LN('Ecoinvent 3.10'!$E$26)^2)</f>
        <v>6.0821802301914247E-9</v>
      </c>
      <c r="BM216" s="224">
        <f>(EXP(LN('Ecoinvent 3.10'!$E$26)^2)-1)*EXP(2*LN(BM31)+LN('Ecoinvent 3.10'!$E$26)^2)</f>
        <v>1.0883091594215013E-8</v>
      </c>
      <c r="BN216" s="50">
        <f>(EXP(LN('Ecoinvent 3.10'!$E$26)^2)-1)*EXP(2*LN(BN31)+LN('Ecoinvent 3.10'!$E$26)^2)</f>
        <v>1.0883091594215013E-8</v>
      </c>
      <c r="BO216" s="224">
        <f>(EXP(LN('Ecoinvent 3.10'!$E$26)^2)-1)*EXP(2*LN(BO31)+LN('Ecoinvent 3.10'!$E$26)^2)</f>
        <v>1.0339024204791014E-8</v>
      </c>
      <c r="BP216" s="50">
        <f>(EXP(LN('Ecoinvent 3.10'!$E$26)^2)-1)*EXP(2*LN(BP31)+LN('Ecoinvent 3.10'!$E$26)^2)</f>
        <v>1.0339024204791014E-8</v>
      </c>
      <c r="BQ216" s="224">
        <f>(EXP(LN('Ecoinvent 3.10'!$E$26)^2)-1)*EXP(2*LN(BQ31)+LN('Ecoinvent 3.10'!$E$26)^2)</f>
        <v>7.149678677241078E-9</v>
      </c>
      <c r="BR216" s="50">
        <f>(EXP(LN('Ecoinvent 3.10'!$E$26)^2)-1)*EXP(2*LN(BR31)+LN('Ecoinvent 3.10'!$E$26)^2)</f>
        <v>7.149678677241078E-9</v>
      </c>
      <c r="BS216" s="224">
        <f>(EXP(LN('Ecoinvent 3.10'!$E$26)^2)-1)*EXP(2*LN(BS31)+LN('Ecoinvent 3.10'!$E$26)^2)</f>
        <v>5.8526848128889587E-9</v>
      </c>
      <c r="BT216" s="50">
        <f>(EXP(LN('Ecoinvent 3.10'!$E$26)^2)-1)*EXP(2*LN(BT31)+LN('Ecoinvent 3.10'!$E$26)^2)</f>
        <v>5.8526848128889587E-9</v>
      </c>
      <c r="BU216" s="224"/>
      <c r="BV216" s="50"/>
      <c r="BW216" s="224">
        <f>(EXP(LN('Ecoinvent 3.10'!$E$26)^2)-1)*EXP(2*LN(BW31)+LN('Ecoinvent 3.10'!$E$26)^2)</f>
        <v>2.0393355081355298E-8</v>
      </c>
      <c r="BX216" s="50">
        <f>(EXP(LN('Ecoinvent 3.10'!$E$26)^2)-1)*EXP(2*LN(BX31)+LN('Ecoinvent 3.10'!$E$26)^2)</f>
        <v>2.0393355081355298E-8</v>
      </c>
      <c r="BY216" s="224">
        <f>(EXP(LN('Ecoinvent 3.10'!$E$26)^2)-1)*EXP(2*LN(BY31)+LN('Ecoinvent 3.10'!$E$26)^2)</f>
        <v>5.8526848128889587E-9</v>
      </c>
      <c r="BZ216" s="50">
        <f>(EXP(LN('Ecoinvent 3.10'!$E$26)^2)-1)*EXP(2*LN(BZ31)+LN('Ecoinvent 3.10'!$E$26)^2)</f>
        <v>5.8526848128889587E-9</v>
      </c>
      <c r="CA216" s="156"/>
      <c r="CB216" s="156"/>
      <c r="CC216" s="149" t="s">
        <v>396</v>
      </c>
      <c r="CD216" s="224">
        <f>(EXP(LN('Ecoinvent 3.10'!$E$26)^2)-1)*EXP(2*LN(CD31)+LN('Ecoinvent 3.10'!$E$26)^2)</f>
        <v>1.1482947861370468E-6</v>
      </c>
      <c r="CE216" s="50">
        <f>(EXP(LN('Ecoinvent 3.10'!$E$26)^2)-1)*EXP(2*LN(CE31)+LN('Ecoinvent 3.10'!$E$26)^2)</f>
        <v>1.1482947861370468E-6</v>
      </c>
      <c r="CF216" s="224">
        <f>(EXP(LN('Ecoinvent 3.10'!$E$26)^2)-1)*EXP(2*LN(CF31)+LN('Ecoinvent 3.10'!$E$26)^2)</f>
        <v>2.0546904007636912E-6</v>
      </c>
      <c r="CG216" s="50">
        <f>(EXP(LN('Ecoinvent 3.10'!$E$26)^2)-1)*EXP(2*LN(CG31)+LN('Ecoinvent 3.10'!$E$26)^2)</f>
        <v>2.0546904007636912E-6</v>
      </c>
      <c r="CH216" s="224">
        <f>(EXP(LN('Ecoinvent 3.10'!$E$26)^2)-1)*EXP(2*LN(CH31)+LN('Ecoinvent 3.10'!$E$26)^2)</f>
        <v>1.9519723419528812E-6</v>
      </c>
      <c r="CI216" s="50">
        <f>(EXP(LN('Ecoinvent 3.10'!$E$26)^2)-1)*EXP(2*LN(CI31)+LN('Ecoinvent 3.10'!$E$26)^2)</f>
        <v>1.9519723419528812E-6</v>
      </c>
      <c r="CJ216" s="224">
        <f>(EXP(LN('Ecoinvent 3.10'!$E$26)^2)-1)*EXP(2*LN(CJ31)+LN('Ecoinvent 3.10'!$E$26)^2)</f>
        <v>1.3498348350280258E-6</v>
      </c>
      <c r="CK216" s="50">
        <f>(EXP(LN('Ecoinvent 3.10'!$E$26)^2)-1)*EXP(2*LN(CK31)+LN('Ecoinvent 3.10'!$E$26)^2)</f>
        <v>1.3498348350280258E-6</v>
      </c>
      <c r="CL216" s="224">
        <f>(EXP(LN('Ecoinvent 3.10'!$E$26)^2)-1)*EXP(2*LN(CL31)+LN('Ecoinvent 3.10'!$E$26)^2)</f>
        <v>1.1049668377440288E-6</v>
      </c>
      <c r="CM216" s="50">
        <f>(EXP(LN('Ecoinvent 3.10'!$E$26)^2)-1)*EXP(2*LN(CM31)+LN('Ecoinvent 3.10'!$E$26)^2)</f>
        <v>1.1049668377440288E-6</v>
      </c>
      <c r="CN216" s="224"/>
      <c r="CO216" s="50"/>
      <c r="CP216" s="224">
        <f>(EXP(LN('Ecoinvent 3.10'!$E$26)^2)-1)*EXP(2*LN(CP31)+LN('Ecoinvent 3.10'!$E$26)^2)</f>
        <v>3.8501955590725328E-6</v>
      </c>
      <c r="CQ216" s="50">
        <f>(EXP(LN('Ecoinvent 3.10'!$E$26)^2)-1)*EXP(2*LN(CQ31)+LN('Ecoinvent 3.10'!$E$26)^2)</f>
        <v>3.8501955590725328E-6</v>
      </c>
      <c r="CR216" s="224">
        <f>(EXP(LN('Ecoinvent 3.10'!$E$26)^2)-1)*EXP(2*LN(CR31)+LN('Ecoinvent 3.10'!$E$26)^2)</f>
        <v>1.1049668377440288E-6</v>
      </c>
      <c r="CS216" s="50">
        <f>(EXP(LN('Ecoinvent 3.10'!$E$26)^2)-1)*EXP(2*LN(CS31)+LN('Ecoinvent 3.10'!$E$26)^2)</f>
        <v>1.1049668377440288E-6</v>
      </c>
      <c r="CV216" s="149" t="s">
        <v>396</v>
      </c>
      <c r="CW216" s="224">
        <f>(EXP(LN('Ecoinvent 3.10'!$E$26)^2)-1)*EXP(2*LN(CW31)+LN('Ecoinvent 3.10'!$E$26)^2)</f>
        <v>3.3469413685881979E-13</v>
      </c>
      <c r="CX216" s="50">
        <f>(EXP(LN('Ecoinvent 3.10'!$E$26)^2)-1)*EXP(2*LN(CX31)+LN('Ecoinvent 3.10'!$E$26)^2)</f>
        <v>3.3469413685881979E-13</v>
      </c>
      <c r="CY216" s="224">
        <f>(EXP(LN('Ecoinvent 3.10'!$E$26)^2)-1)*EXP(2*LN(CY31)+LN('Ecoinvent 3.10'!$E$26)^2)</f>
        <v>5.9888178410106558E-13</v>
      </c>
      <c r="CZ216" s="50">
        <f>(EXP(LN('Ecoinvent 3.10'!$E$26)^2)-1)*EXP(2*LN(CZ31)+LN('Ecoinvent 3.10'!$E$26)^2)</f>
        <v>5.9888178410106558E-13</v>
      </c>
      <c r="DA216" s="224">
        <f>(EXP(LN('Ecoinvent 3.10'!$E$26)^2)-1)*EXP(2*LN(DA31)+LN('Ecoinvent 3.10'!$E$26)^2)</f>
        <v>5.6894249285935157E-13</v>
      </c>
      <c r="DB216" s="50">
        <f>(EXP(LN('Ecoinvent 3.10'!$E$26)^2)-1)*EXP(2*LN(DB31)+LN('Ecoinvent 3.10'!$E$26)^2)</f>
        <v>5.6894249285935157E-13</v>
      </c>
      <c r="DC216" s="224">
        <f>(EXP(LN('Ecoinvent 3.10'!$E$26)^2)-1)*EXP(2*LN(DC31)+LN('Ecoinvent 3.10'!$E$26)^2)</f>
        <v>3.9343712996512062E-13</v>
      </c>
      <c r="DD216" s="50">
        <f>(EXP(LN('Ecoinvent 3.10'!$E$26)^2)-1)*EXP(2*LN(DD31)+LN('Ecoinvent 3.10'!$E$26)^2)</f>
        <v>3.9343712996512062E-13</v>
      </c>
      <c r="DE216" s="224">
        <f>(EXP(LN('Ecoinvent 3.10'!$E$26)^2)-1)*EXP(2*LN(DE31)+LN('Ecoinvent 3.10'!$E$26)^2)</f>
        <v>3.220653150054617E-13</v>
      </c>
      <c r="DF216" s="50">
        <f>(EXP(LN('Ecoinvent 3.10'!$E$26)^2)-1)*EXP(2*LN(DF31)+LN('Ecoinvent 3.10'!$E$26)^2)</f>
        <v>3.220653150054617E-13</v>
      </c>
      <c r="DG216" s="224"/>
      <c r="DH216" s="50"/>
      <c r="DI216" s="224">
        <f>(EXP(LN('Ecoinvent 3.10'!$E$26)^2)-1)*EXP(2*LN(DI31)+LN('Ecoinvent 3.10'!$E$26)^2)</f>
        <v>1.1222186976190308E-12</v>
      </c>
      <c r="DJ216" s="50">
        <f>(EXP(LN('Ecoinvent 3.10'!$E$26)^2)-1)*EXP(2*LN(DJ31)+LN('Ecoinvent 3.10'!$E$26)^2)</f>
        <v>1.1222186976190308E-12</v>
      </c>
      <c r="DK216" s="224">
        <f>(EXP(LN('Ecoinvent 3.10'!$E$26)^2)-1)*EXP(2*LN(DK31)+LN('Ecoinvent 3.10'!$E$26)^2)</f>
        <v>3.220653150054617E-13</v>
      </c>
      <c r="DL216" s="50">
        <f>(EXP(LN('Ecoinvent 3.10'!$E$26)^2)-1)*EXP(2*LN(DL31)+LN('Ecoinvent 3.10'!$E$26)^2)</f>
        <v>3.220653150054617E-13</v>
      </c>
      <c r="DO216" s="149" t="s">
        <v>396</v>
      </c>
      <c r="DP216" s="224">
        <f>(EXP(LN('Ecoinvent 3.10'!$E$26)^2)-1)*EXP(2*LN(DP31)+LN('Ecoinvent 3.10'!$E$26)^2)</f>
        <v>1.3313353118477903E-10</v>
      </c>
      <c r="DQ216" s="50">
        <f>(EXP(LN('Ecoinvent 3.10'!$E$26)^2)-1)*EXP(2*LN(DQ31)+LN('Ecoinvent 3.10'!$E$26)^2)</f>
        <v>1.3313353118477903E-10</v>
      </c>
      <c r="DR216" s="224">
        <f>(EXP(LN('Ecoinvent 3.10'!$E$26)^2)-1)*EXP(2*LN(DR31)+LN('Ecoinvent 3.10'!$E$26)^2)</f>
        <v>2.3822122319772731E-10</v>
      </c>
      <c r="DS216" s="50">
        <f>(EXP(LN('Ecoinvent 3.10'!$E$26)^2)-1)*EXP(2*LN(DS31)+LN('Ecoinvent 3.10'!$E$26)^2)</f>
        <v>2.3822122319772731E-10</v>
      </c>
      <c r="DT216" s="224">
        <f>(EXP(LN('Ecoinvent 3.10'!$E$26)^2)-1)*EXP(2*LN(DT31)+LN('Ecoinvent 3.10'!$E$26)^2)</f>
        <v>2.2631207055589224E-10</v>
      </c>
      <c r="DU216" s="50">
        <f>(EXP(LN('Ecoinvent 3.10'!$E$26)^2)-1)*EXP(2*LN(DU31)+LN('Ecoinvent 3.10'!$E$26)^2)</f>
        <v>2.2631207055589224E-10</v>
      </c>
      <c r="DV216" s="224">
        <f>(EXP(LN('Ecoinvent 3.10'!$E$26)^2)-1)*EXP(2*LN(DV31)+LN('Ecoinvent 3.10'!$E$26)^2)</f>
        <v>1.5650012546696108E-10</v>
      </c>
      <c r="DW216" s="50">
        <f>(EXP(LN('Ecoinvent 3.10'!$E$26)^2)-1)*EXP(2*LN(DW31)+LN('Ecoinvent 3.10'!$E$26)^2)</f>
        <v>1.5650012546696108E-10</v>
      </c>
      <c r="DX216" s="224">
        <f>(EXP(LN('Ecoinvent 3.10'!$E$26)^2)-1)*EXP(2*LN(DX31)+LN('Ecoinvent 3.10'!$E$26)^2)</f>
        <v>1.2811008003077772E-10</v>
      </c>
      <c r="DY216" s="50">
        <f>(EXP(LN('Ecoinvent 3.10'!$E$26)^2)-1)*EXP(2*LN(DY31)+LN('Ecoinvent 3.10'!$E$26)^2)</f>
        <v>1.2811008003077772E-10</v>
      </c>
      <c r="DZ216" s="224"/>
      <c r="EA216" s="50"/>
      <c r="EB216" s="224">
        <f>(EXP(LN('Ecoinvent 3.10'!$E$26)^2)-1)*EXP(2*LN(EB31)+LN('Ecoinvent 3.10'!$E$26)^2)</f>
        <v>4.4639245664057644E-10</v>
      </c>
      <c r="EC216" s="50">
        <f>(EXP(LN('Ecoinvent 3.10'!$E$26)^2)-1)*EXP(2*LN(EC31)+LN('Ecoinvent 3.10'!$E$26)^2)</f>
        <v>4.4639245664057644E-10</v>
      </c>
      <c r="ED216" s="224">
        <f>(EXP(LN('Ecoinvent 3.10'!$E$26)^2)-1)*EXP(2*LN(ED31)+LN('Ecoinvent 3.10'!$E$26)^2)</f>
        <v>1.2811008003077772E-10</v>
      </c>
      <c r="EE216" s="50">
        <f>(EXP(LN('Ecoinvent 3.10'!$E$26)^2)-1)*EXP(2*LN(EE31)+LN('Ecoinvent 3.10'!$E$26)^2)</f>
        <v>1.2811008003077772E-10</v>
      </c>
      <c r="EH216" s="149" t="s">
        <v>396</v>
      </c>
      <c r="EI216" s="224">
        <f>(EXP(LN('Ecoinvent 3.10'!$E$26)^2)-1)*EXP(2*LN(EI31)+LN('Ecoinvent 3.10'!$E$26)^2)</f>
        <v>1.4610122103132114E-11</v>
      </c>
      <c r="EJ216" s="50">
        <f>(EXP(LN('Ecoinvent 3.10'!$E$26)^2)-1)*EXP(2*LN(EJ31)+LN('Ecoinvent 3.10'!$E$26)^2)</f>
        <v>1.4610122103132114E-11</v>
      </c>
      <c r="EK216" s="224">
        <f>(EXP(LN('Ecoinvent 3.10'!$E$26)^2)-1)*EXP(2*LN(EK31)+LN('Ecoinvent 3.10'!$E$26)^2)</f>
        <v>2.6142483621543016E-11</v>
      </c>
      <c r="EL216" s="50">
        <f>(EXP(LN('Ecoinvent 3.10'!$E$26)^2)-1)*EXP(2*LN(EL31)+LN('Ecoinvent 3.10'!$E$26)^2)</f>
        <v>2.6142483621543016E-11</v>
      </c>
      <c r="EM216" s="224">
        <f>(EXP(LN('Ecoinvent 3.10'!$E$26)^2)-1)*EXP(2*LN(EM31)+LN('Ecoinvent 3.10'!$E$26)^2)</f>
        <v>2.4835568881930517E-11</v>
      </c>
      <c r="EN216" s="50">
        <f>(EXP(LN('Ecoinvent 3.10'!$E$26)^2)-1)*EXP(2*LN(EN31)+LN('Ecoinvent 3.10'!$E$26)^2)</f>
        <v>2.4835568881930517E-11</v>
      </c>
      <c r="EO216" s="224">
        <f>(EXP(LN('Ecoinvent 3.10'!$E$26)^2)-1)*EXP(2*LN(EO31)+LN('Ecoinvent 3.10'!$E$26)^2)</f>
        <v>1.7174380652867468E-11</v>
      </c>
      <c r="EP216" s="50">
        <f>(EXP(LN('Ecoinvent 3.10'!$E$26)^2)-1)*EXP(2*LN(EP31)+LN('Ecoinvent 3.10'!$E$26)^2)</f>
        <v>1.7174380652867468E-11</v>
      </c>
      <c r="EQ216" s="224">
        <f>(EXP(LN('Ecoinvent 3.10'!$E$26)^2)-1)*EXP(2*LN(EQ31)+LN('Ecoinvent 3.10'!$E$26)^2)</f>
        <v>1.4058846747585344E-11</v>
      </c>
      <c r="ER216" s="50">
        <f>(EXP(LN('Ecoinvent 3.10'!$E$26)^2)-1)*EXP(2*LN(ER31)+LN('Ecoinvent 3.10'!$E$26)^2)</f>
        <v>1.4058846747585344E-11</v>
      </c>
      <c r="ES216" s="224"/>
      <c r="ET216" s="50"/>
      <c r="EU216" s="224">
        <f>(EXP(LN('Ecoinvent 3.10'!$E$26)^2)-1)*EXP(2*LN(EU31)+LN('Ecoinvent 3.10'!$E$26)^2)</f>
        <v>4.8987270444919589E-11</v>
      </c>
      <c r="EV216" s="50">
        <f>(EXP(LN('Ecoinvent 3.10'!$E$26)^2)-1)*EXP(2*LN(EV31)+LN('Ecoinvent 3.10'!$E$26)^2)</f>
        <v>4.8987270444919589E-11</v>
      </c>
      <c r="EW216" s="224">
        <f>(EXP(LN('Ecoinvent 3.10'!$E$26)^2)-1)*EXP(2*LN(EW31)+LN('Ecoinvent 3.10'!$E$26)^2)</f>
        <v>1.4058846747585344E-11</v>
      </c>
      <c r="EX216" s="50">
        <f>(EXP(LN('Ecoinvent 3.10'!$E$26)^2)-1)*EXP(2*LN(EX31)+LN('Ecoinvent 3.10'!$E$26)^2)</f>
        <v>1.4058846747585344E-11</v>
      </c>
      <c r="FA216" s="149" t="s">
        <v>396</v>
      </c>
      <c r="FB216" s="224">
        <f>(EXP(LN('Ecoinvent 3.10'!$E$26)^2)-1)*EXP(2*LN(FB31)+LN('Ecoinvent 3.10'!$E$26)^2)</f>
        <v>8.2734090315274965E-16</v>
      </c>
      <c r="FC216" s="50">
        <f>(EXP(LN('Ecoinvent 3.10'!$E$26)^2)-1)*EXP(2*LN(FC31)+LN('Ecoinvent 3.10'!$E$26)^2)</f>
        <v>8.2734090315274965E-16</v>
      </c>
      <c r="FD216" s="224">
        <f>(EXP(LN('Ecoinvent 3.10'!$E$26)^2)-1)*EXP(2*LN(FD31)+LN('Ecoinvent 3.10'!$E$26)^2)</f>
        <v>1.4803946098073112E-15</v>
      </c>
      <c r="FE216" s="50">
        <f>(EXP(LN('Ecoinvent 3.10'!$E$26)^2)-1)*EXP(2*LN(FE31)+LN('Ecoinvent 3.10'!$E$26)^2)</f>
        <v>1.4803946098073112E-15</v>
      </c>
      <c r="FF216" s="224">
        <f>(EXP(LN('Ecoinvent 3.10'!$E$26)^2)-1)*EXP(2*LN(FF31)+LN('Ecoinvent 3.10'!$E$26)^2)</f>
        <v>1.4063867395525618E-15</v>
      </c>
      <c r="FG216" s="50">
        <f>(EXP(LN('Ecoinvent 3.10'!$E$26)^2)-1)*EXP(2*LN(FG31)+LN('Ecoinvent 3.10'!$E$26)^2)</f>
        <v>1.4063867395525618E-15</v>
      </c>
      <c r="FH216" s="224">
        <f>(EXP(LN('Ecoinvent 3.10'!$E$26)^2)-1)*EXP(2*LN(FH31)+LN('Ecoinvent 3.10'!$E$26)^2)</f>
        <v>9.7254954476981047E-16</v>
      </c>
      <c r="FI216" s="50">
        <f>(EXP(LN('Ecoinvent 3.10'!$E$26)^2)-1)*EXP(2*LN(FI31)+LN('Ecoinvent 3.10'!$E$26)^2)</f>
        <v>9.7254954476981047E-16</v>
      </c>
      <c r="FJ216" s="224">
        <f>(EXP(LN('Ecoinvent 3.10'!$E$26)^2)-1)*EXP(2*LN(FJ31)+LN('Ecoinvent 3.10'!$E$26)^2)</f>
        <v>7.961233234963758E-16</v>
      </c>
      <c r="FK216" s="50">
        <f>(EXP(LN('Ecoinvent 3.10'!$E$26)^2)-1)*EXP(2*LN(FK31)+LN('Ecoinvent 3.10'!$E$26)^2)</f>
        <v>7.961233234963758E-16</v>
      </c>
      <c r="FL216" s="224"/>
      <c r="FM216" s="50"/>
      <c r="FN216" s="224">
        <f>(EXP(LN('Ecoinvent 3.10'!$E$26)^2)-1)*EXP(2*LN(FN31)+LN('Ecoinvent 3.10'!$E$26)^2)</f>
        <v>2.7740474916495932E-15</v>
      </c>
      <c r="FO216" s="50">
        <f>(EXP(LN('Ecoinvent 3.10'!$E$26)^2)-1)*EXP(2*LN(FO31)+LN('Ecoinvent 3.10'!$E$26)^2)</f>
        <v>2.7740474916495932E-15</v>
      </c>
      <c r="FP216" s="224">
        <f>(EXP(LN('Ecoinvent 3.10'!$E$26)^2)-1)*EXP(2*LN(FP31)+LN('Ecoinvent 3.10'!$E$26)^2)</f>
        <v>7.961233234963758E-16</v>
      </c>
      <c r="FQ216" s="50">
        <f>(EXP(LN('Ecoinvent 3.10'!$E$26)^2)-1)*EXP(2*LN(FQ31)+LN('Ecoinvent 3.10'!$E$26)^2)</f>
        <v>7.961233234963758E-16</v>
      </c>
      <c r="FT216" s="149" t="s">
        <v>396</v>
      </c>
      <c r="FU216" s="224">
        <f>(EXP(LN('Ecoinvent 3.10'!$E$26)^2)-1)*EXP(2*LN(FU31)+LN('Ecoinvent 3.10'!$E$26)^2)</f>
        <v>3.6305457871704633E-11</v>
      </c>
      <c r="FV216" s="50">
        <f>(EXP(LN('Ecoinvent 3.10'!$E$26)^2)-1)*EXP(2*LN(FV31)+LN('Ecoinvent 3.10'!$E$26)^2)</f>
        <v>3.6305457871704633E-11</v>
      </c>
      <c r="FW216" s="224">
        <f>(EXP(LN('Ecoinvent 3.10'!$E$26)^2)-1)*EXP(2*LN(FW31)+LN('Ecoinvent 3.10'!$E$26)^2)</f>
        <v>6.4962827215536227E-11</v>
      </c>
      <c r="FX216" s="50">
        <f>(EXP(LN('Ecoinvent 3.10'!$E$26)^2)-1)*EXP(2*LN(FX31)+LN('Ecoinvent 3.10'!$E$26)^2)</f>
        <v>6.4962827215536227E-11</v>
      </c>
      <c r="FY216" s="224">
        <f>(EXP(LN('Ecoinvent 3.10'!$E$26)^2)-1)*EXP(2*LN(FY31)+LN('Ecoinvent 3.10'!$E$26)^2)</f>
        <v>6.1715206306828036E-11</v>
      </c>
      <c r="FZ216" s="50">
        <f>(EXP(LN('Ecoinvent 3.10'!$E$26)^2)-1)*EXP(2*LN(FZ31)+LN('Ecoinvent 3.10'!$E$26)^2)</f>
        <v>6.1715206306828036E-11</v>
      </c>
      <c r="GA216" s="224">
        <f>(EXP(LN('Ecoinvent 3.10'!$E$26)^2)-1)*EXP(2*LN(GA31)+LN('Ecoinvent 3.10'!$E$26)^2)</f>
        <v>4.2677518289297931E-11</v>
      </c>
      <c r="GB216" s="50">
        <f>(EXP(LN('Ecoinvent 3.10'!$E$26)^2)-1)*EXP(2*LN(GB31)+LN('Ecoinvent 3.10'!$E$26)^2)</f>
        <v>4.2677518289297931E-11</v>
      </c>
      <c r="GC216" s="224">
        <f>(EXP(LN('Ecoinvent 3.10'!$E$26)^2)-1)*EXP(2*LN(GC31)+LN('Ecoinvent 3.10'!$E$26)^2)</f>
        <v>3.4935564858132789E-11</v>
      </c>
      <c r="GD216" s="50">
        <f>(EXP(LN('Ecoinvent 3.10'!$E$26)^2)-1)*EXP(2*LN(GD31)+LN('Ecoinvent 3.10'!$E$26)^2)</f>
        <v>3.4935564858132789E-11</v>
      </c>
      <c r="GE216" s="224"/>
      <c r="GF216" s="50"/>
      <c r="GG216" s="224">
        <f>(EXP(LN('Ecoinvent 3.10'!$E$26)^2)-1)*EXP(2*LN(GG31)+LN('Ecoinvent 3.10'!$E$26)^2)</f>
        <v>1.2173103488344933E-10</v>
      </c>
      <c r="GH216" s="50">
        <f>(EXP(LN('Ecoinvent 3.10'!$E$26)^2)-1)*EXP(2*LN(GH31)+LN('Ecoinvent 3.10'!$E$26)^2)</f>
        <v>1.2173103488344933E-10</v>
      </c>
      <c r="GI216" s="224">
        <f>(EXP(LN('Ecoinvent 3.10'!$E$26)^2)-1)*EXP(2*LN(GI31)+LN('Ecoinvent 3.10'!$E$26)^2)</f>
        <v>3.4935564858132789E-11</v>
      </c>
      <c r="GJ216" s="50">
        <f>(EXP(LN('Ecoinvent 3.10'!$E$26)^2)-1)*EXP(2*LN(GJ31)+LN('Ecoinvent 3.10'!$E$26)^2)</f>
        <v>3.4935564858132789E-11</v>
      </c>
      <c r="GM216" s="149" t="s">
        <v>396</v>
      </c>
      <c r="GN216" s="224">
        <f>(EXP(LN('Ecoinvent 3.10'!$E$26)^2)-1)*EXP(2*LN(GN31)+LN('Ecoinvent 3.10'!$E$26)^2)</f>
        <v>7.7065710021437038E-10</v>
      </c>
      <c r="GO216" s="50">
        <f>(EXP(LN('Ecoinvent 3.10'!$E$26)^2)-1)*EXP(2*LN(GO31)+LN('Ecoinvent 3.10'!$E$26)^2)</f>
        <v>7.7065710021437038E-10</v>
      </c>
      <c r="GP216" s="224">
        <f>(EXP(LN('Ecoinvent 3.10'!$E$26)^2)-1)*EXP(2*LN(GP31)+LN('Ecoinvent 3.10'!$E$26)^2)</f>
        <v>1.3789679838377894E-9</v>
      </c>
      <c r="GQ216" s="50">
        <f>(EXP(LN('Ecoinvent 3.10'!$E$26)^2)-1)*EXP(2*LN(GQ31)+LN('Ecoinvent 3.10'!$E$26)^2)</f>
        <v>1.3789679838377894E-9</v>
      </c>
      <c r="GR216" s="224">
        <f>(EXP(LN('Ecoinvent 3.10'!$E$26)^2)-1)*EXP(2*LN(GR31)+LN('Ecoinvent 3.10'!$E$26)^2)</f>
        <v>1.3100306322983883E-9</v>
      </c>
      <c r="GS216" s="50">
        <f>(EXP(LN('Ecoinvent 3.10'!$E$26)^2)-1)*EXP(2*LN(GS31)+LN('Ecoinvent 3.10'!$E$26)^2)</f>
        <v>1.3100306322983883E-9</v>
      </c>
      <c r="GT216" s="224">
        <f>(EXP(LN('Ecoinvent 3.10'!$E$26)^2)-1)*EXP(2*LN(GT31)+LN('Ecoinvent 3.10'!$E$26)^2)</f>
        <v>9.0591702783094116E-10</v>
      </c>
      <c r="GU216" s="50">
        <f>(EXP(LN('Ecoinvent 3.10'!$E$26)^2)-1)*EXP(2*LN(GU31)+LN('Ecoinvent 3.10'!$E$26)^2)</f>
        <v>9.0591702783094116E-10</v>
      </c>
      <c r="GV216" s="224">
        <f>(EXP(LN('Ecoinvent 3.10'!$E$26)^2)-1)*EXP(2*LN(GV31)+LN('Ecoinvent 3.10'!$E$26)^2)</f>
        <v>7.4157833797498843E-10</v>
      </c>
      <c r="GW216" s="50">
        <f>(EXP(LN('Ecoinvent 3.10'!$E$26)^2)-1)*EXP(2*LN(GW31)+LN('Ecoinvent 3.10'!$E$26)^2)</f>
        <v>7.4157833797498843E-10</v>
      </c>
      <c r="GX216" s="224"/>
      <c r="GY216" s="50"/>
      <c r="GZ216" s="224">
        <f>(EXP(LN('Ecoinvent 3.10'!$E$26)^2)-1)*EXP(2*LN(GZ31)+LN('Ecoinvent 3.10'!$E$26)^2)</f>
        <v>2.5839885198772922E-9</v>
      </c>
      <c r="HA216" s="50">
        <f>(EXP(LN('Ecoinvent 3.10'!$E$26)^2)-1)*EXP(2*LN(HA31)+LN('Ecoinvent 3.10'!$E$26)^2)</f>
        <v>2.5839885198772922E-9</v>
      </c>
      <c r="HB216" s="224">
        <f>(EXP(LN('Ecoinvent 3.10'!$E$26)^2)-1)*EXP(2*LN(HB31)+LN('Ecoinvent 3.10'!$E$26)^2)</f>
        <v>7.4157833797498843E-10</v>
      </c>
      <c r="HC216" s="50">
        <f>(EXP(LN('Ecoinvent 3.10'!$E$26)^2)-1)*EXP(2*LN(HC31)+LN('Ecoinvent 3.10'!$E$26)^2)</f>
        <v>7.4157833797498843E-10</v>
      </c>
      <c r="HF216" s="149" t="s">
        <v>396</v>
      </c>
      <c r="HG216" s="224">
        <f>(EXP(LN('Ecoinvent 3.10'!$E$26)^2)-1)*EXP(2*LN(HG31)+LN('Ecoinvent 3.10'!$E$26)^2)</f>
        <v>1.599134159152135E-8</v>
      </c>
      <c r="HH216" s="50">
        <f>(EXP(LN('Ecoinvent 3.10'!$E$26)^2)-1)*EXP(2*LN(HH31)+LN('Ecoinvent 3.10'!$E$26)^2)</f>
        <v>1.599134159152135E-8</v>
      </c>
      <c r="HI216" s="224">
        <f>(EXP(LN('Ecoinvent 3.10'!$E$26)^2)-1)*EXP(2*LN(HI31)+LN('Ecoinvent 3.10'!$E$26)^2)</f>
        <v>2.8613955632391675E-8</v>
      </c>
      <c r="HJ216" s="50">
        <f>(EXP(LN('Ecoinvent 3.10'!$E$26)^2)-1)*EXP(2*LN(HJ31)+LN('Ecoinvent 3.10'!$E$26)^2)</f>
        <v>2.8613955632391675E-8</v>
      </c>
      <c r="HK216" s="224">
        <f>(EXP(LN('Ecoinvent 3.10'!$E$26)^2)-1)*EXP(2*LN(HK31)+LN('Ecoinvent 3.10'!$E$26)^2)</f>
        <v>2.7183487092525239E-8</v>
      </c>
      <c r="HL216" s="50">
        <f>(EXP(LN('Ecoinvent 3.10'!$E$26)^2)-1)*EXP(2*LN(HL31)+LN('Ecoinvent 3.10'!$E$26)^2)</f>
        <v>2.7183487092525239E-8</v>
      </c>
      <c r="HM216" s="224">
        <f>(EXP(LN('Ecoinvent 3.10'!$E$26)^2)-1)*EXP(2*LN(HM31)+LN('Ecoinvent 3.10'!$E$26)^2)</f>
        <v>1.8798021378886431E-8</v>
      </c>
      <c r="HN216" s="50">
        <f>(EXP(LN('Ecoinvent 3.10'!$E$26)^2)-1)*EXP(2*LN(HN31)+LN('Ecoinvent 3.10'!$E$26)^2)</f>
        <v>1.8798021378886431E-8</v>
      </c>
      <c r="HO216" s="224">
        <f>(EXP(LN('Ecoinvent 3.10'!$E$26)^2)-1)*EXP(2*LN(HO31)+LN('Ecoinvent 3.10'!$E$26)^2)</f>
        <v>1.5387949473419511E-8</v>
      </c>
      <c r="HP216" s="50">
        <f>(EXP(LN('Ecoinvent 3.10'!$E$26)^2)-1)*EXP(2*LN(HP31)+LN('Ecoinvent 3.10'!$E$26)^2)</f>
        <v>1.5387949473419511E-8</v>
      </c>
      <c r="HQ216" s="224"/>
      <c r="HR216" s="50"/>
      <c r="HS216" s="224">
        <f>(EXP(LN('Ecoinvent 3.10'!$E$26)^2)-1)*EXP(2*LN(HS31)+LN('Ecoinvent 3.10'!$E$26)^2)</f>
        <v>5.3618455054048418E-8</v>
      </c>
      <c r="HT216" s="50">
        <f>(EXP(LN('Ecoinvent 3.10'!$E$26)^2)-1)*EXP(2*LN(HT31)+LN('Ecoinvent 3.10'!$E$26)^2)</f>
        <v>5.3618455054048418E-8</v>
      </c>
      <c r="HU216" s="224">
        <f>(EXP(LN('Ecoinvent 3.10'!$E$26)^2)-1)*EXP(2*LN(HU31)+LN('Ecoinvent 3.10'!$E$26)^2)</f>
        <v>1.5387949473419511E-8</v>
      </c>
      <c r="HV216" s="50">
        <f>(EXP(LN('Ecoinvent 3.10'!$E$26)^2)-1)*EXP(2*LN(HV31)+LN('Ecoinvent 3.10'!$E$26)^2)</f>
        <v>1.5387949473419511E-8</v>
      </c>
      <c r="HY216" s="149" t="s">
        <v>396</v>
      </c>
      <c r="HZ216" s="224">
        <f>(EXP(LN('Ecoinvent 3.10'!$E$26)^2)-1)*EXP(2*LN(HZ31)+LN('Ecoinvent 3.10'!$E$26)^2)</f>
        <v>4.1670789276955802E-14</v>
      </c>
      <c r="IA216" s="50">
        <f>(EXP(LN('Ecoinvent 3.10'!$E$26)^2)-1)*EXP(2*LN(IA31)+LN('Ecoinvent 3.10'!$E$26)^2)</f>
        <v>4.1670789276955802E-14</v>
      </c>
      <c r="IB216" s="224">
        <f>(EXP(LN('Ecoinvent 3.10'!$E$26)^2)-1)*EXP(2*LN(IB31)+LN('Ecoinvent 3.10'!$E$26)^2)</f>
        <v>7.4563232153689326E-14</v>
      </c>
      <c r="IC216" s="50">
        <f>(EXP(LN('Ecoinvent 3.10'!$E$26)^2)-1)*EXP(2*LN(IC31)+LN('Ecoinvent 3.10'!$E$26)^2)</f>
        <v>7.4563232153689326E-14</v>
      </c>
      <c r="ID216" s="224">
        <f>(EXP(LN('Ecoinvent 3.10'!$E$26)^2)-1)*EXP(2*LN(ID31)+LN('Ecoinvent 3.10'!$E$26)^2)</f>
        <v>7.0835667912069135E-14</v>
      </c>
      <c r="IE216" s="50">
        <f>(EXP(LN('Ecoinvent 3.10'!$E$26)^2)-1)*EXP(2*LN(IE31)+LN('Ecoinvent 3.10'!$E$26)^2)</f>
        <v>7.0835667912069135E-14</v>
      </c>
      <c r="IF216" s="224">
        <f>(EXP(LN('Ecoinvent 3.10'!$E$26)^2)-1)*EXP(2*LN(IF31)+LN('Ecoinvent 3.10'!$E$26)^2)</f>
        <v>4.8984532237033083E-14</v>
      </c>
      <c r="IG216" s="50">
        <f>(EXP(LN('Ecoinvent 3.10'!$E$26)^2)-1)*EXP(2*LN(IG31)+LN('Ecoinvent 3.10'!$E$26)^2)</f>
        <v>4.8984532237033083E-14</v>
      </c>
      <c r="IH216" s="224">
        <f>(EXP(LN('Ecoinvent 3.10'!$E$26)^2)-1)*EXP(2*LN(IH31)+LN('Ecoinvent 3.10'!$E$26)^2)</f>
        <v>4.0098449291539567E-14</v>
      </c>
      <c r="II216" s="50">
        <f>(EXP(LN('Ecoinvent 3.10'!$E$26)^2)-1)*EXP(2*LN(II31)+LN('Ecoinvent 3.10'!$E$26)^2)</f>
        <v>4.0098449291539567E-14</v>
      </c>
      <c r="IJ216" s="224"/>
      <c r="IK216" s="50"/>
      <c r="IL216" s="224">
        <f>(EXP(LN('Ecoinvent 3.10'!$E$26)^2)-1)*EXP(2*LN(IL31)+LN('Ecoinvent 3.10'!$E$26)^2)</f>
        <v>1.3972081886474228E-13</v>
      </c>
      <c r="IM216" s="50">
        <f>(EXP(LN('Ecoinvent 3.10'!$E$26)^2)-1)*EXP(2*LN(IM31)+LN('Ecoinvent 3.10'!$E$26)^2)</f>
        <v>1.3972081886474228E-13</v>
      </c>
      <c r="IN216" s="224">
        <f>(EXP(LN('Ecoinvent 3.10'!$E$26)^2)-1)*EXP(2*LN(IN31)+LN('Ecoinvent 3.10'!$E$26)^2)</f>
        <v>4.0098449291539567E-14</v>
      </c>
      <c r="IO216" s="50">
        <f>(EXP(LN('Ecoinvent 3.10'!$E$26)^2)-1)*EXP(2*LN(IO31)+LN('Ecoinvent 3.10'!$E$26)^2)</f>
        <v>4.0098449291539567E-14</v>
      </c>
    </row>
    <row r="217" spans="1:249" x14ac:dyDescent="0.2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  <c r="AA217" s="158"/>
      <c r="AB217" s="158"/>
      <c r="AC217" s="158"/>
      <c r="AD217" s="158"/>
      <c r="AE217" s="158"/>
      <c r="AF217" s="158"/>
      <c r="AG217" s="158"/>
      <c r="AH217" s="158"/>
      <c r="AI217" s="158"/>
      <c r="AJ217" s="158"/>
      <c r="AK217" s="158"/>
      <c r="AL217" s="158"/>
      <c r="AM217" s="139"/>
      <c r="AN217" s="156"/>
      <c r="AO217" s="158"/>
      <c r="AP217" s="726"/>
      <c r="AQ217" s="149" t="s">
        <v>365</v>
      </c>
      <c r="AR217" s="224">
        <f>(EXP(LN('Ecoinvent 3.10'!$E$35)^2)-1)*EXP(2*LN(AR32)+LN('Ecoinvent 3.10'!$E$35)^2)</f>
        <v>10.608351619123214</v>
      </c>
      <c r="AS217" s="50">
        <f>(EXP(LN('Ecoinvent 3.10'!$E$35)^2)-1)*EXP(2*LN(AS32)+LN('Ecoinvent 3.10'!$E$35)^2)</f>
        <v>10.608351619123214</v>
      </c>
      <c r="AT217" s="224">
        <f>(EXP(LN('Ecoinvent 3.10'!$E$35)^2)-1)*EXP(2*LN(AT32)+LN('Ecoinvent 3.10'!$E$35)^2)</f>
        <v>18.981953504347821</v>
      </c>
      <c r="AU217" s="50">
        <f>(EXP(LN('Ecoinvent 3.10'!$E$35)^2)-1)*EXP(2*LN(AU32)+LN('Ecoinvent 3.10'!$E$35)^2)</f>
        <v>18.981953504347821</v>
      </c>
      <c r="AV217" s="224">
        <f>(EXP(LN('Ecoinvent 3.10'!$E$35)^2)-1)*EXP(2*LN(AV32)+LN('Ecoinvent 3.10'!$E$35)^2)</f>
        <v>18.03300790374589</v>
      </c>
      <c r="AW217" s="50">
        <f>(EXP(LN('Ecoinvent 3.10'!$E$35)^2)-1)*EXP(2*LN(AW32)+LN('Ecoinvent 3.10'!$E$35)^2)</f>
        <v>18.03300790374589</v>
      </c>
      <c r="AX217" s="224">
        <f>(EXP(LN('Ecoinvent 3.10'!$E$35)^2)-1)*EXP(2*LN(AX32)+LN('Ecoinvent 3.10'!$E$35)^2)</f>
        <v>12.470249565349388</v>
      </c>
      <c r="AY217" s="50">
        <f>(EXP(LN('Ecoinvent 3.10'!$E$35)^2)-1)*EXP(2*LN(AY32)+LN('Ecoinvent 3.10'!$E$35)^2)</f>
        <v>12.470249565349388</v>
      </c>
      <c r="AZ217" s="224">
        <f>(EXP(LN('Ecoinvent 3.10'!$E$35)^2)-1)*EXP(2*LN(AZ32)+LN('Ecoinvent 3.10'!$E$35)^2)</f>
        <v>10.208072773449267</v>
      </c>
      <c r="BA217" s="50">
        <f>(EXP(LN('Ecoinvent 3.10'!$E$35)^2)-1)*EXP(2*LN(BA32)+LN('Ecoinvent 3.10'!$E$35)^2)</f>
        <v>10.208072773449267</v>
      </c>
      <c r="BB217" s="224"/>
      <c r="BC217" s="50"/>
      <c r="BD217" s="224">
        <f>(EXP(LN('Ecoinvent 3.10'!$E$35)^2)-1)*EXP(2*LN(BD32)+LN('Ecoinvent 3.10'!$E$35)^2)</f>
        <v>35.569462463929881</v>
      </c>
      <c r="BE217" s="50">
        <f>(EXP(LN('Ecoinvent 3.10'!$E$35)^2)-1)*EXP(2*LN(BE32)+LN('Ecoinvent 3.10'!$E$35)^2)</f>
        <v>35.569462463929881</v>
      </c>
      <c r="BF217" s="224">
        <f>(EXP(LN('Ecoinvent 3.10'!$E$35)^2)-1)*EXP(2*LN(BF32)+LN('Ecoinvent 3.10'!$E$35)^2)</f>
        <v>10.208072773449267</v>
      </c>
      <c r="BG217" s="50">
        <f>(EXP(LN('Ecoinvent 3.10'!$E$35)^2)-1)*EXP(2*LN(BG32)+LN('Ecoinvent 3.10'!$E$35)^2)</f>
        <v>10.208072773449267</v>
      </c>
      <c r="BI217" s="156"/>
      <c r="BJ217" s="149" t="s">
        <v>365</v>
      </c>
      <c r="BK217" s="224">
        <f>(EXP(LN('Ecoinvent 3.10'!$E$35)^2)-1)*EXP(2*LN(BK32)+LN('Ecoinvent 3.10'!$E$35)^2)</f>
        <v>0.45816721399212046</v>
      </c>
      <c r="BL217" s="50">
        <f>(EXP(LN('Ecoinvent 3.10'!$E$35)^2)-1)*EXP(2*LN(BL32)+LN('Ecoinvent 3.10'!$E$35)^2)</f>
        <v>0.45816721399212046</v>
      </c>
      <c r="BM217" s="224">
        <f>(EXP(LN('Ecoinvent 3.10'!$E$35)^2)-1)*EXP(2*LN(BM32)+LN('Ecoinvent 3.10'!$E$35)^2)</f>
        <v>0.81981716533014093</v>
      </c>
      <c r="BN217" s="50">
        <f>(EXP(LN('Ecoinvent 3.10'!$E$35)^2)-1)*EXP(2*LN(BN32)+LN('Ecoinvent 3.10'!$E$35)^2)</f>
        <v>0.81981716533014093</v>
      </c>
      <c r="BO217" s="224">
        <f>(EXP(LN('Ecoinvent 3.10'!$E$35)^2)-1)*EXP(2*LN(BO32)+LN('Ecoinvent 3.10'!$E$35)^2)</f>
        <v>0.77883287505886956</v>
      </c>
      <c r="BP217" s="50">
        <f>(EXP(LN('Ecoinvent 3.10'!$E$35)^2)-1)*EXP(2*LN(BP32)+LN('Ecoinvent 3.10'!$E$35)^2)</f>
        <v>0.77883287505886956</v>
      </c>
      <c r="BQ217" s="224">
        <f>(EXP(LN('Ecoinvent 3.10'!$E$35)^2)-1)*EXP(2*LN(BQ32)+LN('Ecoinvent 3.10'!$E$35)^2)</f>
        <v>0.53858127127339694</v>
      </c>
      <c r="BR217" s="50">
        <f>(EXP(LN('Ecoinvent 3.10'!$E$35)^2)-1)*EXP(2*LN(BR32)+LN('Ecoinvent 3.10'!$E$35)^2)</f>
        <v>0.53858127127339694</v>
      </c>
      <c r="BS217" s="224">
        <f>(EXP(LN('Ecoinvent 3.10'!$E$35)^2)-1)*EXP(2*LN(BS32)+LN('Ecoinvent 3.10'!$E$35)^2)</f>
        <v>0.44087945335532036</v>
      </c>
      <c r="BT217" s="50">
        <f>(EXP(LN('Ecoinvent 3.10'!$E$35)^2)-1)*EXP(2*LN(BT32)+LN('Ecoinvent 3.10'!$E$35)^2)</f>
        <v>0.44087945335532036</v>
      </c>
      <c r="BU217" s="224"/>
      <c r="BV217" s="50"/>
      <c r="BW217" s="224">
        <f>(EXP(LN('Ecoinvent 3.10'!$E$35)^2)-1)*EXP(2*LN(BW32)+LN('Ecoinvent 3.10'!$E$35)^2)</f>
        <v>1.5362199619136492</v>
      </c>
      <c r="BX217" s="50">
        <f>(EXP(LN('Ecoinvent 3.10'!$E$35)^2)-1)*EXP(2*LN(BX32)+LN('Ecoinvent 3.10'!$E$35)^2)</f>
        <v>1.5362199619136492</v>
      </c>
      <c r="BY217" s="224">
        <f>(EXP(LN('Ecoinvent 3.10'!$E$35)^2)-1)*EXP(2*LN(BY32)+LN('Ecoinvent 3.10'!$E$35)^2)</f>
        <v>0.44087945335532036</v>
      </c>
      <c r="BZ217" s="50">
        <f>(EXP(LN('Ecoinvent 3.10'!$E$35)^2)-1)*EXP(2*LN(BZ32)+LN('Ecoinvent 3.10'!$E$35)^2)</f>
        <v>0.44087945335532036</v>
      </c>
      <c r="CA217" s="156"/>
      <c r="CB217" s="156"/>
      <c r="CC217" s="149" t="s">
        <v>365</v>
      </c>
      <c r="CD217" s="224">
        <f>(EXP(LN('Ecoinvent 3.10'!$E$35)^2)-1)*EXP(2*LN(CD32)+LN('Ecoinvent 3.10'!$E$35)^2)</f>
        <v>4.840721968913611</v>
      </c>
      <c r="CE217" s="50">
        <f>(EXP(LN('Ecoinvent 3.10'!$E$35)^2)-1)*EXP(2*LN(CE32)+LN('Ecoinvent 3.10'!$E$35)^2)</f>
        <v>4.840721968913611</v>
      </c>
      <c r="CF217" s="224">
        <f>(EXP(LN('Ecoinvent 3.10'!$E$35)^2)-1)*EXP(2*LN(CF32)+LN('Ecoinvent 3.10'!$E$35)^2)</f>
        <v>8.6617000115035481</v>
      </c>
      <c r="CG217" s="50">
        <f>(EXP(LN('Ecoinvent 3.10'!$E$35)^2)-1)*EXP(2*LN(CG32)+LN('Ecoinvent 3.10'!$E$35)^2)</f>
        <v>8.6617000115035481</v>
      </c>
      <c r="CH217" s="224">
        <f>(EXP(LN('Ecoinvent 3.10'!$E$35)^2)-1)*EXP(2*LN(CH32)+LN('Ecoinvent 3.10'!$E$35)^2)</f>
        <v>8.2286844044551373</v>
      </c>
      <c r="CI217" s="50">
        <f>(EXP(LN('Ecoinvent 3.10'!$E$35)^2)-1)*EXP(2*LN(CI32)+LN('Ecoinvent 3.10'!$E$35)^2)</f>
        <v>8.2286844044551373</v>
      </c>
      <c r="CJ217" s="224">
        <f>(EXP(LN('Ecoinvent 3.10'!$E$35)^2)-1)*EXP(2*LN(CJ32)+LN('Ecoinvent 3.10'!$E$35)^2)</f>
        <v>5.6903290158675377</v>
      </c>
      <c r="CK217" s="50">
        <f>(EXP(LN('Ecoinvent 3.10'!$E$35)^2)-1)*EXP(2*LN(CK32)+LN('Ecoinvent 3.10'!$E$35)^2)</f>
        <v>5.6903290158675377</v>
      </c>
      <c r="CL217" s="224">
        <f>(EXP(LN('Ecoinvent 3.10'!$E$35)^2)-1)*EXP(2*LN(CL32)+LN('Ecoinvent 3.10'!$E$35)^2)</f>
        <v>4.6580697839641267</v>
      </c>
      <c r="CM217" s="50">
        <f>(EXP(LN('Ecoinvent 3.10'!$E$35)^2)-1)*EXP(2*LN(CM32)+LN('Ecoinvent 3.10'!$E$35)^2)</f>
        <v>4.6580697839641267</v>
      </c>
      <c r="CN217" s="224"/>
      <c r="CO217" s="50"/>
      <c r="CP217" s="224">
        <f>(EXP(LN('Ecoinvent 3.10'!$E$35)^2)-1)*EXP(2*LN(CP32)+LN('Ecoinvent 3.10'!$E$35)^2)</f>
        <v>16.230785380568346</v>
      </c>
      <c r="CQ217" s="50">
        <f>(EXP(LN('Ecoinvent 3.10'!$E$35)^2)-1)*EXP(2*LN(CQ32)+LN('Ecoinvent 3.10'!$E$35)^2)</f>
        <v>16.230785380568346</v>
      </c>
      <c r="CR217" s="224">
        <f>(EXP(LN('Ecoinvent 3.10'!$E$35)^2)-1)*EXP(2*LN(CR32)+LN('Ecoinvent 3.10'!$E$35)^2)</f>
        <v>4.6580697839641267</v>
      </c>
      <c r="CS217" s="50">
        <f>(EXP(LN('Ecoinvent 3.10'!$E$35)^2)-1)*EXP(2*LN(CS32)+LN('Ecoinvent 3.10'!$E$35)^2)</f>
        <v>4.6580697839641267</v>
      </c>
      <c r="CV217" s="149" t="s">
        <v>365</v>
      </c>
      <c r="CW217" s="224">
        <f>(EXP(LN('Ecoinvent 3.10'!$E$35)^2)-1)*EXP(2*LN(CW32)+LN('Ecoinvent 3.10'!$E$35)^2)</f>
        <v>8.4070434187602747E-8</v>
      </c>
      <c r="CX217" s="50">
        <f>(EXP(LN('Ecoinvent 3.10'!$E$35)^2)-1)*EXP(2*LN(CX32)+LN('Ecoinvent 3.10'!$E$35)^2)</f>
        <v>8.4070434187602747E-8</v>
      </c>
      <c r="CY217" s="224">
        <f>(EXP(LN('Ecoinvent 3.10'!$E$35)^2)-1)*EXP(2*LN(CY32)+LN('Ecoinvent 3.10'!$E$35)^2)</f>
        <v>1.5043063523296969E-7</v>
      </c>
      <c r="CZ217" s="50">
        <f>(EXP(LN('Ecoinvent 3.10'!$E$35)^2)-1)*EXP(2*LN(CZ32)+LN('Ecoinvent 3.10'!$E$35)^2)</f>
        <v>1.5043063523296969E-7</v>
      </c>
      <c r="DA217" s="224">
        <f>(EXP(LN('Ecoinvent 3.10'!$E$35)^2)-1)*EXP(2*LN(DA32)+LN('Ecoinvent 3.10'!$E$35)^2)</f>
        <v>1.4291030865186288E-7</v>
      </c>
      <c r="DB217" s="50">
        <f>(EXP(LN('Ecoinvent 3.10'!$E$35)^2)-1)*EXP(2*LN(DB32)+LN('Ecoinvent 3.10'!$E$35)^2)</f>
        <v>1.4291030865186288E-7</v>
      </c>
      <c r="DC217" s="224">
        <f>(EXP(LN('Ecoinvent 3.10'!$E$35)^2)-1)*EXP(2*LN(DC32)+LN('Ecoinvent 3.10'!$E$35)^2)</f>
        <v>9.882584335692813E-8</v>
      </c>
      <c r="DD217" s="50">
        <f>(EXP(LN('Ecoinvent 3.10'!$E$35)^2)-1)*EXP(2*LN(DD32)+LN('Ecoinvent 3.10'!$E$35)^2)</f>
        <v>9.882584335692813E-8</v>
      </c>
      <c r="DE217" s="224">
        <f>(EXP(LN('Ecoinvent 3.10'!$E$35)^2)-1)*EXP(2*LN(DE32)+LN('Ecoinvent 3.10'!$E$35)^2)</f>
        <v>8.0898252725285873E-8</v>
      </c>
      <c r="DF217" s="50">
        <f>(EXP(LN('Ecoinvent 3.10'!$E$35)^2)-1)*EXP(2*LN(DF32)+LN('Ecoinvent 3.10'!$E$35)^2)</f>
        <v>8.0898252725285873E-8</v>
      </c>
      <c r="DG217" s="224"/>
      <c r="DH217" s="50"/>
      <c r="DI217" s="224">
        <f>(EXP(LN('Ecoinvent 3.10'!$E$35)^2)-1)*EXP(2*LN(DI32)+LN('Ecoinvent 3.10'!$E$35)^2)</f>
        <v>2.8188546727388489E-7</v>
      </c>
      <c r="DJ217" s="50">
        <f>(EXP(LN('Ecoinvent 3.10'!$E$35)^2)-1)*EXP(2*LN(DJ32)+LN('Ecoinvent 3.10'!$E$35)^2)</f>
        <v>2.8188546727388489E-7</v>
      </c>
      <c r="DK217" s="224">
        <f>(EXP(LN('Ecoinvent 3.10'!$E$35)^2)-1)*EXP(2*LN(DK32)+LN('Ecoinvent 3.10'!$E$35)^2)</f>
        <v>8.0898252725285873E-8</v>
      </c>
      <c r="DL217" s="50">
        <f>(EXP(LN('Ecoinvent 3.10'!$E$35)^2)-1)*EXP(2*LN(DL32)+LN('Ecoinvent 3.10'!$E$35)^2)</f>
        <v>8.0898252725285873E-8</v>
      </c>
      <c r="DO217" s="149" t="s">
        <v>365</v>
      </c>
      <c r="DP217" s="224">
        <f>(EXP(LN('Ecoinvent 3.10'!$E$35)^2)-1)*EXP(2*LN(DP32)+LN('Ecoinvent 3.10'!$E$35)^2)</f>
        <v>1.5400002445999344E-5</v>
      </c>
      <c r="DQ217" s="50">
        <f>(EXP(LN('Ecoinvent 3.10'!$E$35)^2)-1)*EXP(2*LN(DQ32)+LN('Ecoinvent 3.10'!$E$35)^2)</f>
        <v>1.5400002445999344E-5</v>
      </c>
      <c r="DR217" s="224">
        <f>(EXP(LN('Ecoinvent 3.10'!$E$35)^2)-1)*EXP(2*LN(DR32)+LN('Ecoinvent 3.10'!$E$35)^2)</f>
        <v>2.7555848532569908E-5</v>
      </c>
      <c r="DS217" s="50">
        <f>(EXP(LN('Ecoinvent 3.10'!$E$35)^2)-1)*EXP(2*LN(DS32)+LN('Ecoinvent 3.10'!$E$35)^2)</f>
        <v>2.7555848532569908E-5</v>
      </c>
      <c r="DT217" s="224">
        <f>(EXP(LN('Ecoinvent 3.10'!$E$35)^2)-1)*EXP(2*LN(DT32)+LN('Ecoinvent 3.10'!$E$35)^2)</f>
        <v>2.6178276870630815E-5</v>
      </c>
      <c r="DU217" s="50">
        <f>(EXP(LN('Ecoinvent 3.10'!$E$35)^2)-1)*EXP(2*LN(DU32)+LN('Ecoinvent 3.10'!$E$35)^2)</f>
        <v>2.6178276870630815E-5</v>
      </c>
      <c r="DV217" s="224">
        <f>(EXP(LN('Ecoinvent 3.10'!$E$35)^2)-1)*EXP(2*LN(DV32)+LN('Ecoinvent 3.10'!$E$35)^2)</f>
        <v>1.810289484206171E-5</v>
      </c>
      <c r="DW217" s="50">
        <f>(EXP(LN('Ecoinvent 3.10'!$E$35)^2)-1)*EXP(2*LN(DW32)+LN('Ecoinvent 3.10'!$E$35)^2)</f>
        <v>1.810289484206171E-5</v>
      </c>
      <c r="DX217" s="224">
        <f>(EXP(LN('Ecoinvent 3.10'!$E$35)^2)-1)*EXP(2*LN(DX32)+LN('Ecoinvent 3.10'!$E$35)^2)</f>
        <v>1.4818922988626475E-5</v>
      </c>
      <c r="DY217" s="50">
        <f>(EXP(LN('Ecoinvent 3.10'!$E$35)^2)-1)*EXP(2*LN(DY32)+LN('Ecoinvent 3.10'!$E$35)^2)</f>
        <v>1.4818922988626475E-5</v>
      </c>
      <c r="DZ217" s="224"/>
      <c r="EA217" s="50"/>
      <c r="EB217" s="224">
        <f>(EXP(LN('Ecoinvent 3.10'!$E$35)^2)-1)*EXP(2*LN(EB32)+LN('Ecoinvent 3.10'!$E$35)^2)</f>
        <v>5.1635713880369616E-5</v>
      </c>
      <c r="EC217" s="50">
        <f>(EXP(LN('Ecoinvent 3.10'!$E$35)^2)-1)*EXP(2*LN(EC32)+LN('Ecoinvent 3.10'!$E$35)^2)</f>
        <v>5.1635713880369616E-5</v>
      </c>
      <c r="ED217" s="224">
        <f>(EXP(LN('Ecoinvent 3.10'!$E$35)^2)-1)*EXP(2*LN(ED32)+LN('Ecoinvent 3.10'!$E$35)^2)</f>
        <v>1.4818922988626475E-5</v>
      </c>
      <c r="EE217" s="50">
        <f>(EXP(LN('Ecoinvent 3.10'!$E$35)^2)-1)*EXP(2*LN(EE32)+LN('Ecoinvent 3.10'!$E$35)^2)</f>
        <v>1.4818922988626475E-5</v>
      </c>
      <c r="EH217" s="149" t="s">
        <v>365</v>
      </c>
      <c r="EI217" s="224">
        <f>(EXP(LN('Ecoinvent 3.10'!$E$35)^2)-1)*EXP(2*LN(EI32)+LN('Ecoinvent 3.10'!$E$35)^2)</f>
        <v>2.5975336163952824E-7</v>
      </c>
      <c r="EJ217" s="50">
        <f>(EXP(LN('Ecoinvent 3.10'!$E$35)^2)-1)*EXP(2*LN(EJ32)+LN('Ecoinvent 3.10'!$E$35)^2)</f>
        <v>2.5975336163952824E-7</v>
      </c>
      <c r="EK217" s="224">
        <f>(EXP(LN('Ecoinvent 3.10'!$E$35)^2)-1)*EXP(2*LN(EK32)+LN('Ecoinvent 3.10'!$E$35)^2)</f>
        <v>4.6478721768152375E-7</v>
      </c>
      <c r="EL217" s="50">
        <f>(EXP(LN('Ecoinvent 3.10'!$E$35)^2)-1)*EXP(2*LN(EL32)+LN('Ecoinvent 3.10'!$E$35)^2)</f>
        <v>4.6478721768152375E-7</v>
      </c>
      <c r="EM217" s="224">
        <f>(EXP(LN('Ecoinvent 3.10'!$E$35)^2)-1)*EXP(2*LN(EM32)+LN('Ecoinvent 3.10'!$E$35)^2)</f>
        <v>4.415515804572594E-7</v>
      </c>
      <c r="EN217" s="50">
        <f>(EXP(LN('Ecoinvent 3.10'!$E$35)^2)-1)*EXP(2*LN(EN32)+LN('Ecoinvent 3.10'!$E$35)^2)</f>
        <v>4.415515804572594E-7</v>
      </c>
      <c r="EO217" s="224">
        <f>(EXP(LN('Ecoinvent 3.10'!$E$35)^2)-1)*EXP(2*LN(EO32)+LN('Ecoinvent 3.10'!$E$35)^2)</f>
        <v>3.0534331453005608E-7</v>
      </c>
      <c r="EP217" s="50">
        <f>(EXP(LN('Ecoinvent 3.10'!$E$35)^2)-1)*EXP(2*LN(EP32)+LN('Ecoinvent 3.10'!$E$35)^2)</f>
        <v>3.0534331453005608E-7</v>
      </c>
      <c r="EQ217" s="224">
        <f>(EXP(LN('Ecoinvent 3.10'!$E$35)^2)-1)*EXP(2*LN(EQ32)+LN('Ecoinvent 3.10'!$E$35)^2)</f>
        <v>2.4995223706428641E-7</v>
      </c>
      <c r="ER217" s="50">
        <f>(EXP(LN('Ecoinvent 3.10'!$E$35)^2)-1)*EXP(2*LN(ER32)+LN('Ecoinvent 3.10'!$E$35)^2)</f>
        <v>2.4995223706428641E-7</v>
      </c>
      <c r="ES217" s="224"/>
      <c r="ET217" s="50"/>
      <c r="EU217" s="224">
        <f>(EXP(LN('Ecoinvent 3.10'!$E$35)^2)-1)*EXP(2*LN(EU32)+LN('Ecoinvent 3.10'!$E$35)^2)</f>
        <v>8.7094468381511323E-7</v>
      </c>
      <c r="EV217" s="50">
        <f>(EXP(LN('Ecoinvent 3.10'!$E$35)^2)-1)*EXP(2*LN(EV32)+LN('Ecoinvent 3.10'!$E$35)^2)</f>
        <v>8.7094468381511323E-7</v>
      </c>
      <c r="EW217" s="224">
        <f>(EXP(LN('Ecoinvent 3.10'!$E$35)^2)-1)*EXP(2*LN(EW32)+LN('Ecoinvent 3.10'!$E$35)^2)</f>
        <v>2.4995223706428641E-7</v>
      </c>
      <c r="EX217" s="50">
        <f>(EXP(LN('Ecoinvent 3.10'!$E$35)^2)-1)*EXP(2*LN(EX32)+LN('Ecoinvent 3.10'!$E$35)^2)</f>
        <v>2.4995223706428641E-7</v>
      </c>
      <c r="FA217" s="149" t="s">
        <v>365</v>
      </c>
      <c r="FB217" s="224">
        <f>(EXP(LN('Ecoinvent 3.10'!$E$35)^2)-1)*EXP(2*LN(FB32)+LN('Ecoinvent 3.10'!$E$35)^2)</f>
        <v>1.2448467913169552E-10</v>
      </c>
      <c r="FC217" s="50">
        <f>(EXP(LN('Ecoinvent 3.10'!$E$35)^2)-1)*EXP(2*LN(FC32)+LN('Ecoinvent 3.10'!$E$35)^2)</f>
        <v>1.2448467913169552E-10</v>
      </c>
      <c r="FD217" s="224">
        <f>(EXP(LN('Ecoinvent 3.10'!$E$35)^2)-1)*EXP(2*LN(FD32)+LN('Ecoinvent 3.10'!$E$35)^2)</f>
        <v>2.2274548168462762E-10</v>
      </c>
      <c r="FE217" s="50">
        <f>(EXP(LN('Ecoinvent 3.10'!$E$35)^2)-1)*EXP(2*LN(FE32)+LN('Ecoinvent 3.10'!$E$35)^2)</f>
        <v>2.2274548168462762E-10</v>
      </c>
      <c r="FF217" s="224">
        <f>(EXP(LN('Ecoinvent 3.10'!$E$35)^2)-1)*EXP(2*LN(FF32)+LN('Ecoinvent 3.10'!$E$35)^2)</f>
        <v>2.1160999213397783E-10</v>
      </c>
      <c r="FG217" s="50">
        <f>(EXP(LN('Ecoinvent 3.10'!$E$35)^2)-1)*EXP(2*LN(FG32)+LN('Ecoinvent 3.10'!$E$35)^2)</f>
        <v>2.1160999213397783E-10</v>
      </c>
      <c r="FH217" s="224">
        <f>(EXP(LN('Ecoinvent 3.10'!$E$35)^2)-1)*EXP(2*LN(FH32)+LN('Ecoinvent 3.10'!$E$35)^2)</f>
        <v>1.4633329206738566E-10</v>
      </c>
      <c r="FI217" s="50">
        <f>(EXP(LN('Ecoinvent 3.10'!$E$35)^2)-1)*EXP(2*LN(FI32)+LN('Ecoinvent 3.10'!$E$35)^2)</f>
        <v>1.4633329206738566E-10</v>
      </c>
      <c r="FJ217" s="224">
        <f>(EXP(LN('Ecoinvent 3.10'!$E$35)^2)-1)*EXP(2*LN(FJ32)+LN('Ecoinvent 3.10'!$E$35)^2)</f>
        <v>1.1978757015039967E-10</v>
      </c>
      <c r="FK217" s="50">
        <f>(EXP(LN('Ecoinvent 3.10'!$E$35)^2)-1)*EXP(2*LN(FK32)+LN('Ecoinvent 3.10'!$E$35)^2)</f>
        <v>1.1978757015039967E-10</v>
      </c>
      <c r="FL217" s="224"/>
      <c r="FM217" s="50"/>
      <c r="FN217" s="224">
        <f>(EXP(LN('Ecoinvent 3.10'!$E$35)^2)-1)*EXP(2*LN(FN32)+LN('Ecoinvent 3.10'!$E$35)^2)</f>
        <v>4.1739313332405918E-10</v>
      </c>
      <c r="FO217" s="50">
        <f>(EXP(LN('Ecoinvent 3.10'!$E$35)^2)-1)*EXP(2*LN(FO32)+LN('Ecoinvent 3.10'!$E$35)^2)</f>
        <v>4.1739313332405918E-10</v>
      </c>
      <c r="FP217" s="224">
        <f>(EXP(LN('Ecoinvent 3.10'!$E$35)^2)-1)*EXP(2*LN(FP32)+LN('Ecoinvent 3.10'!$E$35)^2)</f>
        <v>1.1978757015039967E-10</v>
      </c>
      <c r="FQ217" s="50">
        <f>(EXP(LN('Ecoinvent 3.10'!$E$35)^2)-1)*EXP(2*LN(FQ32)+LN('Ecoinvent 3.10'!$E$35)^2)</f>
        <v>1.1978757015039967E-10</v>
      </c>
      <c r="FT217" s="149" t="s">
        <v>365</v>
      </c>
      <c r="FU217" s="224">
        <f>(EXP(LN('Ecoinvent 3.10'!$E$35)^2)-1)*EXP(2*LN(FU32)+LN('Ecoinvent 3.10'!$E$35)^2)</f>
        <v>5.9421753832038366E-6</v>
      </c>
      <c r="FV217" s="50">
        <f>(EXP(LN('Ecoinvent 3.10'!$E$35)^2)-1)*EXP(2*LN(FV32)+LN('Ecoinvent 3.10'!$E$35)^2)</f>
        <v>5.9421753832038366E-6</v>
      </c>
      <c r="FW217" s="224">
        <f>(EXP(LN('Ecoinvent 3.10'!$E$35)^2)-1)*EXP(2*LN(FW32)+LN('Ecoinvent 3.10'!$E$35)^2)</f>
        <v>1.0632575247159635E-5</v>
      </c>
      <c r="FX217" s="50">
        <f>(EXP(LN('Ecoinvent 3.10'!$E$35)^2)-1)*EXP(2*LN(FX32)+LN('Ecoinvent 3.10'!$E$35)^2)</f>
        <v>1.0632575247159635E-5</v>
      </c>
      <c r="FY217" s="224">
        <f>(EXP(LN('Ecoinvent 3.10'!$E$35)^2)-1)*EXP(2*LN(FY32)+LN('Ecoinvent 3.10'!$E$35)^2)</f>
        <v>1.0101031668067522E-5</v>
      </c>
      <c r="FZ217" s="50">
        <f>(EXP(LN('Ecoinvent 3.10'!$E$35)^2)-1)*EXP(2*LN(FZ32)+LN('Ecoinvent 3.10'!$E$35)^2)</f>
        <v>1.0101031668067522E-5</v>
      </c>
      <c r="GA217" s="224">
        <f>(EXP(LN('Ecoinvent 3.10'!$E$35)^2)-1)*EXP(2*LN(GA32)+LN('Ecoinvent 3.10'!$E$35)^2)</f>
        <v>6.9851012343944076E-6</v>
      </c>
      <c r="GB217" s="50">
        <f>(EXP(LN('Ecoinvent 3.10'!$E$35)^2)-1)*EXP(2*LN(GB32)+LN('Ecoinvent 3.10'!$E$35)^2)</f>
        <v>6.9851012343944076E-6</v>
      </c>
      <c r="GC217" s="224">
        <f>(EXP(LN('Ecoinvent 3.10'!$E$35)^2)-1)*EXP(2*LN(GC32)+LN('Ecoinvent 3.10'!$E$35)^2)</f>
        <v>5.7179626884725126E-6</v>
      </c>
      <c r="GD217" s="50">
        <f>(EXP(LN('Ecoinvent 3.10'!$E$35)^2)-1)*EXP(2*LN(GD32)+LN('Ecoinvent 3.10'!$E$35)^2)</f>
        <v>5.7179626884725126E-6</v>
      </c>
      <c r="GE217" s="224"/>
      <c r="GF217" s="50"/>
      <c r="GG217" s="224">
        <f>(EXP(LN('Ecoinvent 3.10'!$E$35)^2)-1)*EXP(2*LN(GG32)+LN('Ecoinvent 3.10'!$E$35)^2)</f>
        <v>1.9923923323388675E-5</v>
      </c>
      <c r="GH217" s="50">
        <f>(EXP(LN('Ecoinvent 3.10'!$E$35)^2)-1)*EXP(2*LN(GH32)+LN('Ecoinvent 3.10'!$E$35)^2)</f>
        <v>1.9923923323388675E-5</v>
      </c>
      <c r="GI217" s="224">
        <f>(EXP(LN('Ecoinvent 3.10'!$E$35)^2)-1)*EXP(2*LN(GI32)+LN('Ecoinvent 3.10'!$E$35)^2)</f>
        <v>5.7179626884725126E-6</v>
      </c>
      <c r="GJ217" s="50">
        <f>(EXP(LN('Ecoinvent 3.10'!$E$35)^2)-1)*EXP(2*LN(GJ32)+LN('Ecoinvent 3.10'!$E$35)^2)</f>
        <v>5.7179626884725126E-6</v>
      </c>
      <c r="GM217" s="149" t="s">
        <v>365</v>
      </c>
      <c r="GN217" s="224">
        <f>(EXP(LN('Ecoinvent 3.10'!$E$35)^2)-1)*EXP(2*LN(GN32)+LN('Ecoinvent 3.10'!$E$35)^2)</f>
        <v>1.2797233307110564E-3</v>
      </c>
      <c r="GO217" s="50">
        <f>(EXP(LN('Ecoinvent 3.10'!$E$35)^2)-1)*EXP(2*LN(GO32)+LN('Ecoinvent 3.10'!$E$35)^2)</f>
        <v>1.2797233307110564E-3</v>
      </c>
      <c r="GP217" s="224">
        <f>(EXP(LN('Ecoinvent 3.10'!$E$35)^2)-1)*EXP(2*LN(GP32)+LN('Ecoinvent 3.10'!$E$35)^2)</f>
        <v>2.2898608223163438E-3</v>
      </c>
      <c r="GQ217" s="50">
        <f>(EXP(LN('Ecoinvent 3.10'!$E$35)^2)-1)*EXP(2*LN(GQ32)+LN('Ecoinvent 3.10'!$E$35)^2)</f>
        <v>2.2898608223163438E-3</v>
      </c>
      <c r="GR217" s="224">
        <f>(EXP(LN('Ecoinvent 3.10'!$E$35)^2)-1)*EXP(2*LN(GR32)+LN('Ecoinvent 3.10'!$E$35)^2)</f>
        <v>2.1753861265043409E-3</v>
      </c>
      <c r="GS217" s="50">
        <f>(EXP(LN('Ecoinvent 3.10'!$E$35)^2)-1)*EXP(2*LN(GS32)+LN('Ecoinvent 3.10'!$E$35)^2)</f>
        <v>2.1753861265043409E-3</v>
      </c>
      <c r="GT217" s="224">
        <f>(EXP(LN('Ecoinvent 3.10'!$E$35)^2)-1)*EXP(2*LN(GT32)+LN('Ecoinvent 3.10'!$E$35)^2)</f>
        <v>1.5043307274807307E-3</v>
      </c>
      <c r="GU217" s="50">
        <f>(EXP(LN('Ecoinvent 3.10'!$E$35)^2)-1)*EXP(2*LN(GU32)+LN('Ecoinvent 3.10'!$E$35)^2)</f>
        <v>1.5043307274807307E-3</v>
      </c>
      <c r="GV217" s="224">
        <f>(EXP(LN('Ecoinvent 3.10'!$E$35)^2)-1)*EXP(2*LN(GV32)+LN('Ecoinvent 3.10'!$E$35)^2)</f>
        <v>1.2314362644456776E-3</v>
      </c>
      <c r="GW217" s="50">
        <f>(EXP(LN('Ecoinvent 3.10'!$E$35)^2)-1)*EXP(2*LN(GW32)+LN('Ecoinvent 3.10'!$E$35)^2)</f>
        <v>1.2314362644456776E-3</v>
      </c>
      <c r="GX217" s="224"/>
      <c r="GY217" s="50"/>
      <c r="GZ217" s="224">
        <f>(EXP(LN('Ecoinvent 3.10'!$E$35)^2)-1)*EXP(2*LN(GZ32)+LN('Ecoinvent 3.10'!$E$35)^2)</f>
        <v>4.2908712503351614E-3</v>
      </c>
      <c r="HA217" s="50">
        <f>(EXP(LN('Ecoinvent 3.10'!$E$35)^2)-1)*EXP(2*LN(HA32)+LN('Ecoinvent 3.10'!$E$35)^2)</f>
        <v>4.2908712503351614E-3</v>
      </c>
      <c r="HB217" s="224">
        <f>(EXP(LN('Ecoinvent 3.10'!$E$35)^2)-1)*EXP(2*LN(HB32)+LN('Ecoinvent 3.10'!$E$35)^2)</f>
        <v>1.2314362644456776E-3</v>
      </c>
      <c r="HC217" s="50">
        <f>(EXP(LN('Ecoinvent 3.10'!$E$35)^2)-1)*EXP(2*LN(HC32)+LN('Ecoinvent 3.10'!$E$35)^2)</f>
        <v>1.2314362644456776E-3</v>
      </c>
      <c r="HF217" s="149" t="s">
        <v>365</v>
      </c>
      <c r="HG217" s="224">
        <f>(EXP(LN('Ecoinvent 3.10'!$E$35)^2)-1)*EXP(2*LN(HG32)+LN('Ecoinvent 3.10'!$E$35)^2)</f>
        <v>1.2948942852422075E-3</v>
      </c>
      <c r="HH217" s="50">
        <f>(EXP(LN('Ecoinvent 3.10'!$E$35)^2)-1)*EXP(2*LN(HH32)+LN('Ecoinvent 3.10'!$E$35)^2)</f>
        <v>1.2948942852422075E-3</v>
      </c>
      <c r="HI217" s="224">
        <f>(EXP(LN('Ecoinvent 3.10'!$E$35)^2)-1)*EXP(2*LN(HI32)+LN('Ecoinvent 3.10'!$E$35)^2)</f>
        <v>2.3170068261316543E-3</v>
      </c>
      <c r="HJ217" s="50">
        <f>(EXP(LN('Ecoinvent 3.10'!$E$35)^2)-1)*EXP(2*LN(HJ32)+LN('Ecoinvent 3.10'!$E$35)^2)</f>
        <v>2.3170068261316543E-3</v>
      </c>
      <c r="HK217" s="224">
        <f>(EXP(LN('Ecoinvent 3.10'!$E$35)^2)-1)*EXP(2*LN(HK32)+LN('Ecoinvent 3.10'!$E$35)^2)</f>
        <v>2.2011750476100904E-3</v>
      </c>
      <c r="HL217" s="50">
        <f>(EXP(LN('Ecoinvent 3.10'!$E$35)^2)-1)*EXP(2*LN(HL32)+LN('Ecoinvent 3.10'!$E$35)^2)</f>
        <v>2.2011750476100904E-3</v>
      </c>
      <c r="HM217" s="224">
        <f>(EXP(LN('Ecoinvent 3.10'!$E$35)^2)-1)*EXP(2*LN(HM32)+LN('Ecoinvent 3.10'!$E$35)^2)</f>
        <v>1.5221643736437205E-3</v>
      </c>
      <c r="HN217" s="50">
        <f>(EXP(LN('Ecoinvent 3.10'!$E$35)^2)-1)*EXP(2*LN(HN32)+LN('Ecoinvent 3.10'!$E$35)^2)</f>
        <v>1.5221643736437205E-3</v>
      </c>
      <c r="HO217" s="224">
        <f>(EXP(LN('Ecoinvent 3.10'!$E$35)^2)-1)*EXP(2*LN(HO32)+LN('Ecoinvent 3.10'!$E$35)^2)</f>
        <v>1.2460347820530228E-3</v>
      </c>
      <c r="HP217" s="50">
        <f>(EXP(LN('Ecoinvent 3.10'!$E$35)^2)-1)*EXP(2*LN(HP32)+LN('Ecoinvent 3.10'!$E$35)^2)</f>
        <v>1.2460347820530228E-3</v>
      </c>
      <c r="HQ217" s="224"/>
      <c r="HR217" s="50"/>
      <c r="HS217" s="224">
        <f>(EXP(LN('Ecoinvent 3.10'!$E$35)^2)-1)*EXP(2*LN(HS32)+LN('Ecoinvent 3.10'!$E$35)^2)</f>
        <v>4.3417389739092002E-3</v>
      </c>
      <c r="HT217" s="50">
        <f>(EXP(LN('Ecoinvent 3.10'!$E$35)^2)-1)*EXP(2*LN(HT32)+LN('Ecoinvent 3.10'!$E$35)^2)</f>
        <v>4.3417389739092002E-3</v>
      </c>
      <c r="HU217" s="224">
        <f>(EXP(LN('Ecoinvent 3.10'!$E$35)^2)-1)*EXP(2*LN(HU32)+LN('Ecoinvent 3.10'!$E$35)^2)</f>
        <v>1.2460347820530228E-3</v>
      </c>
      <c r="HV217" s="50">
        <f>(EXP(LN('Ecoinvent 3.10'!$E$35)^2)-1)*EXP(2*LN(HV32)+LN('Ecoinvent 3.10'!$E$35)^2)</f>
        <v>1.2460347820530228E-3</v>
      </c>
      <c r="HY217" s="149" t="s">
        <v>365</v>
      </c>
      <c r="HZ217" s="224">
        <f>(EXP(LN('Ecoinvent 3.10'!$E$35)^2)-1)*EXP(2*LN(HZ32)+LN('Ecoinvent 3.10'!$E$35)^2)</f>
        <v>1.3423494195560428E-8</v>
      </c>
      <c r="IA217" s="50">
        <f>(EXP(LN('Ecoinvent 3.10'!$E$35)^2)-1)*EXP(2*LN(IA32)+LN('Ecoinvent 3.10'!$E$35)^2)</f>
        <v>1.3423494195560428E-8</v>
      </c>
      <c r="IB217" s="224">
        <f>(EXP(LN('Ecoinvent 3.10'!$E$35)^2)-1)*EXP(2*LN(IB32)+LN('Ecoinvent 3.10'!$E$35)^2)</f>
        <v>2.4019202212970238E-8</v>
      </c>
      <c r="IC217" s="50">
        <f>(EXP(LN('Ecoinvent 3.10'!$E$35)^2)-1)*EXP(2*LN(IC32)+LN('Ecoinvent 3.10'!$E$35)^2)</f>
        <v>2.4019202212970238E-8</v>
      </c>
      <c r="ID217" s="224">
        <f>(EXP(LN('Ecoinvent 3.10'!$E$35)^2)-1)*EXP(2*LN(ID32)+LN('Ecoinvent 3.10'!$E$35)^2)</f>
        <v>2.2818434533039676E-8</v>
      </c>
      <c r="IE217" s="50">
        <f>(EXP(LN('Ecoinvent 3.10'!$E$35)^2)-1)*EXP(2*LN(IE32)+LN('Ecoinvent 3.10'!$E$35)^2)</f>
        <v>2.2818434533039676E-8</v>
      </c>
      <c r="IF217" s="224">
        <f>(EXP(LN('Ecoinvent 3.10'!$E$35)^2)-1)*EXP(2*LN(IF32)+LN('Ecoinvent 3.10'!$E$35)^2)</f>
        <v>1.5779484755756304E-8</v>
      </c>
      <c r="IG217" s="50">
        <f>(EXP(LN('Ecoinvent 3.10'!$E$35)^2)-1)*EXP(2*LN(IG32)+LN('Ecoinvent 3.10'!$E$35)^2)</f>
        <v>1.5779484755756304E-8</v>
      </c>
      <c r="IH217" s="224">
        <f>(EXP(LN('Ecoinvent 3.10'!$E$35)^2)-1)*EXP(2*LN(IH32)+LN('Ecoinvent 3.10'!$E$35)^2)</f>
        <v>1.2916993190086208E-8</v>
      </c>
      <c r="II217" s="50">
        <f>(EXP(LN('Ecoinvent 3.10'!$E$35)^2)-1)*EXP(2*LN(II32)+LN('Ecoinvent 3.10'!$E$35)^2)</f>
        <v>1.2916993190086208E-8</v>
      </c>
      <c r="IJ217" s="224"/>
      <c r="IK217" s="50"/>
      <c r="IL217" s="224">
        <f>(EXP(LN('Ecoinvent 3.10'!$E$35)^2)-1)*EXP(2*LN(IL32)+LN('Ecoinvent 3.10'!$E$35)^2)</f>
        <v>4.5008545160122606E-8</v>
      </c>
      <c r="IM217" s="50">
        <f>(EXP(LN('Ecoinvent 3.10'!$E$35)^2)-1)*EXP(2*LN(IM32)+LN('Ecoinvent 3.10'!$E$35)^2)</f>
        <v>4.5008545160122606E-8</v>
      </c>
      <c r="IN217" s="224">
        <f>(EXP(LN('Ecoinvent 3.10'!$E$35)^2)-1)*EXP(2*LN(IN32)+LN('Ecoinvent 3.10'!$E$35)^2)</f>
        <v>1.2916993190086208E-8</v>
      </c>
      <c r="IO217" s="50">
        <f>(EXP(LN('Ecoinvent 3.10'!$E$35)^2)-1)*EXP(2*LN(IO32)+LN('Ecoinvent 3.10'!$E$35)^2)</f>
        <v>1.2916993190086208E-8</v>
      </c>
    </row>
    <row r="218" spans="1:249" ht="14.25" x14ac:dyDescent="0.25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  <c r="AA218" s="158"/>
      <c r="AB218" s="158"/>
      <c r="AC218" s="158"/>
      <c r="AD218" s="158"/>
      <c r="AE218" s="158"/>
      <c r="AF218" s="158"/>
      <c r="AG218" s="158"/>
      <c r="AH218" s="158"/>
      <c r="AI218" s="158"/>
      <c r="AJ218" s="158"/>
      <c r="AK218" s="158"/>
      <c r="AL218" s="158"/>
      <c r="AM218" s="139"/>
      <c r="AN218" s="156"/>
      <c r="AO218" s="158"/>
      <c r="AP218" s="726"/>
      <c r="AQ218" s="149" t="s">
        <v>416</v>
      </c>
      <c r="AR218" s="224"/>
      <c r="AS218" s="50"/>
      <c r="AT218" s="224"/>
      <c r="AU218" s="50"/>
      <c r="AV218" s="224"/>
      <c r="AW218" s="50"/>
      <c r="AX218" s="224"/>
      <c r="AY218" s="50"/>
      <c r="AZ218" s="224"/>
      <c r="BA218" s="50"/>
      <c r="BB218" s="224"/>
      <c r="BC218" s="50"/>
      <c r="BD218" s="224"/>
      <c r="BE218" s="50"/>
      <c r="BF218" s="224"/>
      <c r="BG218" s="50"/>
      <c r="BI218" s="156"/>
      <c r="BJ218" s="149" t="s">
        <v>416</v>
      </c>
      <c r="BK218" s="224"/>
      <c r="BL218" s="50"/>
      <c r="BM218" s="224"/>
      <c r="BN218" s="50"/>
      <c r="BO218" s="224"/>
      <c r="BP218" s="50"/>
      <c r="BQ218" s="224"/>
      <c r="BR218" s="50"/>
      <c r="BS218" s="224"/>
      <c r="BT218" s="50"/>
      <c r="BU218" s="224"/>
      <c r="BV218" s="50"/>
      <c r="BW218" s="224"/>
      <c r="BX218" s="50"/>
      <c r="BY218" s="224"/>
      <c r="BZ218" s="50"/>
      <c r="CA218" s="156"/>
      <c r="CB218" s="156"/>
      <c r="CC218" s="149" t="s">
        <v>416</v>
      </c>
      <c r="CD218" s="224"/>
      <c r="CE218" s="50"/>
      <c r="CF218" s="224"/>
      <c r="CG218" s="50"/>
      <c r="CH218" s="224"/>
      <c r="CI218" s="50"/>
      <c r="CJ218" s="224"/>
      <c r="CK218" s="50"/>
      <c r="CL218" s="224"/>
      <c r="CM218" s="50"/>
      <c r="CN218" s="224"/>
      <c r="CO218" s="50"/>
      <c r="CP218" s="224"/>
      <c r="CQ218" s="50"/>
      <c r="CR218" s="224"/>
      <c r="CS218" s="50"/>
      <c r="CV218" s="149" t="s">
        <v>416</v>
      </c>
      <c r="CW218" s="224"/>
      <c r="CX218" s="50"/>
      <c r="CY218" s="224"/>
      <c r="CZ218" s="50"/>
      <c r="DA218" s="224"/>
      <c r="DB218" s="50"/>
      <c r="DC218" s="224"/>
      <c r="DD218" s="50"/>
      <c r="DE218" s="224"/>
      <c r="DF218" s="50"/>
      <c r="DG218" s="224"/>
      <c r="DH218" s="50"/>
      <c r="DI218" s="224"/>
      <c r="DJ218" s="50"/>
      <c r="DK218" s="224"/>
      <c r="DL218" s="50"/>
      <c r="DO218" s="149" t="s">
        <v>416</v>
      </c>
      <c r="DP218" s="224"/>
      <c r="DQ218" s="50"/>
      <c r="DR218" s="224"/>
      <c r="DS218" s="50"/>
      <c r="DT218" s="224"/>
      <c r="DU218" s="50"/>
      <c r="DV218" s="224"/>
      <c r="DW218" s="50"/>
      <c r="DX218" s="224"/>
      <c r="DY218" s="50"/>
      <c r="DZ218" s="224"/>
      <c r="EA218" s="50"/>
      <c r="EB218" s="224"/>
      <c r="EC218" s="50"/>
      <c r="ED218" s="224"/>
      <c r="EE218" s="50"/>
      <c r="EH218" s="149" t="s">
        <v>416</v>
      </c>
      <c r="EI218" s="224"/>
      <c r="EJ218" s="50"/>
      <c r="EK218" s="224"/>
      <c r="EL218" s="50"/>
      <c r="EM218" s="224"/>
      <c r="EN218" s="50"/>
      <c r="EO218" s="224"/>
      <c r="EP218" s="50"/>
      <c r="EQ218" s="224"/>
      <c r="ER218" s="50"/>
      <c r="ES218" s="224"/>
      <c r="ET218" s="50"/>
      <c r="EU218" s="224"/>
      <c r="EV218" s="50"/>
      <c r="EW218" s="224"/>
      <c r="EX218" s="50"/>
      <c r="FA218" s="149" t="s">
        <v>416</v>
      </c>
      <c r="FB218" s="224"/>
      <c r="FC218" s="50"/>
      <c r="FD218" s="224"/>
      <c r="FE218" s="50"/>
      <c r="FF218" s="224"/>
      <c r="FG218" s="50"/>
      <c r="FH218" s="224"/>
      <c r="FI218" s="50"/>
      <c r="FJ218" s="224"/>
      <c r="FK218" s="50"/>
      <c r="FL218" s="224"/>
      <c r="FM218" s="50"/>
      <c r="FN218" s="224"/>
      <c r="FO218" s="50"/>
      <c r="FP218" s="224"/>
      <c r="FQ218" s="50"/>
      <c r="FT218" s="149" t="s">
        <v>416</v>
      </c>
      <c r="FU218" s="224"/>
      <c r="FV218" s="50"/>
      <c r="FW218" s="224"/>
      <c r="FX218" s="50"/>
      <c r="FY218" s="224"/>
      <c r="FZ218" s="50"/>
      <c r="GA218" s="224"/>
      <c r="GB218" s="50"/>
      <c r="GC218" s="224"/>
      <c r="GD218" s="50"/>
      <c r="GE218" s="224"/>
      <c r="GF218" s="50"/>
      <c r="GG218" s="224"/>
      <c r="GH218" s="50"/>
      <c r="GI218" s="224"/>
      <c r="GJ218" s="50"/>
      <c r="GM218" s="149" t="s">
        <v>416</v>
      </c>
      <c r="GN218" s="224"/>
      <c r="GO218" s="50"/>
      <c r="GP218" s="224"/>
      <c r="GQ218" s="50"/>
      <c r="GR218" s="224"/>
      <c r="GS218" s="50"/>
      <c r="GT218" s="224"/>
      <c r="GU218" s="50"/>
      <c r="GV218" s="224"/>
      <c r="GW218" s="50"/>
      <c r="GX218" s="224"/>
      <c r="GY218" s="50"/>
      <c r="GZ218" s="224"/>
      <c r="HA218" s="50"/>
      <c r="HB218" s="224"/>
      <c r="HC218" s="50"/>
      <c r="HF218" s="149" t="s">
        <v>416</v>
      </c>
      <c r="HG218" s="224"/>
      <c r="HH218" s="50"/>
      <c r="HI218" s="224"/>
      <c r="HJ218" s="50"/>
      <c r="HK218" s="224"/>
      <c r="HL218" s="50"/>
      <c r="HM218" s="224"/>
      <c r="HN218" s="50"/>
      <c r="HO218" s="224"/>
      <c r="HP218" s="50"/>
      <c r="HQ218" s="224"/>
      <c r="HR218" s="50"/>
      <c r="HS218" s="224"/>
      <c r="HT218" s="50"/>
      <c r="HU218" s="224"/>
      <c r="HV218" s="50"/>
      <c r="HY218" s="149" t="s">
        <v>416</v>
      </c>
      <c r="HZ218" s="224"/>
      <c r="IA218" s="50"/>
      <c r="IB218" s="224"/>
      <c r="IC218" s="50"/>
      <c r="ID218" s="224"/>
      <c r="IE218" s="50"/>
      <c r="IF218" s="224"/>
      <c r="IG218" s="50"/>
      <c r="IH218" s="224"/>
      <c r="II218" s="50"/>
      <c r="IJ218" s="224"/>
      <c r="IK218" s="50"/>
      <c r="IL218" s="224"/>
      <c r="IM218" s="50"/>
      <c r="IN218" s="224"/>
      <c r="IO218" s="50"/>
    </row>
    <row r="219" spans="1:249" ht="14.25" x14ac:dyDescent="0.25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  <c r="AA219" s="158"/>
      <c r="AB219" s="158"/>
      <c r="AC219" s="158"/>
      <c r="AD219" s="158"/>
      <c r="AE219" s="158"/>
      <c r="AF219" s="158"/>
      <c r="AG219" s="158"/>
      <c r="AH219" s="158"/>
      <c r="AI219" s="158"/>
      <c r="AJ219" s="158"/>
      <c r="AK219" s="158"/>
      <c r="AL219" s="158"/>
      <c r="AM219" s="139"/>
      <c r="AN219" s="156"/>
      <c r="AO219" s="158"/>
      <c r="AP219" s="726"/>
      <c r="AQ219" s="149" t="s">
        <v>425</v>
      </c>
      <c r="AR219" s="224"/>
      <c r="AS219" s="50"/>
      <c r="AT219" s="224"/>
      <c r="AU219" s="50"/>
      <c r="AV219" s="224"/>
      <c r="AW219" s="50"/>
      <c r="AX219" s="224"/>
      <c r="AY219" s="50"/>
      <c r="AZ219" s="224"/>
      <c r="BA219" s="50"/>
      <c r="BB219" s="224"/>
      <c r="BC219" s="50"/>
      <c r="BD219" s="224"/>
      <c r="BE219" s="50"/>
      <c r="BF219" s="224"/>
      <c r="BG219" s="50"/>
      <c r="BI219" s="156"/>
      <c r="BJ219" s="149" t="s">
        <v>425</v>
      </c>
      <c r="BK219" s="224"/>
      <c r="BL219" s="50"/>
      <c r="BM219" s="224"/>
      <c r="BN219" s="50"/>
      <c r="BO219" s="224"/>
      <c r="BP219" s="50"/>
      <c r="BQ219" s="224"/>
      <c r="BR219" s="50"/>
      <c r="BS219" s="224"/>
      <c r="BT219" s="50"/>
      <c r="BU219" s="224"/>
      <c r="BV219" s="50"/>
      <c r="BW219" s="224"/>
      <c r="BX219" s="50"/>
      <c r="BY219" s="224"/>
      <c r="BZ219" s="50"/>
      <c r="CA219" s="156"/>
      <c r="CB219" s="156"/>
      <c r="CC219" s="149" t="s">
        <v>425</v>
      </c>
      <c r="CD219" s="224"/>
      <c r="CE219" s="50"/>
      <c r="CF219" s="224"/>
      <c r="CG219" s="50"/>
      <c r="CH219" s="224"/>
      <c r="CI219" s="50"/>
      <c r="CJ219" s="224"/>
      <c r="CK219" s="50"/>
      <c r="CL219" s="224"/>
      <c r="CM219" s="50"/>
      <c r="CN219" s="224"/>
      <c r="CO219" s="50"/>
      <c r="CP219" s="224"/>
      <c r="CQ219" s="50"/>
      <c r="CR219" s="224"/>
      <c r="CS219" s="50"/>
      <c r="CV219" s="149" t="s">
        <v>425</v>
      </c>
      <c r="CW219" s="224"/>
      <c r="CX219" s="50"/>
      <c r="CY219" s="224"/>
      <c r="CZ219" s="50"/>
      <c r="DA219" s="224"/>
      <c r="DB219" s="50"/>
      <c r="DC219" s="224"/>
      <c r="DD219" s="50"/>
      <c r="DE219" s="224"/>
      <c r="DF219" s="50"/>
      <c r="DG219" s="224"/>
      <c r="DH219" s="50"/>
      <c r="DI219" s="224"/>
      <c r="DJ219" s="50"/>
      <c r="DK219" s="224"/>
      <c r="DL219" s="50"/>
      <c r="DO219" s="149" t="s">
        <v>425</v>
      </c>
      <c r="DP219" s="224"/>
      <c r="DQ219" s="50"/>
      <c r="DR219" s="224"/>
      <c r="DS219" s="50"/>
      <c r="DT219" s="224"/>
      <c r="DU219" s="50"/>
      <c r="DV219" s="224"/>
      <c r="DW219" s="50"/>
      <c r="DX219" s="224"/>
      <c r="DY219" s="50"/>
      <c r="DZ219" s="224"/>
      <c r="EA219" s="50"/>
      <c r="EB219" s="224"/>
      <c r="EC219" s="50"/>
      <c r="ED219" s="224"/>
      <c r="EE219" s="50"/>
      <c r="EH219" s="149" t="s">
        <v>425</v>
      </c>
      <c r="EI219" s="224"/>
      <c r="EJ219" s="50"/>
      <c r="EK219" s="224"/>
      <c r="EL219" s="50"/>
      <c r="EM219" s="224"/>
      <c r="EN219" s="50"/>
      <c r="EO219" s="224"/>
      <c r="EP219" s="50"/>
      <c r="EQ219" s="224"/>
      <c r="ER219" s="50"/>
      <c r="ES219" s="224"/>
      <c r="ET219" s="50"/>
      <c r="EU219" s="224"/>
      <c r="EV219" s="50"/>
      <c r="EW219" s="224"/>
      <c r="EX219" s="50"/>
      <c r="FA219" s="149" t="s">
        <v>425</v>
      </c>
      <c r="FB219" s="224"/>
      <c r="FC219" s="50"/>
      <c r="FD219" s="224"/>
      <c r="FE219" s="50"/>
      <c r="FF219" s="224"/>
      <c r="FG219" s="50"/>
      <c r="FH219" s="224"/>
      <c r="FI219" s="50"/>
      <c r="FJ219" s="224"/>
      <c r="FK219" s="50"/>
      <c r="FL219" s="224"/>
      <c r="FM219" s="50"/>
      <c r="FN219" s="224"/>
      <c r="FO219" s="50"/>
      <c r="FP219" s="224"/>
      <c r="FQ219" s="50"/>
      <c r="FT219" s="149" t="s">
        <v>425</v>
      </c>
      <c r="FU219" s="224"/>
      <c r="FV219" s="50"/>
      <c r="FW219" s="224"/>
      <c r="FX219" s="50"/>
      <c r="FY219" s="224"/>
      <c r="FZ219" s="50"/>
      <c r="GA219" s="224"/>
      <c r="GB219" s="50"/>
      <c r="GC219" s="224"/>
      <c r="GD219" s="50"/>
      <c r="GE219" s="224"/>
      <c r="GF219" s="50"/>
      <c r="GG219" s="224"/>
      <c r="GH219" s="50"/>
      <c r="GI219" s="224"/>
      <c r="GJ219" s="50"/>
      <c r="GM219" s="149" t="s">
        <v>425</v>
      </c>
      <c r="GN219" s="224"/>
      <c r="GO219" s="50"/>
      <c r="GP219" s="224"/>
      <c r="GQ219" s="50"/>
      <c r="GR219" s="224"/>
      <c r="GS219" s="50"/>
      <c r="GT219" s="224"/>
      <c r="GU219" s="50"/>
      <c r="GV219" s="224"/>
      <c r="GW219" s="50"/>
      <c r="GX219" s="224"/>
      <c r="GY219" s="50"/>
      <c r="GZ219" s="224"/>
      <c r="HA219" s="50"/>
      <c r="HB219" s="224"/>
      <c r="HC219" s="50"/>
      <c r="HF219" s="149" t="s">
        <v>425</v>
      </c>
      <c r="HG219" s="224"/>
      <c r="HH219" s="50"/>
      <c r="HI219" s="224"/>
      <c r="HJ219" s="50"/>
      <c r="HK219" s="224"/>
      <c r="HL219" s="50"/>
      <c r="HM219" s="224"/>
      <c r="HN219" s="50"/>
      <c r="HO219" s="224"/>
      <c r="HP219" s="50"/>
      <c r="HQ219" s="224"/>
      <c r="HR219" s="50"/>
      <c r="HS219" s="224"/>
      <c r="HT219" s="50"/>
      <c r="HU219" s="224"/>
      <c r="HV219" s="50"/>
      <c r="HY219" s="149" t="s">
        <v>425</v>
      </c>
      <c r="HZ219" s="224"/>
      <c r="IA219" s="50"/>
      <c r="IB219" s="224"/>
      <c r="IC219" s="50"/>
      <c r="ID219" s="224"/>
      <c r="IE219" s="50"/>
      <c r="IF219" s="224"/>
      <c r="IG219" s="50"/>
      <c r="IH219" s="224"/>
      <c r="II219" s="50"/>
      <c r="IJ219" s="224"/>
      <c r="IK219" s="50"/>
      <c r="IL219" s="224"/>
      <c r="IM219" s="50"/>
      <c r="IN219" s="224"/>
      <c r="IO219" s="50"/>
    </row>
    <row r="220" spans="1:249" ht="14.25" x14ac:dyDescent="0.25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  <c r="AA220" s="158"/>
      <c r="AB220" s="158"/>
      <c r="AC220" s="158"/>
      <c r="AD220" s="158"/>
      <c r="AE220" s="158"/>
      <c r="AF220" s="158"/>
      <c r="AG220" s="158"/>
      <c r="AH220" s="158"/>
      <c r="AI220" s="158"/>
      <c r="AJ220" s="158"/>
      <c r="AK220" s="158"/>
      <c r="AL220" s="158"/>
      <c r="AM220" s="139"/>
      <c r="AN220" s="156"/>
      <c r="AO220" s="158"/>
      <c r="AP220" s="726"/>
      <c r="AQ220" s="149" t="s">
        <v>375</v>
      </c>
      <c r="AR220" s="224"/>
      <c r="AS220" s="50"/>
      <c r="AT220" s="224"/>
      <c r="AU220" s="50"/>
      <c r="AV220" s="224"/>
      <c r="AW220" s="50"/>
      <c r="AX220" s="224"/>
      <c r="AY220" s="50"/>
      <c r="AZ220" s="224"/>
      <c r="BA220" s="50"/>
      <c r="BB220" s="224"/>
      <c r="BC220" s="50"/>
      <c r="BD220" s="224"/>
      <c r="BE220" s="50"/>
      <c r="BF220" s="224"/>
      <c r="BG220" s="50"/>
      <c r="BI220" s="156"/>
      <c r="BJ220" s="149" t="s">
        <v>375</v>
      </c>
      <c r="BK220" s="224"/>
      <c r="BL220" s="50"/>
      <c r="BM220" s="224"/>
      <c r="BN220" s="50"/>
      <c r="BO220" s="224"/>
      <c r="BP220" s="50"/>
      <c r="BQ220" s="224"/>
      <c r="BR220" s="50"/>
      <c r="BS220" s="224"/>
      <c r="BT220" s="50"/>
      <c r="BU220" s="224"/>
      <c r="BV220" s="50"/>
      <c r="BW220" s="224"/>
      <c r="BX220" s="50"/>
      <c r="BY220" s="224"/>
      <c r="BZ220" s="50"/>
      <c r="CA220" s="156"/>
      <c r="CB220" s="156"/>
      <c r="CC220" s="149" t="s">
        <v>375</v>
      </c>
      <c r="CD220" s="224"/>
      <c r="CE220" s="50"/>
      <c r="CF220" s="224"/>
      <c r="CG220" s="50"/>
      <c r="CH220" s="224"/>
      <c r="CI220" s="50"/>
      <c r="CJ220" s="224"/>
      <c r="CK220" s="50"/>
      <c r="CL220" s="224"/>
      <c r="CM220" s="50"/>
      <c r="CN220" s="224"/>
      <c r="CO220" s="50"/>
      <c r="CP220" s="224"/>
      <c r="CQ220" s="50"/>
      <c r="CR220" s="224"/>
      <c r="CS220" s="50"/>
      <c r="CV220" s="149" t="s">
        <v>375</v>
      </c>
      <c r="CW220" s="224"/>
      <c r="CX220" s="50"/>
      <c r="CY220" s="224"/>
      <c r="CZ220" s="50"/>
      <c r="DA220" s="224"/>
      <c r="DB220" s="50"/>
      <c r="DC220" s="224"/>
      <c r="DD220" s="50"/>
      <c r="DE220" s="224"/>
      <c r="DF220" s="50"/>
      <c r="DG220" s="224"/>
      <c r="DH220" s="50"/>
      <c r="DI220" s="224"/>
      <c r="DJ220" s="50"/>
      <c r="DK220" s="224"/>
      <c r="DL220" s="50"/>
      <c r="DO220" s="149" t="s">
        <v>375</v>
      </c>
      <c r="DP220" s="224"/>
      <c r="DQ220" s="50"/>
      <c r="DR220" s="224"/>
      <c r="DS220" s="50"/>
      <c r="DT220" s="224"/>
      <c r="DU220" s="50"/>
      <c r="DV220" s="224"/>
      <c r="DW220" s="50"/>
      <c r="DX220" s="224"/>
      <c r="DY220" s="50"/>
      <c r="DZ220" s="224"/>
      <c r="EA220" s="50"/>
      <c r="EB220" s="224"/>
      <c r="EC220" s="50"/>
      <c r="ED220" s="224"/>
      <c r="EE220" s="50"/>
      <c r="EH220" s="149" t="s">
        <v>375</v>
      </c>
      <c r="EI220" s="224"/>
      <c r="EJ220" s="50"/>
      <c r="EK220" s="224"/>
      <c r="EL220" s="50"/>
      <c r="EM220" s="224"/>
      <c r="EN220" s="50"/>
      <c r="EO220" s="224"/>
      <c r="EP220" s="50"/>
      <c r="EQ220" s="224"/>
      <c r="ER220" s="50"/>
      <c r="ES220" s="224"/>
      <c r="ET220" s="50"/>
      <c r="EU220" s="224"/>
      <c r="EV220" s="50"/>
      <c r="EW220" s="224"/>
      <c r="EX220" s="50"/>
      <c r="FA220" s="149" t="s">
        <v>375</v>
      </c>
      <c r="FB220" s="224"/>
      <c r="FC220" s="50"/>
      <c r="FD220" s="224"/>
      <c r="FE220" s="50"/>
      <c r="FF220" s="224"/>
      <c r="FG220" s="50"/>
      <c r="FH220" s="224"/>
      <c r="FI220" s="50"/>
      <c r="FJ220" s="224"/>
      <c r="FK220" s="50"/>
      <c r="FL220" s="224"/>
      <c r="FM220" s="50"/>
      <c r="FN220" s="224"/>
      <c r="FO220" s="50"/>
      <c r="FP220" s="224"/>
      <c r="FQ220" s="50"/>
      <c r="FT220" s="149" t="s">
        <v>375</v>
      </c>
      <c r="FU220" s="224"/>
      <c r="FV220" s="50"/>
      <c r="FW220" s="224"/>
      <c r="FX220" s="50"/>
      <c r="FY220" s="224"/>
      <c r="FZ220" s="50"/>
      <c r="GA220" s="224"/>
      <c r="GB220" s="50"/>
      <c r="GC220" s="224"/>
      <c r="GD220" s="50"/>
      <c r="GE220" s="224"/>
      <c r="GF220" s="50"/>
      <c r="GG220" s="224"/>
      <c r="GH220" s="50"/>
      <c r="GI220" s="224"/>
      <c r="GJ220" s="50"/>
      <c r="GM220" s="149" t="s">
        <v>375</v>
      </c>
      <c r="GN220" s="224"/>
      <c r="GO220" s="50"/>
      <c r="GP220" s="224"/>
      <c r="GQ220" s="50"/>
      <c r="GR220" s="224"/>
      <c r="GS220" s="50"/>
      <c r="GT220" s="224"/>
      <c r="GU220" s="50"/>
      <c r="GV220" s="224"/>
      <c r="GW220" s="50"/>
      <c r="GX220" s="224"/>
      <c r="GY220" s="50"/>
      <c r="GZ220" s="224"/>
      <c r="HA220" s="50"/>
      <c r="HB220" s="224"/>
      <c r="HC220" s="50"/>
      <c r="HF220" s="149" t="s">
        <v>375</v>
      </c>
      <c r="HG220" s="224"/>
      <c r="HH220" s="50"/>
      <c r="HI220" s="224"/>
      <c r="HJ220" s="50"/>
      <c r="HK220" s="224"/>
      <c r="HL220" s="50"/>
      <c r="HM220" s="224"/>
      <c r="HN220" s="50"/>
      <c r="HO220" s="224"/>
      <c r="HP220" s="50"/>
      <c r="HQ220" s="224"/>
      <c r="HR220" s="50"/>
      <c r="HS220" s="224"/>
      <c r="HT220" s="50"/>
      <c r="HU220" s="224"/>
      <c r="HV220" s="50"/>
      <c r="HY220" s="149" t="s">
        <v>375</v>
      </c>
      <c r="HZ220" s="224"/>
      <c r="IA220" s="50"/>
      <c r="IB220" s="224"/>
      <c r="IC220" s="50"/>
      <c r="ID220" s="224"/>
      <c r="IE220" s="50"/>
      <c r="IF220" s="224"/>
      <c r="IG220" s="50"/>
      <c r="IH220" s="224"/>
      <c r="II220" s="50"/>
      <c r="IJ220" s="224"/>
      <c r="IK220" s="50"/>
      <c r="IL220" s="224"/>
      <c r="IM220" s="50"/>
      <c r="IN220" s="224"/>
      <c r="IO220" s="50"/>
    </row>
    <row r="221" spans="1:249" x14ac:dyDescent="0.2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  <c r="AA221" s="158"/>
      <c r="AB221" s="158"/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37"/>
      <c r="AN221" s="156"/>
      <c r="AO221" s="158"/>
      <c r="AP221" s="726"/>
      <c r="AQ221" s="147" t="s">
        <v>217</v>
      </c>
      <c r="AR221" s="259"/>
      <c r="AS221" s="57"/>
      <c r="AT221" s="259"/>
      <c r="AU221" s="57"/>
      <c r="AV221" s="259"/>
      <c r="AW221" s="57"/>
      <c r="AX221" s="259"/>
      <c r="AY221" s="57"/>
      <c r="AZ221" s="259"/>
      <c r="BA221" s="57"/>
      <c r="BB221" s="259">
        <f>SUM(BB222:BB229)</f>
        <v>111.47607799529132</v>
      </c>
      <c r="BC221" s="57">
        <f>SUM(BC222:BC229)</f>
        <v>111.47607799529132</v>
      </c>
      <c r="BD221" s="435"/>
      <c r="BE221" s="437"/>
      <c r="BF221" s="435"/>
      <c r="BG221" s="57"/>
      <c r="BI221" s="156"/>
      <c r="BJ221" s="147" t="s">
        <v>217</v>
      </c>
      <c r="BK221" s="259"/>
      <c r="BL221" s="57"/>
      <c r="BM221" s="259"/>
      <c r="BN221" s="57"/>
      <c r="BO221" s="259"/>
      <c r="BP221" s="57"/>
      <c r="BQ221" s="259"/>
      <c r="BR221" s="57"/>
      <c r="BS221" s="259"/>
      <c r="BT221" s="57"/>
      <c r="BU221" s="259">
        <f>SUM(BU222:BU229)</f>
        <v>3.4159827738452284</v>
      </c>
      <c r="BV221" s="57">
        <f>SUM(BV222:BV229)</f>
        <v>3.4159827738452284</v>
      </c>
      <c r="BW221" s="435"/>
      <c r="BX221" s="437"/>
      <c r="BY221" s="435"/>
      <c r="BZ221" s="57"/>
      <c r="CA221" s="156"/>
      <c r="CB221" s="156"/>
      <c r="CC221" s="147" t="s">
        <v>217</v>
      </c>
      <c r="CD221" s="259"/>
      <c r="CE221" s="57"/>
      <c r="CF221" s="259"/>
      <c r="CG221" s="57"/>
      <c r="CH221" s="259"/>
      <c r="CI221" s="57"/>
      <c r="CJ221" s="259"/>
      <c r="CK221" s="57"/>
      <c r="CL221" s="259"/>
      <c r="CM221" s="57"/>
      <c r="CN221" s="259">
        <f>SUM(CN222:CN229)</f>
        <v>396.59953890809379</v>
      </c>
      <c r="CO221" s="57">
        <f>SUM(CO222:CO229)</f>
        <v>396.59953890809379</v>
      </c>
      <c r="CP221" s="435"/>
      <c r="CQ221" s="437"/>
      <c r="CR221" s="435"/>
      <c r="CS221" s="57"/>
      <c r="CV221" s="147" t="s">
        <v>217</v>
      </c>
      <c r="CW221" s="259"/>
      <c r="CX221" s="57"/>
      <c r="CY221" s="259"/>
      <c r="CZ221" s="57"/>
      <c r="DA221" s="259"/>
      <c r="DB221" s="57"/>
      <c r="DC221" s="259"/>
      <c r="DD221" s="57"/>
      <c r="DE221" s="259"/>
      <c r="DF221" s="57"/>
      <c r="DG221" s="259">
        <f>SUM(DG222:DG229)</f>
        <v>8.2039162735233876E-4</v>
      </c>
      <c r="DH221" s="57">
        <f>SUM(DH222:DH229)</f>
        <v>8.2039162735233876E-4</v>
      </c>
      <c r="DI221" s="435"/>
      <c r="DJ221" s="437"/>
      <c r="DK221" s="435"/>
      <c r="DL221" s="57"/>
      <c r="DO221" s="147" t="s">
        <v>217</v>
      </c>
      <c r="DP221" s="259"/>
      <c r="DQ221" s="57"/>
      <c r="DR221" s="259"/>
      <c r="DS221" s="57"/>
      <c r="DT221" s="259"/>
      <c r="DU221" s="57"/>
      <c r="DV221" s="259"/>
      <c r="DW221" s="57"/>
      <c r="DX221" s="259"/>
      <c r="DY221" s="57"/>
      <c r="DZ221" s="259">
        <f>SUM(DZ222:DZ229)</f>
        <v>16.407299182305888</v>
      </c>
      <c r="EA221" s="57">
        <f>SUM(EA222:EA229)</f>
        <v>16.407299182305888</v>
      </c>
      <c r="EB221" s="435"/>
      <c r="EC221" s="437"/>
      <c r="ED221" s="435"/>
      <c r="EE221" s="57"/>
      <c r="EH221" s="147" t="s">
        <v>217</v>
      </c>
      <c r="EI221" s="259"/>
      <c r="EJ221" s="57"/>
      <c r="EK221" s="259"/>
      <c r="EL221" s="57"/>
      <c r="EM221" s="259"/>
      <c r="EN221" s="57"/>
      <c r="EO221" s="259"/>
      <c r="EP221" s="57"/>
      <c r="EQ221" s="259"/>
      <c r="ER221" s="57"/>
      <c r="ES221" s="259">
        <f>SUM(ES222:ES229)</f>
        <v>1.6157925542747869E-3</v>
      </c>
      <c r="ET221" s="57">
        <f>SUM(ET222:ET229)</f>
        <v>1.6157925542747869E-3</v>
      </c>
      <c r="EU221" s="435"/>
      <c r="EV221" s="437"/>
      <c r="EW221" s="435"/>
      <c r="EX221" s="57"/>
      <c r="FA221" s="147" t="s">
        <v>217</v>
      </c>
      <c r="FB221" s="259"/>
      <c r="FC221" s="57"/>
      <c r="FD221" s="259"/>
      <c r="FE221" s="57"/>
      <c r="FF221" s="259"/>
      <c r="FG221" s="57"/>
      <c r="FH221" s="259"/>
      <c r="FI221" s="57"/>
      <c r="FJ221" s="259"/>
      <c r="FK221" s="57"/>
      <c r="FL221" s="259">
        <f>SUM(FL222:FL229)</f>
        <v>1.3588184472223156E-6</v>
      </c>
      <c r="FM221" s="57">
        <f>SUM(FM222:FM229)</f>
        <v>1.3588184472223156E-6</v>
      </c>
      <c r="FN221" s="435"/>
      <c r="FO221" s="437"/>
      <c r="FP221" s="435"/>
      <c r="FQ221" s="57"/>
      <c r="FT221" s="147" t="s">
        <v>217</v>
      </c>
      <c r="FU221" s="259"/>
      <c r="FV221" s="57"/>
      <c r="FW221" s="259"/>
      <c r="FX221" s="57"/>
      <c r="FY221" s="259"/>
      <c r="FZ221" s="57"/>
      <c r="GA221" s="259"/>
      <c r="GB221" s="57"/>
      <c r="GC221" s="259"/>
      <c r="GD221" s="57"/>
      <c r="GE221" s="259">
        <f>SUM(GE222:GE229)</f>
        <v>1.6574741551145494E-2</v>
      </c>
      <c r="GF221" s="57">
        <f>SUM(GF222:GF229)</f>
        <v>1.6574741551145494E-2</v>
      </c>
      <c r="GG221" s="435"/>
      <c r="GH221" s="437"/>
      <c r="GI221" s="435"/>
      <c r="GJ221" s="57"/>
      <c r="GM221" s="147" t="s">
        <v>217</v>
      </c>
      <c r="GN221" s="259"/>
      <c r="GO221" s="57"/>
      <c r="GP221" s="259"/>
      <c r="GQ221" s="57"/>
      <c r="GR221" s="259"/>
      <c r="GS221" s="57"/>
      <c r="GT221" s="259"/>
      <c r="GU221" s="57"/>
      <c r="GV221" s="259"/>
      <c r="GW221" s="57"/>
      <c r="GX221" s="259">
        <f>SUM(GX222:GX229)</f>
        <v>0.11991714303467105</v>
      </c>
      <c r="GY221" s="57">
        <f>SUM(GY222:GY229)</f>
        <v>0.11991714303467105</v>
      </c>
      <c r="GZ221" s="435"/>
      <c r="HA221" s="437"/>
      <c r="HB221" s="435"/>
      <c r="HC221" s="57"/>
      <c r="HF221" s="147" t="s">
        <v>217</v>
      </c>
      <c r="HG221" s="259"/>
      <c r="HH221" s="57"/>
      <c r="HI221" s="259"/>
      <c r="HJ221" s="57"/>
      <c r="HK221" s="259"/>
      <c r="HL221" s="57"/>
      <c r="HM221" s="259"/>
      <c r="HN221" s="57"/>
      <c r="HO221" s="259"/>
      <c r="HP221" s="57"/>
      <c r="HQ221" s="259">
        <f>SUM(HQ222:HQ229)</f>
        <v>8.7952022117018664</v>
      </c>
      <c r="HR221" s="57">
        <f>SUM(HR222:HR229)</f>
        <v>8.7952022117018664</v>
      </c>
      <c r="HS221" s="435"/>
      <c r="HT221" s="437"/>
      <c r="HU221" s="435"/>
      <c r="HV221" s="57"/>
      <c r="HY221" s="147" t="s">
        <v>217</v>
      </c>
      <c r="HZ221" s="259"/>
      <c r="IA221" s="57"/>
      <c r="IB221" s="259"/>
      <c r="IC221" s="57"/>
      <c r="ID221" s="259"/>
      <c r="IE221" s="57"/>
      <c r="IF221" s="259"/>
      <c r="IG221" s="57"/>
      <c r="IH221" s="259"/>
      <c r="II221" s="57"/>
      <c r="IJ221" s="259">
        <f>SUM(IJ222:IJ229)</f>
        <v>7.5989788273494229E-5</v>
      </c>
      <c r="IK221" s="57">
        <f>SUM(IK222:IK229)</f>
        <v>7.5989788273494229E-5</v>
      </c>
      <c r="IL221" s="435"/>
      <c r="IM221" s="437"/>
      <c r="IN221" s="435"/>
      <c r="IO221" s="57"/>
    </row>
    <row r="222" spans="1:249" ht="14.25" x14ac:dyDescent="0.25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  <c r="AA222" s="158"/>
      <c r="AB222" s="158"/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38"/>
      <c r="AN222" s="156"/>
      <c r="AO222" s="158"/>
      <c r="AP222" s="726"/>
      <c r="AQ222" s="148" t="s">
        <v>430</v>
      </c>
      <c r="AR222" s="224"/>
      <c r="AS222" s="50"/>
      <c r="AT222" s="224"/>
      <c r="AU222" s="50"/>
      <c r="AV222" s="224"/>
      <c r="AW222" s="50"/>
      <c r="AX222" s="224"/>
      <c r="AY222" s="50"/>
      <c r="AZ222" s="224"/>
      <c r="BA222" s="50"/>
      <c r="BB222" s="224">
        <f>(EXP(LN('Ecoinvent 3.10'!$E$9)^2)-1)*EXP(2*LN(BB37)+LN('Ecoinvent 3.10'!$E$9)^2)</f>
        <v>20.287550321277834</v>
      </c>
      <c r="BC222" s="50">
        <f>(EXP(LN('Ecoinvent 3.10'!$E$9)^2)-1)*EXP(2*LN(BC37)+LN('Ecoinvent 3.10'!$E$9)^2)</f>
        <v>20.287550321277834</v>
      </c>
      <c r="BD222" s="107"/>
      <c r="BE222" s="436"/>
      <c r="BF222" s="107"/>
      <c r="BG222" s="436"/>
      <c r="BH222" s="101"/>
      <c r="BI222" s="156"/>
      <c r="BJ222" s="148" t="s">
        <v>430</v>
      </c>
      <c r="BK222" s="224"/>
      <c r="BL222" s="50"/>
      <c r="BM222" s="224"/>
      <c r="BN222" s="50"/>
      <c r="BO222" s="224"/>
      <c r="BP222" s="50"/>
      <c r="BQ222" s="224"/>
      <c r="BR222" s="50"/>
      <c r="BS222" s="224"/>
      <c r="BT222" s="50"/>
      <c r="BU222" s="224">
        <f>(EXP(LN('Ecoinvent 3.10'!$E$9)^2)-1)*EXP(2*LN(BU37)+LN('Ecoinvent 3.10'!$E$9)^2)</f>
        <v>1.499143117751552</v>
      </c>
      <c r="BV222" s="50">
        <f>(EXP(LN('Ecoinvent 3.10'!$E$9)^2)-1)*EXP(2*LN(BV37)+LN('Ecoinvent 3.10'!$E$9)^2)</f>
        <v>1.499143117751552</v>
      </c>
      <c r="BW222" s="107"/>
      <c r="BX222" s="436"/>
      <c r="BY222" s="107"/>
      <c r="BZ222" s="436"/>
      <c r="CA222" s="156"/>
      <c r="CB222" s="156"/>
      <c r="CC222" s="148" t="s">
        <v>430</v>
      </c>
      <c r="CD222" s="224"/>
      <c r="CE222" s="50"/>
      <c r="CF222" s="224"/>
      <c r="CG222" s="50"/>
      <c r="CH222" s="224"/>
      <c r="CI222" s="50"/>
      <c r="CJ222" s="224"/>
      <c r="CK222" s="50"/>
      <c r="CL222" s="224"/>
      <c r="CM222" s="50"/>
      <c r="CN222" s="224">
        <f>(EXP(LN('Ecoinvent 3.10'!$E$9)^2)-1)*EXP(2*LN(CN37)+LN('Ecoinvent 3.10'!$E$9)^2)</f>
        <v>143.36108126751489</v>
      </c>
      <c r="CO222" s="50">
        <f>(EXP(LN('Ecoinvent 3.10'!$E$9)^2)-1)*EXP(2*LN(CO37)+LN('Ecoinvent 3.10'!$E$9)^2)</f>
        <v>143.36108126751489</v>
      </c>
      <c r="CP222" s="107"/>
      <c r="CQ222" s="436"/>
      <c r="CR222" s="107"/>
      <c r="CS222" s="436"/>
      <c r="CV222" s="148" t="s">
        <v>430</v>
      </c>
      <c r="CW222" s="224"/>
      <c r="CX222" s="50"/>
      <c r="CY222" s="224"/>
      <c r="CZ222" s="50"/>
      <c r="DA222" s="224"/>
      <c r="DB222" s="50"/>
      <c r="DC222" s="224"/>
      <c r="DD222" s="50"/>
      <c r="DE222" s="224"/>
      <c r="DF222" s="50"/>
      <c r="DG222" s="224">
        <f>(EXP(LN('Ecoinvent 3.10'!$E$9)^2)-1)*EXP(2*LN(DG37)+LN('Ecoinvent 3.10'!$E$9)^2)</f>
        <v>5.4610469577648244E-5</v>
      </c>
      <c r="DH222" s="50">
        <f>(EXP(LN('Ecoinvent 3.10'!$E$9)^2)-1)*EXP(2*LN(DH37)+LN('Ecoinvent 3.10'!$E$9)^2)</f>
        <v>5.4610469577648244E-5</v>
      </c>
      <c r="DI222" s="107"/>
      <c r="DJ222" s="436"/>
      <c r="DK222" s="107"/>
      <c r="DL222" s="436"/>
      <c r="DO222" s="148" t="s">
        <v>430</v>
      </c>
      <c r="DP222" s="224"/>
      <c r="DQ222" s="50"/>
      <c r="DR222" s="224"/>
      <c r="DS222" s="50"/>
      <c r="DT222" s="224"/>
      <c r="DU222" s="50"/>
      <c r="DV222" s="224"/>
      <c r="DW222" s="50"/>
      <c r="DX222" s="224"/>
      <c r="DY222" s="50"/>
      <c r="DZ222" s="224">
        <f>(EXP(LN('Ecoinvent 3.10'!$E$9)^2)-1)*EXP(2*LN(DZ37)+LN('Ecoinvent 3.10'!$E$9)^2)</f>
        <v>16.405828861908628</v>
      </c>
      <c r="EA222" s="50">
        <f>(EXP(LN('Ecoinvent 3.10'!$E$9)^2)-1)*EXP(2*LN(EA37)+LN('Ecoinvent 3.10'!$E$9)^2)</f>
        <v>16.405828861908628</v>
      </c>
      <c r="EB222" s="107"/>
      <c r="EC222" s="436"/>
      <c r="ED222" s="107"/>
      <c r="EE222" s="436"/>
      <c r="EH222" s="148" t="s">
        <v>430</v>
      </c>
      <c r="EI222" s="224"/>
      <c r="EJ222" s="50"/>
      <c r="EK222" s="224"/>
      <c r="EL222" s="50"/>
      <c r="EM222" s="224"/>
      <c r="EN222" s="50"/>
      <c r="EO222" s="224"/>
      <c r="EP222" s="50"/>
      <c r="EQ222" s="224"/>
      <c r="ER222" s="50"/>
      <c r="ES222" s="224">
        <f>(EXP(LN('Ecoinvent 3.10'!$E$9)^2)-1)*EXP(2*LN(ES37)+LN('Ecoinvent 3.10'!$E$9)^2)</f>
        <v>1.7560509672402572E-4</v>
      </c>
      <c r="ET222" s="50">
        <f>(EXP(LN('Ecoinvent 3.10'!$E$9)^2)-1)*EXP(2*LN(ET37)+LN('Ecoinvent 3.10'!$E$9)^2)</f>
        <v>1.7560509672402572E-4</v>
      </c>
      <c r="EU222" s="107"/>
      <c r="EV222" s="436"/>
      <c r="EW222" s="107"/>
      <c r="EX222" s="436"/>
      <c r="FA222" s="148" t="s">
        <v>430</v>
      </c>
      <c r="FB222" s="224"/>
      <c r="FC222" s="50"/>
      <c r="FD222" s="224"/>
      <c r="FE222" s="50"/>
      <c r="FF222" s="224"/>
      <c r="FG222" s="50"/>
      <c r="FH222" s="224"/>
      <c r="FI222" s="50"/>
      <c r="FJ222" s="224"/>
      <c r="FK222" s="50"/>
      <c r="FL222" s="224">
        <f>(EXP(LN('Ecoinvent 3.10'!$E$9)^2)-1)*EXP(2*LN(FL37)+LN('Ecoinvent 3.10'!$E$9)^2)</f>
        <v>4.9859860367520267E-7</v>
      </c>
      <c r="FM222" s="50">
        <f>(EXP(LN('Ecoinvent 3.10'!$E$9)^2)-1)*EXP(2*LN(FM37)+LN('Ecoinvent 3.10'!$E$9)^2)</f>
        <v>4.9859860367520267E-7</v>
      </c>
      <c r="FN222" s="107"/>
      <c r="FO222" s="436"/>
      <c r="FP222" s="107"/>
      <c r="FQ222" s="436"/>
      <c r="FT222" s="148" t="s">
        <v>430</v>
      </c>
      <c r="FU222" s="224"/>
      <c r="FV222" s="50"/>
      <c r="FW222" s="224"/>
      <c r="FX222" s="50"/>
      <c r="FY222" s="224"/>
      <c r="FZ222" s="50"/>
      <c r="GA222" s="224"/>
      <c r="GB222" s="50"/>
      <c r="GC222" s="224"/>
      <c r="GD222" s="50"/>
      <c r="GE222" s="224">
        <f>(EXP(LN('Ecoinvent 3.10'!$E$9)^2)-1)*EXP(2*LN(GE37)+LN('Ecoinvent 3.10'!$E$9)^2)</f>
        <v>1.129296419051549E-2</v>
      </c>
      <c r="GF222" s="50">
        <f>(EXP(LN('Ecoinvent 3.10'!$E$9)^2)-1)*EXP(2*LN(GF37)+LN('Ecoinvent 3.10'!$E$9)^2)</f>
        <v>1.129296419051549E-2</v>
      </c>
      <c r="GG222" s="107"/>
      <c r="GH222" s="436"/>
      <c r="GI222" s="107"/>
      <c r="GJ222" s="436"/>
      <c r="GM222" s="148" t="s">
        <v>430</v>
      </c>
      <c r="GN222" s="224"/>
      <c r="GO222" s="50"/>
      <c r="GP222" s="224"/>
      <c r="GQ222" s="50"/>
      <c r="GR222" s="224"/>
      <c r="GS222" s="50"/>
      <c r="GT222" s="224"/>
      <c r="GU222" s="50"/>
      <c r="GV222" s="224"/>
      <c r="GW222" s="50"/>
      <c r="GX222" s="224">
        <f>(EXP(LN('Ecoinvent 3.10'!$E$9)^2)-1)*EXP(2*LN(GX37)+LN('Ecoinvent 3.10'!$E$9)^2)</f>
        <v>6.6015723080718416E-2</v>
      </c>
      <c r="GY222" s="50">
        <f>(EXP(LN('Ecoinvent 3.10'!$E$9)^2)-1)*EXP(2*LN(GY37)+LN('Ecoinvent 3.10'!$E$9)^2)</f>
        <v>6.6015723080718416E-2</v>
      </c>
      <c r="GZ222" s="107"/>
      <c r="HA222" s="436"/>
      <c r="HB222" s="107"/>
      <c r="HC222" s="436"/>
      <c r="HF222" s="148" t="s">
        <v>430</v>
      </c>
      <c r="HG222" s="224"/>
      <c r="HH222" s="50"/>
      <c r="HI222" s="224"/>
      <c r="HJ222" s="50"/>
      <c r="HK222" s="224"/>
      <c r="HL222" s="50"/>
      <c r="HM222" s="224"/>
      <c r="HN222" s="50"/>
      <c r="HO222" s="224"/>
      <c r="HP222" s="50"/>
      <c r="HQ222" s="224">
        <f>(EXP(LN('Ecoinvent 3.10'!$E$9)^2)-1)*EXP(2*LN(HQ37)+LN('Ecoinvent 3.10'!$E$9)^2)</f>
        <v>5.6543037176048241</v>
      </c>
      <c r="HR222" s="50">
        <f>(EXP(LN('Ecoinvent 3.10'!$E$9)^2)-1)*EXP(2*LN(HR37)+LN('Ecoinvent 3.10'!$E$9)^2)</f>
        <v>5.6543037176048241</v>
      </c>
      <c r="HS222" s="107"/>
      <c r="HT222" s="436"/>
      <c r="HU222" s="107"/>
      <c r="HV222" s="436"/>
      <c r="HY222" s="148" t="s">
        <v>430</v>
      </c>
      <c r="HZ222" s="224"/>
      <c r="IA222" s="50"/>
      <c r="IB222" s="224"/>
      <c r="IC222" s="50"/>
      <c r="ID222" s="224"/>
      <c r="IE222" s="50"/>
      <c r="IF222" s="224"/>
      <c r="IG222" s="50"/>
      <c r="IH222" s="224"/>
      <c r="II222" s="50"/>
      <c r="IJ222" s="224">
        <f>(EXP(LN('Ecoinvent 3.10'!$E$9)^2)-1)*EXP(2*LN(IJ37)+LN('Ecoinvent 3.10'!$E$9)^2)</f>
        <v>8.0619067369223737E-6</v>
      </c>
      <c r="IK222" s="50">
        <f>(EXP(LN('Ecoinvent 3.10'!$E$9)^2)-1)*EXP(2*LN(IK37)+LN('Ecoinvent 3.10'!$E$9)^2)</f>
        <v>8.0619067369223737E-6</v>
      </c>
      <c r="IL222" s="107"/>
      <c r="IM222" s="436"/>
      <c r="IN222" s="107"/>
      <c r="IO222" s="436"/>
    </row>
    <row r="223" spans="1:249" x14ac:dyDescent="0.2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  <c r="AA223" s="158"/>
      <c r="AB223" s="158"/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38"/>
      <c r="AN223" s="156"/>
      <c r="AO223" s="158"/>
      <c r="AP223" s="726"/>
      <c r="AQ223" s="148" t="s">
        <v>56</v>
      </c>
      <c r="AR223" s="224"/>
      <c r="AS223" s="50"/>
      <c r="AT223" s="224"/>
      <c r="AU223" s="50"/>
      <c r="AV223" s="224"/>
      <c r="AW223" s="50"/>
      <c r="AX223" s="224"/>
      <c r="AY223" s="50"/>
      <c r="AZ223" s="224"/>
      <c r="BA223" s="50"/>
      <c r="BB223" s="264"/>
      <c r="BC223" s="265"/>
      <c r="BD223" s="107"/>
      <c r="BE223" s="436"/>
      <c r="BF223" s="107"/>
      <c r="BG223" s="436"/>
      <c r="BH223" s="101"/>
      <c r="BI223" s="156"/>
      <c r="BJ223" s="148" t="s">
        <v>56</v>
      </c>
      <c r="BK223" s="224"/>
      <c r="BL223" s="50"/>
      <c r="BM223" s="224"/>
      <c r="BN223" s="50"/>
      <c r="BO223" s="224"/>
      <c r="BP223" s="50"/>
      <c r="BQ223" s="224"/>
      <c r="BR223" s="50"/>
      <c r="BS223" s="224"/>
      <c r="BT223" s="50"/>
      <c r="BU223" s="264"/>
      <c r="BV223" s="265"/>
      <c r="BW223" s="107"/>
      <c r="BX223" s="436"/>
      <c r="BY223" s="107"/>
      <c r="BZ223" s="436"/>
      <c r="CA223" s="156"/>
      <c r="CB223" s="156"/>
      <c r="CC223" s="148" t="s">
        <v>56</v>
      </c>
      <c r="CD223" s="224"/>
      <c r="CE223" s="50"/>
      <c r="CF223" s="224"/>
      <c r="CG223" s="50"/>
      <c r="CH223" s="224"/>
      <c r="CI223" s="50"/>
      <c r="CJ223" s="224"/>
      <c r="CK223" s="50"/>
      <c r="CL223" s="224"/>
      <c r="CM223" s="50"/>
      <c r="CN223" s="264"/>
      <c r="CO223" s="265"/>
      <c r="CP223" s="107"/>
      <c r="CQ223" s="436"/>
      <c r="CR223" s="107"/>
      <c r="CS223" s="436"/>
      <c r="CV223" s="148" t="s">
        <v>56</v>
      </c>
      <c r="CW223" s="224"/>
      <c r="CX223" s="50"/>
      <c r="CY223" s="224"/>
      <c r="CZ223" s="50"/>
      <c r="DA223" s="224"/>
      <c r="DB223" s="50"/>
      <c r="DC223" s="224"/>
      <c r="DD223" s="50"/>
      <c r="DE223" s="224"/>
      <c r="DF223" s="50"/>
      <c r="DG223" s="264"/>
      <c r="DH223" s="265"/>
      <c r="DI223" s="107"/>
      <c r="DJ223" s="436"/>
      <c r="DK223" s="107"/>
      <c r="DL223" s="436"/>
      <c r="DO223" s="148" t="s">
        <v>56</v>
      </c>
      <c r="DP223" s="224"/>
      <c r="DQ223" s="50"/>
      <c r="DR223" s="224"/>
      <c r="DS223" s="50"/>
      <c r="DT223" s="224"/>
      <c r="DU223" s="50"/>
      <c r="DV223" s="224"/>
      <c r="DW223" s="50"/>
      <c r="DX223" s="224"/>
      <c r="DY223" s="50"/>
      <c r="DZ223" s="264"/>
      <c r="EA223" s="265"/>
      <c r="EB223" s="107"/>
      <c r="EC223" s="436"/>
      <c r="ED223" s="107"/>
      <c r="EE223" s="436"/>
      <c r="EH223" s="148" t="s">
        <v>56</v>
      </c>
      <c r="EI223" s="224"/>
      <c r="EJ223" s="50"/>
      <c r="EK223" s="224"/>
      <c r="EL223" s="50"/>
      <c r="EM223" s="224"/>
      <c r="EN223" s="50"/>
      <c r="EO223" s="224"/>
      <c r="EP223" s="50"/>
      <c r="EQ223" s="224"/>
      <c r="ER223" s="50"/>
      <c r="ES223" s="264"/>
      <c r="ET223" s="265"/>
      <c r="EU223" s="107"/>
      <c r="EV223" s="436"/>
      <c r="EW223" s="107"/>
      <c r="EX223" s="436"/>
      <c r="FA223" s="148" t="s">
        <v>56</v>
      </c>
      <c r="FB223" s="224"/>
      <c r="FC223" s="50"/>
      <c r="FD223" s="224"/>
      <c r="FE223" s="50"/>
      <c r="FF223" s="224"/>
      <c r="FG223" s="50"/>
      <c r="FH223" s="224"/>
      <c r="FI223" s="50"/>
      <c r="FJ223" s="224"/>
      <c r="FK223" s="50"/>
      <c r="FL223" s="264"/>
      <c r="FM223" s="265"/>
      <c r="FN223" s="107"/>
      <c r="FO223" s="436"/>
      <c r="FP223" s="107"/>
      <c r="FQ223" s="436"/>
      <c r="FT223" s="148" t="s">
        <v>56</v>
      </c>
      <c r="FU223" s="224"/>
      <c r="FV223" s="50"/>
      <c r="FW223" s="224"/>
      <c r="FX223" s="50"/>
      <c r="FY223" s="224"/>
      <c r="FZ223" s="50"/>
      <c r="GA223" s="224"/>
      <c r="GB223" s="50"/>
      <c r="GC223" s="224"/>
      <c r="GD223" s="50"/>
      <c r="GE223" s="264"/>
      <c r="GF223" s="265"/>
      <c r="GG223" s="107"/>
      <c r="GH223" s="436"/>
      <c r="GI223" s="107"/>
      <c r="GJ223" s="436"/>
      <c r="GM223" s="148" t="s">
        <v>56</v>
      </c>
      <c r="GN223" s="224"/>
      <c r="GO223" s="50"/>
      <c r="GP223" s="224"/>
      <c r="GQ223" s="50"/>
      <c r="GR223" s="224"/>
      <c r="GS223" s="50"/>
      <c r="GT223" s="224"/>
      <c r="GU223" s="50"/>
      <c r="GV223" s="224"/>
      <c r="GW223" s="50"/>
      <c r="GX223" s="264"/>
      <c r="GY223" s="265"/>
      <c r="GZ223" s="107"/>
      <c r="HA223" s="436"/>
      <c r="HB223" s="107"/>
      <c r="HC223" s="436"/>
      <c r="HF223" s="148" t="s">
        <v>56</v>
      </c>
      <c r="HG223" s="224"/>
      <c r="HH223" s="50"/>
      <c r="HI223" s="224"/>
      <c r="HJ223" s="50"/>
      <c r="HK223" s="224"/>
      <c r="HL223" s="50"/>
      <c r="HM223" s="224"/>
      <c r="HN223" s="50"/>
      <c r="HO223" s="224"/>
      <c r="HP223" s="50"/>
      <c r="HQ223" s="264"/>
      <c r="HR223" s="265"/>
      <c r="HS223" s="107"/>
      <c r="HT223" s="436"/>
      <c r="HU223" s="107"/>
      <c r="HV223" s="436"/>
      <c r="HY223" s="148" t="s">
        <v>56</v>
      </c>
      <c r="HZ223" s="224"/>
      <c r="IA223" s="50"/>
      <c r="IB223" s="224"/>
      <c r="IC223" s="50"/>
      <c r="ID223" s="224"/>
      <c r="IE223" s="50"/>
      <c r="IF223" s="224"/>
      <c r="IG223" s="50"/>
      <c r="IH223" s="224"/>
      <c r="II223" s="50"/>
      <c r="IJ223" s="264"/>
      <c r="IK223" s="265"/>
      <c r="IL223" s="107"/>
      <c r="IM223" s="436"/>
      <c r="IN223" s="107"/>
      <c r="IO223" s="436"/>
    </row>
    <row r="224" spans="1:249" ht="12.75" customHeight="1" x14ac:dyDescent="0.25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58"/>
      <c r="AM224" s="138"/>
      <c r="AN224" s="156"/>
      <c r="AO224" s="158"/>
      <c r="AP224" s="726"/>
      <c r="AQ224" s="148" t="s">
        <v>577</v>
      </c>
      <c r="AR224" s="224"/>
      <c r="AS224" s="50"/>
      <c r="AT224" s="224"/>
      <c r="AU224" s="50"/>
      <c r="AV224" s="224"/>
      <c r="AW224" s="50"/>
      <c r="AX224" s="224"/>
      <c r="AY224" s="50"/>
      <c r="AZ224" s="224"/>
      <c r="BA224" s="50"/>
      <c r="BB224" s="264"/>
      <c r="BC224" s="265"/>
      <c r="BD224" s="107"/>
      <c r="BE224" s="436"/>
      <c r="BF224" s="107"/>
      <c r="BG224" s="436"/>
      <c r="BH224" s="101"/>
      <c r="BI224" s="156"/>
      <c r="BJ224" s="148" t="s">
        <v>577</v>
      </c>
      <c r="BK224" s="224"/>
      <c r="BL224" s="50"/>
      <c r="BM224" s="224"/>
      <c r="BN224" s="50"/>
      <c r="BO224" s="224"/>
      <c r="BP224" s="50"/>
      <c r="BQ224" s="224"/>
      <c r="BR224" s="50"/>
      <c r="BS224" s="224"/>
      <c r="BT224" s="50"/>
      <c r="BU224" s="264"/>
      <c r="BV224" s="265"/>
      <c r="BW224" s="107"/>
      <c r="BX224" s="436"/>
      <c r="BY224" s="107"/>
      <c r="BZ224" s="436"/>
      <c r="CA224" s="156"/>
      <c r="CB224" s="156"/>
      <c r="CC224" s="148" t="s">
        <v>577</v>
      </c>
      <c r="CD224" s="224"/>
      <c r="CE224" s="50"/>
      <c r="CF224" s="224"/>
      <c r="CG224" s="50"/>
      <c r="CH224" s="224"/>
      <c r="CI224" s="50"/>
      <c r="CJ224" s="224"/>
      <c r="CK224" s="50"/>
      <c r="CL224" s="224"/>
      <c r="CM224" s="50"/>
      <c r="CN224" s="264"/>
      <c r="CO224" s="265"/>
      <c r="CP224" s="107"/>
      <c r="CQ224" s="436"/>
      <c r="CR224" s="107"/>
      <c r="CS224" s="436"/>
      <c r="CV224" s="148" t="s">
        <v>577</v>
      </c>
      <c r="CW224" s="224"/>
      <c r="CX224" s="50"/>
      <c r="CY224" s="224"/>
      <c r="CZ224" s="50"/>
      <c r="DA224" s="224"/>
      <c r="DB224" s="50"/>
      <c r="DC224" s="224"/>
      <c r="DD224" s="50"/>
      <c r="DE224" s="224"/>
      <c r="DF224" s="50"/>
      <c r="DG224" s="264"/>
      <c r="DH224" s="265"/>
      <c r="DI224" s="107"/>
      <c r="DJ224" s="436"/>
      <c r="DK224" s="107"/>
      <c r="DL224" s="436"/>
      <c r="DO224" s="148" t="s">
        <v>577</v>
      </c>
      <c r="DP224" s="224"/>
      <c r="DQ224" s="50"/>
      <c r="DR224" s="224"/>
      <c r="DS224" s="50"/>
      <c r="DT224" s="224"/>
      <c r="DU224" s="50"/>
      <c r="DV224" s="224"/>
      <c r="DW224" s="50"/>
      <c r="DX224" s="224"/>
      <c r="DY224" s="50"/>
      <c r="DZ224" s="264"/>
      <c r="EA224" s="265"/>
      <c r="EB224" s="107"/>
      <c r="EC224" s="436"/>
      <c r="ED224" s="107"/>
      <c r="EE224" s="436"/>
      <c r="EH224" s="148" t="s">
        <v>577</v>
      </c>
      <c r="EI224" s="224"/>
      <c r="EJ224" s="50"/>
      <c r="EK224" s="224"/>
      <c r="EL224" s="50"/>
      <c r="EM224" s="224"/>
      <c r="EN224" s="50"/>
      <c r="EO224" s="224"/>
      <c r="EP224" s="50"/>
      <c r="EQ224" s="224"/>
      <c r="ER224" s="50"/>
      <c r="ES224" s="264"/>
      <c r="ET224" s="265"/>
      <c r="EU224" s="107"/>
      <c r="EV224" s="436"/>
      <c r="EW224" s="107"/>
      <c r="EX224" s="436"/>
      <c r="FA224" s="148" t="s">
        <v>577</v>
      </c>
      <c r="FB224" s="224"/>
      <c r="FC224" s="50"/>
      <c r="FD224" s="224"/>
      <c r="FE224" s="50"/>
      <c r="FF224" s="224"/>
      <c r="FG224" s="50"/>
      <c r="FH224" s="224"/>
      <c r="FI224" s="50"/>
      <c r="FJ224" s="224"/>
      <c r="FK224" s="50"/>
      <c r="FL224" s="264"/>
      <c r="FM224" s="265"/>
      <c r="FN224" s="107"/>
      <c r="FO224" s="436"/>
      <c r="FP224" s="107"/>
      <c r="FQ224" s="436"/>
      <c r="FT224" s="148" t="s">
        <v>577</v>
      </c>
      <c r="FU224" s="224"/>
      <c r="FV224" s="50"/>
      <c r="FW224" s="224"/>
      <c r="FX224" s="50"/>
      <c r="FY224" s="224"/>
      <c r="FZ224" s="50"/>
      <c r="GA224" s="224"/>
      <c r="GB224" s="50"/>
      <c r="GC224" s="224"/>
      <c r="GD224" s="50"/>
      <c r="GE224" s="264"/>
      <c r="GF224" s="265"/>
      <c r="GG224" s="107"/>
      <c r="GH224" s="436"/>
      <c r="GI224" s="107"/>
      <c r="GJ224" s="436"/>
      <c r="GM224" s="148" t="s">
        <v>577</v>
      </c>
      <c r="GN224" s="224"/>
      <c r="GO224" s="50"/>
      <c r="GP224" s="224"/>
      <c r="GQ224" s="50"/>
      <c r="GR224" s="224"/>
      <c r="GS224" s="50"/>
      <c r="GT224" s="224"/>
      <c r="GU224" s="50"/>
      <c r="GV224" s="224"/>
      <c r="GW224" s="50"/>
      <c r="GX224" s="264"/>
      <c r="GY224" s="265"/>
      <c r="GZ224" s="107"/>
      <c r="HA224" s="436"/>
      <c r="HB224" s="107"/>
      <c r="HC224" s="436"/>
      <c r="HF224" s="148" t="s">
        <v>577</v>
      </c>
      <c r="HG224" s="224"/>
      <c r="HH224" s="50"/>
      <c r="HI224" s="224"/>
      <c r="HJ224" s="50"/>
      <c r="HK224" s="224"/>
      <c r="HL224" s="50"/>
      <c r="HM224" s="224"/>
      <c r="HN224" s="50"/>
      <c r="HO224" s="224"/>
      <c r="HP224" s="50"/>
      <c r="HQ224" s="264"/>
      <c r="HR224" s="265"/>
      <c r="HS224" s="107"/>
      <c r="HT224" s="436"/>
      <c r="HU224" s="107"/>
      <c r="HV224" s="436"/>
      <c r="HY224" s="148" t="s">
        <v>577</v>
      </c>
      <c r="HZ224" s="224"/>
      <c r="IA224" s="50"/>
      <c r="IB224" s="224"/>
      <c r="IC224" s="50"/>
      <c r="ID224" s="224"/>
      <c r="IE224" s="50"/>
      <c r="IF224" s="224"/>
      <c r="IG224" s="50"/>
      <c r="IH224" s="224"/>
      <c r="II224" s="50"/>
      <c r="IJ224" s="264"/>
      <c r="IK224" s="265"/>
      <c r="IL224" s="107"/>
      <c r="IM224" s="436"/>
      <c r="IN224" s="107"/>
      <c r="IO224" s="436"/>
    </row>
    <row r="225" spans="1:249" ht="14.25" x14ac:dyDescent="0.25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58"/>
      <c r="AM225" s="138"/>
      <c r="AN225" s="156"/>
      <c r="AO225" s="158"/>
      <c r="AP225" s="726"/>
      <c r="AQ225" s="148" t="s">
        <v>379</v>
      </c>
      <c r="AR225" s="224"/>
      <c r="AS225" s="50"/>
      <c r="AT225" s="224"/>
      <c r="AU225" s="50"/>
      <c r="AV225" s="224"/>
      <c r="AW225" s="50"/>
      <c r="AX225" s="224"/>
      <c r="AY225" s="50"/>
      <c r="AZ225" s="224"/>
      <c r="BA225" s="50"/>
      <c r="BB225" s="224">
        <f>(EXP(LN('Ecoinvent 3.10'!$E$19)^2)-1)*EXP(2*LN(BB40)+LN('Ecoinvent 3.10'!$E$19)^2)</f>
        <v>15.324201631006174</v>
      </c>
      <c r="BC225" s="50">
        <f>(EXP(LN('Ecoinvent 3.10'!$E$19)^2)-1)*EXP(2*LN(BC40)+LN('Ecoinvent 3.10'!$E$19)^2)</f>
        <v>15.324201631006174</v>
      </c>
      <c r="BD225" s="107"/>
      <c r="BE225" s="436"/>
      <c r="BF225" s="107"/>
      <c r="BG225" s="436"/>
      <c r="BH225" s="101"/>
      <c r="BI225" s="156"/>
      <c r="BJ225" s="148" t="s">
        <v>379</v>
      </c>
      <c r="BK225" s="224"/>
      <c r="BL225" s="50"/>
      <c r="BM225" s="224"/>
      <c r="BN225" s="50"/>
      <c r="BO225" s="224"/>
      <c r="BP225" s="50"/>
      <c r="BQ225" s="224"/>
      <c r="BR225" s="50"/>
      <c r="BS225" s="224"/>
      <c r="BT225" s="50"/>
      <c r="BU225" s="224">
        <f>(EXP(LN('Ecoinvent 3.10'!$E$19)^2)-1)*EXP(2*LN(BU40)+LN('Ecoinvent 3.10'!$E$19)^2)</f>
        <v>0.76149189947907847</v>
      </c>
      <c r="BV225" s="50">
        <f>(EXP(LN('Ecoinvent 3.10'!$E$19)^2)-1)*EXP(2*LN(BV40)+LN('Ecoinvent 3.10'!$E$19)^2)</f>
        <v>0.76149189947907847</v>
      </c>
      <c r="BW225" s="107"/>
      <c r="BX225" s="436"/>
      <c r="BY225" s="107"/>
      <c r="BZ225" s="436"/>
      <c r="CA225" s="156"/>
      <c r="CB225" s="156"/>
      <c r="CC225" s="148" t="s">
        <v>379</v>
      </c>
      <c r="CD225" s="224"/>
      <c r="CE225" s="50"/>
      <c r="CF225" s="224"/>
      <c r="CG225" s="50"/>
      <c r="CH225" s="224"/>
      <c r="CI225" s="50"/>
      <c r="CJ225" s="224"/>
      <c r="CK225" s="50"/>
      <c r="CL225" s="224"/>
      <c r="CM225" s="50"/>
      <c r="CN225" s="224">
        <f>(EXP(LN('Ecoinvent 3.10'!$E$19)^2)-1)*EXP(2*LN(CN40)+LN('Ecoinvent 3.10'!$E$19)^2)</f>
        <v>218.56996145487861</v>
      </c>
      <c r="CO225" s="50">
        <f>(EXP(LN('Ecoinvent 3.10'!$E$19)^2)-1)*EXP(2*LN(CO40)+LN('Ecoinvent 3.10'!$E$19)^2)</f>
        <v>218.56996145487861</v>
      </c>
      <c r="CP225" s="107"/>
      <c r="CQ225" s="436"/>
      <c r="CR225" s="107"/>
      <c r="CS225" s="436"/>
      <c r="CV225" s="148" t="s">
        <v>379</v>
      </c>
      <c r="CW225" s="224"/>
      <c r="CX225" s="50"/>
      <c r="CY225" s="224"/>
      <c r="CZ225" s="50"/>
      <c r="DA225" s="224"/>
      <c r="DB225" s="50"/>
      <c r="DC225" s="224"/>
      <c r="DD225" s="50"/>
      <c r="DE225" s="224"/>
      <c r="DF225" s="50"/>
      <c r="DG225" s="224">
        <f>(EXP(LN('Ecoinvent 3.10'!$E$19)^2)-1)*EXP(2*LN(DG40)+LN('Ecoinvent 3.10'!$E$19)^2)</f>
        <v>7.5212098472663877E-4</v>
      </c>
      <c r="DH225" s="50">
        <f>(EXP(LN('Ecoinvent 3.10'!$E$19)^2)-1)*EXP(2*LN(DH40)+LN('Ecoinvent 3.10'!$E$19)^2)</f>
        <v>7.5212098472663877E-4</v>
      </c>
      <c r="DI225" s="107"/>
      <c r="DJ225" s="436"/>
      <c r="DK225" s="107"/>
      <c r="DL225" s="436"/>
      <c r="DO225" s="148" t="s">
        <v>379</v>
      </c>
      <c r="DP225" s="224"/>
      <c r="DQ225" s="50"/>
      <c r="DR225" s="224"/>
      <c r="DS225" s="50"/>
      <c r="DT225" s="224"/>
      <c r="DU225" s="50"/>
      <c r="DV225" s="224"/>
      <c r="DW225" s="50"/>
      <c r="DX225" s="224"/>
      <c r="DY225" s="50"/>
      <c r="DZ225" s="224">
        <f>(EXP(LN('Ecoinvent 3.10'!$E$19)^2)-1)*EXP(2*LN(DZ40)+LN('Ecoinvent 3.10'!$E$19)^2)</f>
        <v>9.1708490385990096E-4</v>
      </c>
      <c r="EA225" s="50">
        <f>(EXP(LN('Ecoinvent 3.10'!$E$19)^2)-1)*EXP(2*LN(EA40)+LN('Ecoinvent 3.10'!$E$19)^2)</f>
        <v>9.1708490385990096E-4</v>
      </c>
      <c r="EB225" s="107"/>
      <c r="EC225" s="436"/>
      <c r="ED225" s="107"/>
      <c r="EE225" s="436"/>
      <c r="EH225" s="148" t="s">
        <v>379</v>
      </c>
      <c r="EI225" s="224"/>
      <c r="EJ225" s="50"/>
      <c r="EK225" s="224"/>
      <c r="EL225" s="50"/>
      <c r="EM225" s="224"/>
      <c r="EN225" s="50"/>
      <c r="EO225" s="224"/>
      <c r="EP225" s="50"/>
      <c r="EQ225" s="224"/>
      <c r="ER225" s="50"/>
      <c r="ES225" s="224">
        <f>(EXP(LN('Ecoinvent 3.10'!$E$19)^2)-1)*EXP(2*LN(ES40)+LN('Ecoinvent 3.10'!$E$19)^2)</f>
        <v>1.2062088832703751E-3</v>
      </c>
      <c r="ET225" s="50">
        <f>(EXP(LN('Ecoinvent 3.10'!$E$19)^2)-1)*EXP(2*LN(ET40)+LN('Ecoinvent 3.10'!$E$19)^2)</f>
        <v>1.2062088832703751E-3</v>
      </c>
      <c r="EU225" s="107"/>
      <c r="EV225" s="436"/>
      <c r="EW225" s="107"/>
      <c r="EX225" s="436"/>
      <c r="FA225" s="148" t="s">
        <v>379</v>
      </c>
      <c r="FB225" s="224"/>
      <c r="FC225" s="50"/>
      <c r="FD225" s="224"/>
      <c r="FE225" s="50"/>
      <c r="FF225" s="224"/>
      <c r="FG225" s="50"/>
      <c r="FH225" s="224"/>
      <c r="FI225" s="50"/>
      <c r="FJ225" s="224"/>
      <c r="FK225" s="50"/>
      <c r="FL225" s="224">
        <f>(EXP(LN('Ecoinvent 3.10'!$E$19)^2)-1)*EXP(2*LN(FL40)+LN('Ecoinvent 3.10'!$E$19)^2)</f>
        <v>3.5011754658986614E-8</v>
      </c>
      <c r="FM225" s="50">
        <f>(EXP(LN('Ecoinvent 3.10'!$E$19)^2)-1)*EXP(2*LN(FM40)+LN('Ecoinvent 3.10'!$E$19)^2)</f>
        <v>3.5011754658986614E-8</v>
      </c>
      <c r="FN225" s="107"/>
      <c r="FO225" s="436"/>
      <c r="FP225" s="107"/>
      <c r="FQ225" s="436"/>
      <c r="FT225" s="148" t="s">
        <v>379</v>
      </c>
      <c r="FU225" s="224"/>
      <c r="FV225" s="50"/>
      <c r="FW225" s="224"/>
      <c r="FX225" s="50"/>
      <c r="FY225" s="224"/>
      <c r="FZ225" s="50"/>
      <c r="GA225" s="224"/>
      <c r="GB225" s="50"/>
      <c r="GC225" s="224"/>
      <c r="GD225" s="50"/>
      <c r="GE225" s="224">
        <f>(EXP(LN('Ecoinvent 3.10'!$E$19)^2)-1)*EXP(2*LN(GE40)+LN('Ecoinvent 3.10'!$E$19)^2)</f>
        <v>3.4907383621031345E-3</v>
      </c>
      <c r="GF225" s="50">
        <f>(EXP(LN('Ecoinvent 3.10'!$E$19)^2)-1)*EXP(2*LN(GF40)+LN('Ecoinvent 3.10'!$E$19)^2)</f>
        <v>3.4907383621031345E-3</v>
      </c>
      <c r="GG225" s="107"/>
      <c r="GH225" s="436"/>
      <c r="GI225" s="107"/>
      <c r="GJ225" s="436"/>
      <c r="GM225" s="148" t="s">
        <v>379</v>
      </c>
      <c r="GN225" s="224"/>
      <c r="GO225" s="50"/>
      <c r="GP225" s="224"/>
      <c r="GQ225" s="50"/>
      <c r="GR225" s="224"/>
      <c r="GS225" s="50"/>
      <c r="GT225" s="224"/>
      <c r="GU225" s="50"/>
      <c r="GV225" s="224"/>
      <c r="GW225" s="50"/>
      <c r="GX225" s="224">
        <f>(EXP(LN('Ecoinvent 3.10'!$E$19)^2)-1)*EXP(2*LN(GX40)+LN('Ecoinvent 3.10'!$E$19)^2)</f>
        <v>2.9764698021179328E-2</v>
      </c>
      <c r="GY225" s="50">
        <f>(EXP(LN('Ecoinvent 3.10'!$E$19)^2)-1)*EXP(2*LN(GY40)+LN('Ecoinvent 3.10'!$E$19)^2)</f>
        <v>2.9764698021179328E-2</v>
      </c>
      <c r="GZ225" s="107"/>
      <c r="HA225" s="436"/>
      <c r="HB225" s="107"/>
      <c r="HC225" s="436"/>
      <c r="HF225" s="148" t="s">
        <v>379</v>
      </c>
      <c r="HG225" s="224"/>
      <c r="HH225" s="50"/>
      <c r="HI225" s="224"/>
      <c r="HJ225" s="50"/>
      <c r="HK225" s="224"/>
      <c r="HL225" s="50"/>
      <c r="HM225" s="224"/>
      <c r="HN225" s="50"/>
      <c r="HO225" s="224"/>
      <c r="HP225" s="50"/>
      <c r="HQ225" s="224">
        <f>(EXP(LN('Ecoinvent 3.10'!$E$19)^2)-1)*EXP(2*LN(HQ40)+LN('Ecoinvent 3.10'!$E$19)^2)</f>
        <v>1.4239846998072316</v>
      </c>
      <c r="HR225" s="50">
        <f>(EXP(LN('Ecoinvent 3.10'!$E$19)^2)-1)*EXP(2*LN(HR40)+LN('Ecoinvent 3.10'!$E$19)^2)</f>
        <v>1.4239846998072316</v>
      </c>
      <c r="HS225" s="107"/>
      <c r="HT225" s="436"/>
      <c r="HU225" s="107"/>
      <c r="HV225" s="436"/>
      <c r="HY225" s="148" t="s">
        <v>379</v>
      </c>
      <c r="HZ225" s="224"/>
      <c r="IA225" s="50"/>
      <c r="IB225" s="224"/>
      <c r="IC225" s="50"/>
      <c r="ID225" s="224"/>
      <c r="IE225" s="50"/>
      <c r="IF225" s="224"/>
      <c r="IG225" s="50"/>
      <c r="IH225" s="224"/>
      <c r="II225" s="50"/>
      <c r="IJ225" s="224">
        <f>(EXP(LN('Ecoinvent 3.10'!$E$19)^2)-1)*EXP(2*LN(IJ40)+LN('Ecoinvent 3.10'!$E$19)^2)</f>
        <v>6.5491282192556337E-5</v>
      </c>
      <c r="IK225" s="50">
        <f>(EXP(LN('Ecoinvent 3.10'!$E$19)^2)-1)*EXP(2*LN(IK40)+LN('Ecoinvent 3.10'!$E$19)^2)</f>
        <v>6.5491282192556337E-5</v>
      </c>
      <c r="IL225" s="107"/>
      <c r="IM225" s="436"/>
      <c r="IN225" s="107"/>
      <c r="IO225" s="436"/>
    </row>
    <row r="226" spans="1:249" ht="14.25" x14ac:dyDescent="0.25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  <c r="AA226" s="158"/>
      <c r="AB226" s="158"/>
      <c r="AC226" s="158"/>
      <c r="AD226" s="158"/>
      <c r="AE226" s="158"/>
      <c r="AF226" s="158"/>
      <c r="AG226" s="158"/>
      <c r="AH226" s="158"/>
      <c r="AI226" s="158"/>
      <c r="AJ226" s="158"/>
      <c r="AK226" s="158"/>
      <c r="AL226" s="158"/>
      <c r="AM226" s="138"/>
      <c r="AN226" s="156"/>
      <c r="AO226" s="158"/>
      <c r="AP226" s="726"/>
      <c r="AQ226" s="148" t="s">
        <v>377</v>
      </c>
      <c r="AR226" s="224"/>
      <c r="AS226" s="50"/>
      <c r="AT226" s="224"/>
      <c r="AU226" s="50"/>
      <c r="AV226" s="224"/>
      <c r="AW226" s="50"/>
      <c r="AX226" s="224"/>
      <c r="AY226" s="50"/>
      <c r="AZ226" s="224"/>
      <c r="BA226" s="50"/>
      <c r="BB226" s="224">
        <f>(EXP(LN('Ecoinvent 3.10'!$E$20)^2)-1)*EXP(2*LN(BB41)+LN('Ecoinvent 3.10'!$E$20)^2)</f>
        <v>1.7566268723470968</v>
      </c>
      <c r="BC226" s="50">
        <f>(EXP(LN('Ecoinvent 3.10'!$E$20)^2)-1)*EXP(2*LN(BC41)+LN('Ecoinvent 3.10'!$E$20)^2)</f>
        <v>1.7566268723470968</v>
      </c>
      <c r="BD226" s="107"/>
      <c r="BE226" s="436"/>
      <c r="BF226" s="107"/>
      <c r="BG226" s="436"/>
      <c r="BH226" s="101"/>
      <c r="BI226" s="156"/>
      <c r="BJ226" s="148" t="s">
        <v>377</v>
      </c>
      <c r="BK226" s="224"/>
      <c r="BL226" s="50"/>
      <c r="BM226" s="224"/>
      <c r="BN226" s="50"/>
      <c r="BO226" s="224"/>
      <c r="BP226" s="50"/>
      <c r="BQ226" s="224"/>
      <c r="BR226" s="50"/>
      <c r="BS226" s="224"/>
      <c r="BT226" s="50"/>
      <c r="BU226" s="224">
        <f>(EXP(LN('Ecoinvent 3.10'!$E$20)^2)-1)*EXP(2*LN(BU41)+LN('Ecoinvent 3.10'!$E$20)^2)</f>
        <v>0.1002687994053582</v>
      </c>
      <c r="BV226" s="50">
        <f>(EXP(LN('Ecoinvent 3.10'!$E$20)^2)-1)*EXP(2*LN(BV41)+LN('Ecoinvent 3.10'!$E$20)^2)</f>
        <v>0.1002687994053582</v>
      </c>
      <c r="BW226" s="107"/>
      <c r="BX226" s="436"/>
      <c r="BY226" s="107"/>
      <c r="BZ226" s="436"/>
      <c r="CA226" s="156"/>
      <c r="CB226" s="156"/>
      <c r="CC226" s="148" t="s">
        <v>377</v>
      </c>
      <c r="CD226" s="224"/>
      <c r="CE226" s="50"/>
      <c r="CF226" s="224"/>
      <c r="CG226" s="50"/>
      <c r="CH226" s="224"/>
      <c r="CI226" s="50"/>
      <c r="CJ226" s="224"/>
      <c r="CK226" s="50"/>
      <c r="CL226" s="224"/>
      <c r="CM226" s="50"/>
      <c r="CN226" s="224">
        <f>(EXP(LN('Ecoinvent 3.10'!$E$20)^2)-1)*EXP(2*LN(CN41)+LN('Ecoinvent 3.10'!$E$20)^2)</f>
        <v>11.997095400726634</v>
      </c>
      <c r="CO226" s="50">
        <f>(EXP(LN('Ecoinvent 3.10'!$E$20)^2)-1)*EXP(2*LN(CO41)+LN('Ecoinvent 3.10'!$E$20)^2)</f>
        <v>11.997095400726634</v>
      </c>
      <c r="CP226" s="107"/>
      <c r="CQ226" s="436"/>
      <c r="CR226" s="107"/>
      <c r="CS226" s="436"/>
      <c r="CV226" s="148" t="s">
        <v>377</v>
      </c>
      <c r="CW226" s="224"/>
      <c r="CX226" s="50"/>
      <c r="CY226" s="224"/>
      <c r="CZ226" s="50"/>
      <c r="DA226" s="224"/>
      <c r="DB226" s="50"/>
      <c r="DC226" s="224"/>
      <c r="DD226" s="50"/>
      <c r="DE226" s="224"/>
      <c r="DF226" s="50"/>
      <c r="DG226" s="224">
        <f>(EXP(LN('Ecoinvent 3.10'!$E$20)^2)-1)*EXP(2*LN(DG41)+LN('Ecoinvent 3.10'!$E$20)^2)</f>
        <v>1.3354154733630829E-6</v>
      </c>
      <c r="DH226" s="50">
        <f>(EXP(LN('Ecoinvent 3.10'!$E$20)^2)-1)*EXP(2*LN(DH41)+LN('Ecoinvent 3.10'!$E$20)^2)</f>
        <v>1.3354154733630829E-6</v>
      </c>
      <c r="DI226" s="107"/>
      <c r="DJ226" s="436"/>
      <c r="DK226" s="107"/>
      <c r="DL226" s="436"/>
      <c r="DO226" s="148" t="s">
        <v>377</v>
      </c>
      <c r="DP226" s="224"/>
      <c r="DQ226" s="50"/>
      <c r="DR226" s="224"/>
      <c r="DS226" s="50"/>
      <c r="DT226" s="224"/>
      <c r="DU226" s="50"/>
      <c r="DV226" s="224"/>
      <c r="DW226" s="50"/>
      <c r="DX226" s="224"/>
      <c r="DY226" s="50"/>
      <c r="DZ226" s="224">
        <f>(EXP(LN('Ecoinvent 3.10'!$E$20)^2)-1)*EXP(2*LN(DZ41)+LN('Ecoinvent 3.10'!$E$20)^2)</f>
        <v>5.1296062266645748E-4</v>
      </c>
      <c r="EA226" s="50">
        <f>(EXP(LN('Ecoinvent 3.10'!$E$20)^2)-1)*EXP(2*LN(EA41)+LN('Ecoinvent 3.10'!$E$20)^2)</f>
        <v>5.1296062266645748E-4</v>
      </c>
      <c r="EB226" s="107"/>
      <c r="EC226" s="436"/>
      <c r="ED226" s="107"/>
      <c r="EE226" s="436"/>
      <c r="EH226" s="148" t="s">
        <v>377</v>
      </c>
      <c r="EI226" s="224"/>
      <c r="EJ226" s="50"/>
      <c r="EK226" s="224"/>
      <c r="EL226" s="50"/>
      <c r="EM226" s="224"/>
      <c r="EN226" s="50"/>
      <c r="EO226" s="224"/>
      <c r="EP226" s="50"/>
      <c r="EQ226" s="224"/>
      <c r="ER226" s="50"/>
      <c r="ES226" s="224">
        <f>(EXP(LN('Ecoinvent 3.10'!$E$20)^2)-1)*EXP(2*LN(ES41)+LN('Ecoinvent 3.10'!$E$20)^2)</f>
        <v>6.0028249094121984E-6</v>
      </c>
      <c r="ET226" s="50">
        <f>(EXP(LN('Ecoinvent 3.10'!$E$20)^2)-1)*EXP(2*LN(ET41)+LN('Ecoinvent 3.10'!$E$20)^2)</f>
        <v>6.0028249094121984E-6</v>
      </c>
      <c r="EU226" s="107"/>
      <c r="EV226" s="436"/>
      <c r="EW226" s="107"/>
      <c r="EX226" s="436"/>
      <c r="FA226" s="148" t="s">
        <v>377</v>
      </c>
      <c r="FB226" s="224"/>
      <c r="FC226" s="50"/>
      <c r="FD226" s="224"/>
      <c r="FE226" s="50"/>
      <c r="FF226" s="224"/>
      <c r="FG226" s="50"/>
      <c r="FH226" s="224"/>
      <c r="FI226" s="50"/>
      <c r="FJ226" s="224"/>
      <c r="FK226" s="50"/>
      <c r="FL226" s="224">
        <f>(EXP(LN('Ecoinvent 3.10'!$E$20)^2)-1)*EXP(2*LN(FL41)+LN('Ecoinvent 3.10'!$E$20)^2)</f>
        <v>1.6289273712042625E-8</v>
      </c>
      <c r="FM226" s="50">
        <f>(EXP(LN('Ecoinvent 3.10'!$E$20)^2)-1)*EXP(2*LN(FM41)+LN('Ecoinvent 3.10'!$E$20)^2)</f>
        <v>1.6289273712042625E-8</v>
      </c>
      <c r="FN226" s="107"/>
      <c r="FO226" s="436"/>
      <c r="FP226" s="107"/>
      <c r="FQ226" s="436"/>
      <c r="FT226" s="148" t="s">
        <v>377</v>
      </c>
      <c r="FU226" s="224"/>
      <c r="FV226" s="50"/>
      <c r="FW226" s="224"/>
      <c r="FX226" s="50"/>
      <c r="FY226" s="224"/>
      <c r="FZ226" s="50"/>
      <c r="GA226" s="224"/>
      <c r="GB226" s="50"/>
      <c r="GC226" s="224"/>
      <c r="GD226" s="50"/>
      <c r="GE226" s="224">
        <f>(EXP(LN('Ecoinvent 3.10'!$E$20)^2)-1)*EXP(2*LN(GE41)+LN('Ecoinvent 3.10'!$E$20)^2)</f>
        <v>6.2515905612627249E-4</v>
      </c>
      <c r="GF226" s="50">
        <f>(EXP(LN('Ecoinvent 3.10'!$E$20)^2)-1)*EXP(2*LN(GF41)+LN('Ecoinvent 3.10'!$E$20)^2)</f>
        <v>6.2515905612627249E-4</v>
      </c>
      <c r="GG226" s="107"/>
      <c r="GH226" s="436"/>
      <c r="GI226" s="107"/>
      <c r="GJ226" s="436"/>
      <c r="GM226" s="148" t="s">
        <v>377</v>
      </c>
      <c r="GN226" s="224"/>
      <c r="GO226" s="50"/>
      <c r="GP226" s="224"/>
      <c r="GQ226" s="50"/>
      <c r="GR226" s="224"/>
      <c r="GS226" s="50"/>
      <c r="GT226" s="224"/>
      <c r="GU226" s="50"/>
      <c r="GV226" s="224"/>
      <c r="GW226" s="50"/>
      <c r="GX226" s="224">
        <f>(EXP(LN('Ecoinvent 3.10'!$E$20)^2)-1)*EXP(2*LN(GX41)+LN('Ecoinvent 3.10'!$E$20)^2)</f>
        <v>6.9776212776945573E-3</v>
      </c>
      <c r="GY226" s="50">
        <f>(EXP(LN('Ecoinvent 3.10'!$E$20)^2)-1)*EXP(2*LN(GY41)+LN('Ecoinvent 3.10'!$E$20)^2)</f>
        <v>6.9776212776945573E-3</v>
      </c>
      <c r="GZ226" s="107"/>
      <c r="HA226" s="436"/>
      <c r="HB226" s="107"/>
      <c r="HC226" s="436"/>
      <c r="HF226" s="148" t="s">
        <v>377</v>
      </c>
      <c r="HG226" s="224"/>
      <c r="HH226" s="50"/>
      <c r="HI226" s="224"/>
      <c r="HJ226" s="50"/>
      <c r="HK226" s="224"/>
      <c r="HL226" s="50"/>
      <c r="HM226" s="224"/>
      <c r="HN226" s="50"/>
      <c r="HO226" s="224"/>
      <c r="HP226" s="50"/>
      <c r="HQ226" s="224">
        <f>(EXP(LN('Ecoinvent 3.10'!$E$20)^2)-1)*EXP(2*LN(HQ41)+LN('Ecoinvent 3.10'!$E$20)^2)</f>
        <v>0.26138261369912991</v>
      </c>
      <c r="HR226" s="50">
        <f>(EXP(LN('Ecoinvent 3.10'!$E$20)^2)-1)*EXP(2*LN(HR41)+LN('Ecoinvent 3.10'!$E$20)^2)</f>
        <v>0.26138261369912991</v>
      </c>
      <c r="HS226" s="107"/>
      <c r="HT226" s="436"/>
      <c r="HU226" s="107"/>
      <c r="HV226" s="436"/>
      <c r="HY226" s="148" t="s">
        <v>377</v>
      </c>
      <c r="HZ226" s="224"/>
      <c r="IA226" s="50"/>
      <c r="IB226" s="224"/>
      <c r="IC226" s="50"/>
      <c r="ID226" s="224"/>
      <c r="IE226" s="50"/>
      <c r="IF226" s="224"/>
      <c r="IG226" s="50"/>
      <c r="IH226" s="224"/>
      <c r="II226" s="50"/>
      <c r="IJ226" s="224">
        <f>(EXP(LN('Ecoinvent 3.10'!$E$20)^2)-1)*EXP(2*LN(IJ41)+LN('Ecoinvent 3.10'!$E$20)^2)</f>
        <v>3.539229727803558E-7</v>
      </c>
      <c r="IK226" s="50">
        <f>(EXP(LN('Ecoinvent 3.10'!$E$20)^2)-1)*EXP(2*LN(IK41)+LN('Ecoinvent 3.10'!$E$20)^2)</f>
        <v>3.539229727803558E-7</v>
      </c>
      <c r="IL226" s="107"/>
      <c r="IM226" s="436"/>
      <c r="IN226" s="107"/>
      <c r="IO226" s="436"/>
    </row>
    <row r="227" spans="1:249" x14ac:dyDescent="0.2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58"/>
      <c r="AM227" s="138"/>
      <c r="AN227" s="156"/>
      <c r="AO227" s="158"/>
      <c r="AP227" s="726"/>
      <c r="AQ227" s="148" t="s">
        <v>364</v>
      </c>
      <c r="AR227" s="224"/>
      <c r="AS227" s="50"/>
      <c r="AT227" s="224"/>
      <c r="AU227" s="50"/>
      <c r="AV227" s="224"/>
      <c r="AW227" s="50"/>
      <c r="AX227" s="224"/>
      <c r="AY227" s="50"/>
      <c r="AZ227" s="224"/>
      <c r="BA227" s="50"/>
      <c r="BB227" s="264"/>
      <c r="BC227" s="265"/>
      <c r="BD227" s="107"/>
      <c r="BE227" s="436"/>
      <c r="BF227" s="107"/>
      <c r="BG227" s="436"/>
      <c r="BH227" s="101"/>
      <c r="BI227" s="156"/>
      <c r="BJ227" s="148" t="s">
        <v>364</v>
      </c>
      <c r="BK227" s="224"/>
      <c r="BL227" s="50"/>
      <c r="BM227" s="224"/>
      <c r="BN227" s="50"/>
      <c r="BO227" s="224"/>
      <c r="BP227" s="50"/>
      <c r="BQ227" s="224"/>
      <c r="BR227" s="50"/>
      <c r="BS227" s="224"/>
      <c r="BT227" s="50"/>
      <c r="BU227" s="264"/>
      <c r="BV227" s="265"/>
      <c r="BW227" s="107"/>
      <c r="BX227" s="436"/>
      <c r="BY227" s="107"/>
      <c r="BZ227" s="436"/>
      <c r="CA227" s="156"/>
      <c r="CB227" s="156"/>
      <c r="CC227" s="148" t="s">
        <v>364</v>
      </c>
      <c r="CD227" s="224"/>
      <c r="CE227" s="50"/>
      <c r="CF227" s="224"/>
      <c r="CG227" s="50"/>
      <c r="CH227" s="224"/>
      <c r="CI227" s="50"/>
      <c r="CJ227" s="224"/>
      <c r="CK227" s="50"/>
      <c r="CL227" s="224"/>
      <c r="CM227" s="50"/>
      <c r="CN227" s="264"/>
      <c r="CO227" s="265"/>
      <c r="CP227" s="107"/>
      <c r="CQ227" s="436"/>
      <c r="CR227" s="107"/>
      <c r="CS227" s="436"/>
      <c r="CV227" s="148" t="s">
        <v>364</v>
      </c>
      <c r="CW227" s="224"/>
      <c r="CX227" s="50"/>
      <c r="CY227" s="224"/>
      <c r="CZ227" s="50"/>
      <c r="DA227" s="224"/>
      <c r="DB227" s="50"/>
      <c r="DC227" s="224"/>
      <c r="DD227" s="50"/>
      <c r="DE227" s="224"/>
      <c r="DF227" s="50"/>
      <c r="DG227" s="264"/>
      <c r="DH227" s="265"/>
      <c r="DI227" s="107"/>
      <c r="DJ227" s="436"/>
      <c r="DK227" s="107"/>
      <c r="DL227" s="436"/>
      <c r="DO227" s="148" t="s">
        <v>364</v>
      </c>
      <c r="DP227" s="224"/>
      <c r="DQ227" s="50"/>
      <c r="DR227" s="224"/>
      <c r="DS227" s="50"/>
      <c r="DT227" s="224"/>
      <c r="DU227" s="50"/>
      <c r="DV227" s="224"/>
      <c r="DW227" s="50"/>
      <c r="DX227" s="224"/>
      <c r="DY227" s="50"/>
      <c r="DZ227" s="264"/>
      <c r="EA227" s="265"/>
      <c r="EB227" s="107"/>
      <c r="EC227" s="436"/>
      <c r="ED227" s="107"/>
      <c r="EE227" s="436"/>
      <c r="EH227" s="148" t="s">
        <v>364</v>
      </c>
      <c r="EI227" s="224"/>
      <c r="EJ227" s="50"/>
      <c r="EK227" s="224"/>
      <c r="EL227" s="50"/>
      <c r="EM227" s="224"/>
      <c r="EN227" s="50"/>
      <c r="EO227" s="224"/>
      <c r="EP227" s="50"/>
      <c r="EQ227" s="224"/>
      <c r="ER227" s="50"/>
      <c r="ES227" s="264"/>
      <c r="ET227" s="265"/>
      <c r="EU227" s="107"/>
      <c r="EV227" s="436"/>
      <c r="EW227" s="107"/>
      <c r="EX227" s="436"/>
      <c r="FA227" s="148" t="s">
        <v>364</v>
      </c>
      <c r="FB227" s="224"/>
      <c r="FC227" s="50"/>
      <c r="FD227" s="224"/>
      <c r="FE227" s="50"/>
      <c r="FF227" s="224"/>
      <c r="FG227" s="50"/>
      <c r="FH227" s="224"/>
      <c r="FI227" s="50"/>
      <c r="FJ227" s="224"/>
      <c r="FK227" s="50"/>
      <c r="FL227" s="264"/>
      <c r="FM227" s="265"/>
      <c r="FN227" s="107"/>
      <c r="FO227" s="436"/>
      <c r="FP227" s="107"/>
      <c r="FQ227" s="436"/>
      <c r="FT227" s="148" t="s">
        <v>364</v>
      </c>
      <c r="FU227" s="224"/>
      <c r="FV227" s="50"/>
      <c r="FW227" s="224"/>
      <c r="FX227" s="50"/>
      <c r="FY227" s="224"/>
      <c r="FZ227" s="50"/>
      <c r="GA227" s="224"/>
      <c r="GB227" s="50"/>
      <c r="GC227" s="224"/>
      <c r="GD227" s="50"/>
      <c r="GE227" s="264"/>
      <c r="GF227" s="265"/>
      <c r="GG227" s="107"/>
      <c r="GH227" s="436"/>
      <c r="GI227" s="107"/>
      <c r="GJ227" s="436"/>
      <c r="GM227" s="148" t="s">
        <v>364</v>
      </c>
      <c r="GN227" s="224"/>
      <c r="GO227" s="50"/>
      <c r="GP227" s="224"/>
      <c r="GQ227" s="50"/>
      <c r="GR227" s="224"/>
      <c r="GS227" s="50"/>
      <c r="GT227" s="224"/>
      <c r="GU227" s="50"/>
      <c r="GV227" s="224"/>
      <c r="GW227" s="50"/>
      <c r="GX227" s="264"/>
      <c r="GY227" s="265"/>
      <c r="GZ227" s="107"/>
      <c r="HA227" s="436"/>
      <c r="HB227" s="107"/>
      <c r="HC227" s="436"/>
      <c r="HF227" s="148" t="s">
        <v>364</v>
      </c>
      <c r="HG227" s="224"/>
      <c r="HH227" s="50"/>
      <c r="HI227" s="224"/>
      <c r="HJ227" s="50"/>
      <c r="HK227" s="224"/>
      <c r="HL227" s="50"/>
      <c r="HM227" s="224"/>
      <c r="HN227" s="50"/>
      <c r="HO227" s="224"/>
      <c r="HP227" s="50"/>
      <c r="HQ227" s="264"/>
      <c r="HR227" s="265"/>
      <c r="HS227" s="107"/>
      <c r="HT227" s="436"/>
      <c r="HU227" s="107"/>
      <c r="HV227" s="436"/>
      <c r="HY227" s="148" t="s">
        <v>364</v>
      </c>
      <c r="HZ227" s="224"/>
      <c r="IA227" s="50"/>
      <c r="IB227" s="224"/>
      <c r="IC227" s="50"/>
      <c r="ID227" s="224"/>
      <c r="IE227" s="50"/>
      <c r="IF227" s="224"/>
      <c r="IG227" s="50"/>
      <c r="IH227" s="224"/>
      <c r="II227" s="50"/>
      <c r="IJ227" s="264"/>
      <c r="IK227" s="265"/>
      <c r="IL227" s="107"/>
      <c r="IM227" s="436"/>
      <c r="IN227" s="107"/>
      <c r="IO227" s="436"/>
    </row>
    <row r="228" spans="1:249" x14ac:dyDescent="0.2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38"/>
      <c r="AN228" s="156"/>
      <c r="AO228" s="158"/>
      <c r="AP228" s="726"/>
      <c r="AQ228" s="148" t="s">
        <v>333</v>
      </c>
      <c r="AR228" s="224"/>
      <c r="AS228" s="50"/>
      <c r="AT228" s="224"/>
      <c r="AU228" s="50"/>
      <c r="AV228" s="224"/>
      <c r="AW228" s="50"/>
      <c r="AX228" s="224"/>
      <c r="AY228" s="50"/>
      <c r="AZ228" s="224"/>
      <c r="BA228" s="50"/>
      <c r="BB228" s="224">
        <f>(EXP(LN('Ecoinvent 3.10'!$E$34)^2)-1)*EXP(2*LN(BB43)+LN('Ecoinvent 3.10'!$E$34)^2)</f>
        <v>74.107699170660212</v>
      </c>
      <c r="BC228" s="50">
        <f>(EXP(LN('Ecoinvent 3.10'!$E$34)^2)-1)*EXP(2*LN(BC43)+LN('Ecoinvent 3.10'!$E$34)^2)</f>
        <v>74.107699170660212</v>
      </c>
      <c r="BD228" s="107"/>
      <c r="BE228" s="436"/>
      <c r="BF228" s="107"/>
      <c r="BG228" s="436"/>
      <c r="BH228" s="101"/>
      <c r="BI228" s="156"/>
      <c r="BJ228" s="148" t="s">
        <v>333</v>
      </c>
      <c r="BK228" s="224"/>
      <c r="BL228" s="50"/>
      <c r="BM228" s="224"/>
      <c r="BN228" s="50"/>
      <c r="BO228" s="224"/>
      <c r="BP228" s="50"/>
      <c r="BQ228" s="224"/>
      <c r="BR228" s="50"/>
      <c r="BS228" s="224"/>
      <c r="BT228" s="50"/>
      <c r="BU228" s="224">
        <f>(EXP(LN('Ecoinvent 3.10'!$E$34)^2)-1)*EXP(2*LN(BU43)+LN('Ecoinvent 3.10'!$E$34)^2)</f>
        <v>1.0550789572092401</v>
      </c>
      <c r="BV228" s="50">
        <f>(EXP(LN('Ecoinvent 3.10'!$E$34)^2)-1)*EXP(2*LN(BV43)+LN('Ecoinvent 3.10'!$E$34)^2)</f>
        <v>1.0550789572092401</v>
      </c>
      <c r="BW228" s="107"/>
      <c r="BX228" s="436"/>
      <c r="BY228" s="107"/>
      <c r="BZ228" s="436"/>
      <c r="CA228" s="156"/>
      <c r="CB228" s="156"/>
      <c r="CC228" s="148" t="s">
        <v>333</v>
      </c>
      <c r="CD228" s="224"/>
      <c r="CE228" s="50"/>
      <c r="CF228" s="224"/>
      <c r="CG228" s="50"/>
      <c r="CH228" s="224"/>
      <c r="CI228" s="50"/>
      <c r="CJ228" s="224"/>
      <c r="CK228" s="50"/>
      <c r="CL228" s="224"/>
      <c r="CM228" s="50"/>
      <c r="CN228" s="224">
        <f>(EXP(LN('Ecoinvent 3.10'!$E$34)^2)-1)*EXP(2*LN(CN43)+LN('Ecoinvent 3.10'!$E$34)^2)</f>
        <v>22.671400784973667</v>
      </c>
      <c r="CO228" s="50">
        <f>(EXP(LN('Ecoinvent 3.10'!$E$34)^2)-1)*EXP(2*LN(CO43)+LN('Ecoinvent 3.10'!$E$34)^2)</f>
        <v>22.671400784973667</v>
      </c>
      <c r="CP228" s="107"/>
      <c r="CQ228" s="436"/>
      <c r="CR228" s="107"/>
      <c r="CS228" s="436"/>
      <c r="CV228" s="148" t="s">
        <v>333</v>
      </c>
      <c r="CW228" s="224"/>
      <c r="CX228" s="50"/>
      <c r="CY228" s="224"/>
      <c r="CZ228" s="50"/>
      <c r="DA228" s="224"/>
      <c r="DB228" s="50"/>
      <c r="DC228" s="224"/>
      <c r="DD228" s="50"/>
      <c r="DE228" s="224"/>
      <c r="DF228" s="50"/>
      <c r="DG228" s="224">
        <f>(EXP(LN('Ecoinvent 3.10'!$E$34)^2)-1)*EXP(2*LN(DG43)+LN('Ecoinvent 3.10'!$E$34)^2)</f>
        <v>1.2324757574688729E-5</v>
      </c>
      <c r="DH228" s="50">
        <f>(EXP(LN('Ecoinvent 3.10'!$E$34)^2)-1)*EXP(2*LN(DH43)+LN('Ecoinvent 3.10'!$E$34)^2)</f>
        <v>1.2324757574688729E-5</v>
      </c>
      <c r="DI228" s="107"/>
      <c r="DJ228" s="436"/>
      <c r="DK228" s="107"/>
      <c r="DL228" s="436"/>
      <c r="DO228" s="148" t="s">
        <v>333</v>
      </c>
      <c r="DP228" s="224"/>
      <c r="DQ228" s="50"/>
      <c r="DR228" s="224"/>
      <c r="DS228" s="50"/>
      <c r="DT228" s="224"/>
      <c r="DU228" s="50"/>
      <c r="DV228" s="224"/>
      <c r="DW228" s="50"/>
      <c r="DX228" s="224"/>
      <c r="DY228" s="50"/>
      <c r="DZ228" s="224">
        <f>(EXP(LN('Ecoinvent 3.10'!$E$34)^2)-1)*EXP(2*LN(DZ43)+LN('Ecoinvent 3.10'!$E$34)^2)</f>
        <v>4.0274870729489813E-5</v>
      </c>
      <c r="EA228" s="50">
        <f>(EXP(LN('Ecoinvent 3.10'!$E$34)^2)-1)*EXP(2*LN(EA43)+LN('Ecoinvent 3.10'!$E$34)^2)</f>
        <v>4.0274870729489813E-5</v>
      </c>
      <c r="EB228" s="107"/>
      <c r="EC228" s="436"/>
      <c r="ED228" s="107"/>
      <c r="EE228" s="436"/>
      <c r="EH228" s="148" t="s">
        <v>333</v>
      </c>
      <c r="EI228" s="224"/>
      <c r="EJ228" s="50"/>
      <c r="EK228" s="224"/>
      <c r="EL228" s="50"/>
      <c r="EM228" s="224"/>
      <c r="EN228" s="50"/>
      <c r="EO228" s="224"/>
      <c r="EP228" s="50"/>
      <c r="EQ228" s="224"/>
      <c r="ER228" s="50"/>
      <c r="ES228" s="224">
        <f>(EXP(LN('Ecoinvent 3.10'!$E$34)^2)-1)*EXP(2*LN(ES43)+LN('Ecoinvent 3.10'!$E$34)^2)</f>
        <v>2.2797574937097396E-4</v>
      </c>
      <c r="ET228" s="50">
        <f>(EXP(LN('Ecoinvent 3.10'!$E$34)^2)-1)*EXP(2*LN(ET43)+LN('Ecoinvent 3.10'!$E$34)^2)</f>
        <v>2.2797574937097396E-4</v>
      </c>
      <c r="EU228" s="107"/>
      <c r="EV228" s="436"/>
      <c r="EW228" s="107"/>
      <c r="EX228" s="436"/>
      <c r="FA228" s="148" t="s">
        <v>333</v>
      </c>
      <c r="FB228" s="224"/>
      <c r="FC228" s="50"/>
      <c r="FD228" s="224"/>
      <c r="FE228" s="50"/>
      <c r="FF228" s="224"/>
      <c r="FG228" s="50"/>
      <c r="FH228" s="224"/>
      <c r="FI228" s="50"/>
      <c r="FJ228" s="224"/>
      <c r="FK228" s="50"/>
      <c r="FL228" s="224">
        <f>(EXP(LN('Ecoinvent 3.10'!$E$34)^2)-1)*EXP(2*LN(FL43)+LN('Ecoinvent 3.10'!$E$34)^2)</f>
        <v>8.0891881517608371E-7</v>
      </c>
      <c r="FM228" s="50">
        <f>(EXP(LN('Ecoinvent 3.10'!$E$34)^2)-1)*EXP(2*LN(FM43)+LN('Ecoinvent 3.10'!$E$34)^2)</f>
        <v>8.0891881517608371E-7</v>
      </c>
      <c r="FN228" s="107"/>
      <c r="FO228" s="436"/>
      <c r="FP228" s="107"/>
      <c r="FQ228" s="436"/>
      <c r="FT228" s="148" t="s">
        <v>333</v>
      </c>
      <c r="FU228" s="224"/>
      <c r="FV228" s="50"/>
      <c r="FW228" s="224"/>
      <c r="FX228" s="50"/>
      <c r="FY228" s="224"/>
      <c r="FZ228" s="50"/>
      <c r="GA228" s="224"/>
      <c r="GB228" s="50"/>
      <c r="GC228" s="224"/>
      <c r="GD228" s="50"/>
      <c r="GE228" s="224">
        <f>(EXP(LN('Ecoinvent 3.10'!$E$34)^2)-1)*EXP(2*LN(GE43)+LN('Ecoinvent 3.10'!$E$34)^2)</f>
        <v>1.1658799424005969E-3</v>
      </c>
      <c r="GF228" s="50">
        <f>(EXP(LN('Ecoinvent 3.10'!$E$34)^2)-1)*EXP(2*LN(GF43)+LN('Ecoinvent 3.10'!$E$34)^2)</f>
        <v>1.1658799424005969E-3</v>
      </c>
      <c r="GG228" s="107"/>
      <c r="GH228" s="436"/>
      <c r="GI228" s="107"/>
      <c r="GJ228" s="436"/>
      <c r="GM228" s="148" t="s">
        <v>333</v>
      </c>
      <c r="GN228" s="224"/>
      <c r="GO228" s="50"/>
      <c r="GP228" s="224"/>
      <c r="GQ228" s="50"/>
      <c r="GR228" s="224"/>
      <c r="GS228" s="50"/>
      <c r="GT228" s="224"/>
      <c r="GU228" s="50"/>
      <c r="GV228" s="224"/>
      <c r="GW228" s="50"/>
      <c r="GX228" s="224">
        <f>(EXP(LN('Ecoinvent 3.10'!$E$34)^2)-1)*EXP(2*LN(GX43)+LN('Ecoinvent 3.10'!$E$34)^2)</f>
        <v>1.7159100655078755E-2</v>
      </c>
      <c r="GY228" s="50">
        <f>(EXP(LN('Ecoinvent 3.10'!$E$34)^2)-1)*EXP(2*LN(GY43)+LN('Ecoinvent 3.10'!$E$34)^2)</f>
        <v>1.7159100655078755E-2</v>
      </c>
      <c r="GZ228" s="107"/>
      <c r="HA228" s="436"/>
      <c r="HB228" s="107"/>
      <c r="HC228" s="436"/>
      <c r="HF228" s="148" t="s">
        <v>333</v>
      </c>
      <c r="HG228" s="224"/>
      <c r="HH228" s="50"/>
      <c r="HI228" s="224"/>
      <c r="HJ228" s="50"/>
      <c r="HK228" s="224"/>
      <c r="HL228" s="50"/>
      <c r="HM228" s="224"/>
      <c r="HN228" s="50"/>
      <c r="HO228" s="224"/>
      <c r="HP228" s="50"/>
      <c r="HQ228" s="224">
        <f>(EXP(LN('Ecoinvent 3.10'!$E$34)^2)-1)*EXP(2*LN(HQ43)+LN('Ecoinvent 3.10'!$E$34)^2)</f>
        <v>1.455531180590681</v>
      </c>
      <c r="HR228" s="50">
        <f>(EXP(LN('Ecoinvent 3.10'!$E$34)^2)-1)*EXP(2*LN(HR43)+LN('Ecoinvent 3.10'!$E$34)^2)</f>
        <v>1.455531180590681</v>
      </c>
      <c r="HS228" s="107"/>
      <c r="HT228" s="436"/>
      <c r="HU228" s="107"/>
      <c r="HV228" s="436"/>
      <c r="HY228" s="148" t="s">
        <v>333</v>
      </c>
      <c r="HZ228" s="224"/>
      <c r="IA228" s="50"/>
      <c r="IB228" s="224"/>
      <c r="IC228" s="50"/>
      <c r="ID228" s="224"/>
      <c r="IE228" s="50"/>
      <c r="IF228" s="224"/>
      <c r="IG228" s="50"/>
      <c r="IH228" s="224"/>
      <c r="II228" s="50"/>
      <c r="IJ228" s="224">
        <f>(EXP(LN('Ecoinvent 3.10'!$E$34)^2)-1)*EXP(2*LN(IJ43)+LN('Ecoinvent 3.10'!$E$34)^2)</f>
        <v>2.0826763712351608E-6</v>
      </c>
      <c r="IK228" s="50">
        <f>(EXP(LN('Ecoinvent 3.10'!$E$34)^2)-1)*EXP(2*LN(IK43)+LN('Ecoinvent 3.10'!$E$34)^2)</f>
        <v>2.0826763712351608E-6</v>
      </c>
      <c r="IL228" s="107"/>
      <c r="IM228" s="436"/>
      <c r="IN228" s="107"/>
      <c r="IO228" s="436"/>
    </row>
    <row r="229" spans="1:249" x14ac:dyDescent="0.2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58"/>
      <c r="AM229" s="138"/>
      <c r="AN229" s="156"/>
      <c r="AO229" s="158"/>
      <c r="AP229" s="726"/>
      <c r="AQ229" s="148" t="s">
        <v>365</v>
      </c>
      <c r="AR229" s="224"/>
      <c r="AS229" s="50"/>
      <c r="AT229" s="224"/>
      <c r="AU229" s="50"/>
      <c r="AV229" s="224"/>
      <c r="AW229" s="50"/>
      <c r="AX229" s="224"/>
      <c r="AY229" s="50"/>
      <c r="AZ229" s="224"/>
      <c r="BA229" s="50"/>
      <c r="BB229" s="224"/>
      <c r="BC229" s="50"/>
      <c r="BD229" s="107"/>
      <c r="BE229" s="436"/>
      <c r="BF229" s="107"/>
      <c r="BG229" s="436"/>
      <c r="BH229" s="101"/>
      <c r="BI229" s="156"/>
      <c r="BJ229" s="148" t="s">
        <v>365</v>
      </c>
      <c r="BK229" s="224"/>
      <c r="BL229" s="50"/>
      <c r="BM229" s="224"/>
      <c r="BN229" s="50"/>
      <c r="BO229" s="224"/>
      <c r="BP229" s="50"/>
      <c r="BQ229" s="224"/>
      <c r="BR229" s="50"/>
      <c r="BS229" s="224"/>
      <c r="BT229" s="50"/>
      <c r="BU229" s="224"/>
      <c r="BV229" s="50"/>
      <c r="BW229" s="107"/>
      <c r="BX229" s="436"/>
      <c r="BY229" s="107"/>
      <c r="BZ229" s="436"/>
      <c r="CA229" s="156"/>
      <c r="CB229" s="156"/>
      <c r="CC229" s="148" t="s">
        <v>365</v>
      </c>
      <c r="CD229" s="224"/>
      <c r="CE229" s="50"/>
      <c r="CF229" s="224"/>
      <c r="CG229" s="50"/>
      <c r="CH229" s="224"/>
      <c r="CI229" s="50"/>
      <c r="CJ229" s="224"/>
      <c r="CK229" s="50"/>
      <c r="CL229" s="224"/>
      <c r="CM229" s="50"/>
      <c r="CN229" s="224"/>
      <c r="CO229" s="50"/>
      <c r="CP229" s="107"/>
      <c r="CQ229" s="436"/>
      <c r="CR229" s="107"/>
      <c r="CS229" s="436"/>
      <c r="CV229" s="148" t="s">
        <v>365</v>
      </c>
      <c r="CW229" s="224"/>
      <c r="CX229" s="50"/>
      <c r="CY229" s="224"/>
      <c r="CZ229" s="50"/>
      <c r="DA229" s="224"/>
      <c r="DB229" s="50"/>
      <c r="DC229" s="224"/>
      <c r="DD229" s="50"/>
      <c r="DE229" s="224"/>
      <c r="DF229" s="50"/>
      <c r="DG229" s="224"/>
      <c r="DH229" s="50"/>
      <c r="DI229" s="107"/>
      <c r="DJ229" s="436"/>
      <c r="DK229" s="107"/>
      <c r="DL229" s="436"/>
      <c r="DO229" s="148" t="s">
        <v>365</v>
      </c>
      <c r="DP229" s="224"/>
      <c r="DQ229" s="50"/>
      <c r="DR229" s="224"/>
      <c r="DS229" s="50"/>
      <c r="DT229" s="224"/>
      <c r="DU229" s="50"/>
      <c r="DV229" s="224"/>
      <c r="DW229" s="50"/>
      <c r="DX229" s="224"/>
      <c r="DY229" s="50"/>
      <c r="DZ229" s="224"/>
      <c r="EA229" s="50"/>
      <c r="EB229" s="107"/>
      <c r="EC229" s="436"/>
      <c r="ED229" s="107"/>
      <c r="EE229" s="436"/>
      <c r="EH229" s="148" t="s">
        <v>365</v>
      </c>
      <c r="EI229" s="224"/>
      <c r="EJ229" s="50"/>
      <c r="EK229" s="224"/>
      <c r="EL229" s="50"/>
      <c r="EM229" s="224"/>
      <c r="EN229" s="50"/>
      <c r="EO229" s="224"/>
      <c r="EP229" s="50"/>
      <c r="EQ229" s="224"/>
      <c r="ER229" s="50"/>
      <c r="ES229" s="224"/>
      <c r="ET229" s="50"/>
      <c r="EU229" s="107"/>
      <c r="EV229" s="436"/>
      <c r="EW229" s="107"/>
      <c r="EX229" s="436"/>
      <c r="FA229" s="148" t="s">
        <v>365</v>
      </c>
      <c r="FB229" s="224"/>
      <c r="FC229" s="50"/>
      <c r="FD229" s="224"/>
      <c r="FE229" s="50"/>
      <c r="FF229" s="224"/>
      <c r="FG229" s="50"/>
      <c r="FH229" s="224"/>
      <c r="FI229" s="50"/>
      <c r="FJ229" s="224"/>
      <c r="FK229" s="50"/>
      <c r="FL229" s="224"/>
      <c r="FM229" s="50"/>
      <c r="FN229" s="107"/>
      <c r="FO229" s="436"/>
      <c r="FP229" s="107"/>
      <c r="FQ229" s="436"/>
      <c r="FT229" s="148" t="s">
        <v>365</v>
      </c>
      <c r="FU229" s="224"/>
      <c r="FV229" s="50"/>
      <c r="FW229" s="224"/>
      <c r="FX229" s="50"/>
      <c r="FY229" s="224"/>
      <c r="FZ229" s="50"/>
      <c r="GA229" s="224"/>
      <c r="GB229" s="50"/>
      <c r="GC229" s="224"/>
      <c r="GD229" s="50"/>
      <c r="GE229" s="224"/>
      <c r="GF229" s="50"/>
      <c r="GG229" s="107"/>
      <c r="GH229" s="436"/>
      <c r="GI229" s="107"/>
      <c r="GJ229" s="436"/>
      <c r="GM229" s="148" t="s">
        <v>365</v>
      </c>
      <c r="GN229" s="224"/>
      <c r="GO229" s="50"/>
      <c r="GP229" s="224"/>
      <c r="GQ229" s="50"/>
      <c r="GR229" s="224"/>
      <c r="GS229" s="50"/>
      <c r="GT229" s="224"/>
      <c r="GU229" s="50"/>
      <c r="GV229" s="224"/>
      <c r="GW229" s="50"/>
      <c r="GX229" s="224"/>
      <c r="GY229" s="50"/>
      <c r="GZ229" s="107"/>
      <c r="HA229" s="436"/>
      <c r="HB229" s="107"/>
      <c r="HC229" s="436"/>
      <c r="HF229" s="148" t="s">
        <v>365</v>
      </c>
      <c r="HG229" s="224"/>
      <c r="HH229" s="50"/>
      <c r="HI229" s="224"/>
      <c r="HJ229" s="50"/>
      <c r="HK229" s="224"/>
      <c r="HL229" s="50"/>
      <c r="HM229" s="224"/>
      <c r="HN229" s="50"/>
      <c r="HO229" s="224"/>
      <c r="HP229" s="50"/>
      <c r="HQ229" s="224"/>
      <c r="HR229" s="50"/>
      <c r="HS229" s="107"/>
      <c r="HT229" s="436"/>
      <c r="HU229" s="107"/>
      <c r="HV229" s="436"/>
      <c r="HY229" s="148" t="s">
        <v>365</v>
      </c>
      <c r="HZ229" s="224"/>
      <c r="IA229" s="50"/>
      <c r="IB229" s="224"/>
      <c r="IC229" s="50"/>
      <c r="ID229" s="224"/>
      <c r="IE229" s="50"/>
      <c r="IF229" s="224"/>
      <c r="IG229" s="50"/>
      <c r="IH229" s="224"/>
      <c r="II229" s="50"/>
      <c r="IJ229" s="224"/>
      <c r="IK229" s="50"/>
      <c r="IL229" s="107"/>
      <c r="IM229" s="436"/>
      <c r="IN229" s="107"/>
      <c r="IO229" s="436"/>
    </row>
    <row r="230" spans="1:249" ht="14.25" x14ac:dyDescent="0.25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  <c r="AA230" s="158"/>
      <c r="AB230" s="158"/>
      <c r="AC230" s="158"/>
      <c r="AD230" s="158"/>
      <c r="AE230" s="158"/>
      <c r="AF230" s="158"/>
      <c r="AG230" s="158"/>
      <c r="AH230" s="158"/>
      <c r="AI230" s="158"/>
      <c r="AJ230" s="158"/>
      <c r="AK230" s="158"/>
      <c r="AL230" s="158"/>
      <c r="AM230" s="138"/>
      <c r="AN230" s="156"/>
      <c r="AO230" s="158"/>
      <c r="AP230" s="726"/>
      <c r="AQ230" s="148" t="s">
        <v>374</v>
      </c>
      <c r="AR230" s="224"/>
      <c r="AS230" s="50"/>
      <c r="AT230" s="224"/>
      <c r="AU230" s="50"/>
      <c r="AV230" s="224"/>
      <c r="AW230" s="50"/>
      <c r="AX230" s="224"/>
      <c r="AY230" s="50"/>
      <c r="AZ230" s="224"/>
      <c r="BA230" s="50"/>
      <c r="BB230" s="224"/>
      <c r="BC230" s="50"/>
      <c r="BD230" s="224"/>
      <c r="BE230" s="50"/>
      <c r="BF230" s="107"/>
      <c r="BG230" s="436"/>
      <c r="BH230" s="101"/>
      <c r="BI230" s="156"/>
      <c r="BJ230" s="148" t="s">
        <v>374</v>
      </c>
      <c r="BK230" s="224"/>
      <c r="BL230" s="50"/>
      <c r="BM230" s="224"/>
      <c r="BN230" s="50"/>
      <c r="BO230" s="224"/>
      <c r="BP230" s="50"/>
      <c r="BQ230" s="224"/>
      <c r="BR230" s="50"/>
      <c r="BS230" s="224"/>
      <c r="BT230" s="50"/>
      <c r="BU230" s="224"/>
      <c r="BV230" s="50"/>
      <c r="BW230" s="224"/>
      <c r="BX230" s="50"/>
      <c r="BY230" s="107"/>
      <c r="BZ230" s="436"/>
      <c r="CA230" s="156"/>
      <c r="CB230" s="156"/>
      <c r="CC230" s="148" t="s">
        <v>374</v>
      </c>
      <c r="CD230" s="224"/>
      <c r="CE230" s="50"/>
      <c r="CF230" s="224"/>
      <c r="CG230" s="50"/>
      <c r="CH230" s="224"/>
      <c r="CI230" s="50"/>
      <c r="CJ230" s="224"/>
      <c r="CK230" s="50"/>
      <c r="CL230" s="224"/>
      <c r="CM230" s="50"/>
      <c r="CN230" s="224"/>
      <c r="CO230" s="50"/>
      <c r="CP230" s="224"/>
      <c r="CQ230" s="50"/>
      <c r="CR230" s="107"/>
      <c r="CS230" s="436"/>
      <c r="CV230" s="148" t="s">
        <v>374</v>
      </c>
      <c r="CW230" s="224"/>
      <c r="CX230" s="50"/>
      <c r="CY230" s="224"/>
      <c r="CZ230" s="50"/>
      <c r="DA230" s="224"/>
      <c r="DB230" s="50"/>
      <c r="DC230" s="224"/>
      <c r="DD230" s="50"/>
      <c r="DE230" s="224"/>
      <c r="DF230" s="50"/>
      <c r="DG230" s="224"/>
      <c r="DH230" s="50"/>
      <c r="DI230" s="224"/>
      <c r="DJ230" s="50"/>
      <c r="DK230" s="107"/>
      <c r="DL230" s="436"/>
      <c r="DO230" s="148" t="s">
        <v>374</v>
      </c>
      <c r="DP230" s="224"/>
      <c r="DQ230" s="50"/>
      <c r="DR230" s="224"/>
      <c r="DS230" s="50"/>
      <c r="DT230" s="224"/>
      <c r="DU230" s="50"/>
      <c r="DV230" s="224"/>
      <c r="DW230" s="50"/>
      <c r="DX230" s="224"/>
      <c r="DY230" s="50"/>
      <c r="DZ230" s="224"/>
      <c r="EA230" s="50"/>
      <c r="EB230" s="224"/>
      <c r="EC230" s="50"/>
      <c r="ED230" s="107"/>
      <c r="EE230" s="436"/>
      <c r="EH230" s="148" t="s">
        <v>374</v>
      </c>
      <c r="EI230" s="224"/>
      <c r="EJ230" s="50"/>
      <c r="EK230" s="224"/>
      <c r="EL230" s="50"/>
      <c r="EM230" s="224"/>
      <c r="EN230" s="50"/>
      <c r="EO230" s="224"/>
      <c r="EP230" s="50"/>
      <c r="EQ230" s="224"/>
      <c r="ER230" s="50"/>
      <c r="ES230" s="224"/>
      <c r="ET230" s="50"/>
      <c r="EU230" s="224"/>
      <c r="EV230" s="50"/>
      <c r="EW230" s="107"/>
      <c r="EX230" s="436"/>
      <c r="FA230" s="148" t="s">
        <v>374</v>
      </c>
      <c r="FB230" s="224"/>
      <c r="FC230" s="50"/>
      <c r="FD230" s="224"/>
      <c r="FE230" s="50"/>
      <c r="FF230" s="224"/>
      <c r="FG230" s="50"/>
      <c r="FH230" s="224"/>
      <c r="FI230" s="50"/>
      <c r="FJ230" s="224"/>
      <c r="FK230" s="50"/>
      <c r="FL230" s="224"/>
      <c r="FM230" s="50"/>
      <c r="FN230" s="224"/>
      <c r="FO230" s="50"/>
      <c r="FP230" s="107"/>
      <c r="FQ230" s="436"/>
      <c r="FT230" s="148" t="s">
        <v>374</v>
      </c>
      <c r="FU230" s="224"/>
      <c r="FV230" s="50"/>
      <c r="FW230" s="224"/>
      <c r="FX230" s="50"/>
      <c r="FY230" s="224"/>
      <c r="FZ230" s="50"/>
      <c r="GA230" s="224"/>
      <c r="GB230" s="50"/>
      <c r="GC230" s="224"/>
      <c r="GD230" s="50"/>
      <c r="GE230" s="224"/>
      <c r="GF230" s="50"/>
      <c r="GG230" s="224"/>
      <c r="GH230" s="50"/>
      <c r="GI230" s="107"/>
      <c r="GJ230" s="436"/>
      <c r="GM230" s="148" t="s">
        <v>374</v>
      </c>
      <c r="GN230" s="224"/>
      <c r="GO230" s="50"/>
      <c r="GP230" s="224"/>
      <c r="GQ230" s="50"/>
      <c r="GR230" s="224"/>
      <c r="GS230" s="50"/>
      <c r="GT230" s="224"/>
      <c r="GU230" s="50"/>
      <c r="GV230" s="224"/>
      <c r="GW230" s="50"/>
      <c r="GX230" s="224"/>
      <c r="GY230" s="50"/>
      <c r="GZ230" s="224"/>
      <c r="HA230" s="50"/>
      <c r="HB230" s="107"/>
      <c r="HC230" s="436"/>
      <c r="HF230" s="148" t="s">
        <v>374</v>
      </c>
      <c r="HG230" s="224"/>
      <c r="HH230" s="50"/>
      <c r="HI230" s="224"/>
      <c r="HJ230" s="50"/>
      <c r="HK230" s="224"/>
      <c r="HL230" s="50"/>
      <c r="HM230" s="224"/>
      <c r="HN230" s="50"/>
      <c r="HO230" s="224"/>
      <c r="HP230" s="50"/>
      <c r="HQ230" s="224"/>
      <c r="HR230" s="50"/>
      <c r="HS230" s="224"/>
      <c r="HT230" s="50"/>
      <c r="HU230" s="107"/>
      <c r="HV230" s="436"/>
      <c r="HY230" s="148" t="s">
        <v>374</v>
      </c>
      <c r="HZ230" s="224"/>
      <c r="IA230" s="50"/>
      <c r="IB230" s="224"/>
      <c r="IC230" s="50"/>
      <c r="ID230" s="224"/>
      <c r="IE230" s="50"/>
      <c r="IF230" s="224"/>
      <c r="IG230" s="50"/>
      <c r="IH230" s="224"/>
      <c r="II230" s="50"/>
      <c r="IJ230" s="224"/>
      <c r="IK230" s="50"/>
      <c r="IL230" s="224"/>
      <c r="IM230" s="50"/>
      <c r="IN230" s="107"/>
      <c r="IO230" s="436"/>
    </row>
    <row r="231" spans="1:249" ht="14.25" x14ac:dyDescent="0.25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  <c r="AA231" s="158"/>
      <c r="AB231" s="158"/>
      <c r="AC231" s="158"/>
      <c r="AD231" s="158"/>
      <c r="AE231" s="158"/>
      <c r="AF231" s="158"/>
      <c r="AG231" s="158"/>
      <c r="AH231" s="158"/>
      <c r="AI231" s="158"/>
      <c r="AJ231" s="158"/>
      <c r="AK231" s="158"/>
      <c r="AL231" s="158"/>
      <c r="AM231" s="138"/>
      <c r="AN231" s="156"/>
      <c r="AO231" s="158"/>
      <c r="AP231" s="726"/>
      <c r="AQ231" s="148" t="s">
        <v>375</v>
      </c>
      <c r="AR231" s="224"/>
      <c r="AS231" s="50"/>
      <c r="AT231" s="224"/>
      <c r="AU231" s="50"/>
      <c r="AV231" s="224"/>
      <c r="AW231" s="50"/>
      <c r="AX231" s="224"/>
      <c r="AY231" s="50"/>
      <c r="AZ231" s="224"/>
      <c r="BA231" s="50"/>
      <c r="BB231" s="224"/>
      <c r="BC231" s="50"/>
      <c r="BD231" s="224"/>
      <c r="BE231" s="50"/>
      <c r="BF231" s="107"/>
      <c r="BG231" s="436"/>
      <c r="BH231" s="101"/>
      <c r="BI231" s="156"/>
      <c r="BJ231" s="148" t="s">
        <v>375</v>
      </c>
      <c r="BK231" s="224"/>
      <c r="BL231" s="50"/>
      <c r="BM231" s="224"/>
      <c r="BN231" s="50"/>
      <c r="BO231" s="224"/>
      <c r="BP231" s="50"/>
      <c r="BQ231" s="224"/>
      <c r="BR231" s="50"/>
      <c r="BS231" s="224"/>
      <c r="BT231" s="50"/>
      <c r="BU231" s="224"/>
      <c r="BV231" s="50"/>
      <c r="BW231" s="224"/>
      <c r="BX231" s="50"/>
      <c r="BY231" s="107"/>
      <c r="BZ231" s="436"/>
      <c r="CA231" s="156"/>
      <c r="CB231" s="156"/>
      <c r="CC231" s="148" t="s">
        <v>375</v>
      </c>
      <c r="CD231" s="224"/>
      <c r="CE231" s="50"/>
      <c r="CF231" s="224"/>
      <c r="CG231" s="50"/>
      <c r="CH231" s="224"/>
      <c r="CI231" s="50"/>
      <c r="CJ231" s="224"/>
      <c r="CK231" s="50"/>
      <c r="CL231" s="224"/>
      <c r="CM231" s="50"/>
      <c r="CN231" s="224"/>
      <c r="CO231" s="50"/>
      <c r="CP231" s="224"/>
      <c r="CQ231" s="50"/>
      <c r="CR231" s="107"/>
      <c r="CS231" s="436"/>
      <c r="CV231" s="148" t="s">
        <v>375</v>
      </c>
      <c r="CW231" s="224"/>
      <c r="CX231" s="50"/>
      <c r="CY231" s="224"/>
      <c r="CZ231" s="50"/>
      <c r="DA231" s="224"/>
      <c r="DB231" s="50"/>
      <c r="DC231" s="224"/>
      <c r="DD231" s="50"/>
      <c r="DE231" s="224"/>
      <c r="DF231" s="50"/>
      <c r="DG231" s="224"/>
      <c r="DH231" s="50"/>
      <c r="DI231" s="224"/>
      <c r="DJ231" s="50"/>
      <c r="DK231" s="107"/>
      <c r="DL231" s="436"/>
      <c r="DO231" s="148" t="s">
        <v>375</v>
      </c>
      <c r="DP231" s="224"/>
      <c r="DQ231" s="50"/>
      <c r="DR231" s="224"/>
      <c r="DS231" s="50"/>
      <c r="DT231" s="224"/>
      <c r="DU231" s="50"/>
      <c r="DV231" s="224"/>
      <c r="DW231" s="50"/>
      <c r="DX231" s="224"/>
      <c r="DY231" s="50"/>
      <c r="DZ231" s="224"/>
      <c r="EA231" s="50"/>
      <c r="EB231" s="224"/>
      <c r="EC231" s="50"/>
      <c r="ED231" s="107"/>
      <c r="EE231" s="436"/>
      <c r="EH231" s="148" t="s">
        <v>375</v>
      </c>
      <c r="EI231" s="224"/>
      <c r="EJ231" s="50"/>
      <c r="EK231" s="224"/>
      <c r="EL231" s="50"/>
      <c r="EM231" s="224"/>
      <c r="EN231" s="50"/>
      <c r="EO231" s="224"/>
      <c r="EP231" s="50"/>
      <c r="EQ231" s="224"/>
      <c r="ER231" s="50"/>
      <c r="ES231" s="224"/>
      <c r="ET231" s="50"/>
      <c r="EU231" s="224"/>
      <c r="EV231" s="50"/>
      <c r="EW231" s="107"/>
      <c r="EX231" s="436"/>
      <c r="FA231" s="148" t="s">
        <v>375</v>
      </c>
      <c r="FB231" s="224"/>
      <c r="FC231" s="50"/>
      <c r="FD231" s="224"/>
      <c r="FE231" s="50"/>
      <c r="FF231" s="224"/>
      <c r="FG231" s="50"/>
      <c r="FH231" s="224"/>
      <c r="FI231" s="50"/>
      <c r="FJ231" s="224"/>
      <c r="FK231" s="50"/>
      <c r="FL231" s="224"/>
      <c r="FM231" s="50"/>
      <c r="FN231" s="224"/>
      <c r="FO231" s="50"/>
      <c r="FP231" s="107"/>
      <c r="FQ231" s="436"/>
      <c r="FT231" s="148" t="s">
        <v>375</v>
      </c>
      <c r="FU231" s="224"/>
      <c r="FV231" s="50"/>
      <c r="FW231" s="224"/>
      <c r="FX231" s="50"/>
      <c r="FY231" s="224"/>
      <c r="FZ231" s="50"/>
      <c r="GA231" s="224"/>
      <c r="GB231" s="50"/>
      <c r="GC231" s="224"/>
      <c r="GD231" s="50"/>
      <c r="GE231" s="224"/>
      <c r="GF231" s="50"/>
      <c r="GG231" s="224"/>
      <c r="GH231" s="50"/>
      <c r="GI231" s="107"/>
      <c r="GJ231" s="436"/>
      <c r="GM231" s="148" t="s">
        <v>375</v>
      </c>
      <c r="GN231" s="224"/>
      <c r="GO231" s="50"/>
      <c r="GP231" s="224"/>
      <c r="GQ231" s="50"/>
      <c r="GR231" s="224"/>
      <c r="GS231" s="50"/>
      <c r="GT231" s="224"/>
      <c r="GU231" s="50"/>
      <c r="GV231" s="224"/>
      <c r="GW231" s="50"/>
      <c r="GX231" s="224"/>
      <c r="GY231" s="50"/>
      <c r="GZ231" s="224"/>
      <c r="HA231" s="50"/>
      <c r="HB231" s="107"/>
      <c r="HC231" s="436"/>
      <c r="HF231" s="148" t="s">
        <v>375</v>
      </c>
      <c r="HG231" s="224"/>
      <c r="HH231" s="50"/>
      <c r="HI231" s="224"/>
      <c r="HJ231" s="50"/>
      <c r="HK231" s="224"/>
      <c r="HL231" s="50"/>
      <c r="HM231" s="224"/>
      <c r="HN231" s="50"/>
      <c r="HO231" s="224"/>
      <c r="HP231" s="50"/>
      <c r="HQ231" s="224"/>
      <c r="HR231" s="50"/>
      <c r="HS231" s="224"/>
      <c r="HT231" s="50"/>
      <c r="HU231" s="107"/>
      <c r="HV231" s="436"/>
      <c r="HY231" s="148" t="s">
        <v>375</v>
      </c>
      <c r="HZ231" s="224"/>
      <c r="IA231" s="50"/>
      <c r="IB231" s="224"/>
      <c r="IC231" s="50"/>
      <c r="ID231" s="224"/>
      <c r="IE231" s="50"/>
      <c r="IF231" s="224"/>
      <c r="IG231" s="50"/>
      <c r="IH231" s="224"/>
      <c r="II231" s="50"/>
      <c r="IJ231" s="224"/>
      <c r="IK231" s="50"/>
      <c r="IL231" s="224"/>
      <c r="IM231" s="50"/>
      <c r="IN231" s="107"/>
      <c r="IO231" s="436"/>
    </row>
    <row r="232" spans="1:249" ht="14.25" x14ac:dyDescent="0.25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58"/>
      <c r="AI232" s="158"/>
      <c r="AJ232" s="158"/>
      <c r="AK232" s="158"/>
      <c r="AL232" s="158"/>
      <c r="AM232" s="138"/>
      <c r="AN232" s="156"/>
      <c r="AO232" s="158"/>
      <c r="AP232" s="726"/>
      <c r="AQ232" s="148" t="s">
        <v>416</v>
      </c>
      <c r="AR232" s="224"/>
      <c r="AS232" s="50"/>
      <c r="AT232" s="224"/>
      <c r="AU232" s="50"/>
      <c r="AV232" s="224"/>
      <c r="AW232" s="50"/>
      <c r="AX232" s="224"/>
      <c r="AY232" s="50"/>
      <c r="AZ232" s="224"/>
      <c r="BA232" s="50"/>
      <c r="BB232" s="224"/>
      <c r="BC232" s="50"/>
      <c r="BD232" s="224"/>
      <c r="BE232" s="50"/>
      <c r="BF232" s="107"/>
      <c r="BG232" s="436"/>
      <c r="BH232" s="101"/>
      <c r="BI232" s="156"/>
      <c r="BJ232" s="148" t="s">
        <v>416</v>
      </c>
      <c r="BK232" s="224"/>
      <c r="BL232" s="50"/>
      <c r="BM232" s="224"/>
      <c r="BN232" s="50"/>
      <c r="BO232" s="224"/>
      <c r="BP232" s="50"/>
      <c r="BQ232" s="224"/>
      <c r="BR232" s="50"/>
      <c r="BS232" s="224"/>
      <c r="BT232" s="50"/>
      <c r="BU232" s="224"/>
      <c r="BV232" s="50"/>
      <c r="BW232" s="224"/>
      <c r="BX232" s="50"/>
      <c r="BY232" s="107"/>
      <c r="BZ232" s="436"/>
      <c r="CA232" s="156"/>
      <c r="CB232" s="156"/>
      <c r="CC232" s="148" t="s">
        <v>416</v>
      </c>
      <c r="CD232" s="224"/>
      <c r="CE232" s="50"/>
      <c r="CF232" s="224"/>
      <c r="CG232" s="50"/>
      <c r="CH232" s="224"/>
      <c r="CI232" s="50"/>
      <c r="CJ232" s="224"/>
      <c r="CK232" s="50"/>
      <c r="CL232" s="224"/>
      <c r="CM232" s="50"/>
      <c r="CN232" s="224"/>
      <c r="CO232" s="50"/>
      <c r="CP232" s="224"/>
      <c r="CQ232" s="50"/>
      <c r="CR232" s="107"/>
      <c r="CS232" s="436"/>
      <c r="CV232" s="148" t="s">
        <v>416</v>
      </c>
      <c r="CW232" s="224"/>
      <c r="CX232" s="50"/>
      <c r="CY232" s="224"/>
      <c r="CZ232" s="50"/>
      <c r="DA232" s="224"/>
      <c r="DB232" s="50"/>
      <c r="DC232" s="224"/>
      <c r="DD232" s="50"/>
      <c r="DE232" s="224"/>
      <c r="DF232" s="50"/>
      <c r="DG232" s="224"/>
      <c r="DH232" s="50"/>
      <c r="DI232" s="224"/>
      <c r="DJ232" s="50"/>
      <c r="DK232" s="107"/>
      <c r="DL232" s="436"/>
      <c r="DO232" s="148" t="s">
        <v>416</v>
      </c>
      <c r="DP232" s="224"/>
      <c r="DQ232" s="50"/>
      <c r="DR232" s="224"/>
      <c r="DS232" s="50"/>
      <c r="DT232" s="224"/>
      <c r="DU232" s="50"/>
      <c r="DV232" s="224"/>
      <c r="DW232" s="50"/>
      <c r="DX232" s="224"/>
      <c r="DY232" s="50"/>
      <c r="DZ232" s="224"/>
      <c r="EA232" s="50"/>
      <c r="EB232" s="224"/>
      <c r="EC232" s="50"/>
      <c r="ED232" s="107"/>
      <c r="EE232" s="436"/>
      <c r="EH232" s="148" t="s">
        <v>416</v>
      </c>
      <c r="EI232" s="224"/>
      <c r="EJ232" s="50"/>
      <c r="EK232" s="224"/>
      <c r="EL232" s="50"/>
      <c r="EM232" s="224"/>
      <c r="EN232" s="50"/>
      <c r="EO232" s="224"/>
      <c r="EP232" s="50"/>
      <c r="EQ232" s="224"/>
      <c r="ER232" s="50"/>
      <c r="ES232" s="224"/>
      <c r="ET232" s="50"/>
      <c r="EU232" s="224"/>
      <c r="EV232" s="50"/>
      <c r="EW232" s="107"/>
      <c r="EX232" s="436"/>
      <c r="FA232" s="148" t="s">
        <v>416</v>
      </c>
      <c r="FB232" s="224"/>
      <c r="FC232" s="50"/>
      <c r="FD232" s="224"/>
      <c r="FE232" s="50"/>
      <c r="FF232" s="224"/>
      <c r="FG232" s="50"/>
      <c r="FH232" s="224"/>
      <c r="FI232" s="50"/>
      <c r="FJ232" s="224"/>
      <c r="FK232" s="50"/>
      <c r="FL232" s="224"/>
      <c r="FM232" s="50"/>
      <c r="FN232" s="224"/>
      <c r="FO232" s="50"/>
      <c r="FP232" s="107"/>
      <c r="FQ232" s="436"/>
      <c r="FT232" s="148" t="s">
        <v>416</v>
      </c>
      <c r="FU232" s="224"/>
      <c r="FV232" s="50"/>
      <c r="FW232" s="224"/>
      <c r="FX232" s="50"/>
      <c r="FY232" s="224"/>
      <c r="FZ232" s="50"/>
      <c r="GA232" s="224"/>
      <c r="GB232" s="50"/>
      <c r="GC232" s="224"/>
      <c r="GD232" s="50"/>
      <c r="GE232" s="224"/>
      <c r="GF232" s="50"/>
      <c r="GG232" s="224"/>
      <c r="GH232" s="50"/>
      <c r="GI232" s="107"/>
      <c r="GJ232" s="436"/>
      <c r="GM232" s="148" t="s">
        <v>416</v>
      </c>
      <c r="GN232" s="224"/>
      <c r="GO232" s="50"/>
      <c r="GP232" s="224"/>
      <c r="GQ232" s="50"/>
      <c r="GR232" s="224"/>
      <c r="GS232" s="50"/>
      <c r="GT232" s="224"/>
      <c r="GU232" s="50"/>
      <c r="GV232" s="224"/>
      <c r="GW232" s="50"/>
      <c r="GX232" s="224"/>
      <c r="GY232" s="50"/>
      <c r="GZ232" s="224"/>
      <c r="HA232" s="50"/>
      <c r="HB232" s="107"/>
      <c r="HC232" s="436"/>
      <c r="HF232" s="148" t="s">
        <v>416</v>
      </c>
      <c r="HG232" s="224"/>
      <c r="HH232" s="50"/>
      <c r="HI232" s="224"/>
      <c r="HJ232" s="50"/>
      <c r="HK232" s="224"/>
      <c r="HL232" s="50"/>
      <c r="HM232" s="224"/>
      <c r="HN232" s="50"/>
      <c r="HO232" s="224"/>
      <c r="HP232" s="50"/>
      <c r="HQ232" s="224"/>
      <c r="HR232" s="50"/>
      <c r="HS232" s="224"/>
      <c r="HT232" s="50"/>
      <c r="HU232" s="107"/>
      <c r="HV232" s="436"/>
      <c r="HY232" s="148" t="s">
        <v>416</v>
      </c>
      <c r="HZ232" s="224"/>
      <c r="IA232" s="50"/>
      <c r="IB232" s="224"/>
      <c r="IC232" s="50"/>
      <c r="ID232" s="224"/>
      <c r="IE232" s="50"/>
      <c r="IF232" s="224"/>
      <c r="IG232" s="50"/>
      <c r="IH232" s="224"/>
      <c r="II232" s="50"/>
      <c r="IJ232" s="224"/>
      <c r="IK232" s="50"/>
      <c r="IL232" s="224"/>
      <c r="IM232" s="50"/>
      <c r="IN232" s="107"/>
      <c r="IO232" s="436"/>
    </row>
    <row r="233" spans="1:249" ht="14.25" x14ac:dyDescent="0.25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  <c r="AA233" s="158"/>
      <c r="AB233" s="158"/>
      <c r="AC233" s="158"/>
      <c r="AD233" s="158"/>
      <c r="AE233" s="158"/>
      <c r="AF233" s="158"/>
      <c r="AG233" s="158"/>
      <c r="AH233" s="158"/>
      <c r="AI233" s="158"/>
      <c r="AJ233" s="158"/>
      <c r="AK233" s="158"/>
      <c r="AL233" s="158"/>
      <c r="AM233" s="138"/>
      <c r="AN233" s="156"/>
      <c r="AO233" s="158"/>
      <c r="AP233" s="726"/>
      <c r="AQ233" s="148" t="s">
        <v>417</v>
      </c>
      <c r="AR233" s="224"/>
      <c r="AS233" s="50"/>
      <c r="AT233" s="224"/>
      <c r="AU233" s="50"/>
      <c r="AV233" s="224"/>
      <c r="AW233" s="50"/>
      <c r="AX233" s="224"/>
      <c r="AY233" s="50"/>
      <c r="AZ233" s="224"/>
      <c r="BA233" s="50"/>
      <c r="BB233" s="224"/>
      <c r="BC233" s="50"/>
      <c r="BD233" s="224"/>
      <c r="BE233" s="50"/>
      <c r="BF233" s="107"/>
      <c r="BG233" s="436"/>
      <c r="BH233" s="101"/>
      <c r="BI233" s="156"/>
      <c r="BJ233" s="148" t="s">
        <v>417</v>
      </c>
      <c r="BK233" s="224"/>
      <c r="BL233" s="50"/>
      <c r="BM233" s="224"/>
      <c r="BN233" s="50"/>
      <c r="BO233" s="224"/>
      <c r="BP233" s="50"/>
      <c r="BQ233" s="224"/>
      <c r="BR233" s="50"/>
      <c r="BS233" s="224"/>
      <c r="BT233" s="50"/>
      <c r="BU233" s="224"/>
      <c r="BV233" s="50"/>
      <c r="BW233" s="224"/>
      <c r="BX233" s="50"/>
      <c r="BY233" s="107"/>
      <c r="BZ233" s="436"/>
      <c r="CA233" s="156"/>
      <c r="CB233" s="156"/>
      <c r="CC233" s="148" t="s">
        <v>417</v>
      </c>
      <c r="CD233" s="224"/>
      <c r="CE233" s="50"/>
      <c r="CF233" s="224"/>
      <c r="CG233" s="50"/>
      <c r="CH233" s="224"/>
      <c r="CI233" s="50"/>
      <c r="CJ233" s="224"/>
      <c r="CK233" s="50"/>
      <c r="CL233" s="224"/>
      <c r="CM233" s="50"/>
      <c r="CN233" s="224"/>
      <c r="CO233" s="50"/>
      <c r="CP233" s="224"/>
      <c r="CQ233" s="50"/>
      <c r="CR233" s="107"/>
      <c r="CS233" s="436"/>
      <c r="CV233" s="148" t="s">
        <v>417</v>
      </c>
      <c r="CW233" s="224"/>
      <c r="CX233" s="50"/>
      <c r="CY233" s="224"/>
      <c r="CZ233" s="50"/>
      <c r="DA233" s="224"/>
      <c r="DB233" s="50"/>
      <c r="DC233" s="224"/>
      <c r="DD233" s="50"/>
      <c r="DE233" s="224"/>
      <c r="DF233" s="50"/>
      <c r="DG233" s="224"/>
      <c r="DH233" s="50"/>
      <c r="DI233" s="224"/>
      <c r="DJ233" s="50"/>
      <c r="DK233" s="107"/>
      <c r="DL233" s="436"/>
      <c r="DO233" s="148" t="s">
        <v>417</v>
      </c>
      <c r="DP233" s="224"/>
      <c r="DQ233" s="50"/>
      <c r="DR233" s="224"/>
      <c r="DS233" s="50"/>
      <c r="DT233" s="224"/>
      <c r="DU233" s="50"/>
      <c r="DV233" s="224"/>
      <c r="DW233" s="50"/>
      <c r="DX233" s="224"/>
      <c r="DY233" s="50"/>
      <c r="DZ233" s="224"/>
      <c r="EA233" s="50"/>
      <c r="EB233" s="224"/>
      <c r="EC233" s="50"/>
      <c r="ED233" s="107"/>
      <c r="EE233" s="436"/>
      <c r="EH233" s="148" t="s">
        <v>417</v>
      </c>
      <c r="EI233" s="224"/>
      <c r="EJ233" s="50"/>
      <c r="EK233" s="224"/>
      <c r="EL233" s="50"/>
      <c r="EM233" s="224"/>
      <c r="EN233" s="50"/>
      <c r="EO233" s="224"/>
      <c r="EP233" s="50"/>
      <c r="EQ233" s="224"/>
      <c r="ER233" s="50"/>
      <c r="ES233" s="224"/>
      <c r="ET233" s="50"/>
      <c r="EU233" s="224"/>
      <c r="EV233" s="50"/>
      <c r="EW233" s="107"/>
      <c r="EX233" s="436"/>
      <c r="FA233" s="148" t="s">
        <v>417</v>
      </c>
      <c r="FB233" s="224"/>
      <c r="FC233" s="50"/>
      <c r="FD233" s="224"/>
      <c r="FE233" s="50"/>
      <c r="FF233" s="224"/>
      <c r="FG233" s="50"/>
      <c r="FH233" s="224"/>
      <c r="FI233" s="50"/>
      <c r="FJ233" s="224"/>
      <c r="FK233" s="50"/>
      <c r="FL233" s="224"/>
      <c r="FM233" s="50"/>
      <c r="FN233" s="224"/>
      <c r="FO233" s="50"/>
      <c r="FP233" s="107"/>
      <c r="FQ233" s="436"/>
      <c r="FT233" s="148" t="s">
        <v>417</v>
      </c>
      <c r="FU233" s="224"/>
      <c r="FV233" s="50"/>
      <c r="FW233" s="224"/>
      <c r="FX233" s="50"/>
      <c r="FY233" s="224"/>
      <c r="FZ233" s="50"/>
      <c r="GA233" s="224"/>
      <c r="GB233" s="50"/>
      <c r="GC233" s="224"/>
      <c r="GD233" s="50"/>
      <c r="GE233" s="224"/>
      <c r="GF233" s="50"/>
      <c r="GG233" s="224"/>
      <c r="GH233" s="50"/>
      <c r="GI233" s="107"/>
      <c r="GJ233" s="436"/>
      <c r="GM233" s="148" t="s">
        <v>417</v>
      </c>
      <c r="GN233" s="224"/>
      <c r="GO233" s="50"/>
      <c r="GP233" s="224"/>
      <c r="GQ233" s="50"/>
      <c r="GR233" s="224"/>
      <c r="GS233" s="50"/>
      <c r="GT233" s="224"/>
      <c r="GU233" s="50"/>
      <c r="GV233" s="224"/>
      <c r="GW233" s="50"/>
      <c r="GX233" s="224"/>
      <c r="GY233" s="50"/>
      <c r="GZ233" s="224"/>
      <c r="HA233" s="50"/>
      <c r="HB233" s="107"/>
      <c r="HC233" s="436"/>
      <c r="HF233" s="148" t="s">
        <v>417</v>
      </c>
      <c r="HG233" s="224"/>
      <c r="HH233" s="50"/>
      <c r="HI233" s="224"/>
      <c r="HJ233" s="50"/>
      <c r="HK233" s="224"/>
      <c r="HL233" s="50"/>
      <c r="HM233" s="224"/>
      <c r="HN233" s="50"/>
      <c r="HO233" s="224"/>
      <c r="HP233" s="50"/>
      <c r="HQ233" s="224"/>
      <c r="HR233" s="50"/>
      <c r="HS233" s="224"/>
      <c r="HT233" s="50"/>
      <c r="HU233" s="107"/>
      <c r="HV233" s="436"/>
      <c r="HY233" s="148" t="s">
        <v>417</v>
      </c>
      <c r="HZ233" s="224"/>
      <c r="IA233" s="50"/>
      <c r="IB233" s="224"/>
      <c r="IC233" s="50"/>
      <c r="ID233" s="224"/>
      <c r="IE233" s="50"/>
      <c r="IF233" s="224"/>
      <c r="IG233" s="50"/>
      <c r="IH233" s="224"/>
      <c r="II233" s="50"/>
      <c r="IJ233" s="224"/>
      <c r="IK233" s="50"/>
      <c r="IL233" s="224"/>
      <c r="IM233" s="50"/>
      <c r="IN233" s="107"/>
      <c r="IO233" s="436"/>
    </row>
    <row r="234" spans="1:249" x14ac:dyDescent="0.2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  <c r="AA234" s="158"/>
      <c r="AB234" s="158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22"/>
      <c r="AN234" s="156"/>
      <c r="AO234" s="158"/>
      <c r="AP234" s="726"/>
      <c r="AQ234" s="117" t="s">
        <v>57</v>
      </c>
      <c r="AR234" s="259">
        <f>AR235+AR237</f>
        <v>29.098270188407035</v>
      </c>
      <c r="AS234" s="57">
        <f t="shared" ref="AS234:BC234" si="2999">AS235+AS237</f>
        <v>10.104913852262065</v>
      </c>
      <c r="AT234" s="259">
        <f t="shared" si="2999"/>
        <v>47.76410146331559</v>
      </c>
      <c r="AU234" s="57">
        <f t="shared" si="2999"/>
        <v>14.981074219880147</v>
      </c>
      <c r="AV234" s="259">
        <f t="shared" si="2999"/>
        <v>45.228419939759334</v>
      </c>
      <c r="AW234" s="57">
        <f t="shared" si="2999"/>
        <v>14.318666552738794</v>
      </c>
      <c r="AX234" s="259">
        <f t="shared" si="2999"/>
        <v>31.432226718979148</v>
      </c>
      <c r="AY234" s="57">
        <f t="shared" si="2999"/>
        <v>9.7882878517629575</v>
      </c>
      <c r="AZ234" s="259">
        <f t="shared" si="2999"/>
        <v>25.762349115819582</v>
      </c>
      <c r="BA234" s="57">
        <f t="shared" si="2999"/>
        <v>8.106932091159452</v>
      </c>
      <c r="BB234" s="259">
        <f t="shared" si="2999"/>
        <v>85.893951332306585</v>
      </c>
      <c r="BC234" s="57">
        <f t="shared" si="2999"/>
        <v>25.606885274851876</v>
      </c>
      <c r="BD234" s="259">
        <f>BD236+BD237</f>
        <v>50.760858787788884</v>
      </c>
      <c r="BE234" s="57">
        <f>BE236+BE237</f>
        <v>23.042204188455251</v>
      </c>
      <c r="BF234" s="259">
        <f t="shared" ref="BF234:BG234" si="3000">BF235+BF237</f>
        <v>6349.9989356898705</v>
      </c>
      <c r="BG234" s="57">
        <f t="shared" si="3000"/>
        <v>1658.8392281382432</v>
      </c>
      <c r="BH234" s="101"/>
      <c r="BI234" s="156"/>
      <c r="BJ234" s="117" t="s">
        <v>57</v>
      </c>
      <c r="BK234" s="259">
        <f>BK235+BK237</f>
        <v>1.6875511857350043</v>
      </c>
      <c r="BL234" s="57">
        <f t="shared" ref="BL234:BV234" si="3001">BL235+BL237</f>
        <v>0.56445684773089633</v>
      </c>
      <c r="BM234" s="259">
        <f t="shared" si="3001"/>
        <v>2.791302318580041</v>
      </c>
      <c r="BN234" s="57">
        <f t="shared" si="3001"/>
        <v>0.85279479799016678</v>
      </c>
      <c r="BO234" s="259">
        <f t="shared" si="3001"/>
        <v>2.641361964307062</v>
      </c>
      <c r="BP234" s="57">
        <f t="shared" si="3001"/>
        <v>0.81362519433070823</v>
      </c>
      <c r="BQ234" s="259">
        <f t="shared" si="3001"/>
        <v>1.8404105207336463</v>
      </c>
      <c r="BR234" s="57">
        <f t="shared" si="3001"/>
        <v>0.56057203013734447</v>
      </c>
      <c r="BS234" s="259">
        <f t="shared" si="3001"/>
        <v>1.5121748678343421</v>
      </c>
      <c r="BT234" s="57">
        <f t="shared" si="3001"/>
        <v>0.46818152733964324</v>
      </c>
      <c r="BU234" s="259">
        <f t="shared" si="3001"/>
        <v>5.037212881880194</v>
      </c>
      <c r="BV234" s="57">
        <f t="shared" si="3001"/>
        <v>1.4723382177502851</v>
      </c>
      <c r="BW234" s="259">
        <f>BW236+BW237</f>
        <v>5.2308248012819085</v>
      </c>
      <c r="BX234" s="57">
        <f>BX236+BX237</f>
        <v>2.1373138451471148</v>
      </c>
      <c r="BY234" s="259">
        <f t="shared" ref="BY234:BZ234" si="3002">BY235+BY237</f>
        <v>461.59608458039349</v>
      </c>
      <c r="BZ234" s="57">
        <f t="shared" si="3002"/>
        <v>120.58485370026087</v>
      </c>
      <c r="CA234" s="156"/>
      <c r="CB234" s="156"/>
      <c r="CC234" s="117" t="s">
        <v>57</v>
      </c>
      <c r="CD234" s="259">
        <f>CD235+CD237</f>
        <v>22120.896808206493</v>
      </c>
      <c r="CE234" s="57">
        <f t="shared" ref="CE234:CO234" si="3003">CE235+CE237</f>
        <v>6231.1488661207322</v>
      </c>
      <c r="CF234" s="259">
        <f t="shared" si="3003"/>
        <v>37737.068709349107</v>
      </c>
      <c r="CG234" s="57">
        <f t="shared" si="3003"/>
        <v>10310.632784987109</v>
      </c>
      <c r="CH234" s="259">
        <f t="shared" si="3003"/>
        <v>35615.671704564505</v>
      </c>
      <c r="CI234" s="57">
        <f t="shared" si="3003"/>
        <v>9756.4505550952472</v>
      </c>
      <c r="CJ234" s="259">
        <f t="shared" si="3003"/>
        <v>25002.083714828634</v>
      </c>
      <c r="CK234" s="57">
        <f t="shared" si="3003"/>
        <v>6894.6387115154757</v>
      </c>
      <c r="CL234" s="259">
        <f t="shared" si="3003"/>
        <v>20614.771449835229</v>
      </c>
      <c r="CM234" s="57">
        <f t="shared" si="3003"/>
        <v>5844.1085631276546</v>
      </c>
      <c r="CN234" s="259">
        <f t="shared" si="3003"/>
        <v>69046.64177184338</v>
      </c>
      <c r="CO234" s="57">
        <f t="shared" si="3003"/>
        <v>18609.945904769585</v>
      </c>
      <c r="CP234" s="259">
        <f>CP236+CP237</f>
        <v>94.910592038109343</v>
      </c>
      <c r="CQ234" s="57">
        <f>CQ236+CQ237</f>
        <v>30.818924808753259</v>
      </c>
      <c r="CR234" s="259">
        <f t="shared" ref="CR234:CS234" si="3004">CR235+CR237</f>
        <v>47613.398318186926</v>
      </c>
      <c r="CS234" s="57">
        <f t="shared" si="3004"/>
        <v>12438.265535960931</v>
      </c>
      <c r="CV234" s="117" t="s">
        <v>57</v>
      </c>
      <c r="CW234" s="259">
        <f>CW235+CW237</f>
        <v>3.4409402571927853E-3</v>
      </c>
      <c r="CX234" s="57">
        <f t="shared" ref="CX234:DH234" si="3005">CX235+CX237</f>
        <v>9.1220054892902902E-4</v>
      </c>
      <c r="CY234" s="259">
        <f t="shared" si="3005"/>
        <v>5.9261422891916694E-3</v>
      </c>
      <c r="CZ234" s="57">
        <f t="shared" si="3005"/>
        <v>1.5614212279055268E-3</v>
      </c>
      <c r="DA234" s="259">
        <f t="shared" si="3005"/>
        <v>5.5885371334376335E-3</v>
      </c>
      <c r="DB234" s="57">
        <f t="shared" si="3005"/>
        <v>1.4732270909208949E-3</v>
      </c>
      <c r="DC234" s="259">
        <f t="shared" si="3005"/>
        <v>3.9107242408662635E-3</v>
      </c>
      <c r="DD234" s="57">
        <f t="shared" si="3005"/>
        <v>1.0290539144581733E-3</v>
      </c>
      <c r="DE234" s="259">
        <f t="shared" si="3005"/>
        <v>3.188327603306733E-3</v>
      </c>
      <c r="DF234" s="57">
        <f t="shared" si="3005"/>
        <v>8.3768227904198089E-4</v>
      </c>
      <c r="DG234" s="259">
        <f t="shared" si="3005"/>
        <v>1.0887735001540536E-2</v>
      </c>
      <c r="DH234" s="57">
        <f t="shared" si="3005"/>
        <v>2.8610956957545262E-3</v>
      </c>
      <c r="DI234" s="259">
        <f>DI236+DI237</f>
        <v>1.0171110965791262E-4</v>
      </c>
      <c r="DJ234" s="57">
        <f>DJ236+DJ237</f>
        <v>4.3437645622953006E-5</v>
      </c>
      <c r="DK234" s="259">
        <f t="shared" ref="DK234:DL234" si="3006">DK235+DK237</f>
        <v>1.3860461702504486E-2</v>
      </c>
      <c r="DL234" s="57">
        <f t="shared" si="3006"/>
        <v>3.6208317237653703E-3</v>
      </c>
      <c r="DO234" s="117" t="s">
        <v>57</v>
      </c>
      <c r="DP234" s="259">
        <f>DP235+DP237</f>
        <v>6.7229062720660412E-2</v>
      </c>
      <c r="DQ234" s="57">
        <f t="shared" ref="DQ234:EA234" si="3007">DQ235+DQ237</f>
        <v>1.7568898188872459E-2</v>
      </c>
      <c r="DR234" s="259">
        <f t="shared" si="3007"/>
        <v>0.11603421479027561</v>
      </c>
      <c r="DS234" s="57">
        <f t="shared" si="3007"/>
        <v>3.0318491001132399E-2</v>
      </c>
      <c r="DT234" s="259">
        <f t="shared" si="3007"/>
        <v>0.10940422223678924</v>
      </c>
      <c r="DU234" s="57">
        <f t="shared" si="3007"/>
        <v>2.8586507761234038E-2</v>
      </c>
      <c r="DV234" s="259">
        <f t="shared" si="3007"/>
        <v>7.6607385810356365E-2</v>
      </c>
      <c r="DW234" s="57">
        <f t="shared" si="3007"/>
        <v>2.0016265138473727E-2</v>
      </c>
      <c r="DX234" s="259">
        <f t="shared" si="3007"/>
        <v>6.2490128489310327E-2</v>
      </c>
      <c r="DY234" s="57">
        <f t="shared" si="3007"/>
        <v>1.6327439310883526E-2</v>
      </c>
      <c r="DZ234" s="259">
        <f t="shared" si="3007"/>
        <v>0.21337979399932333</v>
      </c>
      <c r="EA234" s="57">
        <f t="shared" si="3007"/>
        <v>5.5750206192541021E-2</v>
      </c>
      <c r="EB234" s="259">
        <f>EB236+EB237</f>
        <v>1.4469825737416398E-3</v>
      </c>
      <c r="EC234" s="57">
        <f>EC236+EC237</f>
        <v>3.851732406923462E-4</v>
      </c>
      <c r="ED234" s="259">
        <f t="shared" ref="ED234:EE234" si="3008">ED235+ED237</f>
        <v>1741.0405112454534</v>
      </c>
      <c r="EE234" s="57">
        <f t="shared" si="3008"/>
        <v>454.81996565375067</v>
      </c>
      <c r="EH234" s="117" t="s">
        <v>57</v>
      </c>
      <c r="EI234" s="259">
        <f>EI235+EI237</f>
        <v>4.3007101893911115E-4</v>
      </c>
      <c r="EJ234" s="57">
        <f t="shared" ref="EJ234:ET234" si="3009">EJ235+EJ237</f>
        <v>1.1308505904562472E-4</v>
      </c>
      <c r="EK234" s="259">
        <f t="shared" si="3009"/>
        <v>7.4159928744624423E-4</v>
      </c>
      <c r="EL234" s="57">
        <f t="shared" si="3009"/>
        <v>1.944670116581051E-4</v>
      </c>
      <c r="EM234" s="259">
        <f t="shared" si="3009"/>
        <v>6.9927936807673405E-4</v>
      </c>
      <c r="EN234" s="57">
        <f t="shared" si="3009"/>
        <v>1.8341158580799635E-4</v>
      </c>
      <c r="EO234" s="259">
        <f t="shared" si="3009"/>
        <v>4.9100717710005273E-4</v>
      </c>
      <c r="EP234" s="57">
        <f t="shared" si="3009"/>
        <v>1.2978023992702225E-4</v>
      </c>
      <c r="EQ234" s="259">
        <f t="shared" si="3009"/>
        <v>4.0321385674162125E-4</v>
      </c>
      <c r="ER234" s="57">
        <f t="shared" si="3009"/>
        <v>1.0855267439517188E-4</v>
      </c>
      <c r="ES234" s="259">
        <f t="shared" si="3009"/>
        <v>1.3632160240056078E-3</v>
      </c>
      <c r="ET234" s="57">
        <f t="shared" si="3009"/>
        <v>3.5705019620501879E-4</v>
      </c>
      <c r="EU234" s="259">
        <f>EU236+EU237</f>
        <v>1.4115384481068057E-4</v>
      </c>
      <c r="EV234" s="57">
        <f>EV236+EV237</f>
        <v>4.17287748436075E-5</v>
      </c>
      <c r="EW234" s="259">
        <f t="shared" ref="EW234:EX234" si="3010">EW235+EW237</f>
        <v>3.6667220126346482E-2</v>
      </c>
      <c r="EX234" s="57">
        <f t="shared" si="3010"/>
        <v>9.5787454058455755E-3</v>
      </c>
      <c r="FA234" s="117" t="s">
        <v>57</v>
      </c>
      <c r="FB234" s="259">
        <f>FB235+FB237</f>
        <v>3.9400578491675002E-5</v>
      </c>
      <c r="FC234" s="57">
        <f t="shared" ref="FC234:FM234" si="3011">FC235+FC237</f>
        <v>1.0296071789257831E-5</v>
      </c>
      <c r="FD234" s="259">
        <f t="shared" si="3011"/>
        <v>6.8003989109584418E-5</v>
      </c>
      <c r="FE234" s="57">
        <f t="shared" si="3011"/>
        <v>1.7768271402528964E-5</v>
      </c>
      <c r="FF234" s="259">
        <f t="shared" si="3011"/>
        <v>6.4118325581058802E-5</v>
      </c>
      <c r="FG234" s="57">
        <f t="shared" si="3011"/>
        <v>1.6753201769645005E-5</v>
      </c>
      <c r="FH234" s="259">
        <f t="shared" si="3011"/>
        <v>4.4898372750589254E-5</v>
      </c>
      <c r="FI234" s="57">
        <f t="shared" si="3011"/>
        <v>1.1731814085104675E-5</v>
      </c>
      <c r="FJ234" s="259">
        <f t="shared" si="3011"/>
        <v>3.6626679621764869E-5</v>
      </c>
      <c r="FK234" s="57">
        <f t="shared" si="3011"/>
        <v>9.5719483990932817E-6</v>
      </c>
      <c r="FL234" s="259">
        <f t="shared" si="3011"/>
        <v>1.2505550279786487E-4</v>
      </c>
      <c r="FM234" s="57">
        <f t="shared" si="3011"/>
        <v>3.2672969831541249E-5</v>
      </c>
      <c r="FN234" s="259">
        <f>FN236+FN237</f>
        <v>5.371467581204698E-7</v>
      </c>
      <c r="FO234" s="57">
        <f>FO236+FO237</f>
        <v>2.5874289967192274E-7</v>
      </c>
      <c r="FP234" s="259">
        <f t="shared" ref="FP234:FQ234" si="3012">FP235+FP237</f>
        <v>1.4818681579757047E-4</v>
      </c>
      <c r="FQ234" s="57">
        <f t="shared" si="3012"/>
        <v>3.8711518793538141E-5</v>
      </c>
      <c r="FT234" s="117" t="s">
        <v>57</v>
      </c>
      <c r="FU234" s="259">
        <f>FU235+FU237</f>
        <v>27.048880347801163</v>
      </c>
      <c r="FV234" s="57">
        <f t="shared" ref="FV234:GF234" si="3013">FV235+FV237</f>
        <v>7.0661672725044751</v>
      </c>
      <c r="FW234" s="259">
        <f t="shared" si="3013"/>
        <v>46.687548547029621</v>
      </c>
      <c r="FX234" s="57">
        <f t="shared" si="3013"/>
        <v>12.196466273685617</v>
      </c>
      <c r="FY234" s="259">
        <f t="shared" si="3013"/>
        <v>44.019710861869818</v>
      </c>
      <c r="FZ234" s="57">
        <f t="shared" si="3013"/>
        <v>11.499534848772289</v>
      </c>
      <c r="GA234" s="259">
        <f t="shared" si="3013"/>
        <v>30.823987453546877</v>
      </c>
      <c r="GB234" s="57">
        <f t="shared" si="3013"/>
        <v>8.0523310278568303</v>
      </c>
      <c r="GC234" s="259">
        <f t="shared" si="3013"/>
        <v>25.14384275596959</v>
      </c>
      <c r="GD234" s="57">
        <f t="shared" si="3013"/>
        <v>6.5684743977660407</v>
      </c>
      <c r="GE234" s="259">
        <f t="shared" si="3013"/>
        <v>85.857466976273017</v>
      </c>
      <c r="GF234" s="57">
        <f t="shared" si="3013"/>
        <v>22.429020175912903</v>
      </c>
      <c r="GG234" s="259">
        <f>GG236+GG237</f>
        <v>3.2044425710173179E-2</v>
      </c>
      <c r="GH234" s="57">
        <f>GH236+GH237</f>
        <v>8.6126572691893853E-3</v>
      </c>
      <c r="GI234" s="259">
        <f t="shared" ref="GI234:GJ234" si="3014">GI235+GI237</f>
        <v>25.987060754773385</v>
      </c>
      <c r="GJ234" s="57">
        <f t="shared" si="3014"/>
        <v>6.7887185872963585</v>
      </c>
      <c r="GM234" s="117" t="s">
        <v>57</v>
      </c>
      <c r="GN234" s="259">
        <f>GN235+GN237</f>
        <v>1.8137587330029599</v>
      </c>
      <c r="GO234" s="57">
        <f t="shared" ref="GO234:GY234" si="3015">GO235+GO237</f>
        <v>0.47555908259038887</v>
      </c>
      <c r="GP234" s="259">
        <f t="shared" si="3015"/>
        <v>3.1289183363160578</v>
      </c>
      <c r="GQ234" s="57">
        <f t="shared" si="3015"/>
        <v>0.81912423328304396</v>
      </c>
      <c r="GR234" s="259">
        <f t="shared" si="3015"/>
        <v>2.9502589528932885</v>
      </c>
      <c r="GS234" s="57">
        <f t="shared" si="3015"/>
        <v>0.77245222645309719</v>
      </c>
      <c r="GT234" s="259">
        <f t="shared" si="3015"/>
        <v>2.0656055662204462</v>
      </c>
      <c r="GU234" s="57">
        <f t="shared" si="3015"/>
        <v>0.54063638337756614</v>
      </c>
      <c r="GV234" s="259">
        <f t="shared" si="3015"/>
        <v>1.6848731124156706</v>
      </c>
      <c r="GW234" s="57">
        <f t="shared" si="3015"/>
        <v>0.44092038533688693</v>
      </c>
      <c r="GX234" s="259">
        <f t="shared" si="3015"/>
        <v>5.7526690260868882</v>
      </c>
      <c r="GY234" s="57">
        <f t="shared" si="3015"/>
        <v>1.5050014901129818</v>
      </c>
      <c r="GZ234" s="259">
        <f>GZ236+GZ237</f>
        <v>1.4300063927970179</v>
      </c>
      <c r="HA234" s="57">
        <f>HA236+HA237</f>
        <v>0.37917292465311603</v>
      </c>
      <c r="HB234" s="259">
        <f t="shared" ref="HB234:HC234" si="3016">HB235+HB237</f>
        <v>17.014705874483262</v>
      </c>
      <c r="HC234" s="57">
        <f t="shared" si="3016"/>
        <v>4.4448293370872305</v>
      </c>
      <c r="HF234" s="117" t="s">
        <v>57</v>
      </c>
      <c r="HG234" s="259">
        <f>HG235+HG237</f>
        <v>6282.1047973970744</v>
      </c>
      <c r="HH234" s="57">
        <f t="shared" ref="HH234:HR234" si="3017">HH235+HH237</f>
        <v>1641.1597079913522</v>
      </c>
      <c r="HI234" s="259">
        <f t="shared" si="3017"/>
        <v>10843.146152275744</v>
      </c>
      <c r="HJ234" s="57">
        <f t="shared" si="3017"/>
        <v>2832.6613755127382</v>
      </c>
      <c r="HK234" s="259">
        <f t="shared" si="3017"/>
        <v>10223.546193323555</v>
      </c>
      <c r="HL234" s="57">
        <f t="shared" si="3017"/>
        <v>2670.800447964245</v>
      </c>
      <c r="HM234" s="259">
        <f t="shared" si="3017"/>
        <v>7158.8444049297768</v>
      </c>
      <c r="HN234" s="57">
        <f t="shared" si="3017"/>
        <v>1870.1728088360967</v>
      </c>
      <c r="HO234" s="259">
        <f t="shared" si="3017"/>
        <v>5839.6367378430623</v>
      </c>
      <c r="HP234" s="57">
        <f t="shared" si="3017"/>
        <v>1525.544640885232</v>
      </c>
      <c r="HQ234" s="259">
        <f t="shared" si="3017"/>
        <v>19940.296265087673</v>
      </c>
      <c r="HR234" s="57">
        <f t="shared" si="3017"/>
        <v>5209.1665354199295</v>
      </c>
      <c r="HS234" s="259">
        <f>HS236+HS237</f>
        <v>5.8626141166131083</v>
      </c>
      <c r="HT234" s="57">
        <f>HT236+HT237</f>
        <v>1.5389918330696701</v>
      </c>
      <c r="HU234" s="259">
        <f t="shared" ref="HU234:HV234" si="3018">HU235+HU237</f>
        <v>6702.70254281705</v>
      </c>
      <c r="HV234" s="57">
        <f t="shared" si="3018"/>
        <v>1750.9776025433189</v>
      </c>
      <c r="HY234" s="117" t="s">
        <v>57</v>
      </c>
      <c r="HZ234" s="259">
        <f>HZ235+HZ237</f>
        <v>3.5809829011882539E-4</v>
      </c>
      <c r="IA234" s="57">
        <f t="shared" ref="IA234:IK234" si="3019">IA235+IA237</f>
        <v>9.5209628063529938E-5</v>
      </c>
      <c r="IB234" s="259">
        <f t="shared" si="3019"/>
        <v>6.1646075323616722E-4</v>
      </c>
      <c r="IC234" s="57">
        <f t="shared" si="3019"/>
        <v>1.6270283447788735E-4</v>
      </c>
      <c r="ID234" s="259">
        <f t="shared" si="3019"/>
        <v>5.8136320443383943E-4</v>
      </c>
      <c r="IE234" s="57">
        <f t="shared" si="3019"/>
        <v>1.5353414148211889E-4</v>
      </c>
      <c r="IF234" s="259">
        <f t="shared" si="3019"/>
        <v>4.0679141051313243E-4</v>
      </c>
      <c r="IG234" s="57">
        <f t="shared" si="3019"/>
        <v>1.0721196205204094E-4</v>
      </c>
      <c r="IH234" s="259">
        <f t="shared" si="3019"/>
        <v>3.3165006356380684E-4</v>
      </c>
      <c r="II234" s="57">
        <f t="shared" si="3019"/>
        <v>8.7276159466459646E-5</v>
      </c>
      <c r="IJ234" s="259">
        <f t="shared" si="3019"/>
        <v>1.1323697757622865E-3</v>
      </c>
      <c r="IK234" s="57">
        <f t="shared" si="3019"/>
        <v>2.9791756742304732E-4</v>
      </c>
      <c r="IL234" s="259">
        <f>IL236+IL237</f>
        <v>1.8641817783554917E-5</v>
      </c>
      <c r="IM234" s="57">
        <f>IM236+IM237</f>
        <v>7.3076758717887746E-6</v>
      </c>
      <c r="IN234" s="259">
        <f t="shared" ref="IN234:IO234" si="3020">IN235+IN237</f>
        <v>2.3523247017270678E-3</v>
      </c>
      <c r="IO234" s="57">
        <f t="shared" si="3020"/>
        <v>6.1450852701907133E-4</v>
      </c>
    </row>
    <row r="235" spans="1:249" x14ac:dyDescent="0.2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30"/>
      <c r="AN235" s="156"/>
      <c r="AO235" s="158"/>
      <c r="AP235" s="726"/>
      <c r="AQ235" s="123" t="s">
        <v>219</v>
      </c>
      <c r="AR235" s="224">
        <f>(EXP(LN('Ecoinvent 3.10'!$E$32)^2)-1)*EXP(2*LN(AR50)+LN('Ecoinvent 3.10'!$E$32)^2)</f>
        <v>25.708881922490896</v>
      </c>
      <c r="AS235" s="50">
        <f>(EXP(LN('Ecoinvent 3.10'!$E$32)^2)-1)*EXP(2*LN(AS50)+LN('Ecoinvent 3.10'!$E$32)^2)</f>
        <v>6.7160486602457654</v>
      </c>
      <c r="AT235" s="224">
        <f>(EXP(LN('Ecoinvent 3.10'!$E$32)^2)-1)*EXP(2*LN(AT50)+LN('Ecoinvent 3.10'!$E$32)^2)</f>
        <v>44.374713197399451</v>
      </c>
      <c r="AU235" s="50">
        <f>(EXP(LN('Ecoinvent 3.10'!$E$32)^2)-1)*EXP(2*LN(AU50)+LN('Ecoinvent 3.10'!$E$32)^2)</f>
        <v>11.592209027863849</v>
      </c>
      <c r="AV235" s="224">
        <f>(EXP(LN('Ecoinvent 3.10'!$E$32)^2)-1)*EXP(2*LN(AV50)+LN('Ecoinvent 3.10'!$E$32)^2)</f>
        <v>41.839031673843188</v>
      </c>
      <c r="AW235" s="50">
        <f>(EXP(LN('Ecoinvent 3.10'!$E$32)^2)-1)*EXP(2*LN(AW50)+LN('Ecoinvent 3.10'!$E$32)^2)</f>
        <v>10.929801360722495</v>
      </c>
      <c r="AX235" s="224">
        <f>(EXP(LN('Ecoinvent 3.10'!$E$32)^2)-1)*EXP(2*LN(AX50)+LN('Ecoinvent 3.10'!$E$32)^2)</f>
        <v>29.297014078055657</v>
      </c>
      <c r="AY235" s="50">
        <f>(EXP(LN('Ecoinvent 3.10'!$E$32)^2)-1)*EXP(2*LN(AY50)+LN('Ecoinvent 3.10'!$E$32)^2)</f>
        <v>7.6533928134772502</v>
      </c>
      <c r="AZ235" s="224">
        <f>(EXP(LN('Ecoinvent 3.10'!$E$32)^2)-1)*EXP(2*LN(AZ50)+LN('Ecoinvent 3.10'!$E$32)^2)</f>
        <v>23.898253958028072</v>
      </c>
      <c r="BA235" s="50">
        <f>(EXP(LN('Ecoinvent 3.10'!$E$32)^2)-1)*EXP(2*LN(BA50)+LN('Ecoinvent 3.10'!$E$32)^2)</f>
        <v>6.2430500463194392</v>
      </c>
      <c r="BB235" s="224">
        <f>(EXP(LN('Ecoinvent 3.10'!$E$32)^2)-1)*EXP(2*LN(BB50)+LN('Ecoinvent 3.10'!$E$32)^2)</f>
        <v>81.604256808256466</v>
      </c>
      <c r="BC235" s="50">
        <f>(EXP(LN('Ecoinvent 3.10'!$E$32)^2)-1)*EXP(2*LN(BC50)+LN('Ecoinvent 3.10'!$E$32)^2)</f>
        <v>21.317852766206244</v>
      </c>
      <c r="BD235" s="264"/>
      <c r="BE235" s="265"/>
      <c r="BF235" s="224">
        <f>(EXP(LN('Ecoinvent 3.10'!$E$32)^2)-1)*EXP(2*LN(BF50)+LN('Ecoinvent 3.10'!$E$32)^2)</f>
        <v>22.62391316990826</v>
      </c>
      <c r="BG235" s="50">
        <f>(EXP(LN('Ecoinvent 3.10'!$E$32)^2)-1)*EXP(2*LN(BG50)+LN('Ecoinvent 3.10'!$E$32)^2)</f>
        <v>5.910148181176031</v>
      </c>
      <c r="BH235" s="101"/>
      <c r="BI235" s="156"/>
      <c r="BJ235" s="123" t="s">
        <v>219</v>
      </c>
      <c r="BK235" s="224">
        <f>(EXP(LN('Ecoinvent 3.10'!$E$32)^2)-1)*EXP(2*LN(BK50)+LN('Ecoinvent 3.10'!$E$32)^2)</f>
        <v>1.5202220103785649</v>
      </c>
      <c r="BL235" s="50">
        <f>(EXP(LN('Ecoinvent 3.10'!$E$32)^2)-1)*EXP(2*LN(BL50)+LN('Ecoinvent 3.10'!$E$32)^2)</f>
        <v>0.39713453999519027</v>
      </c>
      <c r="BM235" s="224">
        <f>(EXP(LN('Ecoinvent 3.10'!$E$32)^2)-1)*EXP(2*LN(BM50)+LN('Ecoinvent 3.10'!$E$32)^2)</f>
        <v>2.6239731432236018</v>
      </c>
      <c r="BN235" s="50">
        <f>(EXP(LN('Ecoinvent 3.10'!$E$32)^2)-1)*EXP(2*LN(BN50)+LN('Ecoinvent 3.10'!$E$32)^2)</f>
        <v>0.68547249025446078</v>
      </c>
      <c r="BO235" s="224">
        <f>(EXP(LN('Ecoinvent 3.10'!$E$32)^2)-1)*EXP(2*LN(BO50)+LN('Ecoinvent 3.10'!$E$32)^2)</f>
        <v>2.4740327889506228</v>
      </c>
      <c r="BP235" s="50">
        <f>(EXP(LN('Ecoinvent 3.10'!$E$32)^2)-1)*EXP(2*LN(BP50)+LN('Ecoinvent 3.10'!$E$32)^2)</f>
        <v>0.64630288659500212</v>
      </c>
      <c r="BQ235" s="224">
        <f>(EXP(LN('Ecoinvent 3.10'!$E$32)^2)-1)*EXP(2*LN(BQ50)+LN('Ecoinvent 3.10'!$E$32)^2)</f>
        <v>1.7323960557330864</v>
      </c>
      <c r="BR235" s="50">
        <f>(EXP(LN('Ecoinvent 3.10'!$E$32)^2)-1)*EXP(2*LN(BR50)+LN('Ecoinvent 3.10'!$E$32)^2)</f>
        <v>0.45256173505323577</v>
      </c>
      <c r="BS235" s="224">
        <f>(EXP(LN('Ecoinvent 3.10'!$E$32)^2)-1)*EXP(2*LN(BS50)+LN('Ecoinvent 3.10'!$E$32)^2)</f>
        <v>1.4131556473806755</v>
      </c>
      <c r="BT235" s="50">
        <f>(EXP(LN('Ecoinvent 3.10'!$E$32)^2)-1)*EXP(2*LN(BT50)+LN('Ecoinvent 3.10'!$E$32)^2)</f>
        <v>0.36916510492068</v>
      </c>
      <c r="BU235" s="224">
        <f>(EXP(LN('Ecoinvent 3.10'!$E$32)^2)-1)*EXP(2*LN(BU50)+LN('Ecoinvent 3.10'!$E$32)^2)</f>
        <v>4.8254368943197008</v>
      </c>
      <c r="BV235" s="50">
        <f>(EXP(LN('Ecoinvent 3.10'!$E$32)^2)-1)*EXP(2*LN(BV50)+LN('Ecoinvent 3.10'!$E$32)^2)</f>
        <v>1.2605709220222818</v>
      </c>
      <c r="BW235" s="264"/>
      <c r="BX235" s="265"/>
      <c r="BY235" s="224">
        <f>(EXP(LN('Ecoinvent 3.10'!$E$32)^2)-1)*EXP(2*LN(BY50)+LN('Ecoinvent 3.10'!$E$32)^2)</f>
        <v>1.3378011095729399</v>
      </c>
      <c r="BZ235" s="50">
        <f>(EXP(LN('Ecoinvent 3.10'!$E$32)^2)-1)*EXP(2*LN(BZ50)+LN('Ecoinvent 3.10'!$E$32)^2)</f>
        <v>0.34947989479707903</v>
      </c>
      <c r="CA235" s="156"/>
      <c r="CB235" s="156"/>
      <c r="CC235" s="123" t="s">
        <v>219</v>
      </c>
      <c r="CD235" s="224">
        <f>(EXP(LN('Ecoinvent 3.10'!$E$32)^2)-1)*EXP(2*LN(CD50)+LN('Ecoinvent 3.10'!$E$32)^2)</f>
        <v>21508.515403087058</v>
      </c>
      <c r="CE235" s="50">
        <f>(EXP(LN('Ecoinvent 3.10'!$E$32)^2)-1)*EXP(2*LN(CE50)+LN('Ecoinvent 3.10'!$E$32)^2)</f>
        <v>5618.7677275224969</v>
      </c>
      <c r="CF235" s="224">
        <f>(EXP(LN('Ecoinvent 3.10'!$E$32)^2)-1)*EXP(2*LN(CF50)+LN('Ecoinvent 3.10'!$E$32)^2)</f>
        <v>37124.687304229672</v>
      </c>
      <c r="CG235" s="50">
        <f>(EXP(LN('Ecoinvent 3.10'!$E$32)^2)-1)*EXP(2*LN(CG50)+LN('Ecoinvent 3.10'!$E$32)^2)</f>
        <v>9698.2516463888733</v>
      </c>
      <c r="CH235" s="224">
        <f>(EXP(LN('Ecoinvent 3.10'!$E$32)^2)-1)*EXP(2*LN(CH50)+LN('Ecoinvent 3.10'!$E$32)^2)</f>
        <v>35003.290299445071</v>
      </c>
      <c r="CI235" s="50">
        <f>(EXP(LN('Ecoinvent 3.10'!$E$32)^2)-1)*EXP(2*LN(CI50)+LN('Ecoinvent 3.10'!$E$32)^2)</f>
        <v>9144.0694164970118</v>
      </c>
      <c r="CJ235" s="224">
        <f>(EXP(LN('Ecoinvent 3.10'!$E$32)^2)-1)*EXP(2*LN(CJ50)+LN('Ecoinvent 3.10'!$E$32)^2)</f>
        <v>24510.411633695254</v>
      </c>
      <c r="CK235" s="50">
        <f>(EXP(LN('Ecoinvent 3.10'!$E$32)^2)-1)*EXP(2*LN(CK50)+LN('Ecoinvent 3.10'!$E$32)^2)</f>
        <v>6402.9667922097751</v>
      </c>
      <c r="CL235" s="224">
        <f>(EXP(LN('Ecoinvent 3.10'!$E$32)^2)-1)*EXP(2*LN(CL50)+LN('Ecoinvent 3.10'!$E$32)^2)</f>
        <v>19993.711313966443</v>
      </c>
      <c r="CM235" s="50">
        <f>(EXP(LN('Ecoinvent 3.10'!$E$32)^2)-1)*EXP(2*LN(CM50)+LN('Ecoinvent 3.10'!$E$32)^2)</f>
        <v>5223.0485358460492</v>
      </c>
      <c r="CN235" s="224">
        <f>(EXP(LN('Ecoinvent 3.10'!$E$32)^2)-1)*EXP(2*LN(CN50)+LN('Ecoinvent 3.10'!$E$32)^2)</f>
        <v>68271.59655598909</v>
      </c>
      <c r="CO235" s="50">
        <f>(EXP(LN('Ecoinvent 3.10'!$E$32)^2)-1)*EXP(2*LN(CO50)+LN('Ecoinvent 3.10'!$E$32)^2)</f>
        <v>17834.901026231193</v>
      </c>
      <c r="CP235" s="264"/>
      <c r="CQ235" s="265"/>
      <c r="CR235" s="224">
        <f>(EXP(LN('Ecoinvent 3.10'!$E$32)^2)-1)*EXP(2*LN(CR50)+LN('Ecoinvent 3.10'!$E$32)^2)</f>
        <v>18927.574772023763</v>
      </c>
      <c r="CS235" s="50">
        <f>(EXP(LN('Ecoinvent 3.10'!$E$32)^2)-1)*EXP(2*LN(CS50)+LN('Ecoinvent 3.10'!$E$32)^2)</f>
        <v>4944.5368169879366</v>
      </c>
      <c r="CV235" s="123" t="s">
        <v>219</v>
      </c>
      <c r="CW235" s="224">
        <f>(EXP(LN('Ecoinvent 3.10'!$E$32)^2)-1)*EXP(2*LN(CW50)+LN('Ecoinvent 3.10'!$E$32)^2)</f>
        <v>3.4229263434990892E-3</v>
      </c>
      <c r="CX235" s="50">
        <f>(EXP(LN('Ecoinvent 3.10'!$E$32)^2)-1)*EXP(2*LN(CX50)+LN('Ecoinvent 3.10'!$E$32)^2)</f>
        <v>8.9418668430173674E-4</v>
      </c>
      <c r="CY235" s="224">
        <f>(EXP(LN('Ecoinvent 3.10'!$E$32)^2)-1)*EXP(2*LN(CY50)+LN('Ecoinvent 3.10'!$E$32)^2)</f>
        <v>5.9081283754979733E-3</v>
      </c>
      <c r="CZ235" s="50">
        <f>(EXP(LN('Ecoinvent 3.10'!$E$32)^2)-1)*EXP(2*LN(CZ50)+LN('Ecoinvent 3.10'!$E$32)^2)</f>
        <v>1.5434073632782344E-3</v>
      </c>
      <c r="DA235" s="224">
        <f>(EXP(LN('Ecoinvent 3.10'!$E$32)^2)-1)*EXP(2*LN(DA50)+LN('Ecoinvent 3.10'!$E$32)^2)</f>
        <v>5.5705232197439374E-3</v>
      </c>
      <c r="DB235" s="50">
        <f>(EXP(LN('Ecoinvent 3.10'!$E$32)^2)-1)*EXP(2*LN(DB50)+LN('Ecoinvent 3.10'!$E$32)^2)</f>
        <v>1.4552132262936025E-3</v>
      </c>
      <c r="DC235" s="224">
        <f>(EXP(LN('Ecoinvent 3.10'!$E$32)^2)-1)*EXP(2*LN(DC50)+LN('Ecoinvent 3.10'!$E$32)^2)</f>
        <v>3.9006566515018739E-3</v>
      </c>
      <c r="DD235" s="50">
        <f>(EXP(LN('Ecoinvent 3.10'!$E$32)^2)-1)*EXP(2*LN(DD50)+LN('Ecoinvent 3.10'!$E$32)^2)</f>
        <v>1.0189863548861688E-3</v>
      </c>
      <c r="DE235" s="224">
        <f>(EXP(LN('Ecoinvent 3.10'!$E$32)^2)-1)*EXP(2*LN(DE50)+LN('Ecoinvent 3.10'!$E$32)^2)</f>
        <v>3.18185611039751E-3</v>
      </c>
      <c r="DF235" s="50">
        <f>(EXP(LN('Ecoinvent 3.10'!$E$32)^2)-1)*EXP(2*LN(DF50)+LN('Ecoinvent 3.10'!$E$32)^2)</f>
        <v>8.3121080612359667E-4</v>
      </c>
      <c r="DG235" s="224">
        <f>(EXP(LN('Ecoinvent 3.10'!$E$32)^2)-1)*EXP(2*LN(DG50)+LN('Ecoinvent 3.10'!$E$32)^2)</f>
        <v>1.0864936142021952E-2</v>
      </c>
      <c r="DH235" s="50">
        <f>(EXP(LN('Ecoinvent 3.10'!$E$32)^2)-1)*EXP(2*LN(DH50)+LN('Ecoinvent 3.10'!$E$32)^2)</f>
        <v>2.8382968983356092E-3</v>
      </c>
      <c r="DI235" s="264"/>
      <c r="DJ235" s="265"/>
      <c r="DK235" s="224">
        <f>(EXP(LN('Ecoinvent 3.10'!$E$32)^2)-1)*EXP(2*LN(DK50)+LN('Ecoinvent 3.10'!$E$32)^2)</f>
        <v>3.0121881074325588E-3</v>
      </c>
      <c r="DL235" s="50">
        <f>(EXP(LN('Ecoinvent 3.10'!$E$32)^2)-1)*EXP(2*LN(DL50)+LN('Ecoinvent 3.10'!$E$32)^2)</f>
        <v>7.8688765868238219E-4</v>
      </c>
      <c r="DO235" s="123" t="s">
        <v>219</v>
      </c>
      <c r="DP235" s="224">
        <f>(EXP(LN('Ecoinvent 3.10'!$E$32)^2)-1)*EXP(2*LN(DP50)+LN('Ecoinvent 3.10'!$E$32)^2)</f>
        <v>6.7220466813798244E-2</v>
      </c>
      <c r="DQ235" s="50">
        <f>(EXP(LN('Ecoinvent 3.10'!$E$32)^2)-1)*EXP(2*LN(DQ50)+LN('Ecoinvent 3.10'!$E$32)^2)</f>
        <v>1.7560309602221848E-2</v>
      </c>
      <c r="DR235" s="224">
        <f>(EXP(LN('Ecoinvent 3.10'!$E$32)^2)-1)*EXP(2*LN(DR50)+LN('Ecoinvent 3.10'!$E$32)^2)</f>
        <v>0.11602561888341344</v>
      </c>
      <c r="DS235" s="50">
        <f>(EXP(LN('Ecoinvent 3.10'!$E$32)^2)-1)*EXP(2*LN(DS50)+LN('Ecoinvent 3.10'!$E$32)^2)</f>
        <v>3.0309902414481789E-2</v>
      </c>
      <c r="DT235" s="224">
        <f>(EXP(LN('Ecoinvent 3.10'!$E$32)^2)-1)*EXP(2*LN(DT50)+LN('Ecoinvent 3.10'!$E$32)^2)</f>
        <v>0.10939562632992707</v>
      </c>
      <c r="DU235" s="50">
        <f>(EXP(LN('Ecoinvent 3.10'!$E$32)^2)-1)*EXP(2*LN(DU50)+LN('Ecoinvent 3.10'!$E$32)^2)</f>
        <v>2.8577919174583428E-2</v>
      </c>
      <c r="DV235" s="224">
        <f>(EXP(LN('Ecoinvent 3.10'!$E$32)^2)-1)*EXP(2*LN(DV50)+LN('Ecoinvent 3.10'!$E$32)^2)</f>
        <v>7.66022796524055E-2</v>
      </c>
      <c r="DW235" s="50">
        <f>(EXP(LN('Ecoinvent 3.10'!$E$32)^2)-1)*EXP(2*LN(DW50)+LN('Ecoinvent 3.10'!$E$32)^2)</f>
        <v>2.0011163425245681E-2</v>
      </c>
      <c r="DX235" s="224">
        <f>(EXP(LN('Ecoinvent 3.10'!$E$32)^2)-1)*EXP(2*LN(DX50)+LN('Ecoinvent 3.10'!$E$32)^2)</f>
        <v>6.248625638161176E-2</v>
      </c>
      <c r="DY235" s="50">
        <f>(EXP(LN('Ecoinvent 3.10'!$E$32)^2)-1)*EXP(2*LN(DY50)+LN('Ecoinvent 3.10'!$E$32)^2)</f>
        <v>1.6323570185616108E-2</v>
      </c>
      <c r="DZ235" s="224">
        <f>(EXP(LN('Ecoinvent 3.10'!$E$32)^2)-1)*EXP(2*LN(DZ50)+LN('Ecoinvent 3.10'!$E$32)^2)</f>
        <v>0.21336891480470088</v>
      </c>
      <c r="EA235" s="50">
        <f>(EXP(LN('Ecoinvent 3.10'!$E$32)^2)-1)*EXP(2*LN(EA50)+LN('Ecoinvent 3.10'!$E$32)^2)</f>
        <v>5.5739336262561341E-2</v>
      </c>
      <c r="EB235" s="264"/>
      <c r="EC235" s="265"/>
      <c r="ED235" s="224">
        <f>(EXP(LN('Ecoinvent 3.10'!$E$32)^2)-1)*EXP(2*LN(ED50)+LN('Ecoinvent 3.10'!$E$32)^2)</f>
        <v>5.9154264624228514E-2</v>
      </c>
      <c r="EE235" s="50">
        <f>(EXP(LN('Ecoinvent 3.10'!$E$32)^2)-1)*EXP(2*LN(EE50)+LN('Ecoinvent 3.10'!$E$32)^2)</f>
        <v>1.5453138758625621E-2</v>
      </c>
      <c r="EH235" s="123" t="s">
        <v>219</v>
      </c>
      <c r="EI235" s="224">
        <f>(EXP(LN('Ecoinvent 3.10'!$E$32)^2)-1)*EXP(2*LN(EI50)+LN('Ecoinvent 3.10'!$E$32)^2)</f>
        <v>4.2907510266280069E-4</v>
      </c>
      <c r="EJ235" s="50">
        <f>(EXP(LN('Ecoinvent 3.10'!$E$32)^2)-1)*EXP(2*LN(EJ50)+LN('Ecoinvent 3.10'!$E$32)^2)</f>
        <v>1.1208924904129464E-4</v>
      </c>
      <c r="EK235" s="224">
        <f>(EXP(LN('Ecoinvent 3.10'!$E$32)^2)-1)*EXP(2*LN(EK50)+LN('Ecoinvent 3.10'!$E$32)^2)</f>
        <v>7.4060337116993382E-4</v>
      </c>
      <c r="EL235" s="50">
        <f>(EXP(LN('Ecoinvent 3.10'!$E$32)^2)-1)*EXP(2*LN(EL50)+LN('Ecoinvent 3.10'!$E$32)^2)</f>
        <v>1.9347120165377502E-4</v>
      </c>
      <c r="EM235" s="224">
        <f>(EXP(LN('Ecoinvent 3.10'!$E$32)^2)-1)*EXP(2*LN(EM50)+LN('Ecoinvent 3.10'!$E$32)^2)</f>
        <v>6.9828345180042363E-4</v>
      </c>
      <c r="EN235" s="50">
        <f>(EXP(LN('Ecoinvent 3.10'!$E$32)^2)-1)*EXP(2*LN(EN50)+LN('Ecoinvent 3.10'!$E$32)^2)</f>
        <v>1.8241577580366627E-4</v>
      </c>
      <c r="EO235" s="224">
        <f>(EXP(LN('Ecoinvent 3.10'!$E$32)^2)-1)*EXP(2*LN(EO50)+LN('Ecoinvent 3.10'!$E$32)^2)</f>
        <v>4.8896017186410973E-4</v>
      </c>
      <c r="EP235" s="50">
        <f>(EXP(LN('Ecoinvent 3.10'!$E$32)^2)-1)*EXP(2*LN(EP50)+LN('Ecoinvent 3.10'!$E$32)^2)</f>
        <v>1.2773329921783412E-4</v>
      </c>
      <c r="EQ235" s="224">
        <f>(EXP(LN('Ecoinvent 3.10'!$E$32)^2)-1)*EXP(2*LN(EQ50)+LN('Ecoinvent 3.10'!$E$32)^2)</f>
        <v>3.9885615412671666E-4</v>
      </c>
      <c r="ER235" s="50">
        <f>(EXP(LN('Ecoinvent 3.10'!$E$32)^2)-1)*EXP(2*LN(ER50)+LN('Ecoinvent 3.10'!$E$32)^2)</f>
        <v>1.0419501507804108E-4</v>
      </c>
      <c r="ES235" s="224">
        <f>(EXP(LN('Ecoinvent 3.10'!$E$32)^2)-1)*EXP(2*LN(ES50)+LN('Ecoinvent 3.10'!$E$32)^2)</f>
        <v>1.3619555674684023E-3</v>
      </c>
      <c r="ET235" s="50">
        <f>(EXP(LN('Ecoinvent 3.10'!$E$32)^2)-1)*EXP(2*LN(ET50)+LN('Ecoinvent 3.10'!$E$32)^2)</f>
        <v>3.5578987416828856E-4</v>
      </c>
      <c r="EU235" s="264"/>
      <c r="EV235" s="265"/>
      <c r="EW235" s="224">
        <f>(EXP(LN('Ecoinvent 3.10'!$E$32)^2)-1)*EXP(2*LN(EW50)+LN('Ecoinvent 3.10'!$E$32)^2)</f>
        <v>3.7758771055385309E-4</v>
      </c>
      <c r="EX235" s="50">
        <f>(EXP(LN('Ecoinvent 3.10'!$E$32)^2)-1)*EXP(2*LN(EX50)+LN('Ecoinvent 3.10'!$E$32)^2)</f>
        <v>9.8638962411352259E-5</v>
      </c>
      <c r="FA235" s="123" t="s">
        <v>219</v>
      </c>
      <c r="FB235" s="224">
        <f>(EXP(LN('Ecoinvent 3.10'!$E$32)^2)-1)*EXP(2*LN(FB50)+LN('Ecoinvent 3.10'!$E$32)^2)</f>
        <v>3.9396140216099636E-5</v>
      </c>
      <c r="FC235" s="50">
        <f>(EXP(LN('Ecoinvent 3.10'!$E$32)^2)-1)*EXP(2*LN(FC50)+LN('Ecoinvent 3.10'!$E$32)^2)</f>
        <v>1.0291633666329232E-5</v>
      </c>
      <c r="FD235" s="224">
        <f>(EXP(LN('Ecoinvent 3.10'!$E$32)^2)-1)*EXP(2*LN(FD50)+LN('Ecoinvent 3.10'!$E$32)^2)</f>
        <v>6.7999550834009059E-5</v>
      </c>
      <c r="FE235" s="50">
        <f>(EXP(LN('Ecoinvent 3.10'!$E$32)^2)-1)*EXP(2*LN(FE50)+LN('Ecoinvent 3.10'!$E$32)^2)</f>
        <v>1.7763833279600363E-5</v>
      </c>
      <c r="FF235" s="224">
        <f>(EXP(LN('Ecoinvent 3.10'!$E$32)^2)-1)*EXP(2*LN(FF50)+LN('Ecoinvent 3.10'!$E$32)^2)</f>
        <v>6.4113887305483443E-5</v>
      </c>
      <c r="FG235" s="50">
        <f>(EXP(LN('Ecoinvent 3.10'!$E$32)^2)-1)*EXP(2*LN(FG50)+LN('Ecoinvent 3.10'!$E$32)^2)</f>
        <v>1.6748763646716404E-5</v>
      </c>
      <c r="FH235" s="224">
        <f>(EXP(LN('Ecoinvent 3.10'!$E$32)^2)-1)*EXP(2*LN(FH50)+LN('Ecoinvent 3.10'!$E$32)^2)</f>
        <v>4.4894572934438147E-5</v>
      </c>
      <c r="FI235" s="50">
        <f>(EXP(LN('Ecoinvent 3.10'!$E$32)^2)-1)*EXP(2*LN(FI50)+LN('Ecoinvent 3.10'!$E$32)^2)</f>
        <v>1.17280143616384E-5</v>
      </c>
      <c r="FJ235" s="224">
        <f>(EXP(LN('Ecoinvent 3.10'!$E$32)^2)-1)*EXP(2*LN(FJ50)+LN('Ecoinvent 3.10'!$E$32)^2)</f>
        <v>3.6621544518697317E-5</v>
      </c>
      <c r="FK235" s="50">
        <f>(EXP(LN('Ecoinvent 3.10'!$E$32)^2)-1)*EXP(2*LN(FK50)+LN('Ecoinvent 3.10'!$E$32)^2)</f>
        <v>9.5668133582177129E-6</v>
      </c>
      <c r="FL235" s="224">
        <f>(EXP(LN('Ecoinvent 3.10'!$E$32)^2)-1)*EXP(2*LN(FL50)+LN('Ecoinvent 3.10'!$E$32)^2)</f>
        <v>1.2504988560533981E-4</v>
      </c>
      <c r="FM235" s="50">
        <f>(EXP(LN('Ecoinvent 3.10'!$E$32)^2)-1)*EXP(2*LN(FM50)+LN('Ecoinvent 3.10'!$E$32)^2)</f>
        <v>3.2667352832209742E-5</v>
      </c>
      <c r="FN235" s="264"/>
      <c r="FO235" s="265"/>
      <c r="FP235" s="224">
        <f>(EXP(LN('Ecoinvent 3.10'!$E$32)^2)-1)*EXP(2*LN(FP50)+LN('Ecoinvent 3.10'!$E$32)^2)</f>
        <v>3.4668752152104984E-5</v>
      </c>
      <c r="FQ235" s="50">
        <f>(EXP(LN('Ecoinvent 3.10'!$E$32)^2)-1)*EXP(2*LN(FQ50)+LN('Ecoinvent 3.10'!$E$32)^2)</f>
        <v>9.0566764881301444E-6</v>
      </c>
      <c r="FT235" s="123" t="s">
        <v>219</v>
      </c>
      <c r="FU235" s="224">
        <f>(EXP(LN('Ecoinvent 3.10'!$E$32)^2)-1)*EXP(2*LN(FU50)+LN('Ecoinvent 3.10'!$E$32)^2)</f>
        <v>27.048792760043519</v>
      </c>
      <c r="FV235" s="50">
        <f>(EXP(LN('Ecoinvent 3.10'!$E$32)^2)-1)*EXP(2*LN(FV50)+LN('Ecoinvent 3.10'!$E$32)^2)</f>
        <v>7.066079688920011</v>
      </c>
      <c r="FW235" s="224">
        <f>(EXP(LN('Ecoinvent 3.10'!$E$32)^2)-1)*EXP(2*LN(FW50)+LN('Ecoinvent 3.10'!$E$32)^2)</f>
        <v>46.687460959271981</v>
      </c>
      <c r="FX235" s="50">
        <f>(EXP(LN('Ecoinvent 3.10'!$E$32)^2)-1)*EXP(2*LN(FX50)+LN('Ecoinvent 3.10'!$E$32)^2)</f>
        <v>12.196378690101154</v>
      </c>
      <c r="FY235" s="224">
        <f>(EXP(LN('Ecoinvent 3.10'!$E$32)^2)-1)*EXP(2*LN(FY50)+LN('Ecoinvent 3.10'!$E$32)^2)</f>
        <v>44.019623274112178</v>
      </c>
      <c r="FZ235" s="50">
        <f>(EXP(LN('Ecoinvent 3.10'!$E$32)^2)-1)*EXP(2*LN(FZ50)+LN('Ecoinvent 3.10'!$E$32)^2)</f>
        <v>11.499447265187825</v>
      </c>
      <c r="GA235" s="224">
        <f>(EXP(LN('Ecoinvent 3.10'!$E$32)^2)-1)*EXP(2*LN(GA50)+LN('Ecoinvent 3.10'!$E$32)^2)</f>
        <v>30.823933326798929</v>
      </c>
      <c r="GB235" s="50">
        <f>(EXP(LN('Ecoinvent 3.10'!$E$32)^2)-1)*EXP(2*LN(GB50)+LN('Ecoinvent 3.10'!$E$32)^2)</f>
        <v>8.0522769036427757</v>
      </c>
      <c r="GC235" s="224">
        <f>(EXP(LN('Ecoinvent 3.10'!$E$32)^2)-1)*EXP(2*LN(GC50)+LN('Ecoinvent 3.10'!$E$32)^2)</f>
        <v>25.143797407699985</v>
      </c>
      <c r="GD235" s="50">
        <f>(EXP(LN('Ecoinvent 3.10'!$E$32)^2)-1)*EXP(2*LN(GD50)+LN('Ecoinvent 3.10'!$E$32)^2)</f>
        <v>6.5684290511966887</v>
      </c>
      <c r="GE235" s="224">
        <f>(EXP(LN('Ecoinvent 3.10'!$E$32)^2)-1)*EXP(2*LN(GE50)+LN('Ecoinvent 3.10'!$E$32)^2)</f>
        <v>85.857356123017254</v>
      </c>
      <c r="GF235" s="50">
        <f>(EXP(LN('Ecoinvent 3.10'!$E$32)^2)-1)*EXP(2*LN(GF50)+LN('Ecoinvent 3.10'!$E$32)^2)</f>
        <v>22.428909327938815</v>
      </c>
      <c r="GG235" s="264"/>
      <c r="GH235" s="265"/>
      <c r="GI235" s="224">
        <f>(EXP(LN('Ecoinvent 3.10'!$E$32)^2)-1)*EXP(2*LN(GI50)+LN('Ecoinvent 3.10'!$E$32)^2)</f>
        <v>23.803039766529714</v>
      </c>
      <c r="GJ235" s="50">
        <f>(EXP(LN('Ecoinvent 3.10'!$E$32)^2)-1)*EXP(2*LN(GJ50)+LN('Ecoinvent 3.10'!$E$32)^2)</f>
        <v>6.2181768081452953</v>
      </c>
      <c r="GM235" s="123" t="s">
        <v>219</v>
      </c>
      <c r="GN235" s="224">
        <f>(EXP(LN('Ecoinvent 3.10'!$E$32)^2)-1)*EXP(2*LN(GN50)+LN('Ecoinvent 3.10'!$E$32)^2)</f>
        <v>1.8113997953178218</v>
      </c>
      <c r="GO235" s="50">
        <f>(EXP(LN('Ecoinvent 3.10'!$E$32)^2)-1)*EXP(2*LN(GO50)+LN('Ecoinvent 3.10'!$E$32)^2)</f>
        <v>0.47320024282623574</v>
      </c>
      <c r="GP235" s="224">
        <f>(EXP(LN('Ecoinvent 3.10'!$E$32)^2)-1)*EXP(2*LN(GP50)+LN('Ecoinvent 3.10'!$E$32)^2)</f>
        <v>3.1265593986309197</v>
      </c>
      <c r="GQ235" s="50">
        <f>(EXP(LN('Ecoinvent 3.10'!$E$32)^2)-1)*EXP(2*LN(GQ50)+LN('Ecoinvent 3.10'!$E$32)^2)</f>
        <v>0.81676539351889088</v>
      </c>
      <c r="GR235" s="224">
        <f>(EXP(LN('Ecoinvent 3.10'!$E$32)^2)-1)*EXP(2*LN(GR50)+LN('Ecoinvent 3.10'!$E$32)^2)</f>
        <v>2.9479000152081505</v>
      </c>
      <c r="GS235" s="50">
        <f>(EXP(LN('Ecoinvent 3.10'!$E$32)^2)-1)*EXP(2*LN(GS50)+LN('Ecoinvent 3.10'!$E$32)^2)</f>
        <v>0.77009338668894411</v>
      </c>
      <c r="GT235" s="224">
        <f>(EXP(LN('Ecoinvent 3.10'!$E$32)^2)-1)*EXP(2*LN(GT50)+LN('Ecoinvent 3.10'!$E$32)^2)</f>
        <v>2.0642128842634477</v>
      </c>
      <c r="GU235" s="50">
        <f>(EXP(LN('Ecoinvent 3.10'!$E$32)^2)-1)*EXP(2*LN(GU50)+LN('Ecoinvent 3.10'!$E$32)^2)</f>
        <v>0.53924376087672299</v>
      </c>
      <c r="GV235" s="224">
        <f>(EXP(LN('Ecoinvent 3.10'!$E$32)^2)-1)*EXP(2*LN(GV50)+LN('Ecoinvent 3.10'!$E$32)^2)</f>
        <v>1.6838263312475932</v>
      </c>
      <c r="GW235" s="50">
        <f>(EXP(LN('Ecoinvent 3.10'!$E$32)^2)-1)*EXP(2*LN(GW50)+LN('Ecoinvent 3.10'!$E$32)^2)</f>
        <v>0.439873644064186</v>
      </c>
      <c r="GX235" s="224">
        <f>(EXP(LN('Ecoinvent 3.10'!$E$32)^2)-1)*EXP(2*LN(GX50)+LN('Ecoinvent 3.10'!$E$32)^2)</f>
        <v>5.7496834955791352</v>
      </c>
      <c r="GY235" s="50">
        <f>(EXP(LN('Ecoinvent 3.10'!$E$32)^2)-1)*EXP(2*LN(GY50)+LN('Ecoinvent 3.10'!$E$32)^2)</f>
        <v>1.5020160835364755</v>
      </c>
      <c r="GZ235" s="264"/>
      <c r="HA235" s="265"/>
      <c r="HB235" s="224">
        <f>(EXP(LN('Ecoinvent 3.10'!$E$32)^2)-1)*EXP(2*LN(HB50)+LN('Ecoinvent 3.10'!$E$32)^2)</f>
        <v>1.5940386598224112</v>
      </c>
      <c r="HC235" s="50">
        <f>(EXP(LN('Ecoinvent 3.10'!$E$32)^2)-1)*EXP(2*LN(HC50)+LN('Ecoinvent 3.10'!$E$32)^2)</f>
        <v>0.41641800051657041</v>
      </c>
      <c r="HF235" s="123" t="s">
        <v>219</v>
      </c>
      <c r="HG235" s="224">
        <f>(EXP(LN('Ecoinvent 3.10'!$E$32)^2)-1)*EXP(2*LN(HG50)+LN('Ecoinvent 3.10'!$E$32)^2)</f>
        <v>6282.027942350388</v>
      </c>
      <c r="HH235" s="50">
        <f>(EXP(LN('Ecoinvent 3.10'!$E$32)^2)-1)*EXP(2*LN(HH50)+LN('Ecoinvent 3.10'!$E$32)^2)</f>
        <v>1641.0828550633858</v>
      </c>
      <c r="HI235" s="224">
        <f>(EXP(LN('Ecoinvent 3.10'!$E$32)^2)-1)*EXP(2*LN(HI50)+LN('Ecoinvent 3.10'!$E$32)^2)</f>
        <v>10843.069297229056</v>
      </c>
      <c r="HJ235" s="50">
        <f>(EXP(LN('Ecoinvent 3.10'!$E$32)^2)-1)*EXP(2*LN(HJ50)+LN('Ecoinvent 3.10'!$E$32)^2)</f>
        <v>2832.5845225847715</v>
      </c>
      <c r="HK235" s="224">
        <f>(EXP(LN('Ecoinvent 3.10'!$E$32)^2)-1)*EXP(2*LN(HK50)+LN('Ecoinvent 3.10'!$E$32)^2)</f>
        <v>10223.469338276867</v>
      </c>
      <c r="HL235" s="50">
        <f>(EXP(LN('Ecoinvent 3.10'!$E$32)^2)-1)*EXP(2*LN(HL50)+LN('Ecoinvent 3.10'!$E$32)^2)</f>
        <v>2670.7235950362783</v>
      </c>
      <c r="HM235" s="224">
        <f>(EXP(LN('Ecoinvent 3.10'!$E$32)^2)-1)*EXP(2*LN(HM50)+LN('Ecoinvent 3.10'!$E$32)^2)</f>
        <v>7158.7967777303684</v>
      </c>
      <c r="HN235" s="50">
        <f>(EXP(LN('Ecoinvent 3.10'!$E$32)^2)-1)*EXP(2*LN(HN50)+LN('Ecoinvent 3.10'!$E$32)^2)</f>
        <v>1870.1251829231437</v>
      </c>
      <c r="HO235" s="224">
        <f>(EXP(LN('Ecoinvent 3.10'!$E$32)^2)-1)*EXP(2*LN(HO50)+LN('Ecoinvent 3.10'!$E$32)^2)</f>
        <v>5839.596587293845</v>
      </c>
      <c r="HP235" s="50">
        <f>(EXP(LN('Ecoinvent 3.10'!$E$32)^2)-1)*EXP(2*LN(HP50)+LN('Ecoinvent 3.10'!$E$32)^2)</f>
        <v>1525.504491199232</v>
      </c>
      <c r="HQ235" s="224">
        <f>(EXP(LN('Ecoinvent 3.10'!$E$32)^2)-1)*EXP(2*LN(HQ50)+LN('Ecoinvent 3.10'!$E$32)^2)</f>
        <v>19940.19899541921</v>
      </c>
      <c r="HR235" s="50">
        <f>(EXP(LN('Ecoinvent 3.10'!$E$32)^2)-1)*EXP(2*LN(HR50)+LN('Ecoinvent 3.10'!$E$32)^2)</f>
        <v>5209.0692684329715</v>
      </c>
      <c r="HS235" s="264"/>
      <c r="HT235" s="265"/>
      <c r="HU235" s="224">
        <f>(EXP(LN('Ecoinvent 3.10'!$E$32)^2)-1)*EXP(2*LN(HU50)+LN('Ecoinvent 3.10'!$E$32)^2)</f>
        <v>5528.2083105425972</v>
      </c>
      <c r="HV235" s="50">
        <f>(EXP(LN('Ecoinvent 3.10'!$E$32)^2)-1)*EXP(2*LN(HV50)+LN('Ecoinvent 3.10'!$E$32)^2)</f>
        <v>1444.1591092726098</v>
      </c>
      <c r="HY235" s="123" t="s">
        <v>219</v>
      </c>
      <c r="HZ235" s="224">
        <f>(EXP(LN('Ecoinvent 3.10'!$E$32)^2)-1)*EXP(2*LN(HZ50)+LN('Ecoinvent 3.10'!$E$32)^2)</f>
        <v>3.5584860699005709E-4</v>
      </c>
      <c r="IA235" s="50">
        <f>(EXP(LN('Ecoinvent 3.10'!$E$32)^2)-1)*EXP(2*LN(IA50)+LN('Ecoinvent 3.10'!$E$32)^2)</f>
        <v>9.295995708530374E-5</v>
      </c>
      <c r="IB235" s="224">
        <f>(EXP(LN('Ecoinvent 3.10'!$E$32)^2)-1)*EXP(2*LN(IB50)+LN('Ecoinvent 3.10'!$E$32)^2)</f>
        <v>6.1421107010739898E-4</v>
      </c>
      <c r="IC235" s="50">
        <f>(EXP(LN('Ecoinvent 3.10'!$E$32)^2)-1)*EXP(2*LN(IC50)+LN('Ecoinvent 3.10'!$E$32)^2)</f>
        <v>1.6045316349966115E-4</v>
      </c>
      <c r="ID235" s="224">
        <f>(EXP(LN('Ecoinvent 3.10'!$E$32)^2)-1)*EXP(2*LN(ID50)+LN('Ecoinvent 3.10'!$E$32)^2)</f>
        <v>5.7911352130507107E-4</v>
      </c>
      <c r="IE235" s="50">
        <f>(EXP(LN('Ecoinvent 3.10'!$E$32)^2)-1)*EXP(2*LN(IE50)+LN('Ecoinvent 3.10'!$E$32)^2)</f>
        <v>1.5128447050389269E-4</v>
      </c>
      <c r="IF235" s="224">
        <f>(EXP(LN('Ecoinvent 3.10'!$E$32)^2)-1)*EXP(2*LN(IF50)+LN('Ecoinvent 3.10'!$E$32)^2)</f>
        <v>4.0551361510295141E-4</v>
      </c>
      <c r="IG235" s="50">
        <f>(EXP(LN('Ecoinvent 3.10'!$E$32)^2)-1)*EXP(2*LN(IG50)+LN('Ecoinvent 3.10'!$E$32)^2)</f>
        <v>1.0593417401948707E-4</v>
      </c>
      <c r="IH235" s="224">
        <f>(EXP(LN('Ecoinvent 3.10'!$E$32)^2)-1)*EXP(2*LN(IH50)+LN('Ecoinvent 3.10'!$E$32)^2)</f>
        <v>3.3078686214740529E-4</v>
      </c>
      <c r="II235" s="50">
        <f>(EXP(LN('Ecoinvent 3.10'!$E$32)^2)-1)*EXP(2*LN(II50)+LN('Ecoinvent 3.10'!$E$32)^2)</f>
        <v>8.6412963000482673E-5</v>
      </c>
      <c r="IJ235" s="224">
        <f>(EXP(LN('Ecoinvent 3.10'!$E$32)^2)-1)*EXP(2*LN(IJ50)+LN('Ecoinvent 3.10'!$E$32)^2)</f>
        <v>1.129522520552439E-3</v>
      </c>
      <c r="IK235" s="50">
        <f>(EXP(LN('Ecoinvent 3.10'!$E$32)^2)-1)*EXP(2*LN(IK50)+LN('Ecoinvent 3.10'!$E$32)^2)</f>
        <v>2.9507032759122978E-4</v>
      </c>
      <c r="IL235" s="264"/>
      <c r="IM235" s="265"/>
      <c r="IN235" s="224">
        <f>(EXP(LN('Ecoinvent 3.10'!$E$32)^2)-1)*EXP(2*LN(IN50)+LN('Ecoinvent 3.10'!$E$32)^2)</f>
        <v>3.1314811785466566E-4</v>
      </c>
      <c r="IO235" s="50">
        <f>(EXP(LN('Ecoinvent 3.10'!$E$32)^2)-1)*EXP(2*LN(IO50)+LN('Ecoinvent 3.10'!$E$32)^2)</f>
        <v>8.1805113256848473E-5</v>
      </c>
    </row>
    <row r="236" spans="1:249" x14ac:dyDescent="0.2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  <c r="AA236" s="158"/>
      <c r="AB236" s="158"/>
      <c r="AC236" s="158"/>
      <c r="AD236" s="158"/>
      <c r="AE236" s="158"/>
      <c r="AF236" s="158"/>
      <c r="AG236" s="158"/>
      <c r="AH236" s="158"/>
      <c r="AI236" s="158"/>
      <c r="AJ236" s="158"/>
      <c r="AK236" s="158"/>
      <c r="AL236" s="158"/>
      <c r="AM236" s="130"/>
      <c r="AN236" s="156"/>
      <c r="AO236" s="158"/>
      <c r="AP236" s="726"/>
      <c r="AQ236" s="123" t="s">
        <v>198</v>
      </c>
      <c r="AR236" s="264"/>
      <c r="AS236" s="265"/>
      <c r="AT236" s="264"/>
      <c r="AU236" s="265"/>
      <c r="AV236" s="264"/>
      <c r="AW236" s="265"/>
      <c r="AX236" s="264"/>
      <c r="AY236" s="265"/>
      <c r="AZ236" s="264"/>
      <c r="BA236" s="265"/>
      <c r="BB236" s="264"/>
      <c r="BC236" s="265"/>
      <c r="BD236" s="224">
        <f>(EXP(LN('Ecoinvent 3.10'!$E$5)^2)-1)*EXP(2*LN(BD51)+LN('Ecoinvent 3.10'!$E$5)^2)</f>
        <v>37.519159008003065</v>
      </c>
      <c r="BE236" s="50">
        <f>(EXP(LN('Ecoinvent 3.10'!$E$5)^2)-1)*EXP(2*LN(BE51)+LN('Ecoinvent 3.10'!$E$5)^2)</f>
        <v>9.8013012914733952</v>
      </c>
      <c r="BF236" s="264"/>
      <c r="BG236" s="265"/>
      <c r="BH236" s="101"/>
      <c r="BI236" s="156"/>
      <c r="BJ236" s="123" t="s">
        <v>198</v>
      </c>
      <c r="BK236" s="264"/>
      <c r="BL236" s="265"/>
      <c r="BM236" s="264"/>
      <c r="BN236" s="265"/>
      <c r="BO236" s="264"/>
      <c r="BP236" s="265"/>
      <c r="BQ236" s="264"/>
      <c r="BR236" s="265"/>
      <c r="BS236" s="264"/>
      <c r="BT236" s="265"/>
      <c r="BU236" s="264"/>
      <c r="BV236" s="265"/>
      <c r="BW236" s="224">
        <f>(EXP(LN('Ecoinvent 3.10'!$E$5)^2)-1)*EXP(2*LN(BW51)+LN('Ecoinvent 3.10'!$E$5)^2)</f>
        <v>4.1873920451212072</v>
      </c>
      <c r="BX236" s="50">
        <f>(EXP(LN('Ecoinvent 3.10'!$E$5)^2)-1)*EXP(2*LN(BX51)+LN('Ecoinvent 3.10'!$E$5)^2)</f>
        <v>1.0938915515403052</v>
      </c>
      <c r="BY236" s="264"/>
      <c r="BZ236" s="265"/>
      <c r="CA236" s="156"/>
      <c r="CB236" s="156"/>
      <c r="CC236" s="123" t="s">
        <v>198</v>
      </c>
      <c r="CD236" s="264"/>
      <c r="CE236" s="265"/>
      <c r="CF236" s="264"/>
      <c r="CG236" s="265"/>
      <c r="CH236" s="264"/>
      <c r="CI236" s="265"/>
      <c r="CJ236" s="264"/>
      <c r="CK236" s="265"/>
      <c r="CL236" s="264"/>
      <c r="CM236" s="265"/>
      <c r="CN236" s="264"/>
      <c r="CO236" s="265"/>
      <c r="CP236" s="224">
        <f>(EXP(LN('Ecoinvent 3.10'!$E$5)^2)-1)*EXP(2*LN(CP51)+LN('Ecoinvent 3.10'!$E$5)^2)</f>
        <v>86.75454807430161</v>
      </c>
      <c r="CQ236" s="50">
        <f>(EXP(LN('Ecoinvent 3.10'!$E$5)^2)-1)*EXP(2*LN(CQ51)+LN('Ecoinvent 3.10'!$E$5)^2)</f>
        <v>22.663286879657068</v>
      </c>
      <c r="CR236" s="264"/>
      <c r="CS236" s="265"/>
      <c r="CV236" s="123" t="s">
        <v>198</v>
      </c>
      <c r="CW236" s="264"/>
      <c r="CX236" s="265"/>
      <c r="CY236" s="264"/>
      <c r="CZ236" s="265"/>
      <c r="DA236" s="264"/>
      <c r="DB236" s="265"/>
      <c r="DC236" s="264"/>
      <c r="DD236" s="265"/>
      <c r="DE236" s="264"/>
      <c r="DF236" s="265"/>
      <c r="DG236" s="264"/>
      <c r="DH236" s="265"/>
      <c r="DI236" s="224">
        <f>(EXP(LN('Ecoinvent 3.10'!$E$5)^2)-1)*EXP(2*LN(DI51)+LN('Ecoinvent 3.10'!$E$5)^2)</f>
        <v>7.8879420655412523E-5</v>
      </c>
      <c r="DJ236" s="50">
        <f>(EXP(LN('Ecoinvent 3.10'!$E$5)^2)-1)*EXP(2*LN(DJ51)+LN('Ecoinvent 3.10'!$E$5)^2)</f>
        <v>2.0606031371216394E-5</v>
      </c>
      <c r="DK236" s="264"/>
      <c r="DL236" s="265"/>
      <c r="DO236" s="123" t="s">
        <v>198</v>
      </c>
      <c r="DP236" s="264"/>
      <c r="DQ236" s="265"/>
      <c r="DR236" s="264"/>
      <c r="DS236" s="265"/>
      <c r="DT236" s="264"/>
      <c r="DU236" s="265"/>
      <c r="DV236" s="264"/>
      <c r="DW236" s="265"/>
      <c r="DX236" s="264"/>
      <c r="DY236" s="265"/>
      <c r="DZ236" s="264"/>
      <c r="EA236" s="265"/>
      <c r="EB236" s="224">
        <f>(EXP(LN('Ecoinvent 3.10'!$E$5)^2)-1)*EXP(2*LN(EB51)+LN('Ecoinvent 3.10'!$E$5)^2)</f>
        <v>1.4372602383064279E-3</v>
      </c>
      <c r="EC236" s="50">
        <f>(EXP(LN('Ecoinvent 3.10'!$E$5)^2)-1)*EXP(2*LN(EC51)+LN('Ecoinvent 3.10'!$E$5)^2)</f>
        <v>3.7546205731560513E-4</v>
      </c>
      <c r="ED236" s="264"/>
      <c r="EE236" s="265"/>
      <c r="EH236" s="123" t="s">
        <v>198</v>
      </c>
      <c r="EI236" s="264"/>
      <c r="EJ236" s="265"/>
      <c r="EK236" s="264"/>
      <c r="EL236" s="265"/>
      <c r="EM236" s="264"/>
      <c r="EN236" s="265"/>
      <c r="EO236" s="264"/>
      <c r="EP236" s="265"/>
      <c r="EQ236" s="264"/>
      <c r="ER236" s="265"/>
      <c r="ES236" s="264"/>
      <c r="ET236" s="265"/>
      <c r="EU236" s="224">
        <f>(EXP(LN('Ecoinvent 3.10'!$E$5)^2)-1)*EXP(2*LN(EU51)+LN('Ecoinvent 3.10'!$E$5)^2)</f>
        <v>1.3458251258911043E-4</v>
      </c>
      <c r="EV236" s="50">
        <f>(EXP(LN('Ecoinvent 3.10'!$E$5)^2)-1)*EXP(2*LN(EV51)+LN('Ecoinvent 3.10'!$E$5)^2)</f>
        <v>3.5157604523278735E-5</v>
      </c>
      <c r="EW236" s="264"/>
      <c r="EX236" s="265"/>
      <c r="FA236" s="123" t="s">
        <v>198</v>
      </c>
      <c r="FB236" s="264"/>
      <c r="FC236" s="265"/>
      <c r="FD236" s="264"/>
      <c r="FE236" s="265"/>
      <c r="FF236" s="264"/>
      <c r="FG236" s="265"/>
      <c r="FH236" s="264"/>
      <c r="FI236" s="265"/>
      <c r="FJ236" s="264"/>
      <c r="FK236" s="265"/>
      <c r="FL236" s="264"/>
      <c r="FM236" s="265"/>
      <c r="FN236" s="224">
        <f>(EXP(LN('Ecoinvent 3.10'!$E$5)^2)-1)*EXP(2*LN(FN51)+LN('Ecoinvent 3.10'!$E$5)^2)</f>
        <v>3.7684982783533823E-7</v>
      </c>
      <c r="FO236" s="50">
        <f>(EXP(LN('Ecoinvent 3.10'!$E$5)^2)-1)*EXP(2*LN(FO51)+LN('Ecoinvent 3.10'!$E$5)^2)</f>
        <v>9.8446201938219228E-8</v>
      </c>
      <c r="FP236" s="264"/>
      <c r="FQ236" s="265"/>
      <c r="FT236" s="123" t="s">
        <v>198</v>
      </c>
      <c r="FU236" s="264"/>
      <c r="FV236" s="265"/>
      <c r="FW236" s="264"/>
      <c r="FX236" s="265"/>
      <c r="FY236" s="264"/>
      <c r="FZ236" s="265"/>
      <c r="GA236" s="264"/>
      <c r="GB236" s="265"/>
      <c r="GC236" s="264"/>
      <c r="GD236" s="265"/>
      <c r="GE236" s="264"/>
      <c r="GF236" s="265"/>
      <c r="GG236" s="224">
        <f>(EXP(LN('Ecoinvent 3.10'!$E$5)^2)-1)*EXP(2*LN(GG51)+LN('Ecoinvent 3.10'!$E$5)^2)</f>
        <v>3.1717458702338219E-2</v>
      </c>
      <c r="GH236" s="50">
        <f>(EXP(LN('Ecoinvent 3.10'!$E$5)^2)-1)*EXP(2*LN(GH51)+LN('Ecoinvent 3.10'!$E$5)^2)</f>
        <v>8.2856966190305806E-3</v>
      </c>
      <c r="GI236" s="264"/>
      <c r="GJ236" s="265"/>
      <c r="GM236" s="123" t="s">
        <v>198</v>
      </c>
      <c r="GN236" s="264"/>
      <c r="GO236" s="265"/>
      <c r="GP236" s="264"/>
      <c r="GQ236" s="265"/>
      <c r="GR236" s="264"/>
      <c r="GS236" s="265"/>
      <c r="GT236" s="264"/>
      <c r="GU236" s="265"/>
      <c r="GV236" s="264"/>
      <c r="GW236" s="265"/>
      <c r="GX236" s="264"/>
      <c r="GY236" s="265"/>
      <c r="GZ236" s="224">
        <f>(EXP(LN('Ecoinvent 3.10'!$E$5)^2)-1)*EXP(2*LN(GZ51)+LN('Ecoinvent 3.10'!$E$5)^2)</f>
        <v>1.4224180955242538</v>
      </c>
      <c r="HA236" s="50">
        <f>(EXP(LN('Ecoinvent 3.10'!$E$5)^2)-1)*EXP(2*LN(HA51)+LN('Ecoinvent 3.10'!$E$5)^2)</f>
        <v>0.37158477655917543</v>
      </c>
      <c r="HB236" s="264"/>
      <c r="HC236" s="265"/>
      <c r="HF236" s="123" t="s">
        <v>198</v>
      </c>
      <c r="HG236" s="264"/>
      <c r="HH236" s="265"/>
      <c r="HI236" s="264"/>
      <c r="HJ236" s="265"/>
      <c r="HK236" s="264"/>
      <c r="HL236" s="265"/>
      <c r="HM236" s="264"/>
      <c r="HN236" s="265"/>
      <c r="HO236" s="264"/>
      <c r="HP236" s="265"/>
      <c r="HQ236" s="264"/>
      <c r="HR236" s="265"/>
      <c r="HS236" s="224">
        <f>(EXP(LN('Ecoinvent 3.10'!$E$5)^2)-1)*EXP(2*LN(HS51)+LN('Ecoinvent 3.10'!$E$5)^2)</f>
        <v>5.8524923715943933</v>
      </c>
      <c r="HT236" s="50">
        <f>(EXP(LN('Ecoinvent 3.10'!$E$5)^2)-1)*EXP(2*LN(HT51)+LN('Ecoinvent 3.10'!$E$5)^2)</f>
        <v>1.5288733158387331</v>
      </c>
      <c r="HU236" s="264"/>
      <c r="HV236" s="265"/>
      <c r="HY236" s="123" t="s">
        <v>198</v>
      </c>
      <c r="HZ236" s="264"/>
      <c r="IA236" s="265"/>
      <c r="IB236" s="264"/>
      <c r="IC236" s="265"/>
      <c r="ID236" s="264"/>
      <c r="IE236" s="265"/>
      <c r="IF236" s="264"/>
      <c r="IG236" s="265"/>
      <c r="IH236" s="264"/>
      <c r="II236" s="265"/>
      <c r="IJ236" s="264"/>
      <c r="IK236" s="265"/>
      <c r="IL236" s="224">
        <f>(EXP(LN('Ecoinvent 3.10'!$E$5)^2)-1)*EXP(2*LN(IL51)+LN('Ecoinvent 3.10'!$E$5)^2)</f>
        <v>1.5341978533953845E-5</v>
      </c>
      <c r="IM236" s="50">
        <f>(EXP(LN('Ecoinvent 3.10'!$E$5)^2)-1)*EXP(2*LN(IM51)+LN('Ecoinvent 3.10'!$E$5)^2)</f>
        <v>4.0078551330674424E-6</v>
      </c>
      <c r="IN236" s="264"/>
      <c r="IO236" s="265"/>
    </row>
    <row r="237" spans="1:249" x14ac:dyDescent="0.2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  <c r="AA237" s="158"/>
      <c r="AB237" s="158"/>
      <c r="AC237" s="158"/>
      <c r="AD237" s="158"/>
      <c r="AE237" s="158"/>
      <c r="AF237" s="158"/>
      <c r="AG237" s="158"/>
      <c r="AH237" s="158"/>
      <c r="AI237" s="158"/>
      <c r="AJ237" s="158"/>
      <c r="AK237" s="158"/>
      <c r="AL237" s="158"/>
      <c r="AM237" s="130"/>
      <c r="AN237" s="156"/>
      <c r="AO237" s="158"/>
      <c r="AP237" s="726"/>
      <c r="AQ237" s="123" t="s">
        <v>197</v>
      </c>
      <c r="AR237" s="224">
        <f t="shared" ref="AR237" si="3021">SUM(AR238:AR244)</f>
        <v>3.3893882659161401</v>
      </c>
      <c r="AS237" s="50">
        <f t="shared" ref="AS237:BC237" si="3022">SUM(AS238:AS244)</f>
        <v>3.3888651920162989</v>
      </c>
      <c r="AT237" s="224">
        <f t="shared" si="3022"/>
        <v>3.3893882659161401</v>
      </c>
      <c r="AU237" s="50">
        <f t="shared" si="3022"/>
        <v>3.3888651920162989</v>
      </c>
      <c r="AV237" s="224">
        <f t="shared" si="3022"/>
        <v>3.3893882659161432</v>
      </c>
      <c r="AW237" s="50">
        <f t="shared" si="3022"/>
        <v>3.3888651920162989</v>
      </c>
      <c r="AX237" s="224">
        <f t="shared" si="3022"/>
        <v>2.1352126409234904</v>
      </c>
      <c r="AY237" s="50">
        <f t="shared" si="3022"/>
        <v>2.1348950382857073</v>
      </c>
      <c r="AZ237" s="224">
        <f t="shared" si="3022"/>
        <v>1.8640951577915104</v>
      </c>
      <c r="BA237" s="50">
        <f t="shared" si="3022"/>
        <v>1.8638820448400129</v>
      </c>
      <c r="BB237" s="224">
        <f t="shared" si="3022"/>
        <v>4.2896945240501152</v>
      </c>
      <c r="BC237" s="50">
        <f t="shared" si="3022"/>
        <v>4.289032508645632</v>
      </c>
      <c r="BD237" s="224">
        <f>SUM(BD239:BD244)</f>
        <v>13.24169977978582</v>
      </c>
      <c r="BE237" s="50">
        <f>SUM(BE239:BE244)</f>
        <v>13.240902896981854</v>
      </c>
      <c r="BF237" s="224">
        <f>SUM(BF239:BF244)</f>
        <v>6327.3750225199619</v>
      </c>
      <c r="BG237" s="50">
        <f>SUM(BG239:BG244)</f>
        <v>1652.9290799570672</v>
      </c>
      <c r="BH237" s="101"/>
      <c r="BI237" s="156"/>
      <c r="BJ237" s="123" t="s">
        <v>197</v>
      </c>
      <c r="BK237" s="224">
        <f t="shared" ref="BK237" si="3023">SUM(BK238:BK244)</f>
        <v>0.16732917535643932</v>
      </c>
      <c r="BL237" s="50">
        <f t="shared" ref="BL237:BV237" si="3024">SUM(BL238:BL244)</f>
        <v>0.16732230773570603</v>
      </c>
      <c r="BM237" s="224">
        <f t="shared" si="3024"/>
        <v>0.16732917535643915</v>
      </c>
      <c r="BN237" s="50">
        <f t="shared" si="3024"/>
        <v>0.16732230773570603</v>
      </c>
      <c r="BO237" s="224">
        <f t="shared" si="3024"/>
        <v>0.16732917535643932</v>
      </c>
      <c r="BP237" s="50">
        <f t="shared" si="3024"/>
        <v>0.16732230773570611</v>
      </c>
      <c r="BQ237" s="224">
        <f t="shared" si="3024"/>
        <v>0.10801446500055986</v>
      </c>
      <c r="BR237" s="50">
        <f t="shared" si="3024"/>
        <v>0.10801029508410875</v>
      </c>
      <c r="BS237" s="224">
        <f t="shared" si="3024"/>
        <v>9.9019220453666665E-2</v>
      </c>
      <c r="BT237" s="50">
        <f t="shared" si="3024"/>
        <v>9.9016422418963218E-2</v>
      </c>
      <c r="BU237" s="224">
        <f t="shared" si="3024"/>
        <v>0.21177598756049346</v>
      </c>
      <c r="BV237" s="50">
        <f t="shared" si="3024"/>
        <v>0.21176729572800312</v>
      </c>
      <c r="BW237" s="224">
        <f>SUM(BW239:BW244)</f>
        <v>1.0434327561607013</v>
      </c>
      <c r="BX237" s="50">
        <f>SUM(BX239:BX244)</f>
        <v>1.0434222936068096</v>
      </c>
      <c r="BY237" s="224">
        <f>SUM(BY239:BY244)</f>
        <v>460.25828347082057</v>
      </c>
      <c r="BZ237" s="50">
        <f>SUM(BZ239:BZ244)</f>
        <v>120.23537380546378</v>
      </c>
      <c r="CA237" s="156"/>
      <c r="CB237" s="156"/>
      <c r="CC237" s="123" t="s">
        <v>197</v>
      </c>
      <c r="CD237" s="224">
        <f t="shared" ref="CD237" si="3025">SUM(CD238:CD244)</f>
        <v>612.38140511943425</v>
      </c>
      <c r="CE237" s="50">
        <f t="shared" ref="CE237:CO237" si="3026">SUM(CE238:CE244)</f>
        <v>612.38113859823557</v>
      </c>
      <c r="CF237" s="224">
        <f t="shared" si="3026"/>
        <v>612.38140511943425</v>
      </c>
      <c r="CG237" s="50">
        <f t="shared" si="3026"/>
        <v>612.38113859823557</v>
      </c>
      <c r="CH237" s="224">
        <f t="shared" si="3026"/>
        <v>612.38140511943425</v>
      </c>
      <c r="CI237" s="50">
        <f t="shared" si="3026"/>
        <v>612.38113859823557</v>
      </c>
      <c r="CJ237" s="224">
        <f t="shared" si="3026"/>
        <v>491.67208113338046</v>
      </c>
      <c r="CK237" s="50">
        <f t="shared" si="3026"/>
        <v>491.67191930570067</v>
      </c>
      <c r="CL237" s="224">
        <f t="shared" si="3026"/>
        <v>621.06013586878419</v>
      </c>
      <c r="CM237" s="50">
        <f t="shared" si="3026"/>
        <v>621.06002728160502</v>
      </c>
      <c r="CN237" s="224">
        <f t="shared" si="3026"/>
        <v>775.04521585428449</v>
      </c>
      <c r="CO237" s="50">
        <f t="shared" si="3026"/>
        <v>775.04487853839248</v>
      </c>
      <c r="CP237" s="224">
        <f>SUM(CP239:CP244)</f>
        <v>8.1560439638077273</v>
      </c>
      <c r="CQ237" s="50">
        <f>SUM(CQ239:CQ244)</f>
        <v>8.1556379290961925</v>
      </c>
      <c r="CR237" s="224">
        <f>SUM(CR239:CR244)</f>
        <v>28685.823546163159</v>
      </c>
      <c r="CS237" s="50">
        <f>SUM(CS239:CS244)</f>
        <v>7493.728718972995</v>
      </c>
      <c r="CV237" s="123" t="s">
        <v>197</v>
      </c>
      <c r="CW237" s="224">
        <f t="shared" ref="CW237" si="3027">SUM(CW238:CW244)</f>
        <v>1.8013913693696049E-5</v>
      </c>
      <c r="CX237" s="50">
        <f t="shared" ref="CX237:DH237" si="3028">SUM(CX238:CX244)</f>
        <v>1.8013864627292325E-5</v>
      </c>
      <c r="CY237" s="224">
        <f t="shared" si="3028"/>
        <v>1.8013913693696032E-5</v>
      </c>
      <c r="CZ237" s="50">
        <f t="shared" si="3028"/>
        <v>1.8013864627292325E-5</v>
      </c>
      <c r="DA237" s="224">
        <f t="shared" si="3028"/>
        <v>1.8013913693696049E-5</v>
      </c>
      <c r="DB237" s="50">
        <f t="shared" si="3028"/>
        <v>1.8013864627292325E-5</v>
      </c>
      <c r="DC237" s="224">
        <f t="shared" si="3028"/>
        <v>1.0067589364389913E-5</v>
      </c>
      <c r="DD237" s="50">
        <f t="shared" si="3028"/>
        <v>1.0067559572004471E-5</v>
      </c>
      <c r="DE237" s="224">
        <f t="shared" si="3028"/>
        <v>6.4714929092232298E-6</v>
      </c>
      <c r="DF237" s="50">
        <f t="shared" si="3028"/>
        <v>6.4714729183842303E-6</v>
      </c>
      <c r="DG237" s="224">
        <f t="shared" si="3028"/>
        <v>2.2798859518584054E-5</v>
      </c>
      <c r="DH237" s="50">
        <f t="shared" si="3028"/>
        <v>2.2798797418916866E-5</v>
      </c>
      <c r="DI237" s="224">
        <f>SUM(DI239:DI244)</f>
        <v>2.2831689002500092E-5</v>
      </c>
      <c r="DJ237" s="50">
        <f>SUM(DJ239:DJ244)</f>
        <v>2.2831614251736615E-5</v>
      </c>
      <c r="DK237" s="224">
        <f>SUM(DK239:DK244)</f>
        <v>1.0848273595071928E-2</v>
      </c>
      <c r="DL237" s="50">
        <f>SUM(DL239:DL244)</f>
        <v>2.8339440650829882E-3</v>
      </c>
      <c r="DO237" s="123" t="s">
        <v>197</v>
      </c>
      <c r="DP237" s="224">
        <f t="shared" ref="DP237" si="3029">SUM(DP238:DP244)</f>
        <v>8.5959068621720568E-6</v>
      </c>
      <c r="DQ237" s="50">
        <f t="shared" ref="DQ237:EA237" si="3030">SUM(DQ238:DQ244)</f>
        <v>8.5885866506093029E-6</v>
      </c>
      <c r="DR237" s="224">
        <f t="shared" si="3030"/>
        <v>8.59590686217205E-6</v>
      </c>
      <c r="DS237" s="50">
        <f t="shared" si="3030"/>
        <v>8.5885866506093029E-6</v>
      </c>
      <c r="DT237" s="224">
        <f t="shared" si="3030"/>
        <v>8.5959068621720585E-6</v>
      </c>
      <c r="DU237" s="50">
        <f t="shared" si="3030"/>
        <v>8.5885866506093029E-6</v>
      </c>
      <c r="DV237" s="224">
        <f t="shared" si="3030"/>
        <v>5.1061579508707673E-6</v>
      </c>
      <c r="DW237" s="50">
        <f t="shared" si="3030"/>
        <v>5.1017132280463665E-6</v>
      </c>
      <c r="DX237" s="224">
        <f t="shared" si="3030"/>
        <v>3.8721076985654965E-6</v>
      </c>
      <c r="DY237" s="50">
        <f t="shared" si="3030"/>
        <v>3.8691252674172453E-6</v>
      </c>
      <c r="DZ237" s="224">
        <f t="shared" si="3030"/>
        <v>1.0879194622436509E-5</v>
      </c>
      <c r="EA237" s="50">
        <f t="shared" si="3030"/>
        <v>1.0869929979677407E-5</v>
      </c>
      <c r="EB237" s="224">
        <f>SUM(EB239:EB244)</f>
        <v>9.7223354352119547E-6</v>
      </c>
      <c r="EC237" s="50">
        <f>SUM(EC239:EC244)</f>
        <v>9.7111833767410455E-6</v>
      </c>
      <c r="ED237" s="224">
        <f>SUM(ED239:ED244)</f>
        <v>1740.9813569808291</v>
      </c>
      <c r="EE237" s="50">
        <f>SUM(EE239:EE244)</f>
        <v>454.80451251499204</v>
      </c>
      <c r="EH237" s="123" t="s">
        <v>197</v>
      </c>
      <c r="EI237" s="224">
        <f t="shared" ref="EI237:ET237" si="3031">SUM(EI238:EI244)</f>
        <v>9.9591627631045349E-7</v>
      </c>
      <c r="EJ237" s="50">
        <f t="shared" si="3031"/>
        <v>9.958100043300802E-7</v>
      </c>
      <c r="EK237" s="224">
        <f t="shared" si="3031"/>
        <v>9.9591627631045349E-7</v>
      </c>
      <c r="EL237" s="50">
        <f t="shared" si="3031"/>
        <v>9.958100043300802E-7</v>
      </c>
      <c r="EM237" s="224">
        <f t="shared" si="3031"/>
        <v>9.9591627631045349E-7</v>
      </c>
      <c r="EN237" s="50">
        <f t="shared" si="3031"/>
        <v>9.958100043300802E-7</v>
      </c>
      <c r="EO237" s="224">
        <f t="shared" si="3031"/>
        <v>2.0470052359429557E-6</v>
      </c>
      <c r="EP237" s="50">
        <f t="shared" si="3031"/>
        <v>2.0469407091881328E-6</v>
      </c>
      <c r="EQ237" s="224">
        <f t="shared" si="3031"/>
        <v>4.3577026149046161E-6</v>
      </c>
      <c r="ER237" s="50">
        <f t="shared" si="3031"/>
        <v>4.3576593171308043E-6</v>
      </c>
      <c r="ES237" s="224">
        <f t="shared" si="3031"/>
        <v>1.2604565372054174E-6</v>
      </c>
      <c r="ET237" s="50">
        <f t="shared" si="3031"/>
        <v>1.2603220367302584E-6</v>
      </c>
      <c r="EU237" s="224">
        <f>SUM(EU239:EU244)</f>
        <v>6.5713322215701268E-6</v>
      </c>
      <c r="EV237" s="50">
        <f>SUM(EV239:EV244)</f>
        <v>6.5711703203287663E-6</v>
      </c>
      <c r="EW237" s="224">
        <f>SUM(EW239:EW244)</f>
        <v>3.6289632415792632E-2</v>
      </c>
      <c r="EX237" s="50">
        <f>SUM(EX239:EX244)</f>
        <v>9.4801064434342237E-3</v>
      </c>
      <c r="FA237" s="123" t="s">
        <v>197</v>
      </c>
      <c r="FB237" s="224">
        <f t="shared" ref="FB237:FM237" si="3032">SUM(FB238:FB244)</f>
        <v>4.4382755753651212E-9</v>
      </c>
      <c r="FC237" s="50">
        <f t="shared" si="3032"/>
        <v>4.4381229285997234E-9</v>
      </c>
      <c r="FD237" s="224">
        <f t="shared" si="3032"/>
        <v>4.4382755753651212E-9</v>
      </c>
      <c r="FE237" s="50">
        <f t="shared" si="3032"/>
        <v>4.4381229285997234E-9</v>
      </c>
      <c r="FF237" s="224">
        <f t="shared" si="3032"/>
        <v>4.4382755753651286E-9</v>
      </c>
      <c r="FG237" s="50">
        <f t="shared" si="3032"/>
        <v>4.4381229285997234E-9</v>
      </c>
      <c r="FH237" s="224">
        <f t="shared" si="3032"/>
        <v>3.7998161511044369E-9</v>
      </c>
      <c r="FI237" s="50">
        <f t="shared" si="3032"/>
        <v>3.799723466274717E-9</v>
      </c>
      <c r="FJ237" s="224">
        <f t="shared" si="3032"/>
        <v>5.1351030675512985E-9</v>
      </c>
      <c r="FK237" s="50">
        <f t="shared" si="3032"/>
        <v>5.1350408755690179E-9</v>
      </c>
      <c r="FL237" s="224">
        <f t="shared" si="3032"/>
        <v>5.6171925250714855E-9</v>
      </c>
      <c r="FM237" s="50">
        <f t="shared" si="3032"/>
        <v>5.616999331509029E-9</v>
      </c>
      <c r="FN237" s="224">
        <f>SUM(FN239:FN244)</f>
        <v>1.6029693028513163E-7</v>
      </c>
      <c r="FO237" s="50">
        <f>SUM(FO239:FO244)</f>
        <v>1.6029669773370349E-7</v>
      </c>
      <c r="FP237" s="224">
        <f>SUM(FP239:FP244)</f>
        <v>1.1351806364546548E-4</v>
      </c>
      <c r="FQ237" s="50">
        <f>SUM(FQ239:FQ244)</f>
        <v>2.9654842305407996E-5</v>
      </c>
      <c r="FT237" s="123" t="s">
        <v>197</v>
      </c>
      <c r="FU237" s="224">
        <f t="shared" ref="FU237:GF237" si="3033">SUM(FU238:FU244)</f>
        <v>8.7587757642816188E-5</v>
      </c>
      <c r="FV237" s="50">
        <f t="shared" si="3033"/>
        <v>8.7583584463970539E-5</v>
      </c>
      <c r="FW237" s="224">
        <f t="shared" si="3033"/>
        <v>8.7587757642816107E-5</v>
      </c>
      <c r="FX237" s="50">
        <f t="shared" si="3033"/>
        <v>8.7583584463970512E-5</v>
      </c>
      <c r="FY237" s="224">
        <f t="shared" si="3033"/>
        <v>8.7587757642816188E-5</v>
      </c>
      <c r="FZ237" s="50">
        <f t="shared" si="3033"/>
        <v>8.758358446397058E-5</v>
      </c>
      <c r="GA237" s="224">
        <f t="shared" si="3033"/>
        <v>5.4126747946234695E-5</v>
      </c>
      <c r="GB237" s="50">
        <f t="shared" si="3033"/>
        <v>5.412421405454238E-5</v>
      </c>
      <c r="GC237" s="224">
        <f t="shared" si="3033"/>
        <v>4.5348269606272928E-5</v>
      </c>
      <c r="GD237" s="50">
        <f t="shared" si="3033"/>
        <v>4.5346569352329513E-5</v>
      </c>
      <c r="GE237" s="224">
        <f t="shared" si="3033"/>
        <v>1.1085325576668923E-4</v>
      </c>
      <c r="GF237" s="50">
        <f t="shared" si="3033"/>
        <v>1.108479740872128E-4</v>
      </c>
      <c r="GG237" s="224">
        <f>SUM(GG239:GG244)</f>
        <v>3.2696700783495832E-4</v>
      </c>
      <c r="GH237" s="50">
        <f>SUM(GH239:GH244)</f>
        <v>3.2696065015880391E-4</v>
      </c>
      <c r="GI237" s="224">
        <f>SUM(GI239:GI244)</f>
        <v>2.1840209882436716</v>
      </c>
      <c r="GJ237" s="50">
        <f>SUM(GJ239:GJ244)</f>
        <v>0.57054177915106274</v>
      </c>
      <c r="GM237" s="123" t="s">
        <v>197</v>
      </c>
      <c r="GN237" s="224">
        <f t="shared" ref="GN237:GY237" si="3034">SUM(GN238:GN244)</f>
        <v>2.3589376851380598E-3</v>
      </c>
      <c r="GO237" s="50">
        <f t="shared" si="3034"/>
        <v>2.3588397641531277E-3</v>
      </c>
      <c r="GP237" s="224">
        <f t="shared" si="3034"/>
        <v>2.3589376851380585E-3</v>
      </c>
      <c r="GQ237" s="50">
        <f t="shared" si="3034"/>
        <v>2.3588397641531268E-3</v>
      </c>
      <c r="GR237" s="224">
        <f t="shared" si="3034"/>
        <v>2.3589376851380602E-3</v>
      </c>
      <c r="GS237" s="50">
        <f t="shared" si="3034"/>
        <v>2.3588397641531285E-3</v>
      </c>
      <c r="GT237" s="224">
        <f t="shared" si="3034"/>
        <v>1.3926819569986012E-3</v>
      </c>
      <c r="GU237" s="50">
        <f t="shared" si="3034"/>
        <v>1.3926225008431378E-3</v>
      </c>
      <c r="GV237" s="224">
        <f t="shared" si="3034"/>
        <v>1.0467811680773351E-3</v>
      </c>
      <c r="GW237" s="50">
        <f t="shared" si="3034"/>
        <v>1.0467412727009481E-3</v>
      </c>
      <c r="GX237" s="224">
        <f t="shared" si="3034"/>
        <v>2.9855305077528568E-3</v>
      </c>
      <c r="GY237" s="50">
        <f t="shared" si="3034"/>
        <v>2.9854065765063044E-3</v>
      </c>
      <c r="GZ237" s="224">
        <f>SUM(GZ239:GZ244)</f>
        <v>7.5882972727641914E-3</v>
      </c>
      <c r="HA237" s="50">
        <f>SUM(HA239:HA244)</f>
        <v>7.588148093940583E-3</v>
      </c>
      <c r="HB237" s="224">
        <f>SUM(HB239:HB244)</f>
        <v>15.420667214660851</v>
      </c>
      <c r="HC237" s="50">
        <f>SUM(HC239:HC244)</f>
        <v>4.0284113365706604</v>
      </c>
      <c r="HF237" s="123" t="s">
        <v>197</v>
      </c>
      <c r="HG237" s="224">
        <f t="shared" ref="HG237:HR237" si="3035">SUM(HG238:HG244)</f>
        <v>7.6855046686538017E-2</v>
      </c>
      <c r="HH237" s="50">
        <f t="shared" si="3035"/>
        <v>7.685292796652983E-2</v>
      </c>
      <c r="HI237" s="224">
        <f t="shared" si="3035"/>
        <v>7.6855046686537989E-2</v>
      </c>
      <c r="HJ237" s="50">
        <f t="shared" si="3035"/>
        <v>7.685292796652983E-2</v>
      </c>
      <c r="HK237" s="224">
        <f t="shared" si="3035"/>
        <v>7.6855046686538017E-2</v>
      </c>
      <c r="HL237" s="50">
        <f t="shared" si="3035"/>
        <v>7.685292796652983E-2</v>
      </c>
      <c r="HM237" s="224">
        <f t="shared" si="3035"/>
        <v>4.7627199408005277E-2</v>
      </c>
      <c r="HN237" s="50">
        <f t="shared" si="3035"/>
        <v>4.7625912952948893E-2</v>
      </c>
      <c r="HO237" s="224">
        <f t="shared" si="3035"/>
        <v>4.0150549217648226E-2</v>
      </c>
      <c r="HP237" s="50">
        <f t="shared" si="3035"/>
        <v>4.01496859998993E-2</v>
      </c>
      <c r="HQ237" s="224">
        <f t="shared" si="3035"/>
        <v>9.7269668462649672E-2</v>
      </c>
      <c r="HR237" s="50">
        <f t="shared" si="3035"/>
        <v>9.7266986957639384E-2</v>
      </c>
      <c r="HS237" s="224">
        <f>SUM(HS239:HS244)</f>
        <v>1.0121745018714951E-2</v>
      </c>
      <c r="HT237" s="50">
        <f>SUM(HT239:HT244)</f>
        <v>1.0118517230936968E-2</v>
      </c>
      <c r="HU237" s="224">
        <f>SUM(HU239:HU244)</f>
        <v>1174.494232274453</v>
      </c>
      <c r="HV237" s="50">
        <f>SUM(HV239:HV244)</f>
        <v>306.81849327070898</v>
      </c>
      <c r="HY237" s="123" t="s">
        <v>197</v>
      </c>
      <c r="HZ237" s="224">
        <f t="shared" ref="HZ237:IK237" si="3036">SUM(HZ238:HZ244)</f>
        <v>2.2496831287683017E-6</v>
      </c>
      <c r="IA237" s="50">
        <f t="shared" si="3036"/>
        <v>2.2496709782262042E-6</v>
      </c>
      <c r="IB237" s="224">
        <f t="shared" si="3036"/>
        <v>2.2496831287682996E-6</v>
      </c>
      <c r="IC237" s="50">
        <f t="shared" si="3036"/>
        <v>2.2496709782262042E-6</v>
      </c>
      <c r="ID237" s="224">
        <f t="shared" si="3036"/>
        <v>2.2496831287683017E-6</v>
      </c>
      <c r="IE237" s="50">
        <f t="shared" si="3036"/>
        <v>2.2496709782262063E-6</v>
      </c>
      <c r="IF237" s="224">
        <f t="shared" si="3036"/>
        <v>1.2777954101810441E-6</v>
      </c>
      <c r="IG237" s="50">
        <f t="shared" si="3036"/>
        <v>1.277788032553866E-6</v>
      </c>
      <c r="IH237" s="224">
        <f t="shared" si="3036"/>
        <v>8.6320141640155153E-7</v>
      </c>
      <c r="II237" s="50">
        <f t="shared" si="3036"/>
        <v>8.6319646597697652E-7</v>
      </c>
      <c r="IJ237" s="224">
        <f t="shared" si="3036"/>
        <v>2.847255209847381E-6</v>
      </c>
      <c r="IK237" s="50">
        <f t="shared" si="3036"/>
        <v>2.8472398318175412E-6</v>
      </c>
      <c r="IL237" s="224">
        <f>SUM(IL239:IL244)</f>
        <v>3.2998392496010716E-6</v>
      </c>
      <c r="IM237" s="50">
        <f>SUM(IM239:IM244)</f>
        <v>3.2998207387213322E-6</v>
      </c>
      <c r="IN237" s="224">
        <f>SUM(IN239:IN244)</f>
        <v>2.039176583872402E-3</v>
      </c>
      <c r="IO237" s="50">
        <f>SUM(IO239:IO244)</f>
        <v>5.3270341376222287E-4</v>
      </c>
    </row>
    <row r="238" spans="1:249" x14ac:dyDescent="0.2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  <c r="AA238" s="158"/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158"/>
      <c r="AL238" s="158"/>
      <c r="AM238" s="137"/>
      <c r="AN238" s="156"/>
      <c r="AO238" s="158"/>
      <c r="AP238" s="726"/>
      <c r="AQ238" s="147" t="s">
        <v>59</v>
      </c>
      <c r="AR238" s="224">
        <f>(EXP(LN('Ecoinvent 3.10'!$E$27)^2)-1)*EXP(2*LN(AR53)+LN('Ecoinvent 3.10'!$E$27)^2)</f>
        <v>3.3858820749980176</v>
      </c>
      <c r="AS238" s="50">
        <f>(EXP(LN('Ecoinvent 3.10'!$E$27)^2)-1)*EXP(2*LN(AS53)+LN('Ecoinvent 3.10'!$E$27)^2)</f>
        <v>3.3858820749980176</v>
      </c>
      <c r="AT238" s="224">
        <f>(EXP(LN('Ecoinvent 3.10'!$E$27)^2)-1)*EXP(2*LN(AT53)+LN('Ecoinvent 3.10'!$E$27)^2)</f>
        <v>3.3858820749980176</v>
      </c>
      <c r="AU238" s="50">
        <f>(EXP(LN('Ecoinvent 3.10'!$E$27)^2)-1)*EXP(2*LN(AU53)+LN('Ecoinvent 3.10'!$E$27)^2)</f>
        <v>3.3858820749980176</v>
      </c>
      <c r="AV238" s="224">
        <f>(EXP(LN('Ecoinvent 3.10'!$E$27)^2)-1)*EXP(2*LN(AV53)+LN('Ecoinvent 3.10'!$E$27)^2)</f>
        <v>3.3858820749980207</v>
      </c>
      <c r="AW238" s="50">
        <f>(EXP(LN('Ecoinvent 3.10'!$E$27)^2)-1)*EXP(2*LN(AW53)+LN('Ecoinvent 3.10'!$E$27)^2)</f>
        <v>3.3858820749980176</v>
      </c>
      <c r="AX238" s="224">
        <f>(EXP(LN('Ecoinvent 3.10'!$E$27)^2)-1)*EXP(2*LN(AX53)+LN('Ecoinvent 3.10'!$E$27)^2)</f>
        <v>1.8554108385340793</v>
      </c>
      <c r="AY238" s="50">
        <f>(EXP(LN('Ecoinvent 3.10'!$E$27)^2)-1)*EXP(2*LN(AY53)+LN('Ecoinvent 3.10'!$E$27)^2)</f>
        <v>1.8554108385340811</v>
      </c>
      <c r="AZ238" s="224">
        <f>(EXP(LN('Ecoinvent 3.10'!$E$27)^2)-1)*EXP(2*LN(AZ53)+LN('Ecoinvent 3.10'!$E$27)^2)</f>
        <v>1.1173870677562499</v>
      </c>
      <c r="BA238" s="50">
        <f>(EXP(LN('Ecoinvent 3.10'!$E$27)^2)-1)*EXP(2*LN(BA53)+LN('Ecoinvent 3.10'!$E$27)^2)</f>
        <v>1.1173870677562499</v>
      </c>
      <c r="BB238" s="224">
        <f>(EXP(LN('Ecoinvent 3.10'!$E$27)^2)-1)*EXP(2*LN(BB53)+LN('Ecoinvent 3.10'!$E$27)^2)</f>
        <v>4.2852570011693656</v>
      </c>
      <c r="BC238" s="50">
        <f>(EXP(LN('Ecoinvent 3.10'!$E$27)^2)-1)*EXP(2*LN(BC53)+LN('Ecoinvent 3.10'!$E$27)^2)</f>
        <v>4.28525700116937</v>
      </c>
      <c r="BD238" s="264"/>
      <c r="BE238" s="265"/>
      <c r="BF238" s="264"/>
      <c r="BG238" s="265"/>
      <c r="BH238" s="101"/>
      <c r="BI238" s="156"/>
      <c r="BJ238" s="147" t="s">
        <v>59</v>
      </c>
      <c r="BK238" s="224">
        <f>(EXP(LN('Ecoinvent 3.10'!$E$27)^2)-1)*EXP(2*LN(BK53)+LN('Ecoinvent 3.10'!$E$27)^2)</f>
        <v>0.16724704697897538</v>
      </c>
      <c r="BL238" s="50">
        <f>(EXP(LN('Ecoinvent 3.10'!$E$27)^2)-1)*EXP(2*LN(BL53)+LN('Ecoinvent 3.10'!$E$27)^2)</f>
        <v>0.16724704697897522</v>
      </c>
      <c r="BM238" s="224">
        <f>(EXP(LN('Ecoinvent 3.10'!$E$27)^2)-1)*EXP(2*LN(BM53)+LN('Ecoinvent 3.10'!$E$27)^2)</f>
        <v>0.16724704697897522</v>
      </c>
      <c r="BN238" s="50">
        <f>(EXP(LN('Ecoinvent 3.10'!$E$27)^2)-1)*EXP(2*LN(BN53)+LN('Ecoinvent 3.10'!$E$27)^2)</f>
        <v>0.16724704697897522</v>
      </c>
      <c r="BO238" s="224">
        <f>(EXP(LN('Ecoinvent 3.10'!$E$27)^2)-1)*EXP(2*LN(BO53)+LN('Ecoinvent 3.10'!$E$27)^2)</f>
        <v>0.16724704697897538</v>
      </c>
      <c r="BP238" s="50">
        <f>(EXP(LN('Ecoinvent 3.10'!$E$27)^2)-1)*EXP(2*LN(BP53)+LN('Ecoinvent 3.10'!$E$27)^2)</f>
        <v>0.1672470469789753</v>
      </c>
      <c r="BQ238" s="224">
        <f>(EXP(LN('Ecoinvent 3.10'!$E$27)^2)-1)*EXP(2*LN(BQ53)+LN('Ecoinvent 3.10'!$E$27)^2)</f>
        <v>9.1648786580315458E-2</v>
      </c>
      <c r="BR238" s="50">
        <f>(EXP(LN('Ecoinvent 3.10'!$E$27)^2)-1)*EXP(2*LN(BR53)+LN('Ecoinvent 3.10'!$E$27)^2)</f>
        <v>9.1648786580315542E-2</v>
      </c>
      <c r="BS238" s="224">
        <f>(EXP(LN('Ecoinvent 3.10'!$E$27)^2)-1)*EXP(2*LN(BS53)+LN('Ecoinvent 3.10'!$E$27)^2)</f>
        <v>5.5193796852726622E-2</v>
      </c>
      <c r="BT238" s="50">
        <f>(EXP(LN('Ecoinvent 3.10'!$E$27)^2)-1)*EXP(2*LN(BT53)+LN('Ecoinvent 3.10'!$E$27)^2)</f>
        <v>5.5193796852726573E-2</v>
      </c>
      <c r="BU238" s="224">
        <f>(EXP(LN('Ecoinvent 3.10'!$E$27)^2)-1)*EXP(2*LN(BU53)+LN('Ecoinvent 3.10'!$E$27)^2)</f>
        <v>0.21167204383276567</v>
      </c>
      <c r="BV238" s="50">
        <f>(EXP(LN('Ecoinvent 3.10'!$E$27)^2)-1)*EXP(2*LN(BV53)+LN('Ecoinvent 3.10'!$E$27)^2)</f>
        <v>0.21167204383276567</v>
      </c>
      <c r="BW238" s="264"/>
      <c r="BX238" s="265"/>
      <c r="BY238" s="264"/>
      <c r="BZ238" s="265"/>
      <c r="CA238" s="156"/>
      <c r="CB238" s="156"/>
      <c r="CC238" s="147" t="s">
        <v>59</v>
      </c>
      <c r="CD238" s="224">
        <f>(EXP(LN('Ecoinvent 3.10'!$E$27)^2)-1)*EXP(2*LN(CD53)+LN('Ecoinvent 3.10'!$E$27)^2)</f>
        <v>612.3770273155684</v>
      </c>
      <c r="CE238" s="50">
        <f>(EXP(LN('Ecoinvent 3.10'!$E$27)^2)-1)*EXP(2*LN(CE53)+LN('Ecoinvent 3.10'!$E$27)^2)</f>
        <v>612.3770273155684</v>
      </c>
      <c r="CF238" s="224">
        <f>(EXP(LN('Ecoinvent 3.10'!$E$27)^2)-1)*EXP(2*LN(CF53)+LN('Ecoinvent 3.10'!$E$27)^2)</f>
        <v>612.3770273155684</v>
      </c>
      <c r="CG238" s="50">
        <f>(EXP(LN('Ecoinvent 3.10'!$E$27)^2)-1)*EXP(2*LN(CG53)+LN('Ecoinvent 3.10'!$E$27)^2)</f>
        <v>612.3770273155684</v>
      </c>
      <c r="CH238" s="224">
        <f>(EXP(LN('Ecoinvent 3.10'!$E$27)^2)-1)*EXP(2*LN(CH53)+LN('Ecoinvent 3.10'!$E$27)^2)</f>
        <v>612.3770273155684</v>
      </c>
      <c r="CI238" s="50">
        <f>(EXP(LN('Ecoinvent 3.10'!$E$27)^2)-1)*EXP(2*LN(CI53)+LN('Ecoinvent 3.10'!$E$27)^2)</f>
        <v>612.3770273155684</v>
      </c>
      <c r="CJ238" s="224">
        <f>(EXP(LN('Ecoinvent 3.10'!$E$27)^2)-1)*EXP(2*LN(CJ53)+LN('Ecoinvent 3.10'!$E$27)^2)</f>
        <v>335.57310874486103</v>
      </c>
      <c r="CK238" s="50">
        <f>(EXP(LN('Ecoinvent 3.10'!$E$27)^2)-1)*EXP(2*LN(CK53)+LN('Ecoinvent 3.10'!$E$27)^2)</f>
        <v>335.57310874486103</v>
      </c>
      <c r="CL238" s="224">
        <f>(EXP(LN('Ecoinvent 3.10'!$E$27)^2)-1)*EXP(2*LN(CL53)+LN('Ecoinvent 3.10'!$E$27)^2)</f>
        <v>202.09273558761859</v>
      </c>
      <c r="CM238" s="50">
        <f>(EXP(LN('Ecoinvent 3.10'!$E$27)^2)-1)*EXP(2*LN(CM53)+LN('Ecoinvent 3.10'!$E$27)^2)</f>
        <v>202.09273558761859</v>
      </c>
      <c r="CN238" s="224">
        <f>(EXP(LN('Ecoinvent 3.10'!$E$27)^2)-1)*EXP(2*LN(CN53)+LN('Ecoinvent 3.10'!$E$27)^2)</f>
        <v>775.03967519626678</v>
      </c>
      <c r="CO238" s="50">
        <f>(EXP(LN('Ecoinvent 3.10'!$E$27)^2)-1)*EXP(2*LN(CO53)+LN('Ecoinvent 3.10'!$E$27)^2)</f>
        <v>775.03967519626678</v>
      </c>
      <c r="CP238" s="264"/>
      <c r="CQ238" s="265"/>
      <c r="CR238" s="264"/>
      <c r="CS238" s="265"/>
      <c r="CV238" s="147" t="s">
        <v>59</v>
      </c>
      <c r="CW238" s="224">
        <f>(EXP(LN('Ecoinvent 3.10'!$E$27)^2)-1)*EXP(2*LN(CW53)+LN('Ecoinvent 3.10'!$E$27)^2)</f>
        <v>1.8013097044364276E-5</v>
      </c>
      <c r="CX238" s="50">
        <f>(EXP(LN('Ecoinvent 3.10'!$E$27)^2)-1)*EXP(2*LN(CX53)+LN('Ecoinvent 3.10'!$E$27)^2)</f>
        <v>1.8013097044364259E-5</v>
      </c>
      <c r="CY238" s="224">
        <f>(EXP(LN('Ecoinvent 3.10'!$E$27)^2)-1)*EXP(2*LN(CY53)+LN('Ecoinvent 3.10'!$E$27)^2)</f>
        <v>1.8013097044364259E-5</v>
      </c>
      <c r="CZ238" s="50">
        <f>(EXP(LN('Ecoinvent 3.10'!$E$27)^2)-1)*EXP(2*LN(CZ53)+LN('Ecoinvent 3.10'!$E$27)^2)</f>
        <v>1.8013097044364259E-5</v>
      </c>
      <c r="DA238" s="224">
        <f>(EXP(LN('Ecoinvent 3.10'!$E$27)^2)-1)*EXP(2*LN(DA53)+LN('Ecoinvent 3.10'!$E$27)^2)</f>
        <v>1.8013097044364276E-5</v>
      </c>
      <c r="DB238" s="50">
        <f>(EXP(LN('Ecoinvent 3.10'!$E$27)^2)-1)*EXP(2*LN(DB53)+LN('Ecoinvent 3.10'!$E$27)^2)</f>
        <v>1.8013097044364259E-5</v>
      </c>
      <c r="DC238" s="224">
        <f>(EXP(LN('Ecoinvent 3.10'!$E$27)^2)-1)*EXP(2*LN(DC53)+LN('Ecoinvent 3.10'!$E$27)^2)</f>
        <v>9.8708976719749463E-6</v>
      </c>
      <c r="DD238" s="50">
        <f>(EXP(LN('Ecoinvent 3.10'!$E$27)^2)-1)*EXP(2*LN(DD53)+LN('Ecoinvent 3.10'!$E$27)^2)</f>
        <v>9.8708976719749565E-6</v>
      </c>
      <c r="DE238" s="224">
        <f>(EXP(LN('Ecoinvent 3.10'!$E$27)^2)-1)*EXP(2*LN(DE53)+LN('Ecoinvent 3.10'!$E$27)^2)</f>
        <v>5.9445666570129303E-6</v>
      </c>
      <c r="DF238" s="50">
        <f>(EXP(LN('Ecoinvent 3.10'!$E$27)^2)-1)*EXP(2*LN(DF53)+LN('Ecoinvent 3.10'!$E$27)^2)</f>
        <v>5.9445666570129243E-6</v>
      </c>
      <c r="DG238" s="224">
        <f>(EXP(LN('Ecoinvent 3.10'!$E$27)^2)-1)*EXP(2*LN(DG53)+LN('Ecoinvent 3.10'!$E$27)^2)</f>
        <v>2.2797825946773532E-5</v>
      </c>
      <c r="DH238" s="50">
        <f>(EXP(LN('Ecoinvent 3.10'!$E$27)^2)-1)*EXP(2*LN(DH53)+LN('Ecoinvent 3.10'!$E$27)^2)</f>
        <v>2.2797825946773532E-5</v>
      </c>
      <c r="DI238" s="264"/>
      <c r="DJ238" s="265"/>
      <c r="DK238" s="264"/>
      <c r="DL238" s="265"/>
      <c r="DO238" s="147" t="s">
        <v>59</v>
      </c>
      <c r="DP238" s="224">
        <f>(EXP(LN('Ecoinvent 3.10'!$E$27)^2)-1)*EXP(2*LN(DP53)+LN('Ecoinvent 3.10'!$E$27)^2)</f>
        <v>8.2667996849051431E-6</v>
      </c>
      <c r="DQ238" s="50">
        <f>(EXP(LN('Ecoinvent 3.10'!$E$27)^2)-1)*EXP(2*LN(DQ53)+LN('Ecoinvent 3.10'!$E$27)^2)</f>
        <v>8.2667996849051363E-6</v>
      </c>
      <c r="DR238" s="224">
        <f>(EXP(LN('Ecoinvent 3.10'!$E$27)^2)-1)*EXP(2*LN(DR53)+LN('Ecoinvent 3.10'!$E$27)^2)</f>
        <v>8.2667996849051363E-6</v>
      </c>
      <c r="DS238" s="50">
        <f>(EXP(LN('Ecoinvent 3.10'!$E$27)^2)-1)*EXP(2*LN(DS53)+LN('Ecoinvent 3.10'!$E$27)^2)</f>
        <v>8.2667996849051363E-6</v>
      </c>
      <c r="DT238" s="224">
        <f>(EXP(LN('Ecoinvent 3.10'!$E$27)^2)-1)*EXP(2*LN(DT53)+LN('Ecoinvent 3.10'!$E$27)^2)</f>
        <v>8.2667996849051431E-6</v>
      </c>
      <c r="DU238" s="50">
        <f>(EXP(LN('Ecoinvent 3.10'!$E$27)^2)-1)*EXP(2*LN(DU53)+LN('Ecoinvent 3.10'!$E$27)^2)</f>
        <v>8.2667996849051363E-6</v>
      </c>
      <c r="DV238" s="224">
        <f>(EXP(LN('Ecoinvent 3.10'!$E$27)^2)-1)*EXP(2*LN(DV53)+LN('Ecoinvent 3.10'!$E$27)^2)</f>
        <v>4.5300779518058326E-6</v>
      </c>
      <c r="DW238" s="50">
        <f>(EXP(LN('Ecoinvent 3.10'!$E$27)^2)-1)*EXP(2*LN(DW53)+LN('Ecoinvent 3.10'!$E$27)^2)</f>
        <v>4.5300779518058369E-6</v>
      </c>
      <c r="DX238" s="224">
        <f>(EXP(LN('Ecoinvent 3.10'!$E$27)^2)-1)*EXP(2*LN(DX53)+LN('Ecoinvent 3.10'!$E$27)^2)</f>
        <v>2.7281561658197616E-6</v>
      </c>
      <c r="DY238" s="50">
        <f>(EXP(LN('Ecoinvent 3.10'!$E$27)^2)-1)*EXP(2*LN(DY53)+LN('Ecoinvent 3.10'!$E$27)^2)</f>
        <v>2.7281561658197586E-6</v>
      </c>
      <c r="DZ238" s="224">
        <f>(EXP(LN('Ecoinvent 3.10'!$E$27)^2)-1)*EXP(2*LN(DZ53)+LN('Ecoinvent 3.10'!$E$27)^2)</f>
        <v>1.0462668351208071E-5</v>
      </c>
      <c r="EA238" s="50">
        <f>(EXP(LN('Ecoinvent 3.10'!$E$27)^2)-1)*EXP(2*LN(EA53)+LN('Ecoinvent 3.10'!$E$27)^2)</f>
        <v>1.0462668351208071E-5</v>
      </c>
      <c r="EB238" s="264"/>
      <c r="EC238" s="265"/>
      <c r="ED238" s="264"/>
      <c r="EE238" s="265"/>
      <c r="EH238" s="147" t="s">
        <v>59</v>
      </c>
      <c r="EI238" s="224">
        <f>(EXP(LN('Ecoinvent 3.10'!$E$27)^2)-1)*EXP(2*LN(EI53)+LN('Ecoinvent 3.10'!$E$27)^2)</f>
        <v>9.9136099142626764E-7</v>
      </c>
      <c r="EJ238" s="50">
        <f>(EXP(LN('Ecoinvent 3.10'!$E$27)^2)-1)*EXP(2*LN(EJ53)+LN('Ecoinvent 3.10'!$E$27)^2)</f>
        <v>9.9136099142626764E-7</v>
      </c>
      <c r="EK238" s="224">
        <f>(EXP(LN('Ecoinvent 3.10'!$E$27)^2)-1)*EXP(2*LN(EK53)+LN('Ecoinvent 3.10'!$E$27)^2)</f>
        <v>9.9136099142626764E-7</v>
      </c>
      <c r="EL238" s="50">
        <f>(EXP(LN('Ecoinvent 3.10'!$E$27)^2)-1)*EXP(2*LN(EL53)+LN('Ecoinvent 3.10'!$E$27)^2)</f>
        <v>9.9136099142626764E-7</v>
      </c>
      <c r="EM238" s="224">
        <f>(EXP(LN('Ecoinvent 3.10'!$E$27)^2)-1)*EXP(2*LN(EM53)+LN('Ecoinvent 3.10'!$E$27)^2)</f>
        <v>9.9136099142626764E-7</v>
      </c>
      <c r="EN238" s="50">
        <f>(EXP(LN('Ecoinvent 3.10'!$E$27)^2)-1)*EXP(2*LN(EN53)+LN('Ecoinvent 3.10'!$E$27)^2)</f>
        <v>9.9136099142626764E-7</v>
      </c>
      <c r="EO238" s="224">
        <f>(EXP(LN('Ecoinvent 3.10'!$E$27)^2)-1)*EXP(2*LN(EO53)+LN('Ecoinvent 3.10'!$E$27)^2)</f>
        <v>5.4325044040208173E-7</v>
      </c>
      <c r="EP238" s="50">
        <f>(EXP(LN('Ecoinvent 3.10'!$E$27)^2)-1)*EXP(2*LN(EP53)+LN('Ecoinvent 3.10'!$E$27)^2)</f>
        <v>5.4325044040208173E-7</v>
      </c>
      <c r="EQ238" s="224">
        <f>(EXP(LN('Ecoinvent 3.10'!$E$27)^2)-1)*EXP(2*LN(EQ53)+LN('Ecoinvent 3.10'!$E$27)^2)</f>
        <v>3.2716259065176522E-7</v>
      </c>
      <c r="ER238" s="50">
        <f>(EXP(LN('Ecoinvent 3.10'!$E$27)^2)-1)*EXP(2*LN(ER53)+LN('Ecoinvent 3.10'!$E$27)^2)</f>
        <v>3.2716259065176522E-7</v>
      </c>
      <c r="ES238" s="224">
        <f>(EXP(LN('Ecoinvent 3.10'!$E$27)^2)-1)*EXP(2*LN(ES53)+LN('Ecoinvent 3.10'!$E$27)^2)</f>
        <v>1.2546912547738697E-6</v>
      </c>
      <c r="ET238" s="50">
        <f>(EXP(LN('Ecoinvent 3.10'!$E$27)^2)-1)*EXP(2*LN(ET53)+LN('Ecoinvent 3.10'!$E$27)^2)</f>
        <v>1.254691254773871E-6</v>
      </c>
      <c r="EU238" s="264"/>
      <c r="EV238" s="265"/>
      <c r="EW238" s="264"/>
      <c r="EX238" s="265"/>
      <c r="FA238" s="147" t="s">
        <v>59</v>
      </c>
      <c r="FB238" s="224">
        <f>(EXP(LN('Ecoinvent 3.10'!$E$27)^2)-1)*EXP(2*LN(FB53)+LN('Ecoinvent 3.10'!$E$27)^2)</f>
        <v>4.4315376100468855E-9</v>
      </c>
      <c r="FC238" s="50">
        <f>(EXP(LN('Ecoinvent 3.10'!$E$27)^2)-1)*EXP(2*LN(FC53)+LN('Ecoinvent 3.10'!$E$27)^2)</f>
        <v>4.4315376100468855E-9</v>
      </c>
      <c r="FD238" s="224">
        <f>(EXP(LN('Ecoinvent 3.10'!$E$27)^2)-1)*EXP(2*LN(FD53)+LN('Ecoinvent 3.10'!$E$27)^2)</f>
        <v>4.4315376100468855E-9</v>
      </c>
      <c r="FE238" s="50">
        <f>(EXP(LN('Ecoinvent 3.10'!$E$27)^2)-1)*EXP(2*LN(FE53)+LN('Ecoinvent 3.10'!$E$27)^2)</f>
        <v>4.4315376100468855E-9</v>
      </c>
      <c r="FF238" s="224">
        <f>(EXP(LN('Ecoinvent 3.10'!$E$27)^2)-1)*EXP(2*LN(FF53)+LN('Ecoinvent 3.10'!$E$27)^2)</f>
        <v>4.431537610046893E-9</v>
      </c>
      <c r="FG238" s="50">
        <f>(EXP(LN('Ecoinvent 3.10'!$E$27)^2)-1)*EXP(2*LN(FG53)+LN('Ecoinvent 3.10'!$E$27)^2)</f>
        <v>4.4315376100468855E-9</v>
      </c>
      <c r="FH238" s="224">
        <f>(EXP(LN('Ecoinvent 3.10'!$E$27)^2)-1)*EXP(2*LN(FH53)+LN('Ecoinvent 3.10'!$E$27)^2)</f>
        <v>2.4284138463555955E-9</v>
      </c>
      <c r="FI238" s="50">
        <f>(EXP(LN('Ecoinvent 3.10'!$E$27)^2)-1)*EXP(2*LN(FI53)+LN('Ecoinvent 3.10'!$E$27)^2)</f>
        <v>2.4284138463555997E-9</v>
      </c>
      <c r="FJ238" s="224">
        <f>(EXP(LN('Ecoinvent 3.10'!$E$27)^2)-1)*EXP(2*LN(FJ53)+LN('Ecoinvent 3.10'!$E$27)^2)</f>
        <v>1.4624675951671256E-9</v>
      </c>
      <c r="FK238" s="50">
        <f>(EXP(LN('Ecoinvent 3.10'!$E$27)^2)-1)*EXP(2*LN(FK53)+LN('Ecoinvent 3.10'!$E$27)^2)</f>
        <v>1.4624675951671256E-9</v>
      </c>
      <c r="FL238" s="224">
        <f>(EXP(LN('Ecoinvent 3.10'!$E$27)^2)-1)*EXP(2*LN(FL53)+LN('Ecoinvent 3.10'!$E$27)^2)</f>
        <v>5.6086647877155927E-9</v>
      </c>
      <c r="FM238" s="50">
        <f>(EXP(LN('Ecoinvent 3.10'!$E$27)^2)-1)*EXP(2*LN(FM53)+LN('Ecoinvent 3.10'!$E$27)^2)</f>
        <v>5.6086647877155927E-9</v>
      </c>
      <c r="FN238" s="264"/>
      <c r="FO238" s="265"/>
      <c r="FP238" s="264"/>
      <c r="FQ238" s="265"/>
      <c r="FT238" s="147" t="s">
        <v>59</v>
      </c>
      <c r="FU238" s="224">
        <f>(EXP(LN('Ecoinvent 3.10'!$E$27)^2)-1)*EXP(2*LN(FU53)+LN('Ecoinvent 3.10'!$E$27)^2)</f>
        <v>8.7465470125748745E-5</v>
      </c>
      <c r="FV238" s="50">
        <f>(EXP(LN('Ecoinvent 3.10'!$E$27)^2)-1)*EXP(2*LN(FV53)+LN('Ecoinvent 3.10'!$E$27)^2)</f>
        <v>8.7465470125748664E-5</v>
      </c>
      <c r="FW238" s="224">
        <f>(EXP(LN('Ecoinvent 3.10'!$E$27)^2)-1)*EXP(2*LN(FW53)+LN('Ecoinvent 3.10'!$E$27)^2)</f>
        <v>8.7465470125748664E-5</v>
      </c>
      <c r="FX238" s="50">
        <f>(EXP(LN('Ecoinvent 3.10'!$E$27)^2)-1)*EXP(2*LN(FX53)+LN('Ecoinvent 3.10'!$E$27)^2)</f>
        <v>8.7465470125748637E-5</v>
      </c>
      <c r="FY238" s="224">
        <f>(EXP(LN('Ecoinvent 3.10'!$E$27)^2)-1)*EXP(2*LN(FY53)+LN('Ecoinvent 3.10'!$E$27)^2)</f>
        <v>8.7465470125748745E-5</v>
      </c>
      <c r="FZ238" s="50">
        <f>(EXP(LN('Ecoinvent 3.10'!$E$27)^2)-1)*EXP(2*LN(FZ53)+LN('Ecoinvent 3.10'!$E$27)^2)</f>
        <v>8.7465470125748705E-5</v>
      </c>
      <c r="GA238" s="224">
        <f>(EXP(LN('Ecoinvent 3.10'!$E$27)^2)-1)*EXP(2*LN(GA53)+LN('Ecoinvent 3.10'!$E$27)^2)</f>
        <v>4.7929720431532696E-5</v>
      </c>
      <c r="GB238" s="50">
        <f>(EXP(LN('Ecoinvent 3.10'!$E$27)^2)-1)*EXP(2*LN(GB53)+LN('Ecoinvent 3.10'!$E$27)^2)</f>
        <v>4.7929720431532737E-5</v>
      </c>
      <c r="GC238" s="224">
        <f>(EXP(LN('Ecoinvent 3.10'!$E$27)^2)-1)*EXP(2*LN(GC53)+LN('Ecoinvent 3.10'!$E$27)^2)</f>
        <v>2.8864792993060574E-5</v>
      </c>
      <c r="GD238" s="50">
        <f>(EXP(LN('Ecoinvent 3.10'!$E$27)^2)-1)*EXP(2*LN(GD53)+LN('Ecoinvent 3.10'!$E$27)^2)</f>
        <v>2.8864792993060574E-5</v>
      </c>
      <c r="GE238" s="224">
        <f>(EXP(LN('Ecoinvent 3.10'!$E$27)^2)-1)*EXP(2*LN(GE53)+LN('Ecoinvent 3.10'!$E$27)^2)</f>
        <v>1.1069848562790074E-4</v>
      </c>
      <c r="GF238" s="50">
        <f>(EXP(LN('Ecoinvent 3.10'!$E$27)^2)-1)*EXP(2*LN(GF53)+LN('Ecoinvent 3.10'!$E$27)^2)</f>
        <v>1.1069848562790074E-4</v>
      </c>
      <c r="GG238" s="264"/>
      <c r="GH238" s="265"/>
      <c r="GI238" s="264"/>
      <c r="GJ238" s="265"/>
      <c r="GM238" s="147" t="s">
        <v>59</v>
      </c>
      <c r="GN238" s="224">
        <f>(EXP(LN('Ecoinvent 3.10'!$E$27)^2)-1)*EXP(2*LN(GN53)+LN('Ecoinvent 3.10'!$E$27)^2)</f>
        <v>2.357000150616009E-3</v>
      </c>
      <c r="GO238" s="50">
        <f>(EXP(LN('Ecoinvent 3.10'!$E$27)^2)-1)*EXP(2*LN(GO53)+LN('Ecoinvent 3.10'!$E$27)^2)</f>
        <v>2.3570001506160077E-3</v>
      </c>
      <c r="GP238" s="224">
        <f>(EXP(LN('Ecoinvent 3.10'!$E$27)^2)-1)*EXP(2*LN(GP53)+LN('Ecoinvent 3.10'!$E$27)^2)</f>
        <v>2.3570001506160077E-3</v>
      </c>
      <c r="GQ238" s="50">
        <f>(EXP(LN('Ecoinvent 3.10'!$E$27)^2)-1)*EXP(2*LN(GQ53)+LN('Ecoinvent 3.10'!$E$27)^2)</f>
        <v>2.3570001506160068E-3</v>
      </c>
      <c r="GR238" s="224">
        <f>(EXP(LN('Ecoinvent 3.10'!$E$27)^2)-1)*EXP(2*LN(GR53)+LN('Ecoinvent 3.10'!$E$27)^2)</f>
        <v>2.3570001506160094E-3</v>
      </c>
      <c r="GS238" s="50">
        <f>(EXP(LN('Ecoinvent 3.10'!$E$27)^2)-1)*EXP(2*LN(GS53)+LN('Ecoinvent 3.10'!$E$27)^2)</f>
        <v>2.3570001506160085E-3</v>
      </c>
      <c r="GT238" s="224">
        <f>(EXP(LN('Ecoinvent 3.10'!$E$27)^2)-1)*EXP(2*LN(GT53)+LN('Ecoinvent 3.10'!$E$27)^2)</f>
        <v>1.2915995090827135E-3</v>
      </c>
      <c r="GU238" s="50">
        <f>(EXP(LN('Ecoinvent 3.10'!$E$27)^2)-1)*EXP(2*LN(GU53)+LN('Ecoinvent 3.10'!$E$27)^2)</f>
        <v>1.2915995090827146E-3</v>
      </c>
      <c r="GV238" s="224">
        <f>(EXP(LN('Ecoinvent 3.10'!$E$27)^2)-1)*EXP(2*LN(GV53)+LN('Ecoinvent 3.10'!$E$27)^2)</f>
        <v>7.7784205966458637E-4</v>
      </c>
      <c r="GW238" s="50">
        <f>(EXP(LN('Ecoinvent 3.10'!$E$27)^2)-1)*EXP(2*LN(GW53)+LN('Ecoinvent 3.10'!$E$27)^2)</f>
        <v>7.7784205966458593E-4</v>
      </c>
      <c r="GX238" s="224">
        <f>(EXP(LN('Ecoinvent 3.10'!$E$27)^2)-1)*EXP(2*LN(GX53)+LN('Ecoinvent 3.10'!$E$27)^2)</f>
        <v>2.9830783156233865E-3</v>
      </c>
      <c r="GY238" s="50">
        <f>(EXP(LN('Ecoinvent 3.10'!$E$27)^2)-1)*EXP(2*LN(GY53)+LN('Ecoinvent 3.10'!$E$27)^2)</f>
        <v>2.9830783156233869E-3</v>
      </c>
      <c r="GZ238" s="264"/>
      <c r="HA238" s="265"/>
      <c r="HB238" s="264"/>
      <c r="HC238" s="265"/>
      <c r="HF238" s="147" t="s">
        <v>59</v>
      </c>
      <c r="HG238" s="224">
        <f>(EXP(LN('Ecoinvent 3.10'!$E$27)^2)-1)*EXP(2*LN(HG53)+LN('Ecoinvent 3.10'!$E$27)^2)</f>
        <v>7.6775133252078451E-2</v>
      </c>
      <c r="HH238" s="50">
        <f>(EXP(LN('Ecoinvent 3.10'!$E$27)^2)-1)*EXP(2*LN(HH53)+LN('Ecoinvent 3.10'!$E$27)^2)</f>
        <v>7.6775133252078423E-2</v>
      </c>
      <c r="HI238" s="224">
        <f>(EXP(LN('Ecoinvent 3.10'!$E$27)^2)-1)*EXP(2*LN(HI53)+LN('Ecoinvent 3.10'!$E$27)^2)</f>
        <v>7.6775133252078423E-2</v>
      </c>
      <c r="HJ238" s="50">
        <f>(EXP(LN('Ecoinvent 3.10'!$E$27)^2)-1)*EXP(2*LN(HJ53)+LN('Ecoinvent 3.10'!$E$27)^2)</f>
        <v>7.6775133252078423E-2</v>
      </c>
      <c r="HK238" s="224">
        <f>(EXP(LN('Ecoinvent 3.10'!$E$27)^2)-1)*EXP(2*LN(HK53)+LN('Ecoinvent 3.10'!$E$27)^2)</f>
        <v>7.6775133252078451E-2</v>
      </c>
      <c r="HL238" s="50">
        <f>(EXP(LN('Ecoinvent 3.10'!$E$27)^2)-1)*EXP(2*LN(HL53)+LN('Ecoinvent 3.10'!$E$27)^2)</f>
        <v>7.6775133252078423E-2</v>
      </c>
      <c r="HM238" s="224">
        <f>(EXP(LN('Ecoinvent 3.10'!$E$27)^2)-1)*EXP(2*LN(HM53)+LN('Ecoinvent 3.10'!$E$27)^2)</f>
        <v>4.2071581706190374E-2</v>
      </c>
      <c r="HN238" s="50">
        <f>(EXP(LN('Ecoinvent 3.10'!$E$27)^2)-1)*EXP(2*LN(HN53)+LN('Ecoinvent 3.10'!$E$27)^2)</f>
        <v>4.2071581706190395E-2</v>
      </c>
      <c r="HO238" s="224">
        <f>(EXP(LN('Ecoinvent 3.10'!$E$27)^2)-1)*EXP(2*LN(HO53)+LN('Ecoinvent 3.10'!$E$27)^2)</f>
        <v>2.5336836641360432E-2</v>
      </c>
      <c r="HP238" s="50">
        <f>(EXP(LN('Ecoinvent 3.10'!$E$27)^2)-1)*EXP(2*LN(HP53)+LN('Ecoinvent 3.10'!$E$27)^2)</f>
        <v>2.5336836641360432E-2</v>
      </c>
      <c r="HQ238" s="224">
        <f>(EXP(LN('Ecoinvent 3.10'!$E$27)^2)-1)*EXP(2*LN(HQ53)+LN('Ecoinvent 3.10'!$E$27)^2)</f>
        <v>9.716852802216179E-2</v>
      </c>
      <c r="HR238" s="50">
        <f>(EXP(LN('Ecoinvent 3.10'!$E$27)^2)-1)*EXP(2*LN(HR53)+LN('Ecoinvent 3.10'!$E$27)^2)</f>
        <v>9.7168528022161818E-2</v>
      </c>
      <c r="HS238" s="264"/>
      <c r="HT238" s="265"/>
      <c r="HU238" s="264"/>
      <c r="HV238" s="265"/>
      <c r="HY238" s="147" t="s">
        <v>59</v>
      </c>
      <c r="HZ238" s="224">
        <f>(EXP(LN('Ecoinvent 3.10'!$E$27)^2)-1)*EXP(2*LN(HZ53)+LN('Ecoinvent 3.10'!$E$27)^2)</f>
        <v>2.2494854974556847E-6</v>
      </c>
      <c r="IA238" s="50">
        <f>(EXP(LN('Ecoinvent 3.10'!$E$27)^2)-1)*EXP(2*LN(IA53)+LN('Ecoinvent 3.10'!$E$27)^2)</f>
        <v>2.2494854974556826E-6</v>
      </c>
      <c r="IB238" s="224">
        <f>(EXP(LN('Ecoinvent 3.10'!$E$27)^2)-1)*EXP(2*LN(IB53)+LN('Ecoinvent 3.10'!$E$27)^2)</f>
        <v>2.2494854974556826E-6</v>
      </c>
      <c r="IC238" s="50">
        <f>(EXP(LN('Ecoinvent 3.10'!$E$27)^2)-1)*EXP(2*LN(IC53)+LN('Ecoinvent 3.10'!$E$27)^2)</f>
        <v>2.2494854974556826E-6</v>
      </c>
      <c r="ID238" s="224">
        <f>(EXP(LN('Ecoinvent 3.10'!$E$27)^2)-1)*EXP(2*LN(ID53)+LN('Ecoinvent 3.10'!$E$27)^2)</f>
        <v>2.2494854974556847E-6</v>
      </c>
      <c r="IE238" s="50">
        <f>(EXP(LN('Ecoinvent 3.10'!$E$27)^2)-1)*EXP(2*LN(IE53)+LN('Ecoinvent 3.10'!$E$27)^2)</f>
        <v>2.2494854974556847E-6</v>
      </c>
      <c r="IF238" s="224">
        <f>(EXP(LN('Ecoinvent 3.10'!$E$27)^2)-1)*EXP(2*LN(IF53)+LN('Ecoinvent 3.10'!$E$27)^2)</f>
        <v>1.2326831474504151E-6</v>
      </c>
      <c r="IG238" s="50">
        <f>(EXP(LN('Ecoinvent 3.10'!$E$27)^2)-1)*EXP(2*LN(IG53)+LN('Ecoinvent 3.10'!$E$27)^2)</f>
        <v>1.2326831474504162E-6</v>
      </c>
      <c r="IH238" s="224">
        <f>(EXP(LN('Ecoinvent 3.10'!$E$27)^2)-1)*EXP(2*LN(IH53)+LN('Ecoinvent 3.10'!$E$27)^2)</f>
        <v>7.4236076398605408E-7</v>
      </c>
      <c r="II238" s="50">
        <f>(EXP(LN('Ecoinvent 3.10'!$E$27)^2)-1)*EXP(2*LN(II53)+LN('Ecoinvent 3.10'!$E$27)^2)</f>
        <v>7.4236076398605408E-7</v>
      </c>
      <c r="IJ238" s="224">
        <f>(EXP(LN('Ecoinvent 3.10'!$E$27)^2)-1)*EXP(2*LN(IJ53)+LN('Ecoinvent 3.10'!$E$27)^2)</f>
        <v>2.8470050827173501E-6</v>
      </c>
      <c r="IK238" s="50">
        <f>(EXP(LN('Ecoinvent 3.10'!$E$27)^2)-1)*EXP(2*LN(IK53)+LN('Ecoinvent 3.10'!$E$27)^2)</f>
        <v>2.8470050827173501E-6</v>
      </c>
      <c r="IL238" s="264"/>
      <c r="IM238" s="265"/>
      <c r="IN238" s="264"/>
      <c r="IO238" s="265"/>
    </row>
    <row r="239" spans="1:249" x14ac:dyDescent="0.2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158"/>
      <c r="AL239" s="158"/>
      <c r="AM239" s="137"/>
      <c r="AN239" s="156"/>
      <c r="AO239" s="158"/>
      <c r="AP239" s="726"/>
      <c r="AQ239" s="147" t="s">
        <v>193</v>
      </c>
      <c r="AR239" s="264"/>
      <c r="AS239" s="265"/>
      <c r="AT239" s="264"/>
      <c r="AU239" s="265"/>
      <c r="AV239" s="264"/>
      <c r="AW239" s="265"/>
      <c r="AX239" s="224">
        <f>(EXP(LN('Ecoinvent 3.10'!$E$29)^2)-1)*EXP(2*LN(AX54)+LN('Ecoinvent 3.10'!$E$29)^2)</f>
        <v>0.27767289577695703</v>
      </c>
      <c r="AY239" s="50">
        <f>(EXP(LN('Ecoinvent 3.10'!$E$29)^2)-1)*EXP(2*LN(AY54)+LN('Ecoinvent 3.10'!$E$29)^2)</f>
        <v>0.27767289577695725</v>
      </c>
      <c r="AZ239" s="224">
        <f>(EXP(LN('Ecoinvent 3.10'!$E$29)^2)-1)*EXP(2*LN(AZ54)+LN('Ecoinvent 3.10'!$E$29)^2)</f>
        <v>0.74527958309713904</v>
      </c>
      <c r="BA239" s="50">
        <f>(EXP(LN('Ecoinvent 3.10'!$E$29)^2)-1)*EXP(2*LN(BA54)+LN('Ecoinvent 3.10'!$E$29)^2)</f>
        <v>0.74527958309713871</v>
      </c>
      <c r="BB239" s="264"/>
      <c r="BC239" s="265"/>
      <c r="BD239" s="264"/>
      <c r="BE239" s="265"/>
      <c r="BF239" s="264"/>
      <c r="BG239" s="265"/>
      <c r="BH239" s="101"/>
      <c r="BI239" s="156"/>
      <c r="BJ239" s="147" t="s">
        <v>193</v>
      </c>
      <c r="BK239" s="264"/>
      <c r="BL239" s="265"/>
      <c r="BM239" s="264"/>
      <c r="BN239" s="265"/>
      <c r="BO239" s="264"/>
      <c r="BP239" s="265"/>
      <c r="BQ239" s="224">
        <f>(EXP(LN('Ecoinvent 3.10'!$E$29)^2)-1)*EXP(2*LN(BQ54)+LN('Ecoinvent 3.10'!$E$29)^2)</f>
        <v>1.6315811299503945E-2</v>
      </c>
      <c r="BR239" s="50">
        <f>(EXP(LN('Ecoinvent 3.10'!$E$29)^2)-1)*EXP(2*LN(BR54)+LN('Ecoinvent 3.10'!$E$29)^2)</f>
        <v>1.6315811299503959E-2</v>
      </c>
      <c r="BS239" s="224">
        <f>(EXP(LN('Ecoinvent 3.10'!$E$29)^2)-1)*EXP(2*LN(BS54)+LN('Ecoinvent 3.10'!$E$29)^2)</f>
        <v>4.3791962514603447E-2</v>
      </c>
      <c r="BT239" s="50">
        <f>(EXP(LN('Ecoinvent 3.10'!$E$29)^2)-1)*EXP(2*LN(BT54)+LN('Ecoinvent 3.10'!$E$29)^2)</f>
        <v>4.3791962514603426E-2</v>
      </c>
      <c r="BU239" s="264"/>
      <c r="BV239" s="265"/>
      <c r="BW239" s="264"/>
      <c r="BX239" s="265"/>
      <c r="BY239" s="264"/>
      <c r="BZ239" s="265"/>
      <c r="CA239" s="156"/>
      <c r="CB239" s="156"/>
      <c r="CC239" s="147" t="s">
        <v>193</v>
      </c>
      <c r="CD239" s="264"/>
      <c r="CE239" s="265"/>
      <c r="CF239" s="264"/>
      <c r="CG239" s="265"/>
      <c r="CH239" s="264"/>
      <c r="CI239" s="265"/>
      <c r="CJ239" s="224">
        <f>(EXP(LN('Ecoinvent 3.10'!$E$29)^2)-1)*EXP(2*LN(CJ54)+LN('Ecoinvent 3.10'!$E$29)^2)</f>
        <v>156.09631425157946</v>
      </c>
      <c r="CK239" s="50">
        <f>(EXP(LN('Ecoinvent 3.10'!$E$29)^2)-1)*EXP(2*LN(CK54)+LN('Ecoinvent 3.10'!$E$29)^2)</f>
        <v>156.09631425157974</v>
      </c>
      <c r="CL239" s="224">
        <f>(EXP(LN('Ecoinvent 3.10'!$E$29)^2)-1)*EXP(2*LN(CL54)+LN('Ecoinvent 3.10'!$E$29)^2)</f>
        <v>418.96561665804228</v>
      </c>
      <c r="CM239" s="50">
        <f>(EXP(LN('Ecoinvent 3.10'!$E$29)^2)-1)*EXP(2*LN(CM54)+LN('Ecoinvent 3.10'!$E$29)^2)</f>
        <v>418.96561665804228</v>
      </c>
      <c r="CN239" s="264"/>
      <c r="CO239" s="265"/>
      <c r="CP239" s="264"/>
      <c r="CQ239" s="265"/>
      <c r="CR239" s="264"/>
      <c r="CS239" s="265"/>
      <c r="CV239" s="147" t="s">
        <v>193</v>
      </c>
      <c r="CW239" s="264"/>
      <c r="CX239" s="265"/>
      <c r="CY239" s="264"/>
      <c r="CZ239" s="265"/>
      <c r="DA239" s="264"/>
      <c r="DB239" s="265"/>
      <c r="DC239" s="224">
        <f>(EXP(LN('Ecoinvent 3.10'!$E$29)^2)-1)*EXP(2*LN(DC54)+LN('Ecoinvent 3.10'!$E$29)^2)</f>
        <v>1.9619583517185944E-7</v>
      </c>
      <c r="DD239" s="50">
        <f>(EXP(LN('Ecoinvent 3.10'!$E$29)^2)-1)*EXP(2*LN(DD54)+LN('Ecoinvent 3.10'!$E$29)^2)</f>
        <v>1.9619583517185944E-7</v>
      </c>
      <c r="DE239" s="224">
        <f>(EXP(LN('Ecoinvent 3.10'!$E$29)^2)-1)*EXP(2*LN(DE54)+LN('Ecoinvent 3.10'!$E$29)^2)</f>
        <v>5.2659352953098939E-7</v>
      </c>
      <c r="DF239" s="50">
        <f>(EXP(LN('Ecoinvent 3.10'!$E$29)^2)-1)*EXP(2*LN(DF54)+LN('Ecoinvent 3.10'!$E$29)^2)</f>
        <v>5.2659352953098939E-7</v>
      </c>
      <c r="DG239" s="264"/>
      <c r="DH239" s="265"/>
      <c r="DI239" s="264"/>
      <c r="DJ239" s="265"/>
      <c r="DK239" s="264"/>
      <c r="DL239" s="265"/>
      <c r="DO239" s="147" t="s">
        <v>193</v>
      </c>
      <c r="DP239" s="264"/>
      <c r="DQ239" s="265"/>
      <c r="DR239" s="264"/>
      <c r="DS239" s="265"/>
      <c r="DT239" s="264"/>
      <c r="DU239" s="265"/>
      <c r="DV239" s="224">
        <f>(EXP(LN('Ecoinvent 3.10'!$E$29)^2)-1)*EXP(2*LN(DV54)+LN('Ecoinvent 3.10'!$E$29)^2)</f>
        <v>3.7625105014253695E-7</v>
      </c>
      <c r="DW239" s="50">
        <f>(EXP(LN('Ecoinvent 3.10'!$E$29)^2)-1)*EXP(2*LN(DW54)+LN('Ecoinvent 3.10'!$E$29)^2)</f>
        <v>3.7625105014253695E-7</v>
      </c>
      <c r="DX239" s="224">
        <f>(EXP(LN('Ecoinvent 3.10'!$E$29)^2)-1)*EXP(2*LN(DX54)+LN('Ecoinvent 3.10'!$E$29)^2)</f>
        <v>1.0098653129448183E-6</v>
      </c>
      <c r="DY239" s="50">
        <f>(EXP(LN('Ecoinvent 3.10'!$E$29)^2)-1)*EXP(2*LN(DY54)+LN('Ecoinvent 3.10'!$E$29)^2)</f>
        <v>1.0098653129448164E-6</v>
      </c>
      <c r="DZ239" s="264"/>
      <c r="EA239" s="265"/>
      <c r="EB239" s="264"/>
      <c r="EC239" s="265"/>
      <c r="ED239" s="264"/>
      <c r="EE239" s="265"/>
      <c r="EH239" s="147" t="s">
        <v>193</v>
      </c>
      <c r="EI239" s="264"/>
      <c r="EJ239" s="265"/>
      <c r="EK239" s="264"/>
      <c r="EL239" s="265"/>
      <c r="EM239" s="264"/>
      <c r="EN239" s="265"/>
      <c r="EO239" s="224">
        <f>(EXP(LN('Ecoinvent 3.10'!$E$29)^2)-1)*EXP(2*LN(EO54)+LN('Ecoinvent 3.10'!$E$29)^2)</f>
        <v>1.5009888947847483E-6</v>
      </c>
      <c r="EP239" s="50">
        <f>(EXP(LN('Ecoinvent 3.10'!$E$29)^2)-1)*EXP(2*LN(EP54)+LN('Ecoinvent 3.10'!$E$29)^2)</f>
        <v>1.5009888947847483E-6</v>
      </c>
      <c r="EQ239" s="224">
        <f>(EXP(LN('Ecoinvent 3.10'!$E$29)^2)-1)*EXP(2*LN(EQ54)+LN('Ecoinvent 3.10'!$E$29)^2)</f>
        <v>4.0286840910723316E-6</v>
      </c>
      <c r="ER239" s="50">
        <f>(EXP(LN('Ecoinvent 3.10'!$E$29)^2)-1)*EXP(2*LN(ER54)+LN('Ecoinvent 3.10'!$E$29)^2)</f>
        <v>4.0286840910723248E-6</v>
      </c>
      <c r="ES239" s="264"/>
      <c r="ET239" s="265"/>
      <c r="EU239" s="264"/>
      <c r="EV239" s="265"/>
      <c r="EW239" s="264"/>
      <c r="EX239" s="265"/>
      <c r="FA239" s="147" t="s">
        <v>193</v>
      </c>
      <c r="FB239" s="264"/>
      <c r="FC239" s="265"/>
      <c r="FD239" s="264"/>
      <c r="FE239" s="265"/>
      <c r="FF239" s="264"/>
      <c r="FG239" s="265"/>
      <c r="FH239" s="224">
        <f>(EXP(LN('Ecoinvent 3.10'!$E$29)^2)-1)*EXP(2*LN(FH54)+LN('Ecoinvent 3.10'!$E$29)^2)</f>
        <v>1.3673111131236692E-9</v>
      </c>
      <c r="FI239" s="50">
        <f>(EXP(LN('Ecoinvent 3.10'!$E$29)^2)-1)*EXP(2*LN(FI54)+LN('Ecoinvent 3.10'!$E$29)^2)</f>
        <v>1.3673111131236692E-9</v>
      </c>
      <c r="FJ239" s="224">
        <f>(EXP(LN('Ecoinvent 3.10'!$E$29)^2)-1)*EXP(2*LN(FJ54)+LN('Ecoinvent 3.10'!$E$29)^2)</f>
        <v>3.6698902624310668E-9</v>
      </c>
      <c r="FK239" s="50">
        <f>(EXP(LN('Ecoinvent 3.10'!$E$29)^2)-1)*EXP(2*LN(FK54)+LN('Ecoinvent 3.10'!$E$29)^2)</f>
        <v>3.6698902624310668E-9</v>
      </c>
      <c r="FL239" s="264"/>
      <c r="FM239" s="265"/>
      <c r="FN239" s="264"/>
      <c r="FO239" s="265"/>
      <c r="FP239" s="264"/>
      <c r="FQ239" s="265"/>
      <c r="FT239" s="147" t="s">
        <v>193</v>
      </c>
      <c r="FU239" s="264"/>
      <c r="FV239" s="265"/>
      <c r="FW239" s="264"/>
      <c r="FX239" s="265"/>
      <c r="FY239" s="264"/>
      <c r="FZ239" s="265"/>
      <c r="GA239" s="224">
        <f>(EXP(LN('Ecoinvent 3.10'!$E$29)^2)-1)*EXP(2*LN(GA54)+LN('Ecoinvent 3.10'!$E$29)^2)</f>
        <v>6.1227763658669854E-6</v>
      </c>
      <c r="GB239" s="50">
        <f>(EXP(LN('Ecoinvent 3.10'!$E$29)^2)-1)*EXP(2*LN(GB54)+LN('Ecoinvent 3.10'!$E$29)^2)</f>
        <v>6.1227763658669964E-6</v>
      </c>
      <c r="GC239" s="224">
        <f>(EXP(LN('Ecoinvent 3.10'!$E$29)^2)-1)*EXP(2*LN(GC54)+LN('Ecoinvent 3.10'!$E$29)^2)</f>
        <v>1.6433653722600903E-5</v>
      </c>
      <c r="GD239" s="50">
        <f>(EXP(LN('Ecoinvent 3.10'!$E$29)^2)-1)*EXP(2*LN(GD54)+LN('Ecoinvent 3.10'!$E$29)^2)</f>
        <v>1.6433653722600903E-5</v>
      </c>
      <c r="GE239" s="264"/>
      <c r="GF239" s="265"/>
      <c r="GG239" s="264"/>
      <c r="GH239" s="265"/>
      <c r="GI239" s="264"/>
      <c r="GJ239" s="265"/>
      <c r="GM239" s="147" t="s">
        <v>193</v>
      </c>
      <c r="GN239" s="264"/>
      <c r="GO239" s="265"/>
      <c r="GP239" s="264"/>
      <c r="GQ239" s="265"/>
      <c r="GR239" s="264"/>
      <c r="GS239" s="265"/>
      <c r="GT239" s="224">
        <f>(EXP(LN('Ecoinvent 3.10'!$E$29)^2)-1)*EXP(2*LN(GT54)+LN('Ecoinvent 3.10'!$E$29)^2)</f>
        <v>9.9906005972999834E-5</v>
      </c>
      <c r="GU239" s="50">
        <f>(EXP(LN('Ecoinvent 3.10'!$E$29)^2)-1)*EXP(2*LN(GU54)+LN('Ecoinvent 3.10'!$E$29)^2)</f>
        <v>9.9906005972999915E-5</v>
      </c>
      <c r="GV239" s="224">
        <f>(EXP(LN('Ecoinvent 3.10'!$E$29)^2)-1)*EXP(2*LN(GV54)+LN('Ecoinvent 3.10'!$E$29)^2)</f>
        <v>2.6814971001082685E-4</v>
      </c>
      <c r="GW239" s="50">
        <f>(EXP(LN('Ecoinvent 3.10'!$E$29)^2)-1)*EXP(2*LN(GW54)+LN('Ecoinvent 3.10'!$E$29)^2)</f>
        <v>2.6814971001082663E-4</v>
      </c>
      <c r="GX239" s="264"/>
      <c r="GY239" s="265"/>
      <c r="GZ239" s="264"/>
      <c r="HA239" s="265"/>
      <c r="HB239" s="264"/>
      <c r="HC239" s="265"/>
      <c r="HF239" s="147" t="s">
        <v>193</v>
      </c>
      <c r="HG239" s="264"/>
      <c r="HH239" s="265"/>
      <c r="HI239" s="264"/>
      <c r="HJ239" s="265"/>
      <c r="HK239" s="264"/>
      <c r="HL239" s="265"/>
      <c r="HM239" s="224">
        <f>(EXP(LN('Ecoinvent 3.10'!$E$29)^2)-1)*EXP(2*LN(HM54)+LN('Ecoinvent 3.10'!$E$29)^2)</f>
        <v>5.5070954612929839E-3</v>
      </c>
      <c r="HN239" s="50">
        <f>(EXP(LN('Ecoinvent 3.10'!$E$29)^2)-1)*EXP(2*LN(HN54)+LN('Ecoinvent 3.10'!$E$29)^2)</f>
        <v>5.5070954612929882E-3</v>
      </c>
      <c r="HO239" s="224">
        <f>(EXP(LN('Ecoinvent 3.10'!$E$29)^2)-1)*EXP(2*LN(HO54)+LN('Ecoinvent 3.10'!$E$29)^2)</f>
        <v>1.4781153911274847E-2</v>
      </c>
      <c r="HP239" s="50">
        <f>(EXP(LN('Ecoinvent 3.10'!$E$29)^2)-1)*EXP(2*LN(HP54)+LN('Ecoinvent 3.10'!$E$29)^2)</f>
        <v>1.4781153911274835E-2</v>
      </c>
      <c r="HQ239" s="264"/>
      <c r="HR239" s="265"/>
      <c r="HS239" s="264"/>
      <c r="HT239" s="265"/>
      <c r="HU239" s="264"/>
      <c r="HV239" s="265"/>
      <c r="HY239" s="147" t="s">
        <v>193</v>
      </c>
      <c r="HZ239" s="264"/>
      <c r="IA239" s="265"/>
      <c r="IB239" s="264"/>
      <c r="IC239" s="265"/>
      <c r="ID239" s="264"/>
      <c r="IE239" s="265"/>
      <c r="IF239" s="224">
        <f>(EXP(LN('Ecoinvent 3.10'!$E$29)^2)-1)*EXP(2*LN(IF54)+LN('Ecoinvent 3.10'!$E$29)^2)</f>
        <v>4.4992263957577673E-8</v>
      </c>
      <c r="IG239" s="50">
        <f>(EXP(LN('Ecoinvent 3.10'!$E$29)^2)-1)*EXP(2*LN(IG54)+LN('Ecoinvent 3.10'!$E$29)^2)</f>
        <v>4.4992263957577753E-8</v>
      </c>
      <c r="IH239" s="224">
        <f>(EXP(LN('Ecoinvent 3.10'!$E$29)^2)-1)*EXP(2*LN(IH54)+LN('Ecoinvent 3.10'!$E$29)^2)</f>
        <v>1.2076013264123055E-7</v>
      </c>
      <c r="II239" s="50">
        <f>(EXP(LN('Ecoinvent 3.10'!$E$29)^2)-1)*EXP(2*LN(II54)+LN('Ecoinvent 3.10'!$E$29)^2)</f>
        <v>1.2076013264123055E-7</v>
      </c>
      <c r="IJ239" s="264"/>
      <c r="IK239" s="265"/>
      <c r="IL239" s="264"/>
      <c r="IM239" s="265"/>
      <c r="IN239" s="264"/>
      <c r="IO239" s="265"/>
    </row>
    <row r="240" spans="1:249" x14ac:dyDescent="0.2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158"/>
      <c r="AL240" s="158"/>
      <c r="AM240" s="140"/>
      <c r="AN240" s="156"/>
      <c r="AO240" s="158"/>
      <c r="AP240" s="726"/>
      <c r="AQ240" s="150" t="s">
        <v>579</v>
      </c>
      <c r="AR240" s="264"/>
      <c r="AS240" s="265"/>
      <c r="AT240" s="264"/>
      <c r="AU240" s="265"/>
      <c r="AV240" s="264"/>
      <c r="AW240" s="265"/>
      <c r="AX240" s="264"/>
      <c r="AY240" s="265"/>
      <c r="AZ240" s="264"/>
      <c r="BA240" s="265"/>
      <c r="BB240" s="264"/>
      <c r="BC240" s="265"/>
      <c r="BD240" s="224">
        <f>(EXP(LN('Ecoinvent 3.10'!$E$30)^2)-1)*EXP(2*LN(BD55)+LN('Ecoinvent 3.10'!$E$30)^2)</f>
        <v>13.236358233876402</v>
      </c>
      <c r="BE240" s="50">
        <f>(EXP(LN('Ecoinvent 3.10'!$E$30)^2)-1)*EXP(2*LN(BE55)+LN('Ecoinvent 3.10'!$E$30)^2)</f>
        <v>13.236358233876388</v>
      </c>
      <c r="BF240" s="264"/>
      <c r="BG240" s="265"/>
      <c r="BH240" s="101"/>
      <c r="BI240" s="156"/>
      <c r="BJ240" s="150" t="s">
        <v>579</v>
      </c>
      <c r="BK240" s="264"/>
      <c r="BL240" s="265"/>
      <c r="BM240" s="264"/>
      <c r="BN240" s="265"/>
      <c r="BO240" s="264"/>
      <c r="BP240" s="265"/>
      <c r="BQ240" s="264"/>
      <c r="BR240" s="265"/>
      <c r="BS240" s="264"/>
      <c r="BT240" s="265"/>
      <c r="BU240" s="264"/>
      <c r="BV240" s="265"/>
      <c r="BW240" s="224">
        <f>(EXP(LN('Ecoinvent 3.10'!$E$30)^2)-1)*EXP(2*LN(BW55)+LN('Ecoinvent 3.10'!$E$30)^2)</f>
        <v>1.0433076367622047</v>
      </c>
      <c r="BX240" s="50">
        <f>(EXP(LN('Ecoinvent 3.10'!$E$30)^2)-1)*EXP(2*LN(BX55)+LN('Ecoinvent 3.10'!$E$30)^2)</f>
        <v>1.0433076367622043</v>
      </c>
      <c r="BY240" s="264"/>
      <c r="BZ240" s="265"/>
      <c r="CA240" s="156"/>
      <c r="CB240" s="156"/>
      <c r="CC240" s="150" t="s">
        <v>579</v>
      </c>
      <c r="CD240" s="264"/>
      <c r="CE240" s="265"/>
      <c r="CF240" s="264"/>
      <c r="CG240" s="265"/>
      <c r="CH240" s="264"/>
      <c r="CI240" s="265"/>
      <c r="CJ240" s="264"/>
      <c r="CK240" s="265"/>
      <c r="CL240" s="264"/>
      <c r="CM240" s="265"/>
      <c r="CN240" s="264"/>
      <c r="CO240" s="265"/>
      <c r="CP240" s="224">
        <f>(EXP(LN('Ecoinvent 3.10'!$E$30)^2)-1)*EXP(2*LN(CP55)+LN('Ecoinvent 3.10'!$E$30)^2)</f>
        <v>8.1493745493697638</v>
      </c>
      <c r="CQ240" s="50">
        <f>(EXP(LN('Ecoinvent 3.10'!$E$30)^2)-1)*EXP(2*LN(CQ55)+LN('Ecoinvent 3.10'!$E$30)^2)</f>
        <v>8.1493745493697638</v>
      </c>
      <c r="CR240" s="264"/>
      <c r="CS240" s="265"/>
      <c r="CV240" s="150" t="s">
        <v>579</v>
      </c>
      <c r="CW240" s="264"/>
      <c r="CX240" s="265"/>
      <c r="CY240" s="264"/>
      <c r="CZ240" s="265"/>
      <c r="DA240" s="264"/>
      <c r="DB240" s="265"/>
      <c r="DC240" s="264"/>
      <c r="DD240" s="265"/>
      <c r="DE240" s="264"/>
      <c r="DF240" s="265"/>
      <c r="DG240" s="264"/>
      <c r="DH240" s="265"/>
      <c r="DI240" s="224">
        <f>(EXP(LN('Ecoinvent 3.10'!$E$30)^2)-1)*EXP(2*LN(DI55)+LN('Ecoinvent 3.10'!$E$30)^2)</f>
        <v>2.2830444868909129E-5</v>
      </c>
      <c r="DJ240" s="50">
        <f>(EXP(LN('Ecoinvent 3.10'!$E$30)^2)-1)*EXP(2*LN(DJ55)+LN('Ecoinvent 3.10'!$E$30)^2)</f>
        <v>2.2830444868909129E-5</v>
      </c>
      <c r="DK240" s="264"/>
      <c r="DL240" s="265"/>
      <c r="DO240" s="150" t="s">
        <v>579</v>
      </c>
      <c r="DP240" s="264"/>
      <c r="DQ240" s="265"/>
      <c r="DR240" s="264"/>
      <c r="DS240" s="265"/>
      <c r="DT240" s="264"/>
      <c r="DU240" s="265"/>
      <c r="DV240" s="264"/>
      <c r="DW240" s="265"/>
      <c r="DX240" s="264"/>
      <c r="DY240" s="265"/>
      <c r="DZ240" s="264"/>
      <c r="EA240" s="265"/>
      <c r="EB240" s="224">
        <f>(EXP(LN('Ecoinvent 3.10'!$E$30)^2)-1)*EXP(2*LN(EB55)+LN('Ecoinvent 3.10'!$E$30)^2)</f>
        <v>9.2209534119445213E-6</v>
      </c>
      <c r="EC240" s="50">
        <f>(EXP(LN('Ecoinvent 3.10'!$E$30)^2)-1)*EXP(2*LN(EC55)+LN('Ecoinvent 3.10'!$E$30)^2)</f>
        <v>9.2209534119445213E-6</v>
      </c>
      <c r="ED240" s="264"/>
      <c r="EE240" s="265"/>
      <c r="EH240" s="150" t="s">
        <v>579</v>
      </c>
      <c r="EI240" s="264"/>
      <c r="EJ240" s="265"/>
      <c r="EK240" s="264"/>
      <c r="EL240" s="265"/>
      <c r="EM240" s="264"/>
      <c r="EN240" s="265"/>
      <c r="EO240" s="264"/>
      <c r="EP240" s="265"/>
      <c r="EQ240" s="264"/>
      <c r="ER240" s="265"/>
      <c r="ES240" s="264"/>
      <c r="ET240" s="265"/>
      <c r="EU240" s="224">
        <f>(EXP(LN('Ecoinvent 3.10'!$E$30)^2)-1)*EXP(2*LN(EU55)+LN('Ecoinvent 3.10'!$E$30)^2)</f>
        <v>6.5643924216825651E-6</v>
      </c>
      <c r="EV240" s="50">
        <f>(EXP(LN('Ecoinvent 3.10'!$E$30)^2)-1)*EXP(2*LN(EV55)+LN('Ecoinvent 3.10'!$E$30)^2)</f>
        <v>6.5643924216825533E-6</v>
      </c>
      <c r="EW240" s="264"/>
      <c r="EX240" s="265"/>
      <c r="FA240" s="150" t="s">
        <v>579</v>
      </c>
      <c r="FB240" s="264"/>
      <c r="FC240" s="265"/>
      <c r="FD240" s="264"/>
      <c r="FE240" s="265"/>
      <c r="FF240" s="264"/>
      <c r="FG240" s="265"/>
      <c r="FH240" s="264"/>
      <c r="FI240" s="265"/>
      <c r="FJ240" s="264"/>
      <c r="FK240" s="265"/>
      <c r="FL240" s="264"/>
      <c r="FM240" s="265"/>
      <c r="FN240" s="224">
        <f>(EXP(LN('Ecoinvent 3.10'!$E$30)^2)-1)*EXP(2*LN(FN55)+LN('Ecoinvent 3.10'!$E$30)^2)</f>
        <v>1.6028666525623733E-7</v>
      </c>
      <c r="FO240" s="50">
        <f>(EXP(LN('Ecoinvent 3.10'!$E$30)^2)-1)*EXP(2*LN(FO55)+LN('Ecoinvent 3.10'!$E$30)^2)</f>
        <v>1.6028666525623733E-7</v>
      </c>
      <c r="FP240" s="264"/>
      <c r="FQ240" s="265"/>
      <c r="FT240" s="150" t="s">
        <v>579</v>
      </c>
      <c r="FU240" s="264"/>
      <c r="FV240" s="265"/>
      <c r="FW240" s="264"/>
      <c r="FX240" s="265"/>
      <c r="FY240" s="264"/>
      <c r="FZ240" s="265"/>
      <c r="GA240" s="264"/>
      <c r="GB240" s="265"/>
      <c r="GC240" s="264"/>
      <c r="GD240" s="265"/>
      <c r="GE240" s="264"/>
      <c r="GF240" s="265"/>
      <c r="GG240" s="224">
        <f>(EXP(LN('Ecoinvent 3.10'!$E$30)^2)-1)*EXP(2*LN(GG55)+LN('Ecoinvent 3.10'!$E$30)^2)</f>
        <v>3.267807075444669E-4</v>
      </c>
      <c r="GH240" s="50">
        <f>(EXP(LN('Ecoinvent 3.10'!$E$30)^2)-1)*EXP(2*LN(GH55)+LN('Ecoinvent 3.10'!$E$30)^2)</f>
        <v>3.2678070754446658E-4</v>
      </c>
      <c r="GI240" s="264"/>
      <c r="GJ240" s="265"/>
      <c r="GM240" s="150" t="s">
        <v>579</v>
      </c>
      <c r="GN240" s="264"/>
      <c r="GO240" s="265"/>
      <c r="GP240" s="264"/>
      <c r="GQ240" s="265"/>
      <c r="GR240" s="264"/>
      <c r="GS240" s="265"/>
      <c r="GT240" s="264"/>
      <c r="GU240" s="265"/>
      <c r="GV240" s="264"/>
      <c r="GW240" s="265"/>
      <c r="GX240" s="264"/>
      <c r="GY240" s="265"/>
      <c r="GZ240" s="224">
        <f>(EXP(LN('Ecoinvent 3.10'!$E$30)^2)-1)*EXP(2*LN(GZ55)+LN('Ecoinvent 3.10'!$E$30)^2)</f>
        <v>7.585345514048737E-3</v>
      </c>
      <c r="HA240" s="50">
        <f>(EXP(LN('Ecoinvent 3.10'!$E$30)^2)-1)*EXP(2*LN(HA55)+LN('Ecoinvent 3.10'!$E$30)^2)</f>
        <v>7.5853455140487335E-3</v>
      </c>
      <c r="HB240" s="264"/>
      <c r="HC240" s="265"/>
      <c r="HF240" s="150" t="s">
        <v>579</v>
      </c>
      <c r="HG240" s="264"/>
      <c r="HH240" s="265"/>
      <c r="HI240" s="264"/>
      <c r="HJ240" s="265"/>
      <c r="HK240" s="264"/>
      <c r="HL240" s="265"/>
      <c r="HM240" s="264"/>
      <c r="HN240" s="265"/>
      <c r="HO240" s="264"/>
      <c r="HP240" s="265"/>
      <c r="HQ240" s="264"/>
      <c r="HR240" s="265"/>
      <c r="HS240" s="489">
        <v>0.01</v>
      </c>
      <c r="HT240" s="489">
        <v>0.01</v>
      </c>
      <c r="HU240" s="264"/>
      <c r="HV240" s="265"/>
      <c r="HY240" s="150" t="s">
        <v>579</v>
      </c>
      <c r="HZ240" s="264"/>
      <c r="IA240" s="265"/>
      <c r="IB240" s="264"/>
      <c r="IC240" s="265"/>
      <c r="ID240" s="264"/>
      <c r="IE240" s="265"/>
      <c r="IF240" s="264"/>
      <c r="IG240" s="265"/>
      <c r="IH240" s="264"/>
      <c r="II240" s="265"/>
      <c r="IJ240" s="264"/>
      <c r="IK240" s="265"/>
      <c r="IL240" s="224">
        <f>(EXP(LN('Ecoinvent 3.10'!$E$30)^2)-1)*EXP(2*LN(IL55)+LN('Ecoinvent 3.10'!$E$30)^2)</f>
        <v>3.2995381659595547E-6</v>
      </c>
      <c r="IM240" s="50">
        <f>(EXP(LN('Ecoinvent 3.10'!$E$30)^2)-1)*EXP(2*LN(IM55)+LN('Ecoinvent 3.10'!$E$30)^2)</f>
        <v>3.2995381659595547E-6</v>
      </c>
      <c r="IN240" s="264"/>
      <c r="IO240" s="265"/>
    </row>
    <row r="241" spans="1:249" x14ac:dyDescent="0.2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  <c r="AA241" s="158"/>
      <c r="AB241" s="158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40"/>
      <c r="AN241" s="156"/>
      <c r="AO241" s="158"/>
      <c r="AP241" s="726"/>
      <c r="AQ241" s="150" t="s">
        <v>648</v>
      </c>
      <c r="AR241" s="264"/>
      <c r="AS241" s="265"/>
      <c r="AT241" s="264"/>
      <c r="AU241" s="265"/>
      <c r="AV241" s="264"/>
      <c r="AW241" s="265"/>
      <c r="AX241" s="264"/>
      <c r="AY241" s="265"/>
      <c r="AZ241" s="264"/>
      <c r="BA241" s="265"/>
      <c r="BB241" s="264"/>
      <c r="BC241" s="265"/>
      <c r="BD241" s="264"/>
      <c r="BE241" s="265"/>
      <c r="BF241" s="224">
        <f>(EXP(LN('Ecoinvent 3.10'!$E$31)^2)-1)*EXP(2*LN(BF56)+LN('Ecoinvent 3.10'!$E$31)^2)</f>
        <v>6327.3750225199619</v>
      </c>
      <c r="BG241" s="50">
        <f>(EXP(LN('Ecoinvent 3.10'!$E$31)^2)-1)*EXP(2*LN(BG56)+LN('Ecoinvent 3.10'!$E$31)^2)</f>
        <v>1652.9290799570672</v>
      </c>
      <c r="BH241" s="101"/>
      <c r="BI241" s="156"/>
      <c r="BJ241" s="150" t="s">
        <v>648</v>
      </c>
      <c r="BK241" s="264"/>
      <c r="BL241" s="265"/>
      <c r="BM241" s="264"/>
      <c r="BN241" s="265"/>
      <c r="BO241" s="264"/>
      <c r="BP241" s="265"/>
      <c r="BQ241" s="264"/>
      <c r="BR241" s="265"/>
      <c r="BS241" s="264"/>
      <c r="BT241" s="265"/>
      <c r="BU241" s="264"/>
      <c r="BV241" s="265"/>
      <c r="BW241" s="264"/>
      <c r="BX241" s="265"/>
      <c r="BY241" s="224">
        <f>(EXP(LN('Ecoinvent 3.10'!$E$31)^2)-1)*EXP(2*LN(BY56)+LN('Ecoinvent 3.10'!$E$31)^2)</f>
        <v>460.25828347082057</v>
      </c>
      <c r="BZ241" s="50">
        <f>(EXP(LN('Ecoinvent 3.10'!$E$31)^2)-1)*EXP(2*LN(BZ56)+LN('Ecoinvent 3.10'!$E$31)^2)</f>
        <v>120.23537380546378</v>
      </c>
      <c r="CA241" s="156"/>
      <c r="CB241" s="156"/>
      <c r="CC241" s="150" t="s">
        <v>648</v>
      </c>
      <c r="CD241" s="264"/>
      <c r="CE241" s="265"/>
      <c r="CF241" s="264"/>
      <c r="CG241" s="265"/>
      <c r="CH241" s="264"/>
      <c r="CI241" s="265"/>
      <c r="CJ241" s="264"/>
      <c r="CK241" s="265"/>
      <c r="CL241" s="264"/>
      <c r="CM241" s="265"/>
      <c r="CN241" s="264"/>
      <c r="CO241" s="265"/>
      <c r="CP241" s="264"/>
      <c r="CQ241" s="265"/>
      <c r="CR241" s="224">
        <f>(EXP(LN('Ecoinvent 3.10'!$E$31)^2)-1)*EXP(2*LN(CR56)+LN('Ecoinvent 3.10'!$E$31)^2)</f>
        <v>28685.823546163159</v>
      </c>
      <c r="CS241" s="50">
        <f>(EXP(LN('Ecoinvent 3.10'!$E$31)^2)-1)*EXP(2*LN(CS56)+LN('Ecoinvent 3.10'!$E$31)^2)</f>
        <v>7493.728718972995</v>
      </c>
      <c r="CV241" s="150" t="s">
        <v>648</v>
      </c>
      <c r="CW241" s="264"/>
      <c r="CX241" s="265"/>
      <c r="CY241" s="264"/>
      <c r="CZ241" s="265"/>
      <c r="DA241" s="264"/>
      <c r="DB241" s="265"/>
      <c r="DC241" s="264"/>
      <c r="DD241" s="265"/>
      <c r="DE241" s="264"/>
      <c r="DF241" s="265"/>
      <c r="DG241" s="264"/>
      <c r="DH241" s="265"/>
      <c r="DI241" s="264"/>
      <c r="DJ241" s="265"/>
      <c r="DK241" s="224">
        <f>(EXP(LN('Ecoinvent 3.10'!$E$31)^2)-1)*EXP(2*LN(DK56)+LN('Ecoinvent 3.10'!$E$31)^2)</f>
        <v>1.0848273595071928E-2</v>
      </c>
      <c r="DL241" s="50">
        <f>(EXP(LN('Ecoinvent 3.10'!$E$31)^2)-1)*EXP(2*LN(DL56)+LN('Ecoinvent 3.10'!$E$31)^2)</f>
        <v>2.8339440650829882E-3</v>
      </c>
      <c r="DO241" s="150" t="s">
        <v>648</v>
      </c>
      <c r="DP241" s="264"/>
      <c r="DQ241" s="265"/>
      <c r="DR241" s="264"/>
      <c r="DS241" s="265"/>
      <c r="DT241" s="264"/>
      <c r="DU241" s="265"/>
      <c r="DV241" s="264"/>
      <c r="DW241" s="265"/>
      <c r="DX241" s="264"/>
      <c r="DY241" s="265"/>
      <c r="DZ241" s="264"/>
      <c r="EA241" s="265"/>
      <c r="EB241" s="264"/>
      <c r="EC241" s="265"/>
      <c r="ED241" s="224">
        <f>(EXP(LN('Ecoinvent 3.10'!$E$31)^2)-1)*EXP(2*LN(ED56)+LN('Ecoinvent 3.10'!$E$31)^2)</f>
        <v>1740.9813569808291</v>
      </c>
      <c r="EE241" s="50">
        <f>(EXP(LN('Ecoinvent 3.10'!$E$31)^2)-1)*EXP(2*LN(EE56)+LN('Ecoinvent 3.10'!$E$31)^2)</f>
        <v>454.80451251499204</v>
      </c>
      <c r="EH241" s="150" t="s">
        <v>648</v>
      </c>
      <c r="EI241" s="264"/>
      <c r="EJ241" s="265"/>
      <c r="EK241" s="264"/>
      <c r="EL241" s="265"/>
      <c r="EM241" s="264"/>
      <c r="EN241" s="265"/>
      <c r="EO241" s="264"/>
      <c r="EP241" s="265"/>
      <c r="EQ241" s="264"/>
      <c r="ER241" s="265"/>
      <c r="ES241" s="264"/>
      <c r="ET241" s="265"/>
      <c r="EU241" s="264"/>
      <c r="EV241" s="265"/>
      <c r="EW241" s="224">
        <f>(EXP(LN('Ecoinvent 3.10'!$E$31)^2)-1)*EXP(2*LN(EW56)+LN('Ecoinvent 3.10'!$E$31)^2)</f>
        <v>3.6289632415792632E-2</v>
      </c>
      <c r="EX241" s="50">
        <f>(EXP(LN('Ecoinvent 3.10'!$E$31)^2)-1)*EXP(2*LN(EX56)+LN('Ecoinvent 3.10'!$E$31)^2)</f>
        <v>9.4801064434342237E-3</v>
      </c>
      <c r="FA241" s="150" t="s">
        <v>648</v>
      </c>
      <c r="FB241" s="264"/>
      <c r="FC241" s="265"/>
      <c r="FD241" s="264"/>
      <c r="FE241" s="265"/>
      <c r="FF241" s="264"/>
      <c r="FG241" s="265"/>
      <c r="FH241" s="264"/>
      <c r="FI241" s="265"/>
      <c r="FJ241" s="264"/>
      <c r="FK241" s="265"/>
      <c r="FL241" s="264"/>
      <c r="FM241" s="265"/>
      <c r="FN241" s="264"/>
      <c r="FO241" s="265"/>
      <c r="FP241" s="224">
        <f>(EXP(LN('Ecoinvent 3.10'!$E$31)^2)-1)*EXP(2*LN(FP56)+LN('Ecoinvent 3.10'!$E$31)^2)</f>
        <v>1.1351806364546548E-4</v>
      </c>
      <c r="FQ241" s="50">
        <f>(EXP(LN('Ecoinvent 3.10'!$E$31)^2)-1)*EXP(2*LN(FQ56)+LN('Ecoinvent 3.10'!$E$31)^2)</f>
        <v>2.9654842305407996E-5</v>
      </c>
      <c r="FT241" s="150" t="s">
        <v>648</v>
      </c>
      <c r="FU241" s="264"/>
      <c r="FV241" s="265"/>
      <c r="FW241" s="264"/>
      <c r="FX241" s="265"/>
      <c r="FY241" s="264"/>
      <c r="FZ241" s="265"/>
      <c r="GA241" s="264"/>
      <c r="GB241" s="265"/>
      <c r="GC241" s="264"/>
      <c r="GD241" s="265"/>
      <c r="GE241" s="264"/>
      <c r="GF241" s="265"/>
      <c r="GG241" s="264"/>
      <c r="GH241" s="265"/>
      <c r="GI241" s="224">
        <f>(EXP(LN('Ecoinvent 3.10'!$E$31)^2)-1)*EXP(2*LN(GI56)+LN('Ecoinvent 3.10'!$E$31)^2)</f>
        <v>2.1840209882436716</v>
      </c>
      <c r="GJ241" s="50">
        <f>(EXP(LN('Ecoinvent 3.10'!$E$31)^2)-1)*EXP(2*LN(GJ56)+LN('Ecoinvent 3.10'!$E$31)^2)</f>
        <v>0.57054177915106274</v>
      </c>
      <c r="GM241" s="150" t="s">
        <v>648</v>
      </c>
      <c r="GN241" s="264"/>
      <c r="GO241" s="265"/>
      <c r="GP241" s="264"/>
      <c r="GQ241" s="265"/>
      <c r="GR241" s="264"/>
      <c r="GS241" s="265"/>
      <c r="GT241" s="264"/>
      <c r="GU241" s="265"/>
      <c r="GV241" s="264"/>
      <c r="GW241" s="265"/>
      <c r="GX241" s="264"/>
      <c r="GY241" s="265"/>
      <c r="GZ241" s="264"/>
      <c r="HA241" s="265"/>
      <c r="HB241" s="224">
        <f>(EXP(LN('Ecoinvent 3.10'!$E$31)^2)-1)*EXP(2*LN(HB56)+LN('Ecoinvent 3.10'!$E$31)^2)</f>
        <v>15.420667214660851</v>
      </c>
      <c r="HC241" s="50">
        <f>(EXP(LN('Ecoinvent 3.10'!$E$31)^2)-1)*EXP(2*LN(HC56)+LN('Ecoinvent 3.10'!$E$31)^2)</f>
        <v>4.0284113365706604</v>
      </c>
      <c r="HF241" s="150" t="s">
        <v>648</v>
      </c>
      <c r="HG241" s="264"/>
      <c r="HH241" s="265"/>
      <c r="HI241" s="264"/>
      <c r="HJ241" s="265"/>
      <c r="HK241" s="264"/>
      <c r="HL241" s="265"/>
      <c r="HM241" s="264"/>
      <c r="HN241" s="265"/>
      <c r="HO241" s="264"/>
      <c r="HP241" s="265"/>
      <c r="HQ241" s="264"/>
      <c r="HR241" s="265"/>
      <c r="HS241" s="264"/>
      <c r="HT241" s="265"/>
      <c r="HU241" s="224">
        <f>(EXP(LN('Ecoinvent 3.10'!$E$31)^2)-1)*EXP(2*LN(HU56)+LN('Ecoinvent 3.10'!$E$31)^2)</f>
        <v>1174.494232274453</v>
      </c>
      <c r="HV241" s="50">
        <f>(EXP(LN('Ecoinvent 3.10'!$E$31)^2)-1)*EXP(2*LN(HV56)+LN('Ecoinvent 3.10'!$E$31)^2)</f>
        <v>306.81849327070898</v>
      </c>
      <c r="HY241" s="150" t="s">
        <v>648</v>
      </c>
      <c r="HZ241" s="264"/>
      <c r="IA241" s="265"/>
      <c r="IB241" s="264"/>
      <c r="IC241" s="265"/>
      <c r="ID241" s="264"/>
      <c r="IE241" s="265"/>
      <c r="IF241" s="264"/>
      <c r="IG241" s="265"/>
      <c r="IH241" s="264"/>
      <c r="II241" s="265"/>
      <c r="IJ241" s="264"/>
      <c r="IK241" s="265"/>
      <c r="IL241" s="264"/>
      <c r="IM241" s="265"/>
      <c r="IN241" s="224">
        <f>(EXP(LN('Ecoinvent 3.10'!$E$31)^2)-1)*EXP(2*LN(IN56)+LN('Ecoinvent 3.10'!$E$31)^2)</f>
        <v>2.039176583872402E-3</v>
      </c>
      <c r="IO241" s="50">
        <f>(EXP(LN('Ecoinvent 3.10'!$E$31)^2)-1)*EXP(2*LN(IO56)+LN('Ecoinvent 3.10'!$E$31)^2)</f>
        <v>5.3270341376222287E-4</v>
      </c>
    </row>
    <row r="242" spans="1:249" x14ac:dyDescent="0.2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  <c r="AA242" s="158"/>
      <c r="AB242" s="158"/>
      <c r="AC242" s="158"/>
      <c r="AD242" s="158"/>
      <c r="AE242" s="158"/>
      <c r="AF242" s="158"/>
      <c r="AG242" s="158"/>
      <c r="AH242" s="158"/>
      <c r="AI242" s="158"/>
      <c r="AJ242" s="158"/>
      <c r="AK242" s="158"/>
      <c r="AL242" s="158"/>
      <c r="AM242" s="140"/>
      <c r="AN242" s="156"/>
      <c r="AO242" s="158"/>
      <c r="AP242" s="726"/>
      <c r="AQ242" s="150" t="s">
        <v>66</v>
      </c>
      <c r="AR242" s="224">
        <f>(EXP(LN('Ecoinvent 3.10'!$E$21)^2)-1)*EXP(2*LN(AR57)+LN('Ecoinvent 3.10'!$E$21)^2)</f>
        <v>6.1235428739087928E-4</v>
      </c>
      <c r="AS242" s="50">
        <f>(EXP(LN('Ecoinvent 3.10'!$E$21)^2)-1)*EXP(2*LN(AS57)+LN('Ecoinvent 3.10'!$E$21)^2)</f>
        <v>1.498826172683048E-4</v>
      </c>
      <c r="AT242" s="224">
        <f>(EXP(LN('Ecoinvent 3.10'!$E$21)^2)-1)*EXP(2*LN(AT57)+LN('Ecoinvent 3.10'!$E$21)^2)</f>
        <v>6.1235428739087917E-4</v>
      </c>
      <c r="AU242" s="50">
        <f>(EXP(LN('Ecoinvent 3.10'!$E$21)^2)-1)*EXP(2*LN(AU57)+LN('Ecoinvent 3.10'!$E$21)^2)</f>
        <v>1.498826172683048E-4</v>
      </c>
      <c r="AV242" s="224">
        <f>(EXP(LN('Ecoinvent 3.10'!$E$21)^2)-1)*EXP(2*LN(AV57)+LN('Ecoinvent 3.10'!$E$21)^2)</f>
        <v>6.1235428739087972E-4</v>
      </c>
      <c r="AW242" s="50">
        <f>(EXP(LN('Ecoinvent 3.10'!$E$21)^2)-1)*EXP(2*LN(AW57)+LN('Ecoinvent 3.10'!$E$21)^2)</f>
        <v>1.4988261726830494E-4</v>
      </c>
      <c r="AX242" s="224">
        <f>(EXP(LN('Ecoinvent 3.10'!$E$21)^2)-1)*EXP(2*LN(AX57)+LN('Ecoinvent 3.10'!$E$21)^2)</f>
        <v>3.7181235193239383E-4</v>
      </c>
      <c r="AY242" s="50">
        <f>(EXP(LN('Ecoinvent 3.10'!$E$21)^2)-1)*EXP(2*LN(AY57)+LN('Ecoinvent 3.10'!$E$21)^2)</f>
        <v>9.100648037879874E-5</v>
      </c>
      <c r="AZ242" s="224">
        <f>(EXP(LN('Ecoinvent 3.10'!$E$21)^2)-1)*EXP(2*LN(AZ57)+LN('Ecoinvent 3.10'!$E$21)^2)</f>
        <v>2.4948793963412908E-4</v>
      </c>
      <c r="BA242" s="50">
        <f>(EXP(LN('Ecoinvent 3.10'!$E$21)^2)-1)*EXP(2*LN(BA57)+LN('Ecoinvent 3.10'!$E$21)^2)</f>
        <v>6.1065801512663856E-5</v>
      </c>
      <c r="BB242" s="224">
        <f>(EXP(LN('Ecoinvent 3.10'!$E$21)^2)-1)*EXP(2*LN(BB57)+LN('Ecoinvent 3.10'!$E$21)^2)</f>
        <v>7.7501089497908154E-4</v>
      </c>
      <c r="BC242" s="50">
        <f>(EXP(LN('Ecoinvent 3.10'!$E$21)^2)-1)*EXP(2*LN(BC57)+LN('Ecoinvent 3.10'!$E$21)^2)</f>
        <v>1.896951874801985E-4</v>
      </c>
      <c r="BD242" s="224">
        <f>(EXP(LN('Ecoinvent 3.10'!$E$21)^2)-1)*EXP(2*LN(BD57)+LN('Ecoinvent 3.10'!$E$21)^2)</f>
        <v>9.3289801249008485E-4</v>
      </c>
      <c r="BE242" s="50">
        <f>(EXP(LN('Ecoinvent 3.10'!$E$21)^2)-1)*EXP(2*LN(BE57)+LN('Ecoinvent 3.10'!$E$21)^2)</f>
        <v>2.2834035563330725E-4</v>
      </c>
      <c r="BF242" s="264"/>
      <c r="BG242" s="265"/>
      <c r="BH242" s="101"/>
      <c r="BI242" s="156"/>
      <c r="BJ242" s="150" t="s">
        <v>66</v>
      </c>
      <c r="BK242" s="224">
        <f>(EXP(LN('Ecoinvent 3.10'!$E$21)^2)-1)*EXP(2*LN(BK57)+LN('Ecoinvent 3.10'!$E$21)^2)</f>
        <v>7.0104140298210517E-6</v>
      </c>
      <c r="BL242" s="50">
        <f>(EXP(LN('Ecoinvent 3.10'!$E$21)^2)-1)*EXP(2*LN(BL57)+LN('Ecoinvent 3.10'!$E$21)^2)</f>
        <v>1.7159007858032894E-6</v>
      </c>
      <c r="BM242" s="224">
        <f>(EXP(LN('Ecoinvent 3.10'!$E$21)^2)-1)*EXP(2*LN(BM57)+LN('Ecoinvent 3.10'!$E$21)^2)</f>
        <v>7.0104140298210458E-6</v>
      </c>
      <c r="BN242" s="50">
        <f>(EXP(LN('Ecoinvent 3.10'!$E$21)^2)-1)*EXP(2*LN(BN57)+LN('Ecoinvent 3.10'!$E$21)^2)</f>
        <v>1.7159007858032894E-6</v>
      </c>
      <c r="BO242" s="224">
        <f>(EXP(LN('Ecoinvent 3.10'!$E$21)^2)-1)*EXP(2*LN(BO57)+LN('Ecoinvent 3.10'!$E$21)^2)</f>
        <v>7.0104140298210517E-6</v>
      </c>
      <c r="BP242" s="50">
        <f>(EXP(LN('Ecoinvent 3.10'!$E$21)^2)-1)*EXP(2*LN(BP57)+LN('Ecoinvent 3.10'!$E$21)^2)</f>
        <v>1.7159007858032894E-6</v>
      </c>
      <c r="BQ242" s="224">
        <f>(EXP(LN('Ecoinvent 3.10'!$E$21)^2)-1)*EXP(2*LN(BQ57)+LN('Ecoinvent 3.10'!$E$21)^2)</f>
        <v>4.2566184023200807E-6</v>
      </c>
      <c r="BR242" s="50">
        <f>(EXP(LN('Ecoinvent 3.10'!$E$21)^2)-1)*EXP(2*LN(BR57)+LN('Ecoinvent 3.10'!$E$21)^2)</f>
        <v>1.0418692576980683E-6</v>
      </c>
      <c r="BS242" s="224">
        <f>(EXP(LN('Ecoinvent 3.10'!$E$21)^2)-1)*EXP(2*LN(BS57)+LN('Ecoinvent 3.10'!$E$21)^2)</f>
        <v>2.8562121443363262E-6</v>
      </c>
      <c r="BT242" s="50">
        <f>(EXP(LN('Ecoinvent 3.10'!$E$21)^2)-1)*EXP(2*LN(BT57)+LN('Ecoinvent 3.10'!$E$21)^2)</f>
        <v>6.9909946003755665E-7</v>
      </c>
      <c r="BU242" s="224">
        <f>(EXP(LN('Ecoinvent 3.10'!$E$21)^2)-1)*EXP(2*LN(BU57)+LN('Ecoinvent 3.10'!$E$21)^2)</f>
        <v>8.8725552564922666E-6</v>
      </c>
      <c r="BV242" s="50">
        <f>(EXP(LN('Ecoinvent 3.10'!$E$21)^2)-1)*EXP(2*LN(BV57)+LN('Ecoinvent 3.10'!$E$21)^2)</f>
        <v>2.1716869320322897E-6</v>
      </c>
      <c r="BW242" s="224">
        <f>(EXP(LN('Ecoinvent 3.10'!$E$21)^2)-1)*EXP(2*LN(BW57)+LN('Ecoinvent 3.10'!$E$21)^2)</f>
        <v>1.0680093942051613E-5</v>
      </c>
      <c r="BX242" s="50">
        <f>(EXP(LN('Ecoinvent 3.10'!$E$21)^2)-1)*EXP(2*LN(BX57)+LN('Ecoinvent 3.10'!$E$21)^2)</f>
        <v>2.6141083122428818E-6</v>
      </c>
      <c r="BY242" s="264"/>
      <c r="BZ242" s="265"/>
      <c r="CA242" s="156"/>
      <c r="CB242" s="156"/>
      <c r="CC242" s="150" t="s">
        <v>66</v>
      </c>
      <c r="CD242" s="224">
        <f>(EXP(LN('Ecoinvent 3.10'!$E$21)^2)-1)*EXP(2*LN(CD57)+LN('Ecoinvent 3.10'!$E$21)^2)</f>
        <v>2.3810908201513843E-4</v>
      </c>
      <c r="CE242" s="50">
        <f>(EXP(LN('Ecoinvent 3.10'!$E$21)^2)-1)*EXP(2*LN(CE57)+LN('Ecoinvent 3.10'!$E$21)^2)</f>
        <v>5.8280660628414465E-5</v>
      </c>
      <c r="CF242" s="224">
        <f>(EXP(LN('Ecoinvent 3.10'!$E$21)^2)-1)*EXP(2*LN(CF57)+LN('Ecoinvent 3.10'!$E$21)^2)</f>
        <v>2.3810908201513843E-4</v>
      </c>
      <c r="CG242" s="50">
        <f>(EXP(LN('Ecoinvent 3.10'!$E$21)^2)-1)*EXP(2*LN(CG57)+LN('Ecoinvent 3.10'!$E$21)^2)</f>
        <v>5.8280660628414465E-5</v>
      </c>
      <c r="CH242" s="224">
        <f>(EXP(LN('Ecoinvent 3.10'!$E$21)^2)-1)*EXP(2*LN(CH57)+LN('Ecoinvent 3.10'!$E$21)^2)</f>
        <v>2.3810908201513854E-4</v>
      </c>
      <c r="CI242" s="50">
        <f>(EXP(LN('Ecoinvent 3.10'!$E$21)^2)-1)*EXP(2*LN(CI57)+LN('Ecoinvent 3.10'!$E$21)^2)</f>
        <v>5.8280660628414465E-5</v>
      </c>
      <c r="CJ242" s="224">
        <f>(EXP(LN('Ecoinvent 3.10'!$E$21)^2)-1)*EXP(2*LN(CJ57)+LN('Ecoinvent 3.10'!$E$21)^2)</f>
        <v>1.4457626838497174E-4</v>
      </c>
      <c r="CK242" s="50">
        <f>(EXP(LN('Ecoinvent 3.10'!$E$21)^2)-1)*EXP(2*LN(CK57)+LN('Ecoinvent 3.10'!$E$21)^2)</f>
        <v>3.5387144250681738E-5</v>
      </c>
      <c r="CL242" s="224">
        <f>(EXP(LN('Ecoinvent 3.10'!$E$21)^2)-1)*EXP(2*LN(CL57)+LN('Ecoinvent 3.10'!$E$21)^2)</f>
        <v>9.7011396022464696E-5</v>
      </c>
      <c r="CM242" s="50">
        <f>(EXP(LN('Ecoinvent 3.10'!$E$21)^2)-1)*EXP(2*LN(CM57)+LN('Ecoinvent 3.10'!$E$21)^2)</f>
        <v>2.3744950007049815E-5</v>
      </c>
      <c r="CN242" s="224">
        <f>(EXP(LN('Ecoinvent 3.10'!$E$21)^2)-1)*EXP(2*LN(CN57)+LN('Ecoinvent 3.10'!$E$21)^2)</f>
        <v>3.0135680692540954E-4</v>
      </c>
      <c r="CO242" s="50">
        <f>(EXP(LN('Ecoinvent 3.10'!$E$21)^2)-1)*EXP(2*LN(CO57)+LN('Ecoinvent 3.10'!$E$21)^2)</f>
        <v>7.3761461107837081E-5</v>
      </c>
      <c r="CP242" s="224">
        <f>(EXP(LN('Ecoinvent 3.10'!$E$21)^2)-1)*EXP(2*LN(CP57)+LN('Ecoinvent 3.10'!$E$21)^2)</f>
        <v>3.6274995364892382E-4</v>
      </c>
      <c r="CQ242" s="50">
        <f>(EXP(LN('Ecoinvent 3.10'!$E$21)^2)-1)*EXP(2*LN(CQ57)+LN('Ecoinvent 3.10'!$E$21)^2)</f>
        <v>8.8788326605038564E-5</v>
      </c>
      <c r="CR242" s="264"/>
      <c r="CS242" s="265"/>
      <c r="CV242" s="150" t="s">
        <v>66</v>
      </c>
      <c r="CW242" s="224">
        <f>(EXP(LN('Ecoinvent 3.10'!$E$21)^2)-1)*EXP(2*LN(CW57)+LN('Ecoinvent 3.10'!$E$21)^2)</f>
        <v>4.3530642787909211E-11</v>
      </c>
      <c r="CX242" s="50">
        <f>(EXP(LN('Ecoinvent 3.10'!$E$21)^2)-1)*EXP(2*LN(CX57)+LN('Ecoinvent 3.10'!$E$21)^2)</f>
        <v>1.0654757885705384E-11</v>
      </c>
      <c r="CY242" s="224">
        <f>(EXP(LN('Ecoinvent 3.10'!$E$21)^2)-1)*EXP(2*LN(CY57)+LN('Ecoinvent 3.10'!$E$21)^2)</f>
        <v>4.3530642787909056E-11</v>
      </c>
      <c r="CZ242" s="50">
        <f>(EXP(LN('Ecoinvent 3.10'!$E$21)^2)-1)*EXP(2*LN(CZ57)+LN('Ecoinvent 3.10'!$E$21)^2)</f>
        <v>1.0654757885705384E-11</v>
      </c>
      <c r="DA242" s="224">
        <f>(EXP(LN('Ecoinvent 3.10'!$E$21)^2)-1)*EXP(2*LN(DA57)+LN('Ecoinvent 3.10'!$E$21)^2)</f>
        <v>4.3530642787909211E-11</v>
      </c>
      <c r="DB242" s="50">
        <f>(EXP(LN('Ecoinvent 3.10'!$E$21)^2)-1)*EXP(2*LN(DB57)+LN('Ecoinvent 3.10'!$E$21)^2)</f>
        <v>1.0654757885705384E-11</v>
      </c>
      <c r="DC242" s="224">
        <f>(EXP(LN('Ecoinvent 3.10'!$E$21)^2)-1)*EXP(2*LN(DC57)+LN('Ecoinvent 3.10'!$E$21)^2)</f>
        <v>2.6431154332344866E-11</v>
      </c>
      <c r="DD242" s="50">
        <f>(EXP(LN('Ecoinvent 3.10'!$E$21)^2)-1)*EXP(2*LN(DD57)+LN('Ecoinvent 3.10'!$E$21)^2)</f>
        <v>6.4694094094348807E-12</v>
      </c>
      <c r="DE242" s="224">
        <f>(EXP(LN('Ecoinvent 3.10'!$E$21)^2)-1)*EXP(2*LN(DE57)+LN('Ecoinvent 3.10'!$E$21)^2)</f>
        <v>1.7735436174340551E-11</v>
      </c>
      <c r="DF242" s="50">
        <f>(EXP(LN('Ecoinvent 3.10'!$E$21)^2)-1)*EXP(2*LN(DF57)+LN('Ecoinvent 3.10'!$E$21)^2)</f>
        <v>4.3410059289881733E-12</v>
      </c>
      <c r="DG242" s="224">
        <f>(EXP(LN('Ecoinvent 3.10'!$E$21)^2)-1)*EXP(2*LN(DG57)+LN('Ecoinvent 3.10'!$E$21)^2)</f>
        <v>5.5093469778447441E-11</v>
      </c>
      <c r="DH242" s="50">
        <f>(EXP(LN('Ecoinvent 3.10'!$E$21)^2)-1)*EXP(2*LN(DH57)+LN('Ecoinvent 3.10'!$E$21)^2)</f>
        <v>1.3484927949095886E-11</v>
      </c>
      <c r="DI242" s="224">
        <f>(EXP(LN('Ecoinvent 3.10'!$E$21)^2)-1)*EXP(2*LN(DI57)+LN('Ecoinvent 3.10'!$E$21)^2)</f>
        <v>6.6317246364495828E-11</v>
      </c>
      <c r="DJ242" s="50">
        <f>(EXP(LN('Ecoinvent 3.10'!$E$21)^2)-1)*EXP(2*LN(DJ57)+LN('Ecoinvent 3.10'!$E$21)^2)</f>
        <v>1.6232110495199029E-11</v>
      </c>
      <c r="DK242" s="264"/>
      <c r="DL242" s="265"/>
      <c r="DO242" s="150" t="s">
        <v>66</v>
      </c>
      <c r="DP242" s="224">
        <f>(EXP(LN('Ecoinvent 3.10'!$E$21)^2)-1)*EXP(2*LN(DP57)+LN('Ecoinvent 3.10'!$E$21)^2)</f>
        <v>5.8301687797846124E-10</v>
      </c>
      <c r="DQ242" s="50">
        <f>(EXP(LN('Ecoinvent 3.10'!$E$21)^2)-1)*EXP(2*LN(DQ57)+LN('Ecoinvent 3.10'!$E$21)^2)</f>
        <v>1.4270185966253944E-10</v>
      </c>
      <c r="DR242" s="224">
        <f>(EXP(LN('Ecoinvent 3.10'!$E$21)^2)-1)*EXP(2*LN(DR57)+LN('Ecoinvent 3.10'!$E$21)^2)</f>
        <v>5.8301687797846124E-10</v>
      </c>
      <c r="DS242" s="50">
        <f>(EXP(LN('Ecoinvent 3.10'!$E$21)^2)-1)*EXP(2*LN(DS57)+LN('Ecoinvent 3.10'!$E$21)^2)</f>
        <v>1.4270185966253944E-10</v>
      </c>
      <c r="DT242" s="224">
        <f>(EXP(LN('Ecoinvent 3.10'!$E$21)^2)-1)*EXP(2*LN(DT57)+LN('Ecoinvent 3.10'!$E$21)^2)</f>
        <v>5.8301687797846124E-10</v>
      </c>
      <c r="DU242" s="50">
        <f>(EXP(LN('Ecoinvent 3.10'!$E$21)^2)-1)*EXP(2*LN(DU57)+LN('Ecoinvent 3.10'!$E$21)^2)</f>
        <v>1.4270185966253944E-10</v>
      </c>
      <c r="DV242" s="224">
        <f>(EXP(LN('Ecoinvent 3.10'!$E$21)^2)-1)*EXP(2*LN(DV57)+LN('Ecoinvent 3.10'!$E$21)^2)</f>
        <v>3.5399911633031845E-10</v>
      </c>
      <c r="DW242" s="50">
        <f>(EXP(LN('Ecoinvent 3.10'!$E$21)^2)-1)*EXP(2*LN(DW57)+LN('Ecoinvent 3.10'!$E$21)^2)</f>
        <v>8.6646431908440258E-11</v>
      </c>
      <c r="DX242" s="224">
        <f>(EXP(LN('Ecoinvent 3.10'!$E$21)^2)-1)*EXP(2*LN(DX57)+LN('Ecoinvent 3.10'!$E$21)^2)</f>
        <v>2.3753516984183519E-10</v>
      </c>
      <c r="DY242" s="50">
        <f>(EXP(LN('Ecoinvent 3.10'!$E$21)^2)-1)*EXP(2*LN(DY57)+LN('Ecoinvent 3.10'!$E$21)^2)</f>
        <v>5.8140187277630549E-11</v>
      </c>
      <c r="DZ242" s="224">
        <f>(EXP(LN('Ecoinvent 3.10'!$E$21)^2)-1)*EXP(2*LN(DZ57)+LN('Ecoinvent 3.10'!$E$21)^2)</f>
        <v>7.3788073619148916E-10</v>
      </c>
      <c r="EA242" s="50">
        <f>(EXP(LN('Ecoinvent 3.10'!$E$21)^2)-1)*EXP(2*LN(EA57)+LN('Ecoinvent 3.10'!$E$21)^2)</f>
        <v>1.8060704113540161E-10</v>
      </c>
      <c r="EB242" s="224">
        <f>(EXP(LN('Ecoinvent 3.10'!$E$21)^2)-1)*EXP(2*LN(EB57)+LN('Ecoinvent 3.10'!$E$21)^2)</f>
        <v>8.8820360682328425E-10</v>
      </c>
      <c r="EC242" s="50">
        <f>(EXP(LN('Ecoinvent 3.10'!$E$21)^2)-1)*EXP(2*LN(EC57)+LN('Ecoinvent 3.10'!$E$21)^2)</f>
        <v>2.174007498584633E-10</v>
      </c>
      <c r="ED242" s="264"/>
      <c r="EE242" s="265"/>
      <c r="EH242" s="150" t="s">
        <v>66</v>
      </c>
      <c r="EI242" s="224">
        <f>(EXP(LN('Ecoinvent 3.10'!$E$21)^2)-1)*EXP(2*LN(EI57)+LN('Ecoinvent 3.10'!$E$21)^2)</f>
        <v>1.4811495361371265E-11</v>
      </c>
      <c r="EJ242" s="50">
        <f>(EXP(LN('Ecoinvent 3.10'!$E$21)^2)-1)*EXP(2*LN(EJ57)+LN('Ecoinvent 3.10'!$E$21)^2)</f>
        <v>3.6253288923289758E-12</v>
      </c>
      <c r="EK242" s="224">
        <f>(EXP(LN('Ecoinvent 3.10'!$E$21)^2)-1)*EXP(2*LN(EK57)+LN('Ecoinvent 3.10'!$E$21)^2)</f>
        <v>1.4811495361371217E-11</v>
      </c>
      <c r="EL242" s="50">
        <f>(EXP(LN('Ecoinvent 3.10'!$E$21)^2)-1)*EXP(2*LN(EL57)+LN('Ecoinvent 3.10'!$E$21)^2)</f>
        <v>3.6253288923289758E-12</v>
      </c>
      <c r="EM242" s="224">
        <f>(EXP(LN('Ecoinvent 3.10'!$E$21)^2)-1)*EXP(2*LN(EM57)+LN('Ecoinvent 3.10'!$E$21)^2)</f>
        <v>1.4811495361371265E-11</v>
      </c>
      <c r="EN242" s="50">
        <f>(EXP(LN('Ecoinvent 3.10'!$E$21)^2)-1)*EXP(2*LN(EN57)+LN('Ecoinvent 3.10'!$E$21)^2)</f>
        <v>3.6253288923289758E-12</v>
      </c>
      <c r="EO242" s="224">
        <f>(EXP(LN('Ecoinvent 3.10'!$E$21)^2)-1)*EXP(2*LN(EO57)+LN('Ecoinvent 3.10'!$E$21)^2)</f>
        <v>8.9933181482436181E-12</v>
      </c>
      <c r="EP242" s="50">
        <f>(EXP(LN('Ecoinvent 3.10'!$E$21)^2)-1)*EXP(2*LN(EP57)+LN('Ecoinvent 3.10'!$E$21)^2)</f>
        <v>2.2012454060354732E-12</v>
      </c>
      <c r="EQ242" s="224">
        <f>(EXP(LN('Ecoinvent 3.10'!$E$21)^2)-1)*EXP(2*LN(EQ57)+LN('Ecoinvent 3.10'!$E$21)^2)</f>
        <v>6.0345612608574625E-12</v>
      </c>
      <c r="ER242" s="50">
        <f>(EXP(LN('Ecoinvent 3.10'!$E$21)^2)-1)*EXP(2*LN(ER57)+LN('Ecoinvent 3.10'!$E$21)^2)</f>
        <v>1.4770466288348068E-12</v>
      </c>
      <c r="ES242" s="224">
        <f>(EXP(LN('Ecoinvent 3.10'!$E$21)^2)-1)*EXP(2*LN(ES57)+LN('Ecoinvent 3.10'!$E$21)^2)</f>
        <v>1.8745798816735455E-11</v>
      </c>
      <c r="ET242" s="50">
        <f>(EXP(LN('Ecoinvent 3.10'!$E$21)^2)-1)*EXP(2*LN(ET57)+LN('Ecoinvent 3.10'!$E$21)^2)</f>
        <v>4.5883068793538632E-12</v>
      </c>
      <c r="EU242" s="224">
        <f>(EXP(LN('Ecoinvent 3.10'!$E$21)^2)-1)*EXP(2*LN(EU57)+LN('Ecoinvent 3.10'!$E$21)^2)</f>
        <v>2.2564738859759517E-11</v>
      </c>
      <c r="EV242" s="50">
        <f>(EXP(LN('Ecoinvent 3.10'!$E$21)^2)-1)*EXP(2*LN(EV57)+LN('Ecoinvent 3.10'!$E$21)^2)</f>
        <v>5.5230479934857556E-12</v>
      </c>
      <c r="EW242" s="264"/>
      <c r="EX242" s="265"/>
      <c r="FA242" s="150" t="s">
        <v>66</v>
      </c>
      <c r="FB242" s="224">
        <f>(EXP(LN('Ecoinvent 3.10'!$E$21)^2)-1)*EXP(2*LN(FB57)+LN('Ecoinvent 3.10'!$E$21)^2)</f>
        <v>1.5717762572268927E-14</v>
      </c>
      <c r="FC242" s="50">
        <f>(EXP(LN('Ecoinvent 3.10'!$E$21)^2)-1)*EXP(2*LN(FC57)+LN('Ecoinvent 3.10'!$E$21)^2)</f>
        <v>3.847150971982499E-15</v>
      </c>
      <c r="FD242" s="224">
        <f>(EXP(LN('Ecoinvent 3.10'!$E$21)^2)-1)*EXP(2*LN(FD57)+LN('Ecoinvent 3.10'!$E$21)^2)</f>
        <v>1.5717762572268927E-14</v>
      </c>
      <c r="FE242" s="50">
        <f>(EXP(LN('Ecoinvent 3.10'!$E$21)^2)-1)*EXP(2*LN(FE57)+LN('Ecoinvent 3.10'!$E$21)^2)</f>
        <v>3.847150971982499E-15</v>
      </c>
      <c r="FF242" s="224">
        <f>(EXP(LN('Ecoinvent 3.10'!$E$21)^2)-1)*EXP(2*LN(FF57)+LN('Ecoinvent 3.10'!$E$21)^2)</f>
        <v>1.5717762572268927E-14</v>
      </c>
      <c r="FG242" s="50">
        <f>(EXP(LN('Ecoinvent 3.10'!$E$21)^2)-1)*EXP(2*LN(FG57)+LN('Ecoinvent 3.10'!$E$21)^2)</f>
        <v>3.847150971982499E-15</v>
      </c>
      <c r="FH242" s="224">
        <f>(EXP(LN('Ecoinvent 3.10'!$E$21)^2)-1)*EXP(2*LN(FH57)+LN('Ecoinvent 3.10'!$E$21)^2)</f>
        <v>9.5435900253277411E-15</v>
      </c>
      <c r="FI242" s="50">
        <f>(EXP(LN('Ecoinvent 3.10'!$E$21)^2)-1)*EXP(2*LN(FI57)+LN('Ecoinvent 3.10'!$E$21)^2)</f>
        <v>2.335932450520662E-15</v>
      </c>
      <c r="FJ242" s="224">
        <f>(EXP(LN('Ecoinvent 3.10'!$E$21)^2)-1)*EXP(2*LN(FJ57)+LN('Ecoinvent 3.10'!$E$21)^2)</f>
        <v>6.40379643053057E-15</v>
      </c>
      <c r="FK242" s="50">
        <f>(EXP(LN('Ecoinvent 3.10'!$E$21)^2)-1)*EXP(2*LN(FK57)+LN('Ecoinvent 3.10'!$E$21)^2)</f>
        <v>1.5674223063758479E-15</v>
      </c>
      <c r="FL242" s="224">
        <f>(EXP(LN('Ecoinvent 3.10'!$E$21)^2)-1)*EXP(2*LN(FL57)+LN('Ecoinvent 3.10'!$E$21)^2)</f>
        <v>1.9892793255527875E-14</v>
      </c>
      <c r="FM242" s="50">
        <f>(EXP(LN('Ecoinvent 3.10'!$E$21)^2)-1)*EXP(2*LN(FM57)+LN('Ecoinvent 3.10'!$E$21)^2)</f>
        <v>4.8690504489153537E-15</v>
      </c>
      <c r="FN242" s="224">
        <f>(EXP(LN('Ecoinvent 3.10'!$E$21)^2)-1)*EXP(2*LN(FN57)+LN('Ecoinvent 3.10'!$E$21)^2)</f>
        <v>2.3945401814588701E-14</v>
      </c>
      <c r="FO242" s="50">
        <f>(EXP(LN('Ecoinvent 3.10'!$E$21)^2)-1)*EXP(2*LN(FO57)+LN('Ecoinvent 3.10'!$E$21)^2)</f>
        <v>5.8609853305735656E-15</v>
      </c>
      <c r="FP242" s="264"/>
      <c r="FQ242" s="265"/>
      <c r="FT242" s="150" t="s">
        <v>66</v>
      </c>
      <c r="FU242" s="224">
        <f>(EXP(LN('Ecoinvent 3.10'!$E$21)^2)-1)*EXP(2*LN(FU57)+LN('Ecoinvent 3.10'!$E$21)^2)</f>
        <v>2.1956538939922385E-9</v>
      </c>
      <c r="FV242" s="50">
        <f>(EXP(LN('Ecoinvent 3.10'!$E$21)^2)-1)*EXP(2*LN(FV57)+LN('Ecoinvent 3.10'!$E$21)^2)</f>
        <v>5.3741822180929125E-10</v>
      </c>
      <c r="FW242" s="224">
        <f>(EXP(LN('Ecoinvent 3.10'!$E$21)^2)-1)*EXP(2*LN(FW57)+LN('Ecoinvent 3.10'!$E$21)^2)</f>
        <v>2.1956538939922385E-9</v>
      </c>
      <c r="FX242" s="50">
        <f>(EXP(LN('Ecoinvent 3.10'!$E$21)^2)-1)*EXP(2*LN(FX57)+LN('Ecoinvent 3.10'!$E$21)^2)</f>
        <v>5.3741822180929125E-10</v>
      </c>
      <c r="FY242" s="224">
        <f>(EXP(LN('Ecoinvent 3.10'!$E$21)^2)-1)*EXP(2*LN(FY57)+LN('Ecoinvent 3.10'!$E$21)^2)</f>
        <v>2.1956538939922422E-9</v>
      </c>
      <c r="FZ242" s="50">
        <f>(EXP(LN('Ecoinvent 3.10'!$E$21)^2)-1)*EXP(2*LN(FZ57)+LN('Ecoinvent 3.10'!$E$21)^2)</f>
        <v>5.3741822180929125E-10</v>
      </c>
      <c r="GA242" s="224">
        <f>(EXP(LN('Ecoinvent 3.10'!$E$21)^2)-1)*EXP(2*LN(GA57)+LN('Ecoinvent 3.10'!$E$21)^2)</f>
        <v>1.3331681596174841E-9</v>
      </c>
      <c r="GB242" s="50">
        <f>(EXP(LN('Ecoinvent 3.10'!$E$21)^2)-1)*EXP(2*LN(GB57)+LN('Ecoinvent 3.10'!$E$21)^2)</f>
        <v>3.2631229524598523E-10</v>
      </c>
      <c r="GC242" s="224">
        <f>(EXP(LN('Ecoinvent 3.10'!$E$21)^2)-1)*EXP(2*LN(GC57)+LN('Ecoinvent 3.10'!$E$21)^2)</f>
        <v>8.9456247378588211E-10</v>
      </c>
      <c r="GD242" s="50">
        <f>(EXP(LN('Ecoinvent 3.10'!$E$21)^2)-1)*EXP(2*LN(GD57)+LN('Ecoinvent 3.10'!$E$21)^2)</f>
        <v>2.18957175024157E-10</v>
      </c>
      <c r="GE242" s="224">
        <f>(EXP(LN('Ecoinvent 3.10'!$E$21)^2)-1)*EXP(2*LN(GE57)+LN('Ecoinvent 3.10'!$E$21)^2)</f>
        <v>2.7788744595839285E-9</v>
      </c>
      <c r="GF242" s="50">
        <f>(EXP(LN('Ecoinvent 3.10'!$E$21)^2)-1)*EXP(2*LN(GF57)+LN('Ecoinvent 3.10'!$E$21)^2)</f>
        <v>6.8016993697738472E-10</v>
      </c>
      <c r="GG242" s="224">
        <f>(EXP(LN('Ecoinvent 3.10'!$E$21)^2)-1)*EXP(2*LN(GG57)+LN('Ecoinvent 3.10'!$E$21)^2)</f>
        <v>3.3449935698972034E-9</v>
      </c>
      <c r="GH242" s="50">
        <f>(EXP(LN('Ecoinvent 3.10'!$E$21)^2)-1)*EXP(2*LN(GH57)+LN('Ecoinvent 3.10'!$E$21)^2)</f>
        <v>8.187358222607115E-10</v>
      </c>
      <c r="GI242" s="264"/>
      <c r="GJ242" s="265"/>
      <c r="GM242" s="150" t="s">
        <v>66</v>
      </c>
      <c r="GN242" s="224">
        <f>(EXP(LN('Ecoinvent 3.10'!$E$21)^2)-1)*EXP(2*LN(GN57)+LN('Ecoinvent 3.10'!$E$21)^2)</f>
        <v>7.8096101453430708E-8</v>
      </c>
      <c r="GO242" s="50">
        <f>(EXP(LN('Ecoinvent 3.10'!$E$21)^2)-1)*EXP(2*LN(GO57)+LN('Ecoinvent 3.10'!$E$21)^2)</f>
        <v>1.9115156577354911E-8</v>
      </c>
      <c r="GP242" s="224">
        <f>(EXP(LN('Ecoinvent 3.10'!$E$21)^2)-1)*EXP(2*LN(GP57)+LN('Ecoinvent 3.10'!$E$21)^2)</f>
        <v>7.8096101453430563E-8</v>
      </c>
      <c r="GQ242" s="50">
        <f>(EXP(LN('Ecoinvent 3.10'!$E$21)^2)-1)*EXP(2*LN(GQ57)+LN('Ecoinvent 3.10'!$E$21)^2)</f>
        <v>1.9115156577354911E-8</v>
      </c>
      <c r="GR242" s="224">
        <f>(EXP(LN('Ecoinvent 3.10'!$E$21)^2)-1)*EXP(2*LN(GR57)+LN('Ecoinvent 3.10'!$E$21)^2)</f>
        <v>7.8096101453430708E-8</v>
      </c>
      <c r="GS242" s="50">
        <f>(EXP(LN('Ecoinvent 3.10'!$E$21)^2)-1)*EXP(2*LN(GS57)+LN('Ecoinvent 3.10'!$E$21)^2)</f>
        <v>1.9115156577354911E-8</v>
      </c>
      <c r="GT242" s="224">
        <f>(EXP(LN('Ecoinvent 3.10'!$E$21)^2)-1)*EXP(2*LN(GT57)+LN('Ecoinvent 3.10'!$E$21)^2)</f>
        <v>4.7418783139205633E-8</v>
      </c>
      <c r="GU242" s="50">
        <f>(EXP(LN('Ecoinvent 3.10'!$E$21)^2)-1)*EXP(2*LN(GU57)+LN('Ecoinvent 3.10'!$E$21)^2)</f>
        <v>1.160643678166263E-8</v>
      </c>
      <c r="GV242" s="224">
        <f>(EXP(LN('Ecoinvent 3.10'!$E$21)^2)-1)*EXP(2*LN(GV57)+LN('Ecoinvent 3.10'!$E$21)^2)</f>
        <v>3.1818239614344772E-8</v>
      </c>
      <c r="GW242" s="50">
        <f>(EXP(LN('Ecoinvent 3.10'!$E$21)^2)-1)*EXP(2*LN(GW57)+LN('Ecoinvent 3.10'!$E$21)^2)</f>
        <v>7.7879768762423927E-9</v>
      </c>
      <c r="GX242" s="224">
        <f>(EXP(LN('Ecoinvent 3.10'!$E$21)^2)-1)*EXP(2*LN(GX57)+LN('Ecoinvent 3.10'!$E$21)^2)</f>
        <v>9.8840378401998116E-8</v>
      </c>
      <c r="GY242" s="50">
        <f>(EXP(LN('Ecoinvent 3.10'!$E$21)^2)-1)*EXP(2*LN(GY57)+LN('Ecoinvent 3.10'!$E$21)^2)</f>
        <v>2.4192620043214828E-8</v>
      </c>
      <c r="GZ242" s="224">
        <f>(EXP(LN('Ecoinvent 3.10'!$E$21)^2)-1)*EXP(2*LN(GZ57)+LN('Ecoinvent 3.10'!$E$21)^2)</f>
        <v>1.1897638234812262E-7</v>
      </c>
      <c r="HA242" s="50">
        <f>(EXP(LN('Ecoinvent 3.10'!$E$21)^2)-1)*EXP(2*LN(HA57)+LN('Ecoinvent 3.10'!$E$21)^2)</f>
        <v>2.9121199845651334E-8</v>
      </c>
      <c r="HB242" s="264"/>
      <c r="HC242" s="265"/>
      <c r="HF242" s="150" t="s">
        <v>66</v>
      </c>
      <c r="HG242" s="224">
        <f>(EXP(LN('Ecoinvent 3.10'!$E$21)^2)-1)*EXP(2*LN(HG57)+LN('Ecoinvent 3.10'!$E$21)^2)</f>
        <v>6.0627870239824858E-7</v>
      </c>
      <c r="HH242" s="50">
        <f>(EXP(LN('Ecoinvent 3.10'!$E$21)^2)-1)*EXP(2*LN(HH57)+LN('Ecoinvent 3.10'!$E$21)^2)</f>
        <v>1.483955294845131E-7</v>
      </c>
      <c r="HI242" s="224">
        <f>(EXP(LN('Ecoinvent 3.10'!$E$21)^2)-1)*EXP(2*LN(HI57)+LN('Ecoinvent 3.10'!$E$21)^2)</f>
        <v>6.0627870239824858E-7</v>
      </c>
      <c r="HJ242" s="50">
        <f>(EXP(LN('Ecoinvent 3.10'!$E$21)^2)-1)*EXP(2*LN(HJ57)+LN('Ecoinvent 3.10'!$E$21)^2)</f>
        <v>1.483955294845131E-7</v>
      </c>
      <c r="HK242" s="224">
        <f>(EXP(LN('Ecoinvent 3.10'!$E$21)^2)-1)*EXP(2*LN(HK57)+LN('Ecoinvent 3.10'!$E$21)^2)</f>
        <v>6.0627870239824858E-7</v>
      </c>
      <c r="HL242" s="50">
        <f>(EXP(LN('Ecoinvent 3.10'!$E$21)^2)-1)*EXP(2*LN(HL57)+LN('Ecoinvent 3.10'!$E$21)^2)</f>
        <v>1.483955294845131E-7</v>
      </c>
      <c r="HM242" s="224">
        <f>(EXP(LN('Ecoinvent 3.10'!$E$21)^2)-1)*EXP(2*LN(HM57)+LN('Ecoinvent 3.10'!$E$21)^2)</f>
        <v>3.6812334772030566E-7</v>
      </c>
      <c r="HN242" s="50">
        <f>(EXP(LN('Ecoinvent 3.10'!$E$21)^2)-1)*EXP(2*LN(HN57)+LN('Ecoinvent 3.10'!$E$21)^2)</f>
        <v>9.0103542948937023E-8</v>
      </c>
      <c r="HO242" s="224">
        <f>(EXP(LN('Ecoinvent 3.10'!$E$21)^2)-1)*EXP(2*LN(HO57)+LN('Ecoinvent 3.10'!$E$21)^2)</f>
        <v>2.4701259943794631E-7</v>
      </c>
      <c r="HP242" s="50">
        <f>(EXP(LN('Ecoinvent 3.10'!$E$21)^2)-1)*EXP(2*LN(HP57)+LN('Ecoinvent 3.10'!$E$21)^2)</f>
        <v>6.0459926000933347E-8</v>
      </c>
      <c r="HQ242" s="224">
        <f>(EXP(LN('Ecoinvent 3.10'!$E$21)^2)-1)*EXP(2*LN(HQ57)+LN('Ecoinvent 3.10'!$E$21)^2)</f>
        <v>7.6732148272278385E-7</v>
      </c>
      <c r="HR242" s="50">
        <f>(EXP(LN('Ecoinvent 3.10'!$E$21)^2)-1)*EXP(2*LN(HR57)+LN('Ecoinvent 3.10'!$E$21)^2)</f>
        <v>1.8781309200383706E-7</v>
      </c>
      <c r="HS242" s="224">
        <f>(EXP(LN('Ecoinvent 3.10'!$E$21)^2)-1)*EXP(2*LN(HS57)+LN('Ecoinvent 3.10'!$E$21)^2)</f>
        <v>9.2364209433772025E-7</v>
      </c>
      <c r="HT242" s="50">
        <f>(EXP(LN('Ecoinvent 3.10'!$E$21)^2)-1)*EXP(2*LN(HT57)+LN('Ecoinvent 3.10'!$E$21)^2)</f>
        <v>2.2607483505728794E-7</v>
      </c>
      <c r="HU242" s="264"/>
      <c r="HV242" s="265"/>
      <c r="HY242" s="150" t="s">
        <v>66</v>
      </c>
      <c r="HZ242" s="224">
        <f>(EXP(LN('Ecoinvent 3.10'!$E$21)^2)-1)*EXP(2*LN(HZ57)+LN('Ecoinvent 3.10'!$E$21)^2)</f>
        <v>1.0910868316013846E-11</v>
      </c>
      <c r="IA242" s="50">
        <f>(EXP(LN('Ecoinvent 3.10'!$E$21)^2)-1)*EXP(2*LN(IA57)+LN('Ecoinvent 3.10'!$E$21)^2)</f>
        <v>2.6705936964071462E-12</v>
      </c>
      <c r="IB242" s="224">
        <f>(EXP(LN('Ecoinvent 3.10'!$E$21)^2)-1)*EXP(2*LN(IB57)+LN('Ecoinvent 3.10'!$E$21)^2)</f>
        <v>1.0910868316013806E-11</v>
      </c>
      <c r="IC242" s="50">
        <f>(EXP(LN('Ecoinvent 3.10'!$E$21)^2)-1)*EXP(2*LN(IC57)+LN('Ecoinvent 3.10'!$E$21)^2)</f>
        <v>2.6705936964071462E-12</v>
      </c>
      <c r="ID242" s="224">
        <f>(EXP(LN('Ecoinvent 3.10'!$E$21)^2)-1)*EXP(2*LN(ID57)+LN('Ecoinvent 3.10'!$E$21)^2)</f>
        <v>1.0910868316013846E-11</v>
      </c>
      <c r="IE242" s="50">
        <f>(EXP(LN('Ecoinvent 3.10'!$E$21)^2)-1)*EXP(2*LN(IE57)+LN('Ecoinvent 3.10'!$E$21)^2)</f>
        <v>2.6705936964071462E-12</v>
      </c>
      <c r="IF242" s="224">
        <f>(EXP(LN('Ecoinvent 3.10'!$E$21)^2)-1)*EXP(2*LN(IF57)+LN('Ecoinvent 3.10'!$E$21)^2)</f>
        <v>6.6249158268931915E-12</v>
      </c>
      <c r="IG242" s="50">
        <f>(EXP(LN('Ecoinvent 3.10'!$E$21)^2)-1)*EXP(2*LN(IG57)+LN('Ecoinvent 3.10'!$E$21)^2)</f>
        <v>1.6215444943608928E-12</v>
      </c>
      <c r="IH242" s="224">
        <f>(EXP(LN('Ecoinvent 3.10'!$E$21)^2)-1)*EXP(2*LN(IH57)+LN('Ecoinvent 3.10'!$E$21)^2)</f>
        <v>4.4453515094669342E-12</v>
      </c>
      <c r="II242" s="50">
        <f>(EXP(LN('Ecoinvent 3.10'!$E$21)^2)-1)*EXP(2*LN(II57)+LN('Ecoinvent 3.10'!$E$21)^2)</f>
        <v>1.0880644304058123E-12</v>
      </c>
      <c r="IJ242" s="224">
        <f>(EXP(LN('Ecoinvent 3.10'!$E$21)^2)-1)*EXP(2*LN(IJ57)+LN('Ecoinvent 3.10'!$E$21)^2)</f>
        <v>1.3809067712454985E-11</v>
      </c>
      <c r="IK242" s="50">
        <f>(EXP(LN('Ecoinvent 3.10'!$E$21)^2)-1)*EXP(2*LN(IK57)+LN('Ecoinvent 3.10'!$E$21)^2)</f>
        <v>3.3799701470152972E-12</v>
      </c>
      <c r="IL242" s="224">
        <f>(EXP(LN('Ecoinvent 3.10'!$E$21)^2)-1)*EXP(2*LN(IL57)+LN('Ecoinvent 3.10'!$E$21)^2)</f>
        <v>1.6622284804961307E-11</v>
      </c>
      <c r="IM242" s="50">
        <f>(EXP(LN('Ecoinvent 3.10'!$E$21)^2)-1)*EXP(2*LN(IM57)+LN('Ecoinvent 3.10'!$E$21)^2)</f>
        <v>4.06854594284316E-12</v>
      </c>
      <c r="IN242" s="264"/>
      <c r="IO242" s="265"/>
    </row>
    <row r="243" spans="1:249" x14ac:dyDescent="0.2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  <c r="AA243" s="158"/>
      <c r="AB243" s="158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40"/>
      <c r="AN243" s="156"/>
      <c r="AO243" s="158"/>
      <c r="AP243" s="726"/>
      <c r="AQ243" s="150" t="s">
        <v>69</v>
      </c>
      <c r="AR243" s="224">
        <f>(EXP(LN('Ecoinvent 3.10'!$E$25)^2)-1)*EXP(2*LN(AR58)+LN('Ecoinvent 3.10'!$E$25)^2)</f>
        <v>2.8937238337176764E-3</v>
      </c>
      <c r="AS243" s="50">
        <f>(EXP(LN('Ecoinvent 3.10'!$E$25)^2)-1)*EXP(2*LN(AS58)+LN('Ecoinvent 3.10'!$E$25)^2)</f>
        <v>2.8331239661749993E-3</v>
      </c>
      <c r="AT243" s="224">
        <f>(EXP(LN('Ecoinvent 3.10'!$E$25)^2)-1)*EXP(2*LN(AT58)+LN('Ecoinvent 3.10'!$E$25)^2)</f>
        <v>2.8937238337176756E-3</v>
      </c>
      <c r="AU243" s="50">
        <f>(EXP(LN('Ecoinvent 3.10'!$E$25)^2)-1)*EXP(2*LN(AU58)+LN('Ecoinvent 3.10'!$E$25)^2)</f>
        <v>2.8331239661749993E-3</v>
      </c>
      <c r="AV243" s="224">
        <f>(EXP(LN('Ecoinvent 3.10'!$E$25)^2)-1)*EXP(2*LN(AV58)+LN('Ecoinvent 3.10'!$E$25)^2)</f>
        <v>2.8937238337176777E-3</v>
      </c>
      <c r="AW243" s="50">
        <f>(EXP(LN('Ecoinvent 3.10'!$E$25)^2)-1)*EXP(2*LN(AW58)+LN('Ecoinvent 3.10'!$E$25)^2)</f>
        <v>2.8331239661750006E-3</v>
      </c>
      <c r="AX243" s="224">
        <f>(EXP(LN('Ecoinvent 3.10'!$E$25)^2)-1)*EXP(2*LN(AX58)+LN('Ecoinvent 3.10'!$E$25)^2)</f>
        <v>1.7570257718643322E-3</v>
      </c>
      <c r="AY243" s="50">
        <f>(EXP(LN('Ecoinvent 3.10'!$E$25)^2)-1)*EXP(2*LN(AY58)+LN('Ecoinvent 3.10'!$E$25)^2)</f>
        <v>1.7202304399106089E-3</v>
      </c>
      <c r="AZ243" s="224">
        <f>(EXP(LN('Ecoinvent 3.10'!$E$25)^2)-1)*EXP(2*LN(AZ58)+LN('Ecoinvent 3.10'!$E$25)^2)</f>
        <v>1.1789730422570883E-3</v>
      </c>
      <c r="BA243" s="50">
        <f>(EXP(LN('Ecoinvent 3.10'!$E$25)^2)-1)*EXP(2*LN(BA58)+LN('Ecoinvent 3.10'!$E$25)^2)</f>
        <v>1.1542831912890457E-3</v>
      </c>
      <c r="BB243" s="224">
        <f>(EXP(LN('Ecoinvent 3.10'!$E$25)^2)-1)*EXP(2*LN(BB58)+LN('Ecoinvent 3.10'!$E$25)^2)</f>
        <v>3.662369227048933E-3</v>
      </c>
      <c r="BC243" s="50">
        <f>(EXP(LN('Ecoinvent 3.10'!$E$25)^2)-1)*EXP(2*LN(BC58)+LN('Ecoinvent 3.10'!$E$25)^2)</f>
        <v>3.585672519690236E-3</v>
      </c>
      <c r="BD243" s="224">
        <f>(EXP(LN('Ecoinvent 3.10'!$E$25)^2)-1)*EXP(2*LN(BD58)+LN('Ecoinvent 3.10'!$E$25)^2)</f>
        <v>4.4084760550508343E-3</v>
      </c>
      <c r="BE243" s="50">
        <f>(EXP(LN('Ecoinvent 3.10'!$E$25)^2)-1)*EXP(2*LN(BE58)+LN('Ecoinvent 3.10'!$E$25)^2)</f>
        <v>4.3161545066403529E-3</v>
      </c>
      <c r="BF243" s="264"/>
      <c r="BG243" s="265"/>
      <c r="BH243" s="101"/>
      <c r="BI243" s="156"/>
      <c r="BJ243" s="150" t="s">
        <v>69</v>
      </c>
      <c r="BK243" s="224">
        <f>(EXP(LN('Ecoinvent 3.10'!$E$25)^2)-1)*EXP(2*LN(BK58)+LN('Ecoinvent 3.10'!$E$25)^2)</f>
        <v>7.5111269608896291E-5</v>
      </c>
      <c r="BL243" s="50">
        <f>(EXP(LN('Ecoinvent 3.10'!$E$25)^2)-1)*EXP(2*LN(BL58)+LN('Ecoinvent 3.10'!$E$25)^2)</f>
        <v>7.3538302300743167E-5</v>
      </c>
      <c r="BM243" s="224">
        <f>(EXP(LN('Ecoinvent 3.10'!$E$25)^2)-1)*EXP(2*LN(BM58)+LN('Ecoinvent 3.10'!$E$25)^2)</f>
        <v>7.5111269608896291E-5</v>
      </c>
      <c r="BN243" s="50">
        <f>(EXP(LN('Ecoinvent 3.10'!$E$25)^2)-1)*EXP(2*LN(BN58)+LN('Ecoinvent 3.10'!$E$25)^2)</f>
        <v>7.3538302300743167E-5</v>
      </c>
      <c r="BO243" s="224">
        <f>(EXP(LN('Ecoinvent 3.10'!$E$25)^2)-1)*EXP(2*LN(BO58)+LN('Ecoinvent 3.10'!$E$25)^2)</f>
        <v>7.5111269608896318E-5</v>
      </c>
      <c r="BP243" s="50">
        <f>(EXP(LN('Ecoinvent 3.10'!$E$25)^2)-1)*EXP(2*LN(BP58)+LN('Ecoinvent 3.10'!$E$25)^2)</f>
        <v>7.3538302300743194E-5</v>
      </c>
      <c r="BQ243" s="224">
        <f>(EXP(LN('Ecoinvent 3.10'!$E$25)^2)-1)*EXP(2*LN(BQ58)+LN('Ecoinvent 3.10'!$E$25)^2)</f>
        <v>4.5606437947719088E-5</v>
      </c>
      <c r="BR243" s="50">
        <f>(EXP(LN('Ecoinvent 3.10'!$E$25)^2)-1)*EXP(2*LN(BR58)+LN('Ecoinvent 3.10'!$E$25)^2)</f>
        <v>4.4651355756902591E-5</v>
      </c>
      <c r="BS243" s="224">
        <f>(EXP(LN('Ecoinvent 3.10'!$E$25)^2)-1)*EXP(2*LN(BS58)+LN('Ecoinvent 3.10'!$E$25)^2)</f>
        <v>3.0602146966050999E-5</v>
      </c>
      <c r="BT243" s="50">
        <f>(EXP(LN('Ecoinvent 3.10'!$E$25)^2)-1)*EXP(2*LN(BT58)+LN('Ecoinvent 3.10'!$E$25)^2)</f>
        <v>2.9961282060058351E-5</v>
      </c>
      <c r="BU243" s="224">
        <f>(EXP(LN('Ecoinvent 3.10'!$E$25)^2)-1)*EXP(2*LN(BU58)+LN('Ecoinvent 3.10'!$E$25)^2)</f>
        <v>9.5062700598759351E-5</v>
      </c>
      <c r="BV243" s="50">
        <f>(EXP(LN('Ecoinvent 3.10'!$E$25)^2)-1)*EXP(2*LN(BV58)+LN('Ecoinvent 3.10'!$E$25)^2)</f>
        <v>9.3071913849378132E-5</v>
      </c>
      <c r="BW243" s="224">
        <f>(EXP(LN('Ecoinvent 3.10'!$E$25)^2)-1)*EXP(2*LN(BW58)+LN('Ecoinvent 3.10'!$E$25)^2)</f>
        <v>1.1442910677135226E-4</v>
      </c>
      <c r="BX243" s="50">
        <f>(EXP(LN('Ecoinvent 3.10'!$E$25)^2)-1)*EXP(2*LN(BX58)+LN('Ecoinvent 3.10'!$E$25)^2)</f>
        <v>1.1203275206999103E-4</v>
      </c>
      <c r="BY243" s="264"/>
      <c r="BZ243" s="265"/>
      <c r="CA243" s="156"/>
      <c r="CB243" s="156"/>
      <c r="CC243" s="150" t="s">
        <v>69</v>
      </c>
      <c r="CD243" s="224">
        <f>(EXP(LN('Ecoinvent 3.10'!$E$25)^2)-1)*EXP(2*LN(CD58)+LN('Ecoinvent 3.10'!$E$25)^2)</f>
        <v>4.1384310125210317E-3</v>
      </c>
      <c r="CE243" s="50">
        <f>(EXP(LN('Ecoinvent 3.10'!$E$25)^2)-1)*EXP(2*LN(CE58)+LN('Ecoinvent 3.10'!$E$25)^2)</f>
        <v>4.0517647010122762E-3</v>
      </c>
      <c r="CF243" s="224">
        <f>(EXP(LN('Ecoinvent 3.10'!$E$25)^2)-1)*EXP(2*LN(CF58)+LN('Ecoinvent 3.10'!$E$25)^2)</f>
        <v>4.1384310125210299E-3</v>
      </c>
      <c r="CG243" s="50">
        <f>(EXP(LN('Ecoinvent 3.10'!$E$25)^2)-1)*EXP(2*LN(CG58)+LN('Ecoinvent 3.10'!$E$25)^2)</f>
        <v>4.0517647010122762E-3</v>
      </c>
      <c r="CH243" s="224">
        <f>(EXP(LN('Ecoinvent 3.10'!$E$25)^2)-1)*EXP(2*LN(CH58)+LN('Ecoinvent 3.10'!$E$25)^2)</f>
        <v>4.1384310125210334E-3</v>
      </c>
      <c r="CI243" s="50">
        <f>(EXP(LN('Ecoinvent 3.10'!$E$25)^2)-1)*EXP(2*LN(CI58)+LN('Ecoinvent 3.10'!$E$25)^2)</f>
        <v>4.051764701012278E-3</v>
      </c>
      <c r="CJ243" s="224">
        <f>(EXP(LN('Ecoinvent 3.10'!$E$25)^2)-1)*EXP(2*LN(CJ58)+LN('Ecoinvent 3.10'!$E$25)^2)</f>
        <v>2.5127933285673293E-3</v>
      </c>
      <c r="CK243" s="50">
        <f>(EXP(LN('Ecoinvent 3.10'!$E$25)^2)-1)*EXP(2*LN(CK58)+LN('Ecoinvent 3.10'!$E$25)^2)</f>
        <v>2.4601708422405471E-3</v>
      </c>
      <c r="CL243" s="224">
        <f>(EXP(LN('Ecoinvent 3.10'!$E$25)^2)-1)*EXP(2*LN(CL58)+LN('Ecoinvent 3.10'!$E$25)^2)</f>
        <v>1.6860968362466847E-3</v>
      </c>
      <c r="CM243" s="50">
        <f>(EXP(LN('Ecoinvent 3.10'!$E$25)^2)-1)*EXP(2*LN(CM58)+LN('Ecoinvent 3.10'!$E$25)^2)</f>
        <v>1.6507868858809654E-3</v>
      </c>
      <c r="CN243" s="224">
        <f>(EXP(LN('Ecoinvent 3.10'!$E$25)^2)-1)*EXP(2*LN(CN58)+LN('Ecoinvent 3.10'!$E$25)^2)</f>
        <v>5.2377017502219288E-3</v>
      </c>
      <c r="CO243" s="50">
        <f>(EXP(LN('Ecoinvent 3.10'!$E$25)^2)-1)*EXP(2*LN(CO58)+LN('Ecoinvent 3.10'!$E$25)^2)</f>
        <v>5.1280146997186669E-3</v>
      </c>
      <c r="CP243" s="224">
        <f>(EXP(LN('Ecoinvent 3.10'!$E$25)^2)-1)*EXP(2*LN(CP58)+LN('Ecoinvent 3.10'!$E$25)^2)</f>
        <v>6.3047391778018316E-3</v>
      </c>
      <c r="CQ243" s="50">
        <f>(EXP(LN('Ecoinvent 3.10'!$E$25)^2)-1)*EXP(2*LN(CQ58)+LN('Ecoinvent 3.10'!$E$25)^2)</f>
        <v>6.1727064127486981E-3</v>
      </c>
      <c r="CR243" s="264"/>
      <c r="CS243" s="265"/>
      <c r="CV243" s="150" t="s">
        <v>69</v>
      </c>
      <c r="CW243" s="224">
        <f>(EXP(LN('Ecoinvent 3.10'!$E$25)^2)-1)*EXP(2*LN(CW58)+LN('Ecoinvent 3.10'!$E$25)^2)</f>
        <v>7.7275033685374576E-10</v>
      </c>
      <c r="CX243" s="50">
        <f>(EXP(LN('Ecoinvent 3.10'!$E$25)^2)-1)*EXP(2*LN(CX58)+LN('Ecoinvent 3.10'!$E$25)^2)</f>
        <v>7.5656753201547753E-10</v>
      </c>
      <c r="CY243" s="224">
        <f>(EXP(LN('Ecoinvent 3.10'!$E$25)^2)-1)*EXP(2*LN(CY58)+LN('Ecoinvent 3.10'!$E$25)^2)</f>
        <v>7.7275033685374431E-10</v>
      </c>
      <c r="CZ243" s="50">
        <f>(EXP(LN('Ecoinvent 3.10'!$E$25)^2)-1)*EXP(2*LN(CZ58)+LN('Ecoinvent 3.10'!$E$25)^2)</f>
        <v>7.5656753201547753E-10</v>
      </c>
      <c r="DA243" s="224">
        <f>(EXP(LN('Ecoinvent 3.10'!$E$25)^2)-1)*EXP(2*LN(DA58)+LN('Ecoinvent 3.10'!$E$25)^2)</f>
        <v>7.7275033685374576E-10</v>
      </c>
      <c r="DB243" s="50">
        <f>(EXP(LN('Ecoinvent 3.10'!$E$25)^2)-1)*EXP(2*LN(DB58)+LN('Ecoinvent 3.10'!$E$25)^2)</f>
        <v>7.5656753201547753E-10</v>
      </c>
      <c r="DC243" s="224">
        <f>(EXP(LN('Ecoinvent 3.10'!$E$25)^2)-1)*EXP(2*LN(DC58)+LN('Ecoinvent 3.10'!$E$25)^2)</f>
        <v>4.6920243087763218E-10</v>
      </c>
      <c r="DD243" s="50">
        <f>(EXP(LN('Ecoinvent 3.10'!$E$25)^2)-1)*EXP(2*LN(DD58)+LN('Ecoinvent 3.10'!$E$25)^2)</f>
        <v>4.5937647415343584E-10</v>
      </c>
      <c r="DE243" s="224">
        <f>(EXP(LN('Ecoinvent 3.10'!$E$25)^2)-1)*EXP(2*LN(DE58)+LN('Ecoinvent 3.10'!$E$25)^2)</f>
        <v>3.1483716757282464E-10</v>
      </c>
      <c r="DF243" s="50">
        <f>(EXP(LN('Ecoinvent 3.10'!$E$25)^2)-1)*EXP(2*LN(DF58)+LN('Ecoinvent 3.10'!$E$25)^2)</f>
        <v>3.0824390168127186E-10</v>
      </c>
      <c r="DG243" s="224">
        <f>(EXP(LN('Ecoinvent 3.10'!$E$25)^2)-1)*EXP(2*LN(DG58)+LN('Ecoinvent 3.10'!$E$25)^2)</f>
        <v>9.7801214508052082E-10</v>
      </c>
      <c r="DH243" s="50">
        <f>(EXP(LN('Ecoinvent 3.10'!$E$25)^2)-1)*EXP(2*LN(DH58)+LN('Ecoinvent 3.10'!$E$25)^2)</f>
        <v>9.5753078270708945E-10</v>
      </c>
      <c r="DI243" s="224">
        <f>(EXP(LN('Ecoinvent 3.10'!$E$25)^2)-1)*EXP(2*LN(DI58)+LN('Ecoinvent 3.10'!$E$25)^2)</f>
        <v>1.1772551744081074E-9</v>
      </c>
      <c r="DJ243" s="50">
        <f>(EXP(LN('Ecoinvent 3.10'!$E$25)^2)-1)*EXP(2*LN(DJ58)+LN('Ecoinvent 3.10'!$E$25)^2)</f>
        <v>1.1526012987335221E-9</v>
      </c>
      <c r="DK243" s="264"/>
      <c r="DL243" s="265"/>
      <c r="DO243" s="150" t="s">
        <v>69</v>
      </c>
      <c r="DP243" s="224">
        <f>(EXP(LN('Ecoinvent 3.10'!$E$25)^2)-1)*EXP(2*LN(DP58)+LN('Ecoinvent 3.10'!$E$25)^2)</f>
        <v>3.2837763849170695E-7</v>
      </c>
      <c r="DQ243" s="50">
        <f>(EXP(LN('Ecoinvent 3.10'!$E$25)^2)-1)*EXP(2*LN(DQ58)+LN('Ecoinvent 3.10'!$E$25)^2)</f>
        <v>3.2150081038368119E-7</v>
      </c>
      <c r="DR243" s="224">
        <f>(EXP(LN('Ecoinvent 3.10'!$E$25)^2)-1)*EXP(2*LN(DR58)+LN('Ecoinvent 3.10'!$E$25)^2)</f>
        <v>3.2837763849170695E-7</v>
      </c>
      <c r="DS243" s="50">
        <f>(EXP(LN('Ecoinvent 3.10'!$E$25)^2)-1)*EXP(2*LN(DS58)+LN('Ecoinvent 3.10'!$E$25)^2)</f>
        <v>3.2150081038368119E-7</v>
      </c>
      <c r="DT243" s="224">
        <f>(EXP(LN('Ecoinvent 3.10'!$E$25)^2)-1)*EXP(2*LN(DT58)+LN('Ecoinvent 3.10'!$E$25)^2)</f>
        <v>3.2837763849170754E-7</v>
      </c>
      <c r="DU243" s="50">
        <f>(EXP(LN('Ecoinvent 3.10'!$E$25)^2)-1)*EXP(2*LN(DU58)+LN('Ecoinvent 3.10'!$E$25)^2)</f>
        <v>3.2150081038368119E-7</v>
      </c>
      <c r="DV243" s="224">
        <f>(EXP(LN('Ecoinvent 3.10'!$E$25)^2)-1)*EXP(2*LN(DV58)+LN('Ecoinvent 3.10'!$E$25)^2)</f>
        <v>1.9938598390456128E-7</v>
      </c>
      <c r="DW243" s="50">
        <f>(EXP(LN('Ecoinvent 3.10'!$E$25)^2)-1)*EXP(2*LN(DW58)+LN('Ecoinvent 3.10'!$E$25)^2)</f>
        <v>1.9521047687320848E-7</v>
      </c>
      <c r="DX243" s="224">
        <f>(EXP(LN('Ecoinvent 3.10'!$E$25)^2)-1)*EXP(2*LN(DX58)+LN('Ecoinvent 3.10'!$E$25)^2)</f>
        <v>1.3378898806814676E-7</v>
      </c>
      <c r="DY243" s="50">
        <f>(EXP(LN('Ecoinvent 3.10'!$E$25)^2)-1)*EXP(2*LN(DY58)+LN('Ecoinvent 3.10'!$E$25)^2)</f>
        <v>1.3098720205763397E-7</v>
      </c>
      <c r="DZ243" s="224">
        <f>(EXP(LN('Ecoinvent 3.10'!$E$25)^2)-1)*EXP(2*LN(DZ58)+LN('Ecoinvent 3.10'!$E$25)^2)</f>
        <v>4.1560294871606693E-7</v>
      </c>
      <c r="EA243" s="50">
        <f>(EXP(LN('Ecoinvent 3.10'!$E$25)^2)-1)*EXP(2*LN(EA58)+LN('Ecoinvent 3.10'!$E$25)^2)</f>
        <v>4.0689946314184677E-7</v>
      </c>
      <c r="EB243" s="224">
        <f>(EXP(LN('Ecoinvent 3.10'!$E$25)^2)-1)*EXP(2*LN(EB58)+LN('Ecoinvent 3.10'!$E$25)^2)</f>
        <v>5.0027059923164336E-7</v>
      </c>
      <c r="EC243" s="50">
        <f>(EXP(LN('Ecoinvent 3.10'!$E$25)^2)-1)*EXP(2*LN(EC58)+LN('Ecoinvent 3.10'!$E$25)^2)</f>
        <v>4.8979401826158448E-7</v>
      </c>
      <c r="ED243" s="264"/>
      <c r="EE243" s="265"/>
      <c r="EH243" s="150" t="s">
        <v>69</v>
      </c>
      <c r="EI243" s="224">
        <f>(EXP(LN('Ecoinvent 3.10'!$E$25)^2)-1)*EXP(2*LN(EI58)+LN('Ecoinvent 3.10'!$E$25)^2)</f>
        <v>4.5243940225652385E-9</v>
      </c>
      <c r="EJ243" s="50">
        <f>(EXP(LN('Ecoinvent 3.10'!$E$25)^2)-1)*EXP(2*LN(EJ58)+LN('Ecoinvent 3.10'!$E$25)^2)</f>
        <v>4.4296449399874096E-9</v>
      </c>
      <c r="EK243" s="224">
        <f>(EXP(LN('Ecoinvent 3.10'!$E$25)^2)-1)*EXP(2*LN(EK58)+LN('Ecoinvent 3.10'!$E$25)^2)</f>
        <v>4.5243940225652385E-9</v>
      </c>
      <c r="EL243" s="50">
        <f>(EXP(LN('Ecoinvent 3.10'!$E$25)^2)-1)*EXP(2*LN(EL58)+LN('Ecoinvent 3.10'!$E$25)^2)</f>
        <v>4.4296449399874096E-9</v>
      </c>
      <c r="EM243" s="224">
        <f>(EXP(LN('Ecoinvent 3.10'!$E$25)^2)-1)*EXP(2*LN(EM58)+LN('Ecoinvent 3.10'!$E$25)^2)</f>
        <v>4.5243940225652385E-9</v>
      </c>
      <c r="EN243" s="50">
        <f>(EXP(LN('Ecoinvent 3.10'!$E$25)^2)-1)*EXP(2*LN(EN58)+LN('Ecoinvent 3.10'!$E$25)^2)</f>
        <v>4.4296449399874096E-9</v>
      </c>
      <c r="EO243" s="224">
        <f>(EXP(LN('Ecoinvent 3.10'!$E$25)^2)-1)*EXP(2*LN(EO58)+LN('Ecoinvent 3.10'!$E$25)^2)</f>
        <v>2.7471442876091821E-9</v>
      </c>
      <c r="EP243" s="50">
        <f>(EXP(LN('Ecoinvent 3.10'!$E$25)^2)-1)*EXP(2*LN(EP58)+LN('Ecoinvent 3.10'!$E$25)^2)</f>
        <v>2.6896140637467846E-9</v>
      </c>
      <c r="EQ243" s="224">
        <f>(EXP(LN('Ecoinvent 3.10'!$E$25)^2)-1)*EXP(2*LN(EQ58)+LN('Ecoinvent 3.10'!$E$25)^2)</f>
        <v>1.8433474967445508E-9</v>
      </c>
      <c r="ER243" s="50">
        <f>(EXP(LN('Ecoinvent 3.10'!$E$25)^2)-1)*EXP(2*LN(ER58)+LN('Ecoinvent 3.10'!$E$25)^2)</f>
        <v>1.8047444300537231E-9</v>
      </c>
      <c r="ES243" s="224">
        <f>(EXP(LN('Ecoinvent 3.10'!$E$25)^2)-1)*EXP(2*LN(ES58)+LN('Ecoinvent 3.10'!$E$25)^2)</f>
        <v>5.7261861848091234E-9</v>
      </c>
      <c r="ET243" s="50">
        <f>(EXP(LN('Ecoinvent 3.10'!$E$25)^2)-1)*EXP(2*LN(ET58)+LN('Ecoinvent 3.10'!$E$25)^2)</f>
        <v>5.6062693771715693E-9</v>
      </c>
      <c r="EU243" s="224">
        <f>(EXP(LN('Ecoinvent 3.10'!$E$25)^2)-1)*EXP(2*LN(EU58)+LN('Ecoinvent 3.10'!$E$25)^2)</f>
        <v>6.8927388576915377E-9</v>
      </c>
      <c r="EV243" s="50">
        <f>(EXP(LN('Ecoinvent 3.10'!$E$25)^2)-1)*EXP(2*LN(EV58)+LN('Ecoinvent 3.10'!$E$25)^2)</f>
        <v>6.7483923043282461E-9</v>
      </c>
      <c r="EW243" s="264"/>
      <c r="EX243" s="265"/>
      <c r="FA243" s="150" t="s">
        <v>69</v>
      </c>
      <c r="FB243" s="224">
        <f>(EXP(LN('Ecoinvent 3.10'!$E$25)^2)-1)*EXP(2*LN(FB58)+LN('Ecoinvent 3.10'!$E$25)^2)</f>
        <v>6.7213370145120736E-12</v>
      </c>
      <c r="FC243" s="50">
        <f>(EXP(LN('Ecoinvent 3.10'!$E$25)^2)-1)*EXP(2*LN(FC58)+LN('Ecoinvent 3.10'!$E$25)^2)</f>
        <v>6.5805799291112114E-12</v>
      </c>
      <c r="FD243" s="224">
        <f>(EXP(LN('Ecoinvent 3.10'!$E$25)^2)-1)*EXP(2*LN(FD58)+LN('Ecoinvent 3.10'!$E$25)^2)</f>
        <v>6.7213370145120736E-12</v>
      </c>
      <c r="FE243" s="50">
        <f>(EXP(LN('Ecoinvent 3.10'!$E$25)^2)-1)*EXP(2*LN(FE58)+LN('Ecoinvent 3.10'!$E$25)^2)</f>
        <v>6.5805799291112114E-12</v>
      </c>
      <c r="FF243" s="224">
        <f>(EXP(LN('Ecoinvent 3.10'!$E$25)^2)-1)*EXP(2*LN(FF58)+LN('Ecoinvent 3.10'!$E$25)^2)</f>
        <v>6.7213370145120736E-12</v>
      </c>
      <c r="FG243" s="50">
        <f>(EXP(LN('Ecoinvent 3.10'!$E$25)^2)-1)*EXP(2*LN(FG58)+LN('Ecoinvent 3.10'!$E$25)^2)</f>
        <v>6.5805799291112114E-12</v>
      </c>
      <c r="FH243" s="224">
        <f>(EXP(LN('Ecoinvent 3.10'!$E$25)^2)-1)*EXP(2*LN(FH58)+LN('Ecoinvent 3.10'!$E$25)^2)</f>
        <v>4.0810951681975697E-12</v>
      </c>
      <c r="FI243" s="50">
        <f>(EXP(LN('Ecoinvent 3.10'!$E$25)^2)-1)*EXP(2*LN(FI58)+LN('Ecoinvent 3.10'!$E$25)^2)</f>
        <v>3.9956295740935027E-12</v>
      </c>
      <c r="FJ243" s="224">
        <f>(EXP(LN('Ecoinvent 3.10'!$E$25)^2)-1)*EXP(2*LN(FJ58)+LN('Ecoinvent 3.10'!$E$25)^2)</f>
        <v>2.738435180199576E-12</v>
      </c>
      <c r="FK243" s="50">
        <f>(EXP(LN('Ecoinvent 3.10'!$E$25)^2)-1)*EXP(2*LN(FK58)+LN('Ecoinvent 3.10'!$E$25)^2)</f>
        <v>2.6810873409688036E-12</v>
      </c>
      <c r="FL243" s="224">
        <f>(EXP(LN('Ecoinvent 3.10'!$E$25)^2)-1)*EXP(2*LN(FL58)+LN('Ecoinvent 3.10'!$E$25)^2)</f>
        <v>8.5066921589918491E-12</v>
      </c>
      <c r="FM243" s="50">
        <f>(EXP(LN('Ecoinvent 3.10'!$E$25)^2)-1)*EXP(2*LN(FM58)+LN('Ecoinvent 3.10'!$E$25)^2)</f>
        <v>8.3285464727813825E-12</v>
      </c>
      <c r="FN243" s="224">
        <f>(EXP(LN('Ecoinvent 3.10'!$E$25)^2)-1)*EXP(2*LN(FN58)+LN('Ecoinvent 3.10'!$E$25)^2)</f>
        <v>1.0239696318337151E-11</v>
      </c>
      <c r="FO243" s="50">
        <f>(EXP(LN('Ecoinvent 3.10'!$E$25)^2)-1)*EXP(2*LN(FO58)+LN('Ecoinvent 3.10'!$E$25)^2)</f>
        <v>1.0025258356656737E-11</v>
      </c>
      <c r="FP243" s="264"/>
      <c r="FQ243" s="265"/>
      <c r="FT243" s="150" t="s">
        <v>69</v>
      </c>
      <c r="FU243" s="224">
        <f>(EXP(LN('Ecoinvent 3.10'!$E$25)^2)-1)*EXP(2*LN(FU58)+LN('Ecoinvent 3.10'!$E$25)^2)</f>
        <v>1.2005190671379591E-7</v>
      </c>
      <c r="FV243" s="50">
        <f>(EXP(LN('Ecoinvent 3.10'!$E$25)^2)-1)*EXP(2*LN(FV58)+LN('Ecoinvent 3.10'!$E$25)^2)</f>
        <v>1.1753780030172839E-7</v>
      </c>
      <c r="FW243" s="224">
        <f>(EXP(LN('Ecoinvent 3.10'!$E$25)^2)-1)*EXP(2*LN(FW58)+LN('Ecoinvent 3.10'!$E$25)^2)</f>
        <v>1.2005190671379591E-7</v>
      </c>
      <c r="FX243" s="50">
        <f>(EXP(LN('Ecoinvent 3.10'!$E$25)^2)-1)*EXP(2*LN(FX58)+LN('Ecoinvent 3.10'!$E$25)^2)</f>
        <v>1.1753780030172839E-7</v>
      </c>
      <c r="FY243" s="224">
        <f>(EXP(LN('Ecoinvent 3.10'!$E$25)^2)-1)*EXP(2*LN(FY58)+LN('Ecoinvent 3.10'!$E$25)^2)</f>
        <v>1.2005190671379591E-7</v>
      </c>
      <c r="FZ243" s="50">
        <f>(EXP(LN('Ecoinvent 3.10'!$E$25)^2)-1)*EXP(2*LN(FZ58)+LN('Ecoinvent 3.10'!$E$25)^2)</f>
        <v>1.175378003017286E-7</v>
      </c>
      <c r="GA243" s="224">
        <f>(EXP(LN('Ecoinvent 3.10'!$E$25)^2)-1)*EXP(2*LN(GA58)+LN('Ecoinvent 3.10'!$E$25)^2)</f>
        <v>7.2893719711530576E-8</v>
      </c>
      <c r="GB243" s="50">
        <f>(EXP(LN('Ecoinvent 3.10'!$E$25)^2)-1)*EXP(2*LN(GB58)+LN('Ecoinvent 3.10'!$E$25)^2)</f>
        <v>7.1367191952474703E-8</v>
      </c>
      <c r="GC243" s="224">
        <f>(EXP(LN('Ecoinvent 3.10'!$E$25)^2)-1)*EXP(2*LN(GC58)+LN('Ecoinvent 3.10'!$E$25)^2)</f>
        <v>4.8912048910102428E-8</v>
      </c>
      <c r="GD243" s="50">
        <f>(EXP(LN('Ecoinvent 3.10'!$E$25)^2)-1)*EXP(2*LN(GD58)+LN('Ecoinvent 3.10'!$E$25)^2)</f>
        <v>4.7887741182234359E-8</v>
      </c>
      <c r="GE243" s="224">
        <f>(EXP(LN('Ecoinvent 3.10'!$E$25)^2)-1)*EXP(2*LN(GE58)+LN('Ecoinvent 3.10'!$E$25)^2)</f>
        <v>1.5194069443464778E-7</v>
      </c>
      <c r="GF243" s="50">
        <f>(EXP(LN('Ecoinvent 3.10'!$E$25)^2)-1)*EXP(2*LN(GF58)+LN('Ecoinvent 3.10'!$E$25)^2)</f>
        <v>1.4875877850687511E-7</v>
      </c>
      <c r="GG243" s="224">
        <f>(EXP(LN('Ecoinvent 3.10'!$E$25)^2)-1)*EXP(2*LN(GG58)+LN('Ecoinvent 3.10'!$E$25)^2)</f>
        <v>1.8289442480453423E-7</v>
      </c>
      <c r="GH243" s="50">
        <f>(EXP(LN('Ecoinvent 3.10'!$E$25)^2)-1)*EXP(2*LN(GH58)+LN('Ecoinvent 3.10'!$E$25)^2)</f>
        <v>1.7906428117150854E-7</v>
      </c>
      <c r="GI243" s="264"/>
      <c r="GJ243" s="265"/>
      <c r="GM243" s="150" t="s">
        <v>69</v>
      </c>
      <c r="GN243" s="224">
        <f>(EXP(LN('Ecoinvent 3.10'!$E$25)^2)-1)*EXP(2*LN(GN58)+LN('Ecoinvent 3.10'!$E$25)^2)</f>
        <v>1.8585902635671648E-6</v>
      </c>
      <c r="GO243" s="50">
        <f>(EXP(LN('Ecoinvent 3.10'!$E$25)^2)-1)*EXP(2*LN(GO58)+LN('Ecoinvent 3.10'!$E$25)^2)</f>
        <v>1.8196679854714079E-6</v>
      </c>
      <c r="GP243" s="224">
        <f>(EXP(LN('Ecoinvent 3.10'!$E$25)^2)-1)*EXP(2*LN(GP58)+LN('Ecoinvent 3.10'!$E$25)^2)</f>
        <v>1.8585902635671633E-6</v>
      </c>
      <c r="GQ243" s="50">
        <f>(EXP(LN('Ecoinvent 3.10'!$E$25)^2)-1)*EXP(2*LN(GQ58)+LN('Ecoinvent 3.10'!$E$25)^2)</f>
        <v>1.8196679854714079E-6</v>
      </c>
      <c r="GR243" s="224">
        <f>(EXP(LN('Ecoinvent 3.10'!$E$25)^2)-1)*EXP(2*LN(GR58)+LN('Ecoinvent 3.10'!$E$25)^2)</f>
        <v>1.8585902635671648E-6</v>
      </c>
      <c r="GS243" s="50">
        <f>(EXP(LN('Ecoinvent 3.10'!$E$25)^2)-1)*EXP(2*LN(GS58)+LN('Ecoinvent 3.10'!$E$25)^2)</f>
        <v>1.8196679854714079E-6</v>
      </c>
      <c r="GT243" s="224">
        <f>(EXP(LN('Ecoinvent 3.10'!$E$25)^2)-1)*EXP(2*LN(GT58)+LN('Ecoinvent 3.10'!$E$25)^2)</f>
        <v>1.1285081715030842E-6</v>
      </c>
      <c r="GU243" s="50">
        <f>(EXP(LN('Ecoinvent 3.10'!$E$25)^2)-1)*EXP(2*LN(GU58)+LN('Ecoinvent 3.10'!$E$25)^2)</f>
        <v>1.1048751471912744E-6</v>
      </c>
      <c r="GV243" s="224">
        <f>(EXP(LN('Ecoinvent 3.10'!$E$25)^2)-1)*EXP(2*LN(GV58)+LN('Ecoinvent 3.10'!$E$25)^2)</f>
        <v>7.5723460263035205E-7</v>
      </c>
      <c r="GW243" s="50">
        <f>(EXP(LN('Ecoinvent 3.10'!$E$25)^2)-1)*EXP(2*LN(GW58)+LN('Ecoinvent 3.10'!$E$25)^2)</f>
        <v>7.4137672563343937E-7</v>
      </c>
      <c r="GX243" s="224">
        <f>(EXP(LN('Ecoinvent 3.10'!$E$25)^2)-1)*EXP(2*LN(GX58)+LN('Ecoinvent 3.10'!$E$25)^2)</f>
        <v>2.3522783023271929E-6</v>
      </c>
      <c r="GY243" s="50">
        <f>(EXP(LN('Ecoinvent 3.10'!$E$25)^2)-1)*EXP(2*LN(GY58)+LN('Ecoinvent 3.10'!$E$25)^2)</f>
        <v>2.3030172941122518E-6</v>
      </c>
      <c r="GZ243" s="224">
        <f>(EXP(LN('Ecoinvent 3.10'!$E$25)^2)-1)*EXP(2*LN(GZ58)+LN('Ecoinvent 3.10'!$E$25)^2)</f>
        <v>2.8314901987588447E-6</v>
      </c>
      <c r="HA243" s="50">
        <f>(EXP(LN('Ecoinvent 3.10'!$E$25)^2)-1)*EXP(2*LN(HA58)+LN('Ecoinvent 3.10'!$E$25)^2)</f>
        <v>2.7721936173111528E-6</v>
      </c>
      <c r="HB243" s="264"/>
      <c r="HC243" s="265"/>
      <c r="HF243" s="150" t="s">
        <v>69</v>
      </c>
      <c r="HG243" s="224">
        <f>(EXP(LN('Ecoinvent 3.10'!$E$25)^2)-1)*EXP(2*LN(HG58)+LN('Ecoinvent 3.10'!$E$25)^2)</f>
        <v>7.9289556271232357E-5</v>
      </c>
      <c r="HH243" s="50">
        <f>(EXP(LN('Ecoinvent 3.10'!$E$25)^2)-1)*EXP(2*LN(HH58)+LN('Ecoinvent 3.10'!$E$25)^2)</f>
        <v>7.7629088001397061E-5</v>
      </c>
      <c r="HI243" s="224">
        <f>(EXP(LN('Ecoinvent 3.10'!$E$25)^2)-1)*EXP(2*LN(HI58)+LN('Ecoinvent 3.10'!$E$25)^2)</f>
        <v>7.928955627123233E-5</v>
      </c>
      <c r="HJ243" s="50">
        <f>(EXP(LN('Ecoinvent 3.10'!$E$25)^2)-1)*EXP(2*LN(HJ58)+LN('Ecoinvent 3.10'!$E$25)^2)</f>
        <v>7.7629088001397061E-5</v>
      </c>
      <c r="HK243" s="224">
        <f>(EXP(LN('Ecoinvent 3.10'!$E$25)^2)-1)*EXP(2*LN(HK58)+LN('Ecoinvent 3.10'!$E$25)^2)</f>
        <v>7.9289556271232398E-5</v>
      </c>
      <c r="HL243" s="50">
        <f>(EXP(LN('Ecoinvent 3.10'!$E$25)^2)-1)*EXP(2*LN(HL58)+LN('Ecoinvent 3.10'!$E$25)^2)</f>
        <v>7.7629088001397102E-5</v>
      </c>
      <c r="HM243" s="224">
        <f>(EXP(LN('Ecoinvent 3.10'!$E$25)^2)-1)*EXP(2*LN(HM58)+LN('Ecoinvent 3.10'!$E$25)^2)</f>
        <v>4.8143431029926835E-5</v>
      </c>
      <c r="HN243" s="50">
        <f>(EXP(LN('Ecoinvent 3.10'!$E$25)^2)-1)*EXP(2*LN(HN58)+LN('Ecoinvent 3.10'!$E$25)^2)</f>
        <v>4.7135219565699046E-5</v>
      </c>
      <c r="HO243" s="224">
        <f>(EXP(LN('Ecoinvent 3.10'!$E$25)^2)-1)*EXP(2*LN(HO58)+LN('Ecoinvent 3.10'!$E$25)^2)</f>
        <v>3.2304481957496198E-5</v>
      </c>
      <c r="HP243" s="50">
        <f>(EXP(LN('Ecoinvent 3.10'!$E$25)^2)-1)*EXP(2*LN(HP58)+LN('Ecoinvent 3.10'!$E$25)^2)</f>
        <v>3.1627967044480511E-5</v>
      </c>
      <c r="HQ243" s="224">
        <f>(EXP(LN('Ecoinvent 3.10'!$E$25)^2)-1)*EXP(2*LN(HQ58)+LN('Ecoinvent 3.10'!$E$25)^2)</f>
        <v>1.0035084465577844E-4</v>
      </c>
      <c r="HR243" s="50">
        <f>(EXP(LN('Ecoinvent 3.10'!$E$25)^2)-1)*EXP(2*LN(HR58)+LN('Ecoinvent 3.10'!$E$25)^2)</f>
        <v>9.8249314501768284E-5</v>
      </c>
      <c r="HS243" s="224">
        <f>(EXP(LN('Ecoinvent 3.10'!$E$25)^2)-1)*EXP(2*LN(HS58)+LN('Ecoinvent 3.10'!$E$25)^2)</f>
        <v>1.2079456448622416E-4</v>
      </c>
      <c r="HT243" s="50">
        <f>(EXP(LN('Ecoinvent 3.10'!$E$25)^2)-1)*EXP(2*LN(HT58)+LN('Ecoinvent 3.10'!$E$25)^2)</f>
        <v>1.1826490546263458E-4</v>
      </c>
      <c r="HU243" s="264"/>
      <c r="HV243" s="265"/>
      <c r="HY243" s="150" t="s">
        <v>69</v>
      </c>
      <c r="HZ243" s="224">
        <f>(EXP(LN('Ecoinvent 3.10'!$E$25)^2)-1)*EXP(2*LN(HZ58)+LN('Ecoinvent 3.10'!$E$25)^2)</f>
        <v>1.8667458295381502E-10</v>
      </c>
      <c r="IA243" s="50">
        <f>(EXP(LN('Ecoinvent 3.10'!$E$25)^2)-1)*EXP(2*LN(IA58)+LN('Ecoinvent 3.10'!$E$25)^2)</f>
        <v>1.8276527589805024E-10</v>
      </c>
      <c r="IB243" s="224">
        <f>(EXP(LN('Ecoinvent 3.10'!$E$25)^2)-1)*EXP(2*LN(IB58)+LN('Ecoinvent 3.10'!$E$25)^2)</f>
        <v>1.8667458295381502E-10</v>
      </c>
      <c r="IC243" s="50">
        <f>(EXP(LN('Ecoinvent 3.10'!$E$25)^2)-1)*EXP(2*LN(IC58)+LN('Ecoinvent 3.10'!$E$25)^2)</f>
        <v>1.8276527589805024E-10</v>
      </c>
      <c r="ID243" s="224">
        <f>(EXP(LN('Ecoinvent 3.10'!$E$25)^2)-1)*EXP(2*LN(ID58)+LN('Ecoinvent 3.10'!$E$25)^2)</f>
        <v>1.8667458295381502E-10</v>
      </c>
      <c r="IE243" s="50">
        <f>(EXP(LN('Ecoinvent 3.10'!$E$25)^2)-1)*EXP(2*LN(IE58)+LN('Ecoinvent 3.10'!$E$25)^2)</f>
        <v>1.8276527589805091E-10</v>
      </c>
      <c r="IF243" s="224">
        <f>(EXP(LN('Ecoinvent 3.10'!$E$25)^2)-1)*EXP(2*LN(IF58)+LN('Ecoinvent 3.10'!$E$25)^2)</f>
        <v>1.1334601090128724E-10</v>
      </c>
      <c r="IG243" s="50">
        <f>(EXP(LN('Ecoinvent 3.10'!$E$25)^2)-1)*EXP(2*LN(IG58)+LN('Ecoinvent 3.10'!$E$25)^2)</f>
        <v>1.1097233820762041E-10</v>
      </c>
      <c r="IH243" s="224">
        <f>(EXP(LN('Ecoinvent 3.10'!$E$25)^2)-1)*EXP(2*LN(IH58)+LN('Ecoinvent 3.10'!$E$25)^2)</f>
        <v>7.6055737735823188E-11</v>
      </c>
      <c r="II243" s="50">
        <f>(EXP(LN('Ecoinvent 3.10'!$E$25)^2)-1)*EXP(2*LN(II58)+LN('Ecoinvent 3.10'!$E$25)^2)</f>
        <v>7.4462991538363854E-11</v>
      </c>
      <c r="IJ243" s="224">
        <f>(EXP(LN('Ecoinvent 3.10'!$E$25)^2)-1)*EXP(2*LN(IJ58)+LN('Ecoinvent 3.10'!$E$25)^2)</f>
        <v>2.3626001905092146E-10</v>
      </c>
      <c r="IK243" s="50">
        <f>(EXP(LN('Ecoinvent 3.10'!$E$25)^2)-1)*EXP(2*LN(IK58)+LN('Ecoinvent 3.10'!$E$25)^2)</f>
        <v>2.3131230230847005E-10</v>
      </c>
      <c r="IL243" s="224">
        <f>(EXP(LN('Ecoinvent 3.10'!$E$25)^2)-1)*EXP(2*LN(IL58)+LN('Ecoinvent 3.10'!$E$25)^2)</f>
        <v>2.8439148872794093E-10</v>
      </c>
      <c r="IM243" s="50">
        <f>(EXP(LN('Ecoinvent 3.10'!$E$25)^2)-1)*EXP(2*LN(IM58)+LN('Ecoinvent 3.10'!$E$25)^2)</f>
        <v>2.7843581101385999E-10</v>
      </c>
      <c r="IN243" s="264"/>
      <c r="IO243" s="265"/>
    </row>
    <row r="244" spans="1:249" x14ac:dyDescent="0.2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  <c r="AA244" s="158"/>
      <c r="AB244" s="158"/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40"/>
      <c r="AN244" s="156"/>
      <c r="AO244" s="158"/>
      <c r="AP244" s="726"/>
      <c r="AQ244" s="150" t="s">
        <v>70</v>
      </c>
      <c r="AR244" s="224">
        <f>(EXP(LN('Ecoinvent 3.10'!$E$26)^2)-1)*EXP(2*LN(AR59)+LN('Ecoinvent 3.10'!$E$26)^2)</f>
        <v>1.1279701404179284E-7</v>
      </c>
      <c r="AS244" s="50">
        <f>(EXP(LN('Ecoinvent 3.10'!$E$26)^2)-1)*EXP(2*LN(AS59)+LN('Ecoinvent 3.10'!$E$26)^2)</f>
        <v>1.1043483834606978E-7</v>
      </c>
      <c r="AT244" s="224">
        <f>(EXP(LN('Ecoinvent 3.10'!$E$26)^2)-1)*EXP(2*LN(AT59)+LN('Ecoinvent 3.10'!$E$26)^2)</f>
        <v>1.1279701404179264E-7</v>
      </c>
      <c r="AU244" s="50">
        <f>(EXP(LN('Ecoinvent 3.10'!$E$26)^2)-1)*EXP(2*LN(AU59)+LN('Ecoinvent 3.10'!$E$26)^2)</f>
        <v>1.1043483834606978E-7</v>
      </c>
      <c r="AV244" s="224">
        <f>(EXP(LN('Ecoinvent 3.10'!$E$26)^2)-1)*EXP(2*LN(AV59)+LN('Ecoinvent 3.10'!$E$26)^2)</f>
        <v>1.1279701404179284E-7</v>
      </c>
      <c r="AW244" s="50">
        <f>(EXP(LN('Ecoinvent 3.10'!$E$26)^2)-1)*EXP(2*LN(AW59)+LN('Ecoinvent 3.10'!$E$26)^2)</f>
        <v>1.1043483834606999E-7</v>
      </c>
      <c r="AX244" s="224">
        <f>(EXP(LN('Ecoinvent 3.10'!$E$26)^2)-1)*EXP(2*LN(AX59)+LN('Ecoinvent 3.10'!$E$26)^2)</f>
        <v>6.8488657539290577E-8</v>
      </c>
      <c r="AY244" s="50">
        <f>(EXP(LN('Ecoinvent 3.10'!$E$26)^2)-1)*EXP(2*LN(AY59)+LN('Ecoinvent 3.10'!$E$26)^2)</f>
        <v>6.7054379835697672E-8</v>
      </c>
      <c r="AZ244" s="224">
        <f>(EXP(LN('Ecoinvent 3.10'!$E$26)^2)-1)*EXP(2*LN(AZ59)+LN('Ecoinvent 3.10'!$E$26)^2)</f>
        <v>4.5956230256954967E-8</v>
      </c>
      <c r="BA244" s="50">
        <f>(EXP(LN('Ecoinvent 3.10'!$E$26)^2)-1)*EXP(2*LN(BA59)+LN('Ecoinvent 3.10'!$E$26)^2)</f>
        <v>4.4993822775673587E-8</v>
      </c>
      <c r="BB244" s="224">
        <f>(EXP(LN('Ecoinvent 3.10'!$E$26)^2)-1)*EXP(2*LN(BB59)+LN('Ecoinvent 3.10'!$E$26)^2)</f>
        <v>1.4275872089664391E-7</v>
      </c>
      <c r="BC244" s="50">
        <f>(EXP(LN('Ecoinvent 3.10'!$E$26)^2)-1)*EXP(2*LN(BC59)+LN('Ecoinvent 3.10'!$E$26)^2)</f>
        <v>1.3976909228174468E-7</v>
      </c>
      <c r="BD244" s="224">
        <f>(EXP(LN('Ecoinvent 3.10'!$E$26)^2)-1)*EXP(2*LN(BD59)+LN('Ecoinvent 3.10'!$E$26)^2)</f>
        <v>1.7184187713090239E-7</v>
      </c>
      <c r="BE244" s="50">
        <f>(EXP(LN('Ecoinvent 3.10'!$E$26)^2)-1)*EXP(2*LN(BE59)+LN('Ecoinvent 3.10'!$E$26)^2)</f>
        <v>1.6824319405303641E-7</v>
      </c>
      <c r="BF244" s="264"/>
      <c r="BG244" s="265"/>
      <c r="BH244" s="101"/>
      <c r="BI244" s="156"/>
      <c r="BJ244" s="150" t="s">
        <v>70</v>
      </c>
      <c r="BK244" s="224">
        <f>(EXP(LN('Ecoinvent 3.10'!$E$26)^2)-1)*EXP(2*LN(BK59)+LN('Ecoinvent 3.10'!$E$26)^2)</f>
        <v>6.6938252045763279E-9</v>
      </c>
      <c r="BL244" s="50">
        <f>(EXP(LN('Ecoinvent 3.10'!$E$26)^2)-1)*EXP(2*LN(BL59)+LN('Ecoinvent 3.10'!$E$26)^2)</f>
        <v>6.5536442667741196E-9</v>
      </c>
      <c r="BM244" s="224">
        <f>(EXP(LN('Ecoinvent 3.10'!$E$26)^2)-1)*EXP(2*LN(BM59)+LN('Ecoinvent 3.10'!$E$26)^2)</f>
        <v>6.6938252045763279E-9</v>
      </c>
      <c r="BN244" s="50">
        <f>(EXP(LN('Ecoinvent 3.10'!$E$26)^2)-1)*EXP(2*LN(BN59)+LN('Ecoinvent 3.10'!$E$26)^2)</f>
        <v>6.5536442667741196E-9</v>
      </c>
      <c r="BO244" s="224">
        <f>(EXP(LN('Ecoinvent 3.10'!$E$26)^2)-1)*EXP(2*LN(BO59)+LN('Ecoinvent 3.10'!$E$26)^2)</f>
        <v>6.6938252045763279E-9</v>
      </c>
      <c r="BP244" s="50">
        <f>(EXP(LN('Ecoinvent 3.10'!$E$26)^2)-1)*EXP(2*LN(BP59)+LN('Ecoinvent 3.10'!$E$26)^2)</f>
        <v>6.5536442667741196E-9</v>
      </c>
      <c r="BQ244" s="224">
        <f>(EXP(LN('Ecoinvent 3.10'!$E$26)^2)-1)*EXP(2*LN(BQ59)+LN('Ecoinvent 3.10'!$E$26)^2)</f>
        <v>4.064390409255321E-9</v>
      </c>
      <c r="BR244" s="50">
        <f>(EXP(LN('Ecoinvent 3.10'!$E$26)^2)-1)*EXP(2*LN(BR59)+LN('Ecoinvent 3.10'!$E$26)^2)</f>
        <v>3.979274643344046E-9</v>
      </c>
      <c r="BS244" s="224">
        <f>(EXP(LN('Ecoinvent 3.10'!$E$26)^2)-1)*EXP(2*LN(BS59)+LN('Ecoinvent 3.10'!$E$26)^2)</f>
        <v>2.7272262037658182E-9</v>
      </c>
      <c r="BT244" s="50">
        <f>(EXP(LN('Ecoinvent 3.10'!$E$26)^2)-1)*EXP(2*LN(BT59)+LN('Ecoinvent 3.10'!$E$26)^2)</f>
        <v>2.6701131009944342E-9</v>
      </c>
      <c r="BU244" s="224">
        <f>(EXP(LN('Ecoinvent 3.10'!$E$26)^2)-1)*EXP(2*LN(BU59)+LN('Ecoinvent 3.10'!$E$26)^2)</f>
        <v>8.4718725245419214E-9</v>
      </c>
      <c r="BV244" s="50">
        <f>(EXP(LN('Ecoinvent 3.10'!$E$26)^2)-1)*EXP(2*LN(BV59)+LN('Ecoinvent 3.10'!$E$26)^2)</f>
        <v>8.2944560251360016E-9</v>
      </c>
      <c r="BW244" s="224">
        <f>(EXP(LN('Ecoinvent 3.10'!$E$26)^2)-1)*EXP(2*LN(BW59)+LN('Ecoinvent 3.10'!$E$26)^2)</f>
        <v>1.019778314268451E-8</v>
      </c>
      <c r="BX244" s="50">
        <f>(EXP(LN('Ecoinvent 3.10'!$E$26)^2)-1)*EXP(2*LN(BX59)+LN('Ecoinvent 3.10'!$E$26)^2)</f>
        <v>9.9842229195302308E-9</v>
      </c>
      <c r="BY244" s="264"/>
      <c r="BZ244" s="265"/>
      <c r="CA244" s="156"/>
      <c r="CB244" s="156"/>
      <c r="CC244" s="150" t="s">
        <v>70</v>
      </c>
      <c r="CD244" s="224">
        <f>(EXP(LN('Ecoinvent 3.10'!$E$26)^2)-1)*EXP(2*LN(CD59)+LN('Ecoinvent 3.10'!$E$26)^2)</f>
        <v>1.2637712614257477E-6</v>
      </c>
      <c r="CE244" s="50">
        <f>(EXP(LN('Ecoinvent 3.10'!$E$26)^2)-1)*EXP(2*LN(CE59)+LN('Ecoinvent 3.10'!$E$26)^2)</f>
        <v>1.2373055807155553E-6</v>
      </c>
      <c r="CF244" s="224">
        <f>(EXP(LN('Ecoinvent 3.10'!$E$26)^2)-1)*EXP(2*LN(CF59)+LN('Ecoinvent 3.10'!$E$26)^2)</f>
        <v>1.2637712614257453E-6</v>
      </c>
      <c r="CG244" s="50">
        <f>(EXP(LN('Ecoinvent 3.10'!$E$26)^2)-1)*EXP(2*LN(CG59)+LN('Ecoinvent 3.10'!$E$26)^2)</f>
        <v>1.2373055807155553E-6</v>
      </c>
      <c r="CH244" s="224">
        <f>(EXP(LN('Ecoinvent 3.10'!$E$26)^2)-1)*EXP(2*LN(CH59)+LN('Ecoinvent 3.10'!$E$26)^2)</f>
        <v>1.2637712614257477E-6</v>
      </c>
      <c r="CI244" s="50">
        <f>(EXP(LN('Ecoinvent 3.10'!$E$26)^2)-1)*EXP(2*LN(CI59)+LN('Ecoinvent 3.10'!$E$26)^2)</f>
        <v>1.2373055807155575E-6</v>
      </c>
      <c r="CJ244" s="224">
        <f>(EXP(LN('Ecoinvent 3.10'!$E$26)^2)-1)*EXP(2*LN(CJ59)+LN('Ecoinvent 3.10'!$E$26)^2)</f>
        <v>7.6734298214415358E-7</v>
      </c>
      <c r="CK244" s="50">
        <f>(EXP(LN('Ecoinvent 3.10'!$E$26)^2)-1)*EXP(2*LN(CK59)+LN('Ecoinvent 3.10'!$E$26)^2)</f>
        <v>7.5127341719952818E-7</v>
      </c>
      <c r="CL244" s="224">
        <f>(EXP(LN('Ecoinvent 3.10'!$E$26)^2)-1)*EXP(2*LN(CL59)+LN('Ecoinvent 3.10'!$E$26)^2)</f>
        <v>5.1489096210193414E-7</v>
      </c>
      <c r="CM244" s="50">
        <f>(EXP(LN('Ecoinvent 3.10'!$E$26)^2)-1)*EXP(2*LN(CM59)+LN('Ecoinvent 3.10'!$E$26)^2)</f>
        <v>5.041082040036221E-7</v>
      </c>
      <c r="CN244" s="224">
        <f>(EXP(LN('Ecoinvent 3.10'!$E$26)^2)-1)*EXP(2*LN(CN59)+LN('Ecoinvent 3.10'!$E$26)^2)</f>
        <v>1.5994605027419602E-6</v>
      </c>
      <c r="CO244" s="50">
        <f>(EXP(LN('Ecoinvent 3.10'!$E$26)^2)-1)*EXP(2*LN(CO59)+LN('Ecoinvent 3.10'!$E$26)^2)</f>
        <v>1.5659648755931258E-6</v>
      </c>
      <c r="CP244" s="224">
        <f>(EXP(LN('Ecoinvent 3.10'!$E$26)^2)-1)*EXP(2*LN(CP59)+LN('Ecoinvent 3.10'!$E$26)^2)</f>
        <v>1.9253065134066832E-6</v>
      </c>
      <c r="CQ244" s="50">
        <f>(EXP(LN('Ecoinvent 3.10'!$E$26)^2)-1)*EXP(2*LN(CQ59)+LN('Ecoinvent 3.10'!$E$26)^2)</f>
        <v>1.884987075064981E-6</v>
      </c>
      <c r="CR244" s="264"/>
      <c r="CS244" s="265"/>
      <c r="CV244" s="150" t="s">
        <v>70</v>
      </c>
      <c r="CW244" s="224">
        <f>(EXP(LN('Ecoinvent 3.10'!$E$26)^2)-1)*EXP(2*LN(CW59)+LN('Ecoinvent 3.10'!$E$26)^2)</f>
        <v>3.6835213103492184E-13</v>
      </c>
      <c r="CX244" s="50">
        <f>(EXP(LN('Ecoinvent 3.10'!$E$26)^2)-1)*EXP(2*LN(CX59)+LN('Ecoinvent 3.10'!$E$26)^2)</f>
        <v>3.6063816396948138E-13</v>
      </c>
      <c r="CY244" s="224">
        <f>(EXP(LN('Ecoinvent 3.10'!$E$26)^2)-1)*EXP(2*LN(CY59)+LN('Ecoinvent 3.10'!$E$26)^2)</f>
        <v>3.6835213103492184E-13</v>
      </c>
      <c r="CZ244" s="50">
        <f>(EXP(LN('Ecoinvent 3.10'!$E$26)^2)-1)*EXP(2*LN(CZ59)+LN('Ecoinvent 3.10'!$E$26)^2)</f>
        <v>3.6063816396948138E-13</v>
      </c>
      <c r="DA244" s="224">
        <f>(EXP(LN('Ecoinvent 3.10'!$E$26)^2)-1)*EXP(2*LN(DA59)+LN('Ecoinvent 3.10'!$E$26)^2)</f>
        <v>3.6835213103492184E-13</v>
      </c>
      <c r="DB244" s="50">
        <f>(EXP(LN('Ecoinvent 3.10'!$E$26)^2)-1)*EXP(2*LN(DB59)+LN('Ecoinvent 3.10'!$E$26)^2)</f>
        <v>3.6063816396948138E-13</v>
      </c>
      <c r="DC244" s="224">
        <f>(EXP(LN('Ecoinvent 3.10'!$E$26)^2)-1)*EXP(2*LN(DC59)+LN('Ecoinvent 3.10'!$E$26)^2)</f>
        <v>2.2365789706961032E-13</v>
      </c>
      <c r="DD244" s="50">
        <f>(EXP(LN('Ecoinvent 3.10'!$E$26)^2)-1)*EXP(2*LN(DD59)+LN('Ecoinvent 3.10'!$E$26)^2)</f>
        <v>2.1897409180133811E-13</v>
      </c>
      <c r="DE244" s="224">
        <f>(EXP(LN('Ecoinvent 3.10'!$E$26)^2)-1)*EXP(2*LN(DE59)+LN('Ecoinvent 3.10'!$E$26)^2)</f>
        <v>1.5007556266701252E-13</v>
      </c>
      <c r="DF244" s="50">
        <f>(EXP(LN('Ecoinvent 3.10'!$E$26)^2)-1)*EXP(2*LN(DF59)+LN('Ecoinvent 3.10'!$E$26)^2)</f>
        <v>1.4693270600838981E-13</v>
      </c>
      <c r="DG244" s="224">
        <f>(EXP(LN('Ecoinvent 3.10'!$E$26)^2)-1)*EXP(2*LN(DG59)+LN('Ecoinvent 3.10'!$E$26)^2)</f>
        <v>4.6619566584107326E-13</v>
      </c>
      <c r="DH244" s="50">
        <f>(EXP(LN('Ecoinvent 3.10'!$E$26)^2)-1)*EXP(2*LN(DH59)+LN('Ecoinvent 3.10'!$E$26)^2)</f>
        <v>4.5643267627387514E-13</v>
      </c>
      <c r="DI244" s="224">
        <f>(EXP(LN('Ecoinvent 3.10'!$E$26)^2)-1)*EXP(2*LN(DI59)+LN('Ecoinvent 3.10'!$E$26)^2)</f>
        <v>5.6117018858988763E-13</v>
      </c>
      <c r="DJ244" s="50">
        <f>(EXP(LN('Ecoinvent 3.10'!$E$26)^2)-1)*EXP(2*LN(DJ59)+LN('Ecoinvent 3.10'!$E$26)^2)</f>
        <v>5.4941825887869779E-13</v>
      </c>
      <c r="DK244" s="264"/>
      <c r="DL244" s="265"/>
      <c r="DO244" s="150" t="s">
        <v>70</v>
      </c>
      <c r="DP244" s="224">
        <f>(EXP(LN('Ecoinvent 3.10'!$E$26)^2)-1)*EXP(2*LN(DP59)+LN('Ecoinvent 3.10'!$E$26)^2)</f>
        <v>1.4652189722942098E-10</v>
      </c>
      <c r="DQ244" s="50">
        <f>(EXP(LN('Ecoinvent 3.10'!$E$26)^2)-1)*EXP(2*LN(DQ59)+LN('Ecoinvent 3.10'!$E$26)^2)</f>
        <v>1.43453460822068E-10</v>
      </c>
      <c r="DR244" s="224">
        <f>(EXP(LN('Ecoinvent 3.10'!$E$26)^2)-1)*EXP(2*LN(DR59)+LN('Ecoinvent 3.10'!$E$26)^2)</f>
        <v>1.4652189722942098E-10</v>
      </c>
      <c r="DS244" s="50">
        <f>(EXP(LN('Ecoinvent 3.10'!$E$26)^2)-1)*EXP(2*LN(DS59)+LN('Ecoinvent 3.10'!$E$26)^2)</f>
        <v>1.43453460822068E-10</v>
      </c>
      <c r="DT244" s="224">
        <f>(EXP(LN('Ecoinvent 3.10'!$E$26)^2)-1)*EXP(2*LN(DT59)+LN('Ecoinvent 3.10'!$E$26)^2)</f>
        <v>1.4652189722942098E-10</v>
      </c>
      <c r="DU244" s="50">
        <f>(EXP(LN('Ecoinvent 3.10'!$E$26)^2)-1)*EXP(2*LN(DU59)+LN('Ecoinvent 3.10'!$E$26)^2)</f>
        <v>1.43453460822068E-10</v>
      </c>
      <c r="DV244" s="224">
        <f>(EXP(LN('Ecoinvent 3.10'!$E$26)^2)-1)*EXP(2*LN(DV59)+LN('Ecoinvent 3.10'!$E$26)^2)</f>
        <v>8.8965901505467347E-11</v>
      </c>
      <c r="DW244" s="50">
        <f>(EXP(LN('Ecoinvent 3.10'!$E$26)^2)-1)*EXP(2*LN(DW59)+LN('Ecoinvent 3.10'!$E$26)^2)</f>
        <v>8.7102792875602161E-11</v>
      </c>
      <c r="DX244" s="224">
        <f>(EXP(LN('Ecoinvent 3.10'!$E$26)^2)-1)*EXP(2*LN(DX59)+LN('Ecoinvent 3.10'!$E$26)^2)</f>
        <v>5.9696562927333112E-11</v>
      </c>
      <c r="DY244" s="50">
        <f>(EXP(LN('Ecoinvent 3.10'!$E$26)^2)-1)*EXP(2*LN(DY59)+LN('Ecoinvent 3.10'!$E$26)^2)</f>
        <v>5.8446407759104194E-11</v>
      </c>
      <c r="DZ244" s="224">
        <f>(EXP(LN('Ecoinvent 3.10'!$E$26)^2)-1)*EXP(2*LN(DZ59)+LN('Ecoinvent 3.10'!$E$26)^2)</f>
        <v>1.8544177618098608E-10</v>
      </c>
      <c r="EA244" s="50">
        <f>(EXP(LN('Ecoinvent 3.10'!$E$26)^2)-1)*EXP(2*LN(EA59)+LN('Ecoinvent 3.10'!$E$26)^2)</f>
        <v>1.8155828635292994E-10</v>
      </c>
      <c r="EB244" s="224">
        <f>(EXP(LN('Ecoinvent 3.10'!$E$26)^2)-1)*EXP(2*LN(EB59)+LN('Ecoinvent 3.10'!$E$26)^2)</f>
        <v>2.2322042896770169E-10</v>
      </c>
      <c r="EC244" s="50">
        <f>(EXP(LN('Ecoinvent 3.10'!$E$26)^2)-1)*EXP(2*LN(EC59)+LN('Ecoinvent 3.10'!$E$26)^2)</f>
        <v>2.1854578508128665E-10</v>
      </c>
      <c r="ED244" s="264"/>
      <c r="EE244" s="265"/>
      <c r="EH244" s="150" t="s">
        <v>70</v>
      </c>
      <c r="EI244" s="224">
        <f>(EXP(LN('Ecoinvent 3.10'!$E$26)^2)-1)*EXP(2*LN(EI59)+LN('Ecoinvent 3.10'!$E$26)^2)</f>
        <v>1.6079366259228006E-11</v>
      </c>
      <c r="EJ244" s="50">
        <f>(EXP(LN('Ecoinvent 3.10'!$E$26)^2)-1)*EXP(2*LN(EJ59)+LN('Ecoinvent 3.10'!$E$26)^2)</f>
        <v>1.5742634932580461E-11</v>
      </c>
      <c r="EK244" s="224">
        <f>(EXP(LN('Ecoinvent 3.10'!$E$26)^2)-1)*EXP(2*LN(EK59)+LN('Ecoinvent 3.10'!$E$26)^2)</f>
        <v>1.6079366259228006E-11</v>
      </c>
      <c r="EL244" s="50">
        <f>(EXP(LN('Ecoinvent 3.10'!$E$26)^2)-1)*EXP(2*LN(EL59)+LN('Ecoinvent 3.10'!$E$26)^2)</f>
        <v>1.5742634932580461E-11</v>
      </c>
      <c r="EM244" s="224">
        <f>(EXP(LN('Ecoinvent 3.10'!$E$26)^2)-1)*EXP(2*LN(EM59)+LN('Ecoinvent 3.10'!$E$26)^2)</f>
        <v>1.6079366259228006E-11</v>
      </c>
      <c r="EN244" s="50">
        <f>(EXP(LN('Ecoinvent 3.10'!$E$26)^2)-1)*EXP(2*LN(EN59)+LN('Ecoinvent 3.10'!$E$26)^2)</f>
        <v>1.5742634932580461E-11</v>
      </c>
      <c r="EO244" s="224">
        <f>(EXP(LN('Ecoinvent 3.10'!$E$26)^2)-1)*EXP(2*LN(EO59)+LN('Ecoinvent 3.10'!$E$26)^2)</f>
        <v>9.7631503682275014E-12</v>
      </c>
      <c r="EP244" s="50">
        <f>(EXP(LN('Ecoinvent 3.10'!$E$26)^2)-1)*EXP(2*LN(EP59)+LN('Ecoinvent 3.10'!$E$26)^2)</f>
        <v>9.5586921499898282E-12</v>
      </c>
      <c r="EQ244" s="224">
        <f>(EXP(LN('Ecoinvent 3.10'!$E$26)^2)-1)*EXP(2*LN(EQ59)+LN('Ecoinvent 3.10'!$E$26)^2)</f>
        <v>6.5511225139453146E-12</v>
      </c>
      <c r="ER244" s="50">
        <f>(EXP(LN('Ecoinvent 3.10'!$E$26)^2)-1)*EXP(2*LN(ER59)+LN('Ecoinvent 3.10'!$E$26)^2)</f>
        <v>6.4139300313818058E-12</v>
      </c>
      <c r="ES244" s="224">
        <f>(EXP(LN('Ecoinvent 3.10'!$E$26)^2)-1)*EXP(2*LN(ES59)+LN('Ecoinvent 3.10'!$E$26)^2)</f>
        <v>2.0350447921835461E-11</v>
      </c>
      <c r="ET244" s="50">
        <f>(EXP(LN('Ecoinvent 3.10'!$E$26)^2)-1)*EXP(2*LN(ET59)+LN('Ecoinvent 3.10'!$E$26)^2)</f>
        <v>1.9924272336547161E-11</v>
      </c>
      <c r="EU244" s="224">
        <f>(EXP(LN('Ecoinvent 3.10'!$E$26)^2)-1)*EXP(2*LN(EU59)+LN('Ecoinvent 3.10'!$E$26)^2)</f>
        <v>2.4496291010303401E-11</v>
      </c>
      <c r="EV244" s="50">
        <f>(EXP(LN('Ecoinvent 3.10'!$E$26)^2)-1)*EXP(2*LN(EV59)+LN('Ecoinvent 3.10'!$E$26)^2)</f>
        <v>2.3983293891084856E-11</v>
      </c>
      <c r="EW244" s="264"/>
      <c r="EX244" s="265"/>
      <c r="FA244" s="150" t="s">
        <v>70</v>
      </c>
      <c r="FB244" s="224">
        <f>(EXP(LN('Ecoinvent 3.10'!$E$26)^2)-1)*EXP(2*LN(FB59)+LN('Ecoinvent 3.10'!$E$26)^2)</f>
        <v>9.1054115147892092E-16</v>
      </c>
      <c r="FC244" s="50">
        <f>(EXP(LN('Ecoinvent 3.10'!$E$26)^2)-1)*EXP(2*LN(FC59)+LN('Ecoinvent 3.10'!$E$26)^2)</f>
        <v>8.9147275506567816E-16</v>
      </c>
      <c r="FD244" s="224">
        <f>(EXP(LN('Ecoinvent 3.10'!$E$26)^2)-1)*EXP(2*LN(FD59)+LN('Ecoinvent 3.10'!$E$26)^2)</f>
        <v>9.1054115147892092E-16</v>
      </c>
      <c r="FE244" s="50">
        <f>(EXP(LN('Ecoinvent 3.10'!$E$26)^2)-1)*EXP(2*LN(FE59)+LN('Ecoinvent 3.10'!$E$26)^2)</f>
        <v>8.9147275506567816E-16</v>
      </c>
      <c r="FF244" s="224">
        <f>(EXP(LN('Ecoinvent 3.10'!$E$26)^2)-1)*EXP(2*LN(FF59)+LN('Ecoinvent 3.10'!$E$26)^2)</f>
        <v>9.1054115147892092E-16</v>
      </c>
      <c r="FG244" s="50">
        <f>(EXP(LN('Ecoinvent 3.10'!$E$26)^2)-1)*EXP(2*LN(FG59)+LN('Ecoinvent 3.10'!$E$26)^2)</f>
        <v>8.9147275506567816E-16</v>
      </c>
      <c r="FH244" s="224">
        <f>(EXP(LN('Ecoinvent 3.10'!$E$26)^2)-1)*EXP(2*LN(FH59)+LN('Ecoinvent 3.10'!$E$26)^2)</f>
        <v>5.5286694979323956E-16</v>
      </c>
      <c r="FI244" s="50">
        <f>(EXP(LN('Ecoinvent 3.10'!$E$26)^2)-1)*EXP(2*LN(FI59)+LN('Ecoinvent 3.10'!$E$26)^2)</f>
        <v>5.4128890508289002E-16</v>
      </c>
      <c r="FJ244" s="224">
        <f>(EXP(LN('Ecoinvent 3.10'!$E$26)^2)-1)*EXP(2*LN(FJ59)+LN('Ecoinvent 3.10'!$E$26)^2)</f>
        <v>3.7097647638344564E-16</v>
      </c>
      <c r="FK244" s="50">
        <f>(EXP(LN('Ecoinvent 3.10'!$E$26)^2)-1)*EXP(2*LN(FK59)+LN('Ecoinvent 3.10'!$E$26)^2)</f>
        <v>3.632075507284337E-16</v>
      </c>
      <c r="FL244" s="224">
        <f>(EXP(LN('Ecoinvent 3.10'!$E$26)^2)-1)*EXP(2*LN(FL59)+LN('Ecoinvent 3.10'!$E$26)^2)</f>
        <v>1.1524036448405102E-15</v>
      </c>
      <c r="FM244" s="50">
        <f>(EXP(LN('Ecoinvent 3.10'!$E$26)^2)-1)*EXP(2*LN(FM59)+LN('Ecoinvent 3.10'!$E$26)^2)</f>
        <v>1.1282702056299998E-15</v>
      </c>
      <c r="FN244" s="224">
        <f>(EXP(LN('Ecoinvent 3.10'!$E$26)^2)-1)*EXP(2*LN(FN59)+LN('Ecoinvent 3.10'!$E$26)^2)</f>
        <v>1.3871741375804252E-15</v>
      </c>
      <c r="FO244" s="50">
        <f>(EXP(LN('Ecoinvent 3.10'!$E$26)^2)-1)*EXP(2*LN(FO59)+LN('Ecoinvent 3.10'!$E$26)^2)</f>
        <v>1.3581241750316496E-15</v>
      </c>
      <c r="FP244" s="264"/>
      <c r="FQ244" s="265"/>
      <c r="FT244" s="150" t="s">
        <v>70</v>
      </c>
      <c r="FU244" s="224">
        <f>(EXP(LN('Ecoinvent 3.10'!$E$26)^2)-1)*EXP(2*LN(FU59)+LN('Ecoinvent 3.10'!$E$26)^2)</f>
        <v>3.9956459652240904E-11</v>
      </c>
      <c r="FV244" s="50">
        <f>(EXP(LN('Ecoinvent 3.10'!$E$26)^2)-1)*EXP(2*LN(FV59)+LN('Ecoinvent 3.10'!$E$26)^2)</f>
        <v>3.9119698336531921E-11</v>
      </c>
      <c r="FW244" s="224">
        <f>(EXP(LN('Ecoinvent 3.10'!$E$26)^2)-1)*EXP(2*LN(FW59)+LN('Ecoinvent 3.10'!$E$26)^2)</f>
        <v>3.9956459652240904E-11</v>
      </c>
      <c r="FX244" s="50">
        <f>(EXP(LN('Ecoinvent 3.10'!$E$26)^2)-1)*EXP(2*LN(FX59)+LN('Ecoinvent 3.10'!$E$26)^2)</f>
        <v>3.9119698336531921E-11</v>
      </c>
      <c r="FY244" s="224">
        <f>(EXP(LN('Ecoinvent 3.10'!$E$26)^2)-1)*EXP(2*LN(FY59)+LN('Ecoinvent 3.10'!$E$26)^2)</f>
        <v>3.9956459652240904E-11</v>
      </c>
      <c r="FZ244" s="50">
        <f>(EXP(LN('Ecoinvent 3.10'!$E$26)^2)-1)*EXP(2*LN(FZ59)+LN('Ecoinvent 3.10'!$E$26)^2)</f>
        <v>3.9119698336531921E-11</v>
      </c>
      <c r="GA244" s="224">
        <f>(EXP(LN('Ecoinvent 3.10'!$E$26)^2)-1)*EXP(2*LN(GA59)+LN('Ecoinvent 3.10'!$E$26)^2)</f>
        <v>2.4260963863731968E-11</v>
      </c>
      <c r="GB244" s="50">
        <f>(EXP(LN('Ecoinvent 3.10'!$E$26)^2)-1)*EXP(2*LN(GB59)+LN('Ecoinvent 3.10'!$E$26)^2)</f>
        <v>2.3752894925200709E-11</v>
      </c>
      <c r="GC244" s="224">
        <f>(EXP(LN('Ecoinvent 3.10'!$E$26)^2)-1)*EXP(2*LN(GC59)+LN('Ecoinvent 3.10'!$E$26)^2)</f>
        <v>1.6279227563158349E-11</v>
      </c>
      <c r="GD244" s="50">
        <f>(EXP(LN('Ecoinvent 3.10'!$E$26)^2)-1)*EXP(2*LN(GD59)+LN('Ecoinvent 3.10'!$E$26)^2)</f>
        <v>1.5938310775409106E-11</v>
      </c>
      <c r="GE244" s="224">
        <f>(EXP(LN('Ecoinvent 3.10'!$E$26)^2)-1)*EXP(2*LN(GE59)+LN('Ecoinvent 3.10'!$E$26)^2)</f>
        <v>5.0569894247367422E-11</v>
      </c>
      <c r="GF244" s="50">
        <f>(EXP(LN('Ecoinvent 3.10'!$E$26)^2)-1)*EXP(2*LN(GF59)+LN('Ecoinvent 3.10'!$E$26)^2)</f>
        <v>4.9510868207173248E-11</v>
      </c>
      <c r="GG244" s="224">
        <f>(EXP(LN('Ecoinvent 3.10'!$E$26)^2)-1)*EXP(2*LN(GG59)+LN('Ecoinvent 3.10'!$E$26)^2)</f>
        <v>6.0872116948080037E-11</v>
      </c>
      <c r="GH244" s="50">
        <f>(EXP(LN('Ecoinvent 3.10'!$E$26)^2)-1)*EXP(2*LN(GH59)+LN('Ecoinvent 3.10'!$E$26)^2)</f>
        <v>5.9597343529444348E-11</v>
      </c>
      <c r="GI244" s="264"/>
      <c r="GJ244" s="265"/>
      <c r="GM244" s="150" t="s">
        <v>70</v>
      </c>
      <c r="GN244" s="224">
        <f>(EXP(LN('Ecoinvent 3.10'!$E$26)^2)-1)*EXP(2*LN(GN59)+LN('Ecoinvent 3.10'!$E$26)^2)</f>
        <v>8.4815703025266811E-10</v>
      </c>
      <c r="GO244" s="50">
        <f>(EXP(LN('Ecoinvent 3.10'!$E$26)^2)-1)*EXP(2*LN(GO59)+LN('Ecoinvent 3.10'!$E$26)^2)</f>
        <v>8.303950713919752E-10</v>
      </c>
      <c r="GP244" s="224">
        <f>(EXP(LN('Ecoinvent 3.10'!$E$26)^2)-1)*EXP(2*LN(GP59)+LN('Ecoinvent 3.10'!$E$26)^2)</f>
        <v>8.4815703025266811E-10</v>
      </c>
      <c r="GQ244" s="50">
        <f>(EXP(LN('Ecoinvent 3.10'!$E$26)^2)-1)*EXP(2*LN(GQ59)+LN('Ecoinvent 3.10'!$E$26)^2)</f>
        <v>8.303950713919752E-10</v>
      </c>
      <c r="GR244" s="224">
        <f>(EXP(LN('Ecoinvent 3.10'!$E$26)^2)-1)*EXP(2*LN(GR59)+LN('Ecoinvent 3.10'!$E$26)^2)</f>
        <v>8.4815703025267121E-10</v>
      </c>
      <c r="GS244" s="50">
        <f>(EXP(LN('Ecoinvent 3.10'!$E$26)^2)-1)*EXP(2*LN(GS59)+LN('Ecoinvent 3.10'!$E$26)^2)</f>
        <v>8.303950713919752E-10</v>
      </c>
      <c r="GT244" s="224">
        <f>(EXP(LN('Ecoinvent 3.10'!$E$26)^2)-1)*EXP(2*LN(GT59)+LN('Ecoinvent 3.10'!$E$26)^2)</f>
        <v>5.1498824572602587E-10</v>
      </c>
      <c r="GU244" s="50">
        <f>(EXP(LN('Ecoinvent 3.10'!$E$26)^2)-1)*EXP(2*LN(GU59)+LN('Ecoinvent 3.10'!$E$26)^2)</f>
        <v>5.042034503307662E-10</v>
      </c>
      <c r="GV244" s="224">
        <f>(EXP(LN('Ecoinvent 3.10'!$E$26)^2)-1)*EXP(2*LN(GV59)+LN('Ecoinvent 3.10'!$E$26)^2)</f>
        <v>3.4555967733245984E-10</v>
      </c>
      <c r="GW244" s="50">
        <f>(EXP(LN('Ecoinvent 3.10'!$E$26)^2)-1)*EXP(2*LN(GW59)+LN('Ecoinvent 3.10'!$E$26)^2)</f>
        <v>3.3832302591796287E-10</v>
      </c>
      <c r="GX244" s="224">
        <f>(EXP(LN('Ecoinvent 3.10'!$E$26)^2)-1)*EXP(2*LN(GX59)+LN('Ecoinvent 3.10'!$E$26)^2)</f>
        <v>1.0734487414135338E-9</v>
      </c>
      <c r="GY244" s="50">
        <f>(EXP(LN('Ecoinvent 3.10'!$E$26)^2)-1)*EXP(2*LN(GY59)+LN('Ecoinvent 3.10'!$E$26)^2)</f>
        <v>1.0509687622304694E-9</v>
      </c>
      <c r="GZ244" s="224">
        <f>(EXP(LN('Ecoinvent 3.10'!$E$26)^2)-1)*EXP(2*LN(GZ59)+LN('Ecoinvent 3.10'!$E$26)^2)</f>
        <v>1.2921343478683631E-9</v>
      </c>
      <c r="HA244" s="50">
        <f>(EXP(LN('Ecoinvent 3.10'!$E$26)^2)-1)*EXP(2*LN(HA59)+LN('Ecoinvent 3.10'!$E$26)^2)</f>
        <v>1.2650746922731143E-9</v>
      </c>
      <c r="HB244" s="264"/>
      <c r="HC244" s="265"/>
      <c r="HF244" s="150" t="s">
        <v>70</v>
      </c>
      <c r="HG244" s="224">
        <f>(EXP(LN('Ecoinvent 3.10'!$E$26)^2)-1)*EXP(2*LN(HG59)+LN('Ecoinvent 3.10'!$E$26)^2)</f>
        <v>1.7599485932521693E-8</v>
      </c>
      <c r="HH244" s="50">
        <f>(EXP(LN('Ecoinvent 3.10'!$E$26)^2)-1)*EXP(2*LN(HH59)+LN('Ecoinvent 3.10'!$E$26)^2)</f>
        <v>1.7230920520749214E-8</v>
      </c>
      <c r="HI244" s="224">
        <f>(EXP(LN('Ecoinvent 3.10'!$E$26)^2)-1)*EXP(2*LN(HI59)+LN('Ecoinvent 3.10'!$E$26)^2)</f>
        <v>1.759948593252166E-8</v>
      </c>
      <c r="HJ244" s="50">
        <f>(EXP(LN('Ecoinvent 3.10'!$E$26)^2)-1)*EXP(2*LN(HJ59)+LN('Ecoinvent 3.10'!$E$26)^2)</f>
        <v>1.7230920520749214E-8</v>
      </c>
      <c r="HK244" s="224">
        <f>(EXP(LN('Ecoinvent 3.10'!$E$26)^2)-1)*EXP(2*LN(HK59)+LN('Ecoinvent 3.10'!$E$26)^2)</f>
        <v>1.7599485932521693E-8</v>
      </c>
      <c r="HL244" s="50">
        <f>(EXP(LN('Ecoinvent 3.10'!$E$26)^2)-1)*EXP(2*LN(HL59)+LN('Ecoinvent 3.10'!$E$26)^2)</f>
        <v>1.7230920520749214E-8</v>
      </c>
      <c r="HM244" s="224">
        <f>(EXP(LN('Ecoinvent 3.10'!$E$26)^2)-1)*EXP(2*LN(HM59)+LN('Ecoinvent 3.10'!$E$26)^2)</f>
        <v>1.0686144266668582E-8</v>
      </c>
      <c r="HN244" s="50">
        <f>(EXP(LN('Ecoinvent 3.10'!$E$26)^2)-1)*EXP(2*LN(HN59)+LN('Ecoinvent 3.10'!$E$26)^2)</f>
        <v>1.0462356868729502E-8</v>
      </c>
      <c r="HO244" s="224">
        <f>(EXP(LN('Ecoinvent 3.10'!$E$26)^2)-1)*EXP(2*LN(HO59)+LN('Ecoinvent 3.10'!$E$26)^2)</f>
        <v>7.170456015966282E-9</v>
      </c>
      <c r="HP244" s="50">
        <f>(EXP(LN('Ecoinvent 3.10'!$E$26)^2)-1)*EXP(2*LN(HP59)+LN('Ecoinvent 3.10'!$E$26)^2)</f>
        <v>7.0202935575709768E-9</v>
      </c>
      <c r="HQ244" s="224">
        <f>(EXP(LN('Ecoinvent 3.10'!$E$26)^2)-1)*EXP(2*LN(HQ59)+LN('Ecoinvent 3.10'!$E$26)^2)</f>
        <v>2.2274349383347743E-8</v>
      </c>
      <c r="HR244" s="50">
        <f>(EXP(LN('Ecoinvent 3.10'!$E$26)^2)-1)*EXP(2*LN(HR59)+LN('Ecoinvent 3.10'!$E$26)^2)</f>
        <v>2.1807883784073202E-8</v>
      </c>
      <c r="HS244" s="224">
        <f>(EXP(LN('Ecoinvent 3.10'!$E$26)^2)-1)*EXP(2*LN(HS59)+LN('Ecoinvent 3.10'!$E$26)^2)</f>
        <v>2.681213438915043E-8</v>
      </c>
      <c r="HT244" s="50">
        <f>(EXP(LN('Ecoinvent 3.10'!$E$26)^2)-1)*EXP(2*LN(HT59)+LN('Ecoinvent 3.10'!$E$26)^2)</f>
        <v>2.6250639275626945E-8</v>
      </c>
      <c r="HU244" s="264"/>
      <c r="HV244" s="265"/>
      <c r="HY244" s="150" t="s">
        <v>70</v>
      </c>
      <c r="HZ244" s="224">
        <f>(EXP(LN('Ecoinvent 3.10'!$E$26)^2)-1)*EXP(2*LN(HZ59)+LN('Ecoinvent 3.10'!$E$26)^2)</f>
        <v>4.5861347247169171E-14</v>
      </c>
      <c r="IA244" s="50">
        <f>(EXP(LN('Ecoinvent 3.10'!$E$26)^2)-1)*EXP(2*LN(IA59)+LN('Ecoinvent 3.10'!$E$26)^2)</f>
        <v>4.4900926789583023E-14</v>
      </c>
      <c r="IB244" s="224">
        <f>(EXP(LN('Ecoinvent 3.10'!$E$26)^2)-1)*EXP(2*LN(IB59)+LN('Ecoinvent 3.10'!$E$26)^2)</f>
        <v>4.5861347247169171E-14</v>
      </c>
      <c r="IC244" s="50">
        <f>(EXP(LN('Ecoinvent 3.10'!$E$26)^2)-1)*EXP(2*LN(IC59)+LN('Ecoinvent 3.10'!$E$26)^2)</f>
        <v>4.4900926789583023E-14</v>
      </c>
      <c r="ID244" s="224">
        <f>(EXP(LN('Ecoinvent 3.10'!$E$26)^2)-1)*EXP(2*LN(ID59)+LN('Ecoinvent 3.10'!$E$26)^2)</f>
        <v>4.5861347247169171E-14</v>
      </c>
      <c r="IE244" s="50">
        <f>(EXP(LN('Ecoinvent 3.10'!$E$26)^2)-1)*EXP(2*LN(IE59)+LN('Ecoinvent 3.10'!$E$26)^2)</f>
        <v>4.4900926789583023E-14</v>
      </c>
      <c r="IF244" s="224">
        <f>(EXP(LN('Ecoinvent 3.10'!$E$26)^2)-1)*EXP(2*LN(IF59)+LN('Ecoinvent 3.10'!$E$26)^2)</f>
        <v>2.7846323172509452E-14</v>
      </c>
      <c r="IG244" s="50">
        <f>(EXP(LN('Ecoinvent 3.10'!$E$26)^2)-1)*EXP(2*LN(IG59)+LN('Ecoinvent 3.10'!$E$26)^2)</f>
        <v>2.726317025510187E-14</v>
      </c>
      <c r="IH244" s="224">
        <f>(EXP(LN('Ecoinvent 3.10'!$E$26)^2)-1)*EXP(2*LN(IH59)+LN('Ecoinvent 3.10'!$E$26)^2)</f>
        <v>1.8685021513106489E-14</v>
      </c>
      <c r="II244" s="50">
        <f>(EXP(LN('Ecoinvent 3.10'!$E$26)^2)-1)*EXP(2*LN(II59)+LN('Ecoinvent 3.10'!$E$26)^2)</f>
        <v>1.829372300164088E-14</v>
      </c>
      <c r="IJ244" s="224">
        <f>(EXP(LN('Ecoinvent 3.10'!$E$26)^2)-1)*EXP(2*LN(IJ59)+LN('Ecoinvent 3.10'!$E$26)^2)</f>
        <v>5.8043267609698524E-14</v>
      </c>
      <c r="IK244" s="50">
        <f>(EXP(LN('Ecoinvent 3.10'!$E$26)^2)-1)*EXP(2*LN(IK59)+LN('Ecoinvent 3.10'!$E$26)^2)</f>
        <v>5.6827735468066062E-14</v>
      </c>
      <c r="IL244" s="224">
        <f>(EXP(LN('Ecoinvent 3.10'!$E$26)^2)-1)*EXP(2*LN(IL59)+LN('Ecoinvent 3.10'!$E$26)^2)</f>
        <v>6.9867984233924061E-14</v>
      </c>
      <c r="IM244" s="50">
        <f>(EXP(LN('Ecoinvent 3.10'!$E$26)^2)-1)*EXP(2*LN(IM59)+LN('Ecoinvent 3.10'!$E$26)^2)</f>
        <v>6.8404820907584819E-14</v>
      </c>
      <c r="IN244" s="264"/>
      <c r="IO244" s="265"/>
    </row>
    <row r="245" spans="1:249" x14ac:dyDescent="0.2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  <c r="AA245" s="158"/>
      <c r="AB245" s="158"/>
      <c r="AC245" s="158"/>
      <c r="AD245" s="158"/>
      <c r="AE245" s="158"/>
      <c r="AF245" s="158"/>
      <c r="AG245" s="158"/>
      <c r="AH245" s="158"/>
      <c r="AI245" s="158"/>
      <c r="AJ245" s="158"/>
      <c r="AK245" s="158"/>
      <c r="AL245" s="158"/>
      <c r="AM245" s="140"/>
      <c r="AN245" s="156"/>
      <c r="AO245" s="158"/>
      <c r="AP245" s="726"/>
      <c r="AQ245" s="151" t="s">
        <v>60</v>
      </c>
      <c r="AR245" s="259">
        <f>(EXP(LN('Ecoinvent 3.10'!$E$22)^2)-1)*EXP(2*LN(AR60)+LN('Ecoinvent 3.10'!$E$22)^2)</f>
        <v>3.5364948387061297</v>
      </c>
      <c r="AS245" s="57">
        <f>(EXP(LN('Ecoinvent 3.10'!$E$22)^2)-1)*EXP(2*LN(AS60)+LN('Ecoinvent 3.10'!$E$22)^2)</f>
        <v>0.92385470107434187</v>
      </c>
      <c r="AT245" s="259">
        <f>(EXP(LN('Ecoinvent 3.10'!$E$22)^2)-1)*EXP(2*LN(AT60)+LN('Ecoinvent 3.10'!$E$22)^2)</f>
        <v>6.1041528241016225</v>
      </c>
      <c r="AU245" s="57">
        <f>(EXP(LN('Ecoinvent 3.10'!$E$22)^2)-1)*EXP(2*LN(AU60)+LN('Ecoinvent 3.10'!$E$22)^2)</f>
        <v>1.5946157254072879</v>
      </c>
      <c r="AV245" s="259">
        <f>(EXP(LN('Ecoinvent 3.10'!$E$22)^2)-1)*EXP(2*LN(AV60)+LN('Ecoinvent 3.10'!$E$22)^2)</f>
        <v>5.7553463436138763</v>
      </c>
      <c r="AW245" s="57">
        <f>(EXP(LN('Ecoinvent 3.10'!$E$22)^2)-1)*EXP(2*LN(AW60)+LN('Ecoinvent 3.10'!$E$22)^2)</f>
        <v>1.5034954151959214</v>
      </c>
      <c r="AX245" s="259">
        <f>(EXP(LN('Ecoinvent 3.10'!$E$22)^2)-1)*EXP(2*LN(AX60)+LN('Ecoinvent 3.10'!$E$22)^2)</f>
        <v>4.0300756520222167</v>
      </c>
      <c r="AY245" s="57">
        <f>(EXP(LN('Ecoinvent 3.10'!$E$22)^2)-1)*EXP(2*LN(AY60)+LN('Ecoinvent 3.10'!$E$22)^2)</f>
        <v>1.0527950715653096</v>
      </c>
      <c r="AZ245" s="259">
        <f>(EXP(LN('Ecoinvent 3.10'!$E$22)^2)-1)*EXP(2*LN(AZ60)+LN('Ecoinvent 3.10'!$E$22)^2)</f>
        <v>3.287426191129593</v>
      </c>
      <c r="BA245" s="57">
        <f>(EXP(LN('Ecoinvent 3.10'!$E$22)^2)-1)*EXP(2*LN(BA60)+LN('Ecoinvent 3.10'!$E$22)^2)</f>
        <v>0.85878936054694044</v>
      </c>
      <c r="BB245" s="259">
        <f>(EXP(LN('Ecoinvent 3.10'!$E$22)^2)-1)*EXP(2*LN(BB60)+LN('Ecoinvent 3.10'!$E$22)^2)</f>
        <v>11.22542138895504</v>
      </c>
      <c r="BC245" s="57">
        <f>(EXP(LN('Ecoinvent 3.10'!$E$22)^2)-1)*EXP(2*LN(BC60)+LN('Ecoinvent 3.10'!$E$22)^2)</f>
        <v>2.9324681060529425</v>
      </c>
      <c r="BD245" s="259">
        <f>(EXP(LN('Ecoinvent 3.10'!$E$22)^2)-1)*EXP(2*LN(BD60)+LN('Ecoinvent 3.10'!$E$22)^2)</f>
        <v>14.776242372523097</v>
      </c>
      <c r="BE245" s="57">
        <f>(EXP(LN('Ecoinvent 3.10'!$E$22)^2)-1)*EXP(2*LN(BE60)+LN('Ecoinvent 3.10'!$E$22)^2)</f>
        <v>3.8600652913899829</v>
      </c>
      <c r="BF245" s="264"/>
      <c r="BG245" s="265"/>
      <c r="BI245" s="156"/>
      <c r="BJ245" s="151" t="s">
        <v>60</v>
      </c>
      <c r="BK245" s="259">
        <f>(EXP(LN('Ecoinvent 3.10'!$E$22)^2)-1)*EXP(2*LN(BK60)+LN('Ecoinvent 3.10'!$E$22)^2)</f>
        <v>6.7423601973445449E-2</v>
      </c>
      <c r="BL245" s="57">
        <f>(EXP(LN('Ecoinvent 3.10'!$E$22)^2)-1)*EXP(2*LN(BL60)+LN('Ecoinvent 3.10'!$E$22)^2)</f>
        <v>1.7613375527877843E-2</v>
      </c>
      <c r="BM245" s="259">
        <f>(EXP(LN('Ecoinvent 3.10'!$E$22)^2)-1)*EXP(2*LN(BM60)+LN('Ecoinvent 3.10'!$E$22)^2)</f>
        <v>0.11637623951626823</v>
      </c>
      <c r="BN245" s="57">
        <f>(EXP(LN('Ecoinvent 3.10'!$E$22)^2)-1)*EXP(2*LN(BN60)+LN('Ecoinvent 3.10'!$E$22)^2)</f>
        <v>3.0401496644002882E-2</v>
      </c>
      <c r="BO245" s="259">
        <f>(EXP(LN('Ecoinvent 3.10'!$E$22)^2)-1)*EXP(2*LN(BO60)+LN('Ecoinvent 3.10'!$E$22)^2)</f>
        <v>0.10972621162741976</v>
      </c>
      <c r="BP245" s="57">
        <f>(EXP(LN('Ecoinvent 3.10'!$E$22)^2)-1)*EXP(2*LN(BP60)+LN('Ecoinvent 3.10'!$E$22)^2)</f>
        <v>2.8664279481928436E-2</v>
      </c>
      <c r="BQ245" s="259">
        <f>(EXP(LN('Ecoinvent 3.10'!$E$22)^2)-1)*EXP(2*LN(BQ60)+LN('Ecoinvent 3.10'!$E$22)^2)</f>
        <v>7.6833765939902363E-2</v>
      </c>
      <c r="BR245" s="57">
        <f>(EXP(LN('Ecoinvent 3.10'!$E$22)^2)-1)*EXP(2*LN(BR60)+LN('Ecoinvent 3.10'!$E$22)^2)</f>
        <v>2.0071635645534984E-2</v>
      </c>
      <c r="BS245" s="259">
        <f>(EXP(LN('Ecoinvent 3.10'!$E$22)^2)-1)*EXP(2*LN(BS60)+LN('Ecoinvent 3.10'!$E$22)^2)</f>
        <v>6.267508511588693E-2</v>
      </c>
      <c r="BT245" s="57">
        <f>(EXP(LN('Ecoinvent 3.10'!$E$22)^2)-1)*EXP(2*LN(BT60)+LN('Ecoinvent 3.10'!$E$22)^2)</f>
        <v>1.6372898778421813E-2</v>
      </c>
      <c r="BU245" s="259">
        <f>(EXP(LN('Ecoinvent 3.10'!$E$22)^2)-1)*EXP(2*LN(BU60)+LN('Ecoinvent 3.10'!$E$22)^2)</f>
        <v>0.21401369950535865</v>
      </c>
      <c r="BV245" s="57">
        <f>(EXP(LN('Ecoinvent 3.10'!$E$22)^2)-1)*EXP(2*LN(BV60)+LN('Ecoinvent 3.10'!$E$22)^2)</f>
        <v>5.590777631522699E-2</v>
      </c>
      <c r="BW245" s="259">
        <f>(EXP(LN('Ecoinvent 3.10'!$E$22)^2)-1)*EXP(2*LN(BW60)+LN('Ecoinvent 3.10'!$E$22)^2)</f>
        <v>0.28171043075879421</v>
      </c>
      <c r="BX245" s="57">
        <f>(EXP(LN('Ecoinvent 3.10'!$E$22)^2)-1)*EXP(2*LN(BX60)+LN('Ecoinvent 3.10'!$E$22)^2)</f>
        <v>7.3592502652544259E-2</v>
      </c>
      <c r="BY245" s="264"/>
      <c r="BZ245" s="265"/>
      <c r="CA245" s="156"/>
      <c r="CB245" s="156"/>
      <c r="CC245" s="151" t="s">
        <v>60</v>
      </c>
      <c r="CD245" s="259">
        <f>(EXP(LN('Ecoinvent 3.10'!$E$22)^2)-1)*EXP(2*LN(CD60)+LN('Ecoinvent 3.10'!$E$22)^2)</f>
        <v>4.3086537079049041</v>
      </c>
      <c r="CE245" s="57">
        <f>(EXP(LN('Ecoinvent 3.10'!$E$22)^2)-1)*EXP(2*LN(CE60)+LN('Ecoinvent 3.10'!$E$22)^2)</f>
        <v>1.1255692896205896</v>
      </c>
      <c r="CF245" s="259">
        <f>(EXP(LN('Ecoinvent 3.10'!$E$22)^2)-1)*EXP(2*LN(CF60)+LN('Ecoinvent 3.10'!$E$22)^2)</f>
        <v>7.4369345633786041</v>
      </c>
      <c r="CG245" s="57">
        <f>(EXP(LN('Ecoinvent 3.10'!$E$22)^2)-1)*EXP(2*LN(CG60)+LN('Ecoinvent 3.10'!$E$22)^2)</f>
        <v>1.942784387173965</v>
      </c>
      <c r="CH245" s="259">
        <f>(EXP(LN('Ecoinvent 3.10'!$E$22)^2)-1)*EXP(2*LN(CH60)+LN('Ecoinvent 3.10'!$E$22)^2)</f>
        <v>7.0119696181322375</v>
      </c>
      <c r="CI245" s="57">
        <f>(EXP(LN('Ecoinvent 3.10'!$E$22)^2)-1)*EXP(2*LN(CI60)+LN('Ecoinvent 3.10'!$E$22)^2)</f>
        <v>1.8317688533293619</v>
      </c>
      <c r="CJ245" s="259">
        <f>(EXP(LN('Ecoinvent 3.10'!$E$22)^2)-1)*EXP(2*LN(CJ60)+LN('Ecoinvent 3.10'!$E$22)^2)</f>
        <v>4.9100030378033024</v>
      </c>
      <c r="CK245" s="57">
        <f>(EXP(LN('Ecoinvent 3.10'!$E$22)^2)-1)*EXP(2*LN(CK60)+LN('Ecoinvent 3.10'!$E$22)^2)</f>
        <v>1.2826625219742944</v>
      </c>
      <c r="CL245" s="259">
        <f>(EXP(LN('Ecoinvent 3.10'!$E$22)^2)-1)*EXP(2*LN(CL60)+LN('Ecoinvent 3.10'!$E$22)^2)</f>
        <v>4.0052033705374868</v>
      </c>
      <c r="CM245" s="57">
        <f>(EXP(LN('Ecoinvent 3.10'!$E$22)^2)-1)*EXP(2*LN(CM60)+LN('Ecoinvent 3.10'!$E$22)^2)</f>
        <v>1.0462975718589285</v>
      </c>
      <c r="CN245" s="259">
        <f>(EXP(LN('Ecoinvent 3.10'!$E$22)^2)-1)*EXP(2*LN(CN60)+LN('Ecoinvent 3.10'!$E$22)^2)</f>
        <v>13.676381755447883</v>
      </c>
      <c r="CO245" s="57">
        <f>(EXP(LN('Ecoinvent 3.10'!$E$22)^2)-1)*EXP(2*LN(CO60)+LN('Ecoinvent 3.10'!$E$22)^2)</f>
        <v>3.5727436783367552</v>
      </c>
      <c r="CP245" s="259">
        <f>(EXP(LN('Ecoinvent 3.10'!$E$22)^2)-1)*EXP(2*LN(CP60)+LN('Ecoinvent 3.10'!$E$22)^2)</f>
        <v>18.002489581058189</v>
      </c>
      <c r="CQ245" s="57">
        <f>(EXP(LN('Ecoinvent 3.10'!$E$22)^2)-1)*EXP(2*LN(CQ60)+LN('Ecoinvent 3.10'!$E$22)^2)</f>
        <v>4.7028725868542143</v>
      </c>
      <c r="CR245" s="264"/>
      <c r="CS245" s="265"/>
      <c r="CV245" s="151" t="s">
        <v>60</v>
      </c>
      <c r="CW245" s="259">
        <f>(EXP(LN('Ecoinvent 3.10'!$E$22)^2)-1)*EXP(2*LN(CW60)+LN('Ecoinvent 3.10'!$E$22)^2)</f>
        <v>3.7656196386510445E-7</v>
      </c>
      <c r="CX245" s="57">
        <f>(EXP(LN('Ecoinvent 3.10'!$E$22)^2)-1)*EXP(2*LN(CX60)+LN('Ecoinvent 3.10'!$E$22)^2)</f>
        <v>9.8371001918340699E-8</v>
      </c>
      <c r="CY245" s="259">
        <f>(EXP(LN('Ecoinvent 3.10'!$E$22)^2)-1)*EXP(2*LN(CY60)+LN('Ecoinvent 3.10'!$E$22)^2)</f>
        <v>6.4996327720285783E-7</v>
      </c>
      <c r="CZ245" s="57">
        <f>(EXP(LN('Ecoinvent 3.10'!$E$22)^2)-1)*EXP(2*LN(CZ60)+LN('Ecoinvent 3.10'!$E$22)^2)</f>
        <v>1.6979287587175896E-7</v>
      </c>
      <c r="DA245" s="259">
        <f>(EXP(LN('Ecoinvent 3.10'!$E$22)^2)-1)*EXP(2*LN(DA60)+LN('Ecoinvent 3.10'!$E$22)^2)</f>
        <v>6.1282275832982759E-7</v>
      </c>
      <c r="DB245" s="57">
        <f>(EXP(LN('Ecoinvent 3.10'!$E$22)^2)-1)*EXP(2*LN(DB60)+LN('Ecoinvent 3.10'!$E$22)^2)</f>
        <v>1.6009048847233527E-7</v>
      </c>
      <c r="DC245" s="259">
        <f>(EXP(LN('Ecoinvent 3.10'!$E$22)^2)-1)*EXP(2*LN(DC60)+LN('Ecoinvent 3.10'!$E$22)^2)</f>
        <v>4.291178896801811E-7</v>
      </c>
      <c r="DD245" s="57">
        <f>(EXP(LN('Ecoinvent 3.10'!$E$22)^2)-1)*EXP(2*LN(DD60)+LN('Ecoinvent 3.10'!$E$22)^2)</f>
        <v>1.1210042648929159E-7</v>
      </c>
      <c r="DE245" s="259">
        <f>(EXP(LN('Ecoinvent 3.10'!$E$22)^2)-1)*EXP(2*LN(DE60)+LN('Ecoinvent 3.10'!$E$22)^2)</f>
        <v>3.5004141644562608E-7</v>
      </c>
      <c r="DF245" s="57">
        <f>(EXP(LN('Ecoinvent 3.10'!$E$22)^2)-1)*EXP(2*LN(DF60)+LN('Ecoinvent 3.10'!$E$22)^2)</f>
        <v>9.1442918172709105E-8</v>
      </c>
      <c r="DG245" s="259">
        <f>(EXP(LN('Ecoinvent 3.10'!$E$22)^2)-1)*EXP(2*LN(DG60)+LN('Ecoinvent 3.10'!$E$22)^2)</f>
        <v>1.1952701520086986E-6</v>
      </c>
      <c r="DH245" s="57">
        <f>(EXP(LN('Ecoinvent 3.10'!$E$22)^2)-1)*EXP(2*LN(DH60)+LN('Ecoinvent 3.10'!$E$22)^2)</f>
        <v>3.1224588168523488E-7</v>
      </c>
      <c r="DI245" s="259">
        <f>(EXP(LN('Ecoinvent 3.10'!$E$22)^2)-1)*EXP(2*LN(DI60)+LN('Ecoinvent 3.10'!$E$22)^2)</f>
        <v>1.5733575475483481E-6</v>
      </c>
      <c r="DJ245" s="57">
        <f>(EXP(LN('Ecoinvent 3.10'!$E$22)^2)-1)*EXP(2*LN(DJ60)+LN('Ecoinvent 3.10'!$E$22)^2)</f>
        <v>4.1101537908793817E-7</v>
      </c>
      <c r="DK245" s="264"/>
      <c r="DL245" s="265"/>
      <c r="DO245" s="151" t="s">
        <v>60</v>
      </c>
      <c r="DP245" s="259">
        <f>(EXP(LN('Ecoinvent 3.10'!$E$22)^2)-1)*EXP(2*LN(DP60)+LN('Ecoinvent 3.10'!$E$22)^2)</f>
        <v>9.4608861353777993E-6</v>
      </c>
      <c r="DQ245" s="57">
        <f>(EXP(LN('Ecoinvent 3.10'!$E$22)^2)-1)*EXP(2*LN(DQ60)+LN('Ecoinvent 3.10'!$E$22)^2)</f>
        <v>2.4715105015382012E-6</v>
      </c>
      <c r="DR245" s="259">
        <f>(EXP(LN('Ecoinvent 3.10'!$E$22)^2)-1)*EXP(2*LN(DR60)+LN('Ecoinvent 3.10'!$E$22)^2)</f>
        <v>1.6329924814169682E-5</v>
      </c>
      <c r="DS245" s="57">
        <f>(EXP(LN('Ecoinvent 3.10'!$E$22)^2)-1)*EXP(2*LN(DS60)+LN('Ecoinvent 3.10'!$E$22)^2)</f>
        <v>4.2659408526892659E-6</v>
      </c>
      <c r="DT245" s="259">
        <f>(EXP(LN('Ecoinvent 3.10'!$E$22)^2)-1)*EXP(2*LN(DT60)+LN('Ecoinvent 3.10'!$E$22)^2)</f>
        <v>1.5396792278796395E-5</v>
      </c>
      <c r="DU245" s="57">
        <f>(EXP(LN('Ecoinvent 3.10'!$E$22)^2)-1)*EXP(2*LN(DU60)+LN('Ecoinvent 3.10'!$E$22)^2)</f>
        <v>4.022174378016442E-6</v>
      </c>
      <c r="DV245" s="259">
        <f>(EXP(LN('Ecoinvent 3.10'!$E$22)^2)-1)*EXP(2*LN(DV60)+LN('Ecoinvent 3.10'!$E$22)^2)</f>
        <v>1.0781321223330347E-5</v>
      </c>
      <c r="DW245" s="57">
        <f>(EXP(LN('Ecoinvent 3.10'!$E$22)^2)-1)*EXP(2*LN(DW60)+LN('Ecoinvent 3.10'!$E$22)^2)</f>
        <v>2.8164537911811137E-6</v>
      </c>
      <c r="DX245" s="259">
        <f>(EXP(LN('Ecoinvent 3.10'!$E$22)^2)-1)*EXP(2*LN(DX60)+LN('Ecoinvent 3.10'!$E$22)^2)</f>
        <v>8.7945738057728509E-6</v>
      </c>
      <c r="DY245" s="57">
        <f>(EXP(LN('Ecoinvent 3.10'!$E$22)^2)-1)*EXP(2*LN(DY60)+LN('Ecoinvent 3.10'!$E$22)^2)</f>
        <v>2.2974466880265877E-6</v>
      </c>
      <c r="DZ245" s="259">
        <f>(EXP(LN('Ecoinvent 3.10'!$E$22)^2)-1)*EXP(2*LN(DZ60)+LN('Ecoinvent 3.10'!$E$22)^2)</f>
        <v>3.00304223323548E-5</v>
      </c>
      <c r="EA245" s="57">
        <f>(EXP(LN('Ecoinvent 3.10'!$E$22)^2)-1)*EXP(2*LN(EA60)+LN('Ecoinvent 3.10'!$E$22)^2)</f>
        <v>7.8449844018842921E-6</v>
      </c>
      <c r="EB245" s="259">
        <f>(EXP(LN('Ecoinvent 3.10'!$E$22)^2)-1)*EXP(2*LN(EB60)+LN('Ecoinvent 3.10'!$E$22)^2)</f>
        <v>3.9529633993847933E-5</v>
      </c>
      <c r="EC245" s="57">
        <f>(EXP(LN('Ecoinvent 3.10'!$E$22)^2)-1)*EXP(2*LN(EC60)+LN('Ecoinvent 3.10'!$E$22)^2)</f>
        <v>1.032650685567683E-5</v>
      </c>
      <c r="ED245" s="264"/>
      <c r="EE245" s="265"/>
      <c r="EH245" s="151" t="s">
        <v>60</v>
      </c>
      <c r="EI245" s="259">
        <f>(EXP(LN('Ecoinvent 3.10'!$E$22)^2)-1)*EXP(2*LN(EI60)+LN('Ecoinvent 3.10'!$E$22)^2)</f>
        <v>6.9012840642116948E-6</v>
      </c>
      <c r="EJ245" s="57">
        <f>(EXP(LN('Ecoinvent 3.10'!$E$22)^2)-1)*EXP(2*LN(EJ60)+LN('Ecoinvent 3.10'!$E$22)^2)</f>
        <v>1.8028539604780154E-6</v>
      </c>
      <c r="EK245" s="259">
        <f>(EXP(LN('Ecoinvent 3.10'!$E$22)^2)-1)*EXP(2*LN(EK60)+LN('Ecoinvent 3.10'!$E$22)^2)</f>
        <v>1.1911933858752018E-5</v>
      </c>
      <c r="EL245" s="57">
        <f>(EXP(LN('Ecoinvent 3.10'!$E$22)^2)-1)*EXP(2*LN(EL60)+LN('Ecoinvent 3.10'!$E$22)^2)</f>
        <v>3.1118088944591697E-6</v>
      </c>
      <c r="EM245" s="259">
        <f>(EXP(LN('Ecoinvent 3.10'!$E$22)^2)-1)*EXP(2*LN(EM60)+LN('Ecoinvent 3.10'!$E$22)^2)</f>
        <v>1.1231256319246681E-5</v>
      </c>
      <c r="EN245" s="57">
        <f>(EXP(LN('Ecoinvent 3.10'!$E$22)^2)-1)*EXP(2*LN(EN60)+LN('Ecoinvent 3.10'!$E$22)^2)</f>
        <v>2.9339923915464174E-6</v>
      </c>
      <c r="EO245" s="259">
        <f>(EXP(LN('Ecoinvent 3.10'!$E$22)^2)-1)*EXP(2*LN(EO60)+LN('Ecoinvent 3.10'!$E$22)^2)</f>
        <v>7.8644811157264663E-6</v>
      </c>
      <c r="EP245" s="57">
        <f>(EXP(LN('Ecoinvent 3.10'!$E$22)^2)-1)*EXP(2*LN(EP60)+LN('Ecoinvent 3.10'!$E$22)^2)</f>
        <v>2.0544743260342233E-6</v>
      </c>
      <c r="EQ245" s="259">
        <f>(EXP(LN('Ecoinvent 3.10'!$E$22)^2)-1)*EXP(2*LN(EQ60)+LN('Ecoinvent 3.10'!$E$22)^2)</f>
        <v>6.4152396708757238E-6</v>
      </c>
      <c r="ER245" s="57">
        <f>(EXP(LN('Ecoinvent 3.10'!$E$22)^2)-1)*EXP(2*LN(ER60)+LN('Ecoinvent 3.10'!$E$22)^2)</f>
        <v>1.6758823634040785E-6</v>
      </c>
      <c r="ES245" s="259">
        <f>(EXP(LN('Ecoinvent 3.10'!$E$22)^2)-1)*EXP(2*LN(ES60)+LN('Ecoinvent 3.10'!$E$22)^2)</f>
        <v>2.1905820672425963E-5</v>
      </c>
      <c r="ET245" s="57">
        <f>(EXP(LN('Ecoinvent 3.10'!$E$22)^2)-1)*EXP(2*LN(ET60)+LN('Ecoinvent 3.10'!$E$22)^2)</f>
        <v>5.7225575978831287E-6</v>
      </c>
      <c r="EU245" s="259">
        <f>(EXP(LN('Ecoinvent 3.10'!$E$22)^2)-1)*EXP(2*LN(EU60)+LN('Ecoinvent 3.10'!$E$22)^2)</f>
        <v>2.8835061456425612E-5</v>
      </c>
      <c r="EV245" s="57">
        <f>(EXP(LN('Ecoinvent 3.10'!$E$22)^2)-1)*EXP(2*LN(EV60)+LN('Ecoinvent 3.10'!$E$22)^2)</f>
        <v>7.5327148199748913E-6</v>
      </c>
      <c r="EW245" s="264"/>
      <c r="EX245" s="265"/>
      <c r="FA245" s="151" t="s">
        <v>60</v>
      </c>
      <c r="FB245" s="259">
        <f>(EXP(LN('Ecoinvent 3.10'!$E$22)^2)-1)*EXP(2*LN(FB60)+LN('Ecoinvent 3.10'!$E$22)^2)</f>
        <v>3.3420409844591284E-9</v>
      </c>
      <c r="FC245" s="57">
        <f>(EXP(LN('Ecoinvent 3.10'!$E$22)^2)-1)*EXP(2*LN(FC60)+LN('Ecoinvent 3.10'!$E$22)^2)</f>
        <v>8.7305663248339706E-10</v>
      </c>
      <c r="FD245" s="259">
        <f>(EXP(LN('Ecoinvent 3.10'!$E$22)^2)-1)*EXP(2*LN(FD60)+LN('Ecoinvent 3.10'!$E$22)^2)</f>
        <v>5.7685165238395338E-9</v>
      </c>
      <c r="FE245" s="57">
        <f>(EXP(LN('Ecoinvent 3.10'!$E$22)^2)-1)*EXP(2*LN(FE60)+LN('Ecoinvent 3.10'!$E$22)^2)</f>
        <v>1.5069359215363525E-9</v>
      </c>
      <c r="FF245" s="259">
        <f>(EXP(LN('Ecoinvent 3.10'!$E$22)^2)-1)*EXP(2*LN(FF60)+LN('Ecoinvent 3.10'!$E$22)^2)</f>
        <v>5.4388891366661175E-9</v>
      </c>
      <c r="FG245" s="57">
        <f>(EXP(LN('Ecoinvent 3.10'!$E$22)^2)-1)*EXP(2*LN(FG60)+LN('Ecoinvent 3.10'!$E$22)^2)</f>
        <v>1.4208258534796923E-9</v>
      </c>
      <c r="FH245" s="259">
        <f>(EXP(LN('Ecoinvent 3.10'!$E$22)^2)-1)*EXP(2*LN(FH60)+LN('Ecoinvent 3.10'!$E$22)^2)</f>
        <v>3.8084823006434092E-9</v>
      </c>
      <c r="FI245" s="57">
        <f>(EXP(LN('Ecoinvent 3.10'!$E$22)^2)-1)*EXP(2*LN(FI60)+LN('Ecoinvent 3.10'!$E$22)^2)</f>
        <v>9.9490722816808125E-10</v>
      </c>
      <c r="FJ245" s="259">
        <f>(EXP(LN('Ecoinvent 3.10'!$E$22)^2)-1)*EXP(2*LN(FJ60)+LN('Ecoinvent 3.10'!$E$22)^2)</f>
        <v>3.1066673543228103E-9</v>
      </c>
      <c r="FK245" s="57">
        <f>(EXP(LN('Ecoinvent 3.10'!$E$22)^2)-1)*EXP(2*LN(FK60)+LN('Ecoinvent 3.10'!$E$22)^2)</f>
        <v>8.1156890391939121E-10</v>
      </c>
      <c r="FL245" s="259">
        <f>(EXP(LN('Ecoinvent 3.10'!$E$22)^2)-1)*EXP(2*LN(FL60)+LN('Ecoinvent 3.10'!$E$22)^2)</f>
        <v>1.0608192592029187E-8</v>
      </c>
      <c r="FM245" s="57">
        <f>(EXP(LN('Ecoinvent 3.10'!$E$22)^2)-1)*EXP(2*LN(FM60)+LN('Ecoinvent 3.10'!$E$22)^2)</f>
        <v>2.7712266079918228E-9</v>
      </c>
      <c r="FN245" s="259">
        <f>(EXP(LN('Ecoinvent 3.10'!$E$22)^2)-1)*EXP(2*LN(FN60)+LN('Ecoinvent 3.10'!$E$22)^2)</f>
        <v>1.3963771999548874E-8</v>
      </c>
      <c r="FO245" s="57">
        <f>(EXP(LN('Ecoinvent 3.10'!$E$22)^2)-1)*EXP(2*LN(FO60)+LN('Ecoinvent 3.10'!$E$22)^2)</f>
        <v>3.6478199445735028E-9</v>
      </c>
      <c r="FP245" s="264"/>
      <c r="FQ245" s="265"/>
      <c r="FT245" s="151" t="s">
        <v>60</v>
      </c>
      <c r="FU245" s="259">
        <f>(EXP(LN('Ecoinvent 3.10'!$E$22)^2)-1)*EXP(2*LN(FU60)+LN('Ecoinvent 3.10'!$E$22)^2)</f>
        <v>9.393262419451077E-5</v>
      </c>
      <c r="FV245" s="57">
        <f>(EXP(LN('Ecoinvent 3.10'!$E$22)^2)-1)*EXP(2*LN(FV60)+LN('Ecoinvent 3.10'!$E$22)^2)</f>
        <v>2.4538448493282061E-5</v>
      </c>
      <c r="FW245" s="259">
        <f>(EXP(LN('Ecoinvent 3.10'!$E$22)^2)-1)*EXP(2*LN(FW60)+LN('Ecoinvent 3.10'!$E$22)^2)</f>
        <v>1.6213203168761789E-4</v>
      </c>
      <c r="FX245" s="57">
        <f>(EXP(LN('Ecoinvent 3.10'!$E$22)^2)-1)*EXP(2*LN(FX60)+LN('Ecoinvent 3.10'!$E$22)^2)</f>
        <v>4.2354491240864103E-5</v>
      </c>
      <c r="FY245" s="259">
        <f>(EXP(LN('Ecoinvent 3.10'!$E$22)^2)-1)*EXP(2*LN(FY60)+LN('Ecoinvent 3.10'!$E$22)^2)</f>
        <v>1.5286740398629396E-4</v>
      </c>
      <c r="FZ245" s="57">
        <f>(EXP(LN('Ecoinvent 3.10'!$E$22)^2)-1)*EXP(2*LN(FZ60)+LN('Ecoinvent 3.10'!$E$22)^2)</f>
        <v>3.9934250226543012E-5</v>
      </c>
      <c r="GA245" s="259">
        <f>(EXP(LN('Ecoinvent 3.10'!$E$22)^2)-1)*EXP(2*LN(GA60)+LN('Ecoinvent 3.10'!$E$22)^2)</f>
        <v>1.0704259413972443E-4</v>
      </c>
      <c r="GB245" s="57">
        <f>(EXP(LN('Ecoinvent 3.10'!$E$22)^2)-1)*EXP(2*LN(GB60)+LN('Ecoinvent 3.10'!$E$22)^2)</f>
        <v>2.7963225827118148E-5</v>
      </c>
      <c r="GC245" s="259">
        <f>(EXP(LN('Ecoinvent 3.10'!$E$22)^2)-1)*EXP(2*LN(GC60)+LN('Ecoinvent 3.10'!$E$22)^2)</f>
        <v>8.7317127003512054E-5</v>
      </c>
      <c r="GD245" s="57">
        <f>(EXP(LN('Ecoinvent 3.10'!$E$22)^2)-1)*EXP(2*LN(GD60)+LN('Ecoinvent 3.10'!$E$22)^2)</f>
        <v>2.2810251943139677E-5</v>
      </c>
      <c r="GE245" s="259">
        <f>(EXP(LN('Ecoinvent 3.10'!$E$22)^2)-1)*EXP(2*LN(GE60)+LN('Ecoinvent 3.10'!$E$22)^2)</f>
        <v>2.9815773437959079E-4</v>
      </c>
      <c r="GF245" s="57">
        <f>(EXP(LN('Ecoinvent 3.10'!$E$22)^2)-1)*EXP(2*LN(GF60)+LN('Ecoinvent 3.10'!$E$22)^2)</f>
        <v>7.7889106907063415E-5</v>
      </c>
      <c r="GG245" s="259">
        <f>(EXP(LN('Ecoinvent 3.10'!$E$22)^2)-1)*EXP(2*LN(GG60)+LN('Ecoinvent 3.10'!$E$22)^2)</f>
        <v>3.9247087443594955E-4</v>
      </c>
      <c r="GH245" s="57">
        <f>(EXP(LN('Ecoinvent 3.10'!$E$22)^2)-1)*EXP(2*LN(GH60)+LN('Ecoinvent 3.10'!$E$22)^2)</f>
        <v>1.0252695929709499E-4</v>
      </c>
      <c r="GI245" s="264"/>
      <c r="GJ245" s="265"/>
      <c r="GM245" s="151" t="s">
        <v>60</v>
      </c>
      <c r="GN245" s="259">
        <f>(EXP(LN('Ecoinvent 3.10'!$E$22)^2)-1)*EXP(2*LN(GN60)+LN('Ecoinvent 3.10'!$E$22)^2)</f>
        <v>2.3127635334478148E-3</v>
      </c>
      <c r="GO245" s="57">
        <f>(EXP(LN('Ecoinvent 3.10'!$E$22)^2)-1)*EXP(2*LN(GO60)+LN('Ecoinvent 3.10'!$E$22)^2)</f>
        <v>6.0417378231797207E-4</v>
      </c>
      <c r="GP245" s="259">
        <f>(EXP(LN('Ecoinvent 3.10'!$E$22)^2)-1)*EXP(2*LN(GP60)+LN('Ecoinvent 3.10'!$E$22)^2)</f>
        <v>3.9919362809927852E-3</v>
      </c>
      <c r="GQ245" s="57">
        <f>(EXP(LN('Ecoinvent 3.10'!$E$22)^2)-1)*EXP(2*LN(GQ60)+LN('Ecoinvent 3.10'!$E$22)^2)</f>
        <v>1.0428317494544108E-3</v>
      </c>
      <c r="GR245" s="259">
        <f>(EXP(LN('Ecoinvent 3.10'!$E$22)^2)-1)*EXP(2*LN(GR60)+LN('Ecoinvent 3.10'!$E$22)^2)</f>
        <v>3.7638271093143427E-3</v>
      </c>
      <c r="GS245" s="57">
        <f>(EXP(LN('Ecoinvent 3.10'!$E$22)^2)-1)*EXP(2*LN(GS60)+LN('Ecoinvent 3.10'!$E$22)^2)</f>
        <v>9.8324174855668575E-4</v>
      </c>
      <c r="GT245" s="259">
        <f>(EXP(LN('Ecoinvent 3.10'!$E$22)^2)-1)*EXP(2*LN(GT60)+LN('Ecoinvent 3.10'!$E$22)^2)</f>
        <v>2.6355508575951914E-3</v>
      </c>
      <c r="GU245" s="57">
        <f>(EXP(LN('Ecoinvent 3.10'!$E$22)^2)-1)*EXP(2*LN(GU60)+LN('Ecoinvent 3.10'!$E$22)^2)</f>
        <v>6.8849698946560746E-4</v>
      </c>
      <c r="GV245" s="259">
        <f>(EXP(LN('Ecoinvent 3.10'!$E$22)^2)-1)*EXP(2*LN(GV60)+LN('Ecoinvent 3.10'!$E$22)^2)</f>
        <v>2.1498799688698077E-3</v>
      </c>
      <c r="GW245" s="57">
        <f>(EXP(LN('Ecoinvent 3.10'!$E$22)^2)-1)*EXP(2*LN(GW60)+LN('Ecoinvent 3.10'!$E$22)^2)</f>
        <v>5.616229647072234E-4</v>
      </c>
      <c r="GX245" s="259">
        <f>(EXP(LN('Ecoinvent 3.10'!$E$22)^2)-1)*EXP(2*LN(GX60)+LN('Ecoinvent 3.10'!$E$22)^2)</f>
        <v>7.3410951860624655E-3</v>
      </c>
      <c r="GY245" s="57">
        <f>(EXP(LN('Ecoinvent 3.10'!$E$22)^2)-1)*EXP(2*LN(GY60)+LN('Ecoinvent 3.10'!$E$22)^2)</f>
        <v>1.9177478288528612E-3</v>
      </c>
      <c r="GZ245" s="259">
        <f>(EXP(LN('Ecoinvent 3.10'!$E$22)^2)-1)*EXP(2*LN(GZ60)+LN('Ecoinvent 3.10'!$E$22)^2)</f>
        <v>9.6632275965828369E-3</v>
      </c>
      <c r="HA245" s="57">
        <f>(EXP(LN('Ecoinvent 3.10'!$E$22)^2)-1)*EXP(2*LN(HA60)+LN('Ecoinvent 3.10'!$E$22)^2)</f>
        <v>2.5243690857246022E-3</v>
      </c>
      <c r="HB245" s="264"/>
      <c r="HC245" s="265"/>
      <c r="HF245" s="151" t="s">
        <v>60</v>
      </c>
      <c r="HG245" s="259">
        <f>(EXP(LN('Ecoinvent 3.10'!$E$22)^2)-1)*EXP(2*LN(HG60)+LN('Ecoinvent 3.10'!$E$22)^2)</f>
        <v>4.5426220468171775E-2</v>
      </c>
      <c r="HH245" s="57">
        <f>(EXP(LN('Ecoinvent 3.10'!$E$22)^2)-1)*EXP(2*LN(HH60)+LN('Ecoinvent 3.10'!$E$22)^2)</f>
        <v>1.1866899075389072E-2</v>
      </c>
      <c r="HI245" s="259">
        <f>(EXP(LN('Ecoinvent 3.10'!$E$22)^2)-1)*EXP(2*LN(HI60)+LN('Ecoinvent 3.10'!$E$22)^2)</f>
        <v>7.8407746824396107E-2</v>
      </c>
      <c r="HJ245" s="57">
        <f>(EXP(LN('Ecoinvent 3.10'!$E$22)^2)-1)*EXP(2*LN(HJ60)+LN('Ecoinvent 3.10'!$E$22)^2)</f>
        <v>2.0482813861780493E-2</v>
      </c>
      <c r="HK245" s="259">
        <f>(EXP(LN('Ecoinvent 3.10'!$E$22)^2)-1)*EXP(2*LN(HK60)+LN('Ecoinvent 3.10'!$E$22)^2)</f>
        <v>7.3927333079706295E-2</v>
      </c>
      <c r="HL245" s="57">
        <f>(EXP(LN('Ecoinvent 3.10'!$E$22)^2)-1)*EXP(2*LN(HL60)+LN('Ecoinvent 3.10'!$E$22)^2)</f>
        <v>1.9312374913167726E-2</v>
      </c>
      <c r="HM245" s="259">
        <f>(EXP(LN('Ecoinvent 3.10'!$E$22)^2)-1)*EXP(2*LN(HM60)+LN('Ecoinvent 3.10'!$E$22)^2)</f>
        <v>5.1766258236404246E-2</v>
      </c>
      <c r="HN245" s="57">
        <f>(EXP(LN('Ecoinvent 3.10'!$E$22)^2)-1)*EXP(2*LN(HN60)+LN('Ecoinvent 3.10'!$E$22)^2)</f>
        <v>1.3523136102250786E-2</v>
      </c>
      <c r="HO245" s="259">
        <f>(EXP(LN('Ecoinvent 3.10'!$E$22)^2)-1)*EXP(2*LN(HO60)+LN('Ecoinvent 3.10'!$E$22)^2)</f>
        <v>4.2226937615362461E-2</v>
      </c>
      <c r="HP245" s="57">
        <f>(EXP(LN('Ecoinvent 3.10'!$E$22)^2)-1)*EXP(2*LN(HP60)+LN('Ecoinvent 3.10'!$E$22)^2)</f>
        <v>1.1031135801741603E-2</v>
      </c>
      <c r="HQ245" s="259">
        <f>(EXP(LN('Ecoinvent 3.10'!$E$22)^2)-1)*EXP(2*LN(HQ60)+LN('Ecoinvent 3.10'!$E$22)^2)</f>
        <v>0.14419036082896311</v>
      </c>
      <c r="HR245" s="57">
        <f>(EXP(LN('Ecoinvent 3.10'!$E$22)^2)-1)*EXP(2*LN(HR60)+LN('Ecoinvent 3.10'!$E$22)^2)</f>
        <v>3.7667506606677253E-2</v>
      </c>
      <c r="HS245" s="259">
        <f>(EXP(LN('Ecoinvent 3.10'!$E$22)^2)-1)*EXP(2*LN(HS60)+LN('Ecoinvent 3.10'!$E$22)^2)</f>
        <v>0.18980060040210689</v>
      </c>
      <c r="HT245" s="57">
        <f>(EXP(LN('Ecoinvent 3.10'!$E$22)^2)-1)*EXP(2*LN(HT60)+LN('Ecoinvent 3.10'!$E$22)^2)</f>
        <v>4.9582477833439276E-2</v>
      </c>
      <c r="HU245" s="264"/>
      <c r="HV245" s="265"/>
      <c r="HY245" s="151" t="s">
        <v>60</v>
      </c>
      <c r="HZ245" s="259">
        <f>(EXP(LN('Ecoinvent 3.10'!$E$22)^2)-1)*EXP(2*LN(HZ60)+LN('Ecoinvent 3.10'!$E$22)^2)</f>
        <v>8.8856532510327288E-8</v>
      </c>
      <c r="IA245" s="57">
        <f>(EXP(LN('Ecoinvent 3.10'!$E$22)^2)-1)*EXP(2*LN(IA60)+LN('Ecoinvent 3.10'!$E$22)^2)</f>
        <v>2.3212397875537317E-8</v>
      </c>
      <c r="IB245" s="259">
        <f>(EXP(LN('Ecoinvent 3.10'!$E$22)^2)-1)*EXP(2*LN(IB60)+LN('Ecoinvent 3.10'!$E$22)^2)</f>
        <v>1.5337046386337525E-7</v>
      </c>
      <c r="IC245" s="57">
        <f>(EXP(LN('Ecoinvent 3.10'!$E$22)^2)-1)*EXP(2*LN(IC60)+LN('Ecoinvent 3.10'!$E$22)^2)</f>
        <v>4.0065666856160749E-8</v>
      </c>
      <c r="ID245" s="259">
        <f>(EXP(LN('Ecoinvent 3.10'!$E$22)^2)-1)*EXP(2*LN(ID60)+LN('Ecoinvent 3.10'!$E$22)^2)</f>
        <v>1.4460649394772529E-7</v>
      </c>
      <c r="IE245" s="57">
        <f>(EXP(LN('Ecoinvent 3.10'!$E$22)^2)-1)*EXP(2*LN(IE60)+LN('Ecoinvent 3.10'!$E$22)^2)</f>
        <v>3.7776214962146514E-8</v>
      </c>
      <c r="IF245" s="259">
        <f>(EXP(LN('Ecoinvent 3.10'!$E$22)^2)-1)*EXP(2*LN(IF60)+LN('Ecoinvent 3.10'!$E$22)^2)</f>
        <v>1.0125804349371121E-7</v>
      </c>
      <c r="IG245" s="57">
        <f>(EXP(LN('Ecoinvent 3.10'!$E$22)^2)-1)*EXP(2*LN(IG60)+LN('Ecoinvent 3.10'!$E$22)^2)</f>
        <v>2.6452101238604073E-8</v>
      </c>
      <c r="IH245" s="259">
        <f>(EXP(LN('Ecoinvent 3.10'!$E$22)^2)-1)*EXP(2*LN(IH60)+LN('Ecoinvent 3.10'!$E$22)^2)</f>
        <v>8.2598534862920904E-8</v>
      </c>
      <c r="II245" s="57">
        <f>(EXP(LN('Ecoinvent 3.10'!$E$22)^2)-1)*EXP(2*LN(II60)+LN('Ecoinvent 3.10'!$E$22)^2)</f>
        <v>2.1577592564190205E-8</v>
      </c>
      <c r="IJ245" s="259">
        <f>(EXP(LN('Ecoinvent 3.10'!$E$22)^2)-1)*EXP(2*LN(IJ60)+LN('Ecoinvent 3.10'!$E$22)^2)</f>
        <v>2.8204537715506354E-7</v>
      </c>
      <c r="IK245" s="57">
        <f>(EXP(LN('Ecoinvent 3.10'!$E$22)^2)-1)*EXP(2*LN(IK60)+LN('Ecoinvent 3.10'!$E$22)^2)</f>
        <v>7.3680002229643764E-8</v>
      </c>
      <c r="IL245" s="259">
        <f>(EXP(LN('Ecoinvent 3.10'!$E$22)^2)-1)*EXP(2*LN(IL60)+LN('Ecoinvent 3.10'!$E$22)^2)</f>
        <v>3.7126186256076618E-7</v>
      </c>
      <c r="IM245" s="57">
        <f>(EXP(LN('Ecoinvent 3.10'!$E$22)^2)-1)*EXP(2*LN(IM60)+LN('Ecoinvent 3.10'!$E$22)^2)</f>
        <v>9.6986432244269305E-8</v>
      </c>
      <c r="IN245" s="264"/>
      <c r="IO245" s="265"/>
    </row>
    <row r="246" spans="1:249" x14ac:dyDescent="0.2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41"/>
      <c r="AN246" s="156"/>
      <c r="AO246" s="158"/>
      <c r="AP246" s="726"/>
      <c r="AQ246" s="117" t="s">
        <v>621</v>
      </c>
      <c r="AR246" s="259">
        <f>(EXP(LN('Ecoinvent 3.10'!$E$23)^2)-1)*EXP(2*LN(AR61)+LN('Ecoinvent 3.10'!$E$23)^2)</f>
        <v>30.694908672901125</v>
      </c>
      <c r="AS246" s="57">
        <f>(EXP(LN('Ecoinvent 3.10'!$E$23)^2)-1)*EXP(2*LN(AS61)+LN('Ecoinvent 3.10'!$E$23)^2)</f>
        <v>13.695093507860875</v>
      </c>
      <c r="AT246" s="259">
        <f>(EXP(LN('Ecoinvent 3.10'!$E$23)^2)-1)*EXP(2*LN(AT61)+LN('Ecoinvent 3.10'!$E$23)^2)</f>
        <v>41.169590512333443</v>
      </c>
      <c r="AU246" s="57">
        <f>(EXP(LN('Ecoinvent 3.10'!$E$23)^2)-1)*EXP(2*LN(AU61)+LN('Ecoinvent 3.10'!$E$23)^2)</f>
        <v>18.287437654766538</v>
      </c>
      <c r="AV246" s="259">
        <f>(EXP(LN('Ecoinvent 3.10'!$E$23)^2)-1)*EXP(2*LN(AV61)+LN('Ecoinvent 3.10'!$E$23)^2)</f>
        <v>39.816295384644704</v>
      </c>
      <c r="AW246" s="57">
        <f>(EXP(LN('Ecoinvent 3.10'!$E$23)^2)-1)*EXP(2*LN(AW61)+LN('Ecoinvent 3.10'!$E$23)^2)</f>
        <v>17.69466070218531</v>
      </c>
      <c r="AX246" s="259">
        <f>(EXP(LN('Ecoinvent 3.10'!$E$23)^2)-1)*EXP(2*LN(AX61)+LN('Ecoinvent 3.10'!$E$23)^2)</f>
        <v>26.281735328846178</v>
      </c>
      <c r="AY246" s="57">
        <f>(EXP(LN('Ecoinvent 3.10'!$E$23)^2)-1)*EXP(2*LN(AY61)+LN('Ecoinvent 3.10'!$E$23)^2)</f>
        <v>11.667086794898792</v>
      </c>
      <c r="AZ246" s="259">
        <f>(EXP(LN('Ecoinvent 3.10'!$E$23)^2)-1)*EXP(2*LN(AZ61)+LN('Ecoinvent 3.10'!$E$23)^2)</f>
        <v>19.834896794775027</v>
      </c>
      <c r="BA246" s="57">
        <f>(EXP(LN('Ecoinvent 3.10'!$E$23)^2)-1)*EXP(2*LN(BA61)+LN('Ecoinvent 3.10'!$E$23)^2)</f>
        <v>8.792045847934542</v>
      </c>
      <c r="BB246" s="259">
        <f>(EXP(LN('Ecoinvent 3.10'!$E$23)^2)-1)*EXP(2*LN(BB61)+LN('Ecoinvent 3.10'!$E$23)^2)</f>
        <v>65.06057556249759</v>
      </c>
      <c r="BC246" s="57">
        <f>(EXP(LN('Ecoinvent 3.10'!$E$23)^2)-1)*EXP(2*LN(BC61)+LN('Ecoinvent 3.10'!$E$23)^2)</f>
        <v>28.814714293188818</v>
      </c>
      <c r="BD246" s="264"/>
      <c r="BE246" s="265"/>
      <c r="BF246" s="264"/>
      <c r="BG246" s="265"/>
      <c r="BI246" s="156"/>
      <c r="BJ246" s="117" t="s">
        <v>621</v>
      </c>
      <c r="BK246" s="259">
        <f>(EXP(LN('Ecoinvent 3.10'!$E$23)^2)-1)*EXP(2*LN(BK61)+LN('Ecoinvent 3.10'!$E$23)^2)</f>
        <v>1.6538028721582207</v>
      </c>
      <c r="BL246" s="57">
        <f>(EXP(LN('Ecoinvent 3.10'!$E$23)^2)-1)*EXP(2*LN(BL61)+LN('Ecoinvent 3.10'!$E$23)^2)</f>
        <v>0.7378743236910581</v>
      </c>
      <c r="BM246" s="259">
        <f>(EXP(LN('Ecoinvent 3.10'!$E$23)^2)-1)*EXP(2*LN(BM61)+LN('Ecoinvent 3.10'!$E$23)^2)</f>
        <v>2.2181654866751441</v>
      </c>
      <c r="BN246" s="57">
        <f>(EXP(LN('Ecoinvent 3.10'!$E$23)^2)-1)*EXP(2*LN(BN61)+LN('Ecoinvent 3.10'!$E$23)^2)</f>
        <v>0.98530402029076314</v>
      </c>
      <c r="BO246" s="259">
        <f>(EXP(LN('Ecoinvent 3.10'!$E$23)^2)-1)*EXP(2*LN(BO61)+LN('Ecoinvent 3.10'!$E$23)^2)</f>
        <v>2.1452516561471131</v>
      </c>
      <c r="BP246" s="57">
        <f>(EXP(LN('Ecoinvent 3.10'!$E$23)^2)-1)*EXP(2*LN(BP61)+LN('Ecoinvent 3.10'!$E$23)^2)</f>
        <v>0.95336594752518034</v>
      </c>
      <c r="BQ246" s="259">
        <f>(EXP(LN('Ecoinvent 3.10'!$E$23)^2)-1)*EXP(2*LN(BQ61)+LN('Ecoinvent 3.10'!$E$23)^2)</f>
        <v>1.4160266718930064</v>
      </c>
      <c r="BR246" s="57">
        <f>(EXP(LN('Ecoinvent 3.10'!$E$23)^2)-1)*EXP(2*LN(BR61)+LN('Ecoinvent 3.10'!$E$23)^2)</f>
        <v>0.62860788597678474</v>
      </c>
      <c r="BS246" s="259">
        <f>(EXP(LN('Ecoinvent 3.10'!$E$23)^2)-1)*EXP(2*LN(BS61)+LN('Ecoinvent 3.10'!$E$23)^2)</f>
        <v>1.068679162323777</v>
      </c>
      <c r="BT246" s="57">
        <f>(EXP(LN('Ecoinvent 3.10'!$E$23)^2)-1)*EXP(2*LN(BT61)+LN('Ecoinvent 3.10'!$E$23)^2)</f>
        <v>0.47370431462784429</v>
      </c>
      <c r="BU246" s="259">
        <f>(EXP(LN('Ecoinvent 3.10'!$E$23)^2)-1)*EXP(2*LN(BU61)+LN('Ecoinvent 3.10'!$E$23)^2)</f>
        <v>3.5053815561444326</v>
      </c>
      <c r="BV246" s="57">
        <f>(EXP(LN('Ecoinvent 3.10'!$E$23)^2)-1)*EXP(2*LN(BV61)+LN('Ecoinvent 3.10'!$E$23)^2)</f>
        <v>1.5525003760824088</v>
      </c>
      <c r="BW246" s="264"/>
      <c r="BX246" s="265"/>
      <c r="BY246" s="264"/>
      <c r="BZ246" s="265"/>
      <c r="CA246" s="156"/>
      <c r="CB246" s="156"/>
      <c r="CC246" s="117" t="s">
        <v>621</v>
      </c>
      <c r="CD246" s="259">
        <f>(EXP(LN('Ecoinvent 3.10'!$E$23)^2)-1)*EXP(2*LN(CD61)+LN('Ecoinvent 3.10'!$E$23)^2)</f>
        <v>174.05393346991073</v>
      </c>
      <c r="CE246" s="57">
        <f>(EXP(LN('Ecoinvent 3.10'!$E$23)^2)-1)*EXP(2*LN(CE61)+LN('Ecoinvent 3.10'!$E$23)^2)</f>
        <v>77.657337888932958</v>
      </c>
      <c r="CF246" s="259">
        <f>(EXP(LN('Ecoinvent 3.10'!$E$23)^2)-1)*EXP(2*LN(CF61)+LN('Ecoinvent 3.10'!$E$23)^2)</f>
        <v>233.45008921115905</v>
      </c>
      <c r="CG246" s="57">
        <f>(EXP(LN('Ecoinvent 3.10'!$E$23)^2)-1)*EXP(2*LN(CG61)+LN('Ecoinvent 3.10'!$E$23)^2)</f>
        <v>103.69799404902521</v>
      </c>
      <c r="CH246" s="259">
        <f>(EXP(LN('Ecoinvent 3.10'!$E$23)^2)-1)*EXP(2*LN(CH61)+LN('Ecoinvent 3.10'!$E$23)^2)</f>
        <v>225.77629735759882</v>
      </c>
      <c r="CI246" s="57">
        <f>(EXP(LN('Ecoinvent 3.10'!$E$23)^2)-1)*EXP(2*LN(CI61)+LN('Ecoinvent 3.10'!$E$23)^2)</f>
        <v>100.33668219869368</v>
      </c>
      <c r="CJ246" s="259">
        <f>(EXP(LN('Ecoinvent 3.10'!$E$23)^2)-1)*EXP(2*LN(CJ61)+LN('Ecoinvent 3.10'!$E$23)^2)</f>
        <v>149.02925632221596</v>
      </c>
      <c r="CK246" s="57">
        <f>(EXP(LN('Ecoinvent 3.10'!$E$23)^2)-1)*EXP(2*LN(CK61)+LN('Ecoinvent 3.10'!$E$23)^2)</f>
        <v>66.157627977560466</v>
      </c>
      <c r="CL246" s="259">
        <f>(EXP(LN('Ecoinvent 3.10'!$E$23)^2)-1)*EXP(2*LN(CL61)+LN('Ecoinvent 3.10'!$E$23)^2)</f>
        <v>112.47278315404158</v>
      </c>
      <c r="CM246" s="57">
        <f>(EXP(LN('Ecoinvent 3.10'!$E$23)^2)-1)*EXP(2*LN(CM61)+LN('Ecoinvent 3.10'!$E$23)^2)</f>
        <v>49.854853108972208</v>
      </c>
      <c r="CN246" s="259">
        <f>(EXP(LN('Ecoinvent 3.10'!$E$23)^2)-1)*EXP(2*LN(CN61)+LN('Ecoinvent 3.10'!$E$23)^2)</f>
        <v>368.92271650465727</v>
      </c>
      <c r="CO246" s="57">
        <f>(EXP(LN('Ecoinvent 3.10'!$E$23)^2)-1)*EXP(2*LN(CO61)+LN('Ecoinvent 3.10'!$E$23)^2)</f>
        <v>163.39238594864818</v>
      </c>
      <c r="CP246" s="264"/>
      <c r="CQ246" s="265"/>
      <c r="CR246" s="264"/>
      <c r="CS246" s="265"/>
      <c r="CV246" s="117" t="s">
        <v>621</v>
      </c>
      <c r="CW246" s="259">
        <f>(EXP(LN('Ecoinvent 3.10'!$E$23)^2)-1)*EXP(2*LN(CW61)+LN('Ecoinvent 3.10'!$E$23)^2)</f>
        <v>3.3281893318971281E-5</v>
      </c>
      <c r="CX246" s="57">
        <f>(EXP(LN('Ecoinvent 3.10'!$E$23)^2)-1)*EXP(2*LN(CX61)+LN('Ecoinvent 3.10'!$E$23)^2)</f>
        <v>1.4849323905119204E-5</v>
      </c>
      <c r="CY246" s="259">
        <f>(EXP(LN('Ecoinvent 3.10'!$E$23)^2)-1)*EXP(2*LN(CY61)+LN('Ecoinvent 3.10'!$E$23)^2)</f>
        <v>4.4639387398695497E-5</v>
      </c>
      <c r="CZ246" s="57">
        <f>(EXP(LN('Ecoinvent 3.10'!$E$23)^2)-1)*EXP(2*LN(CZ61)+LN('Ecoinvent 3.10'!$E$23)^2)</f>
        <v>1.9828713471319551E-5</v>
      </c>
      <c r="DA246" s="259">
        <f>(EXP(LN('Ecoinvent 3.10'!$E$23)^2)-1)*EXP(2*LN(DA61)+LN('Ecoinvent 3.10'!$E$23)^2)</f>
        <v>4.3172035775376205E-5</v>
      </c>
      <c r="DB246" s="57">
        <f>(EXP(LN('Ecoinvent 3.10'!$E$23)^2)-1)*EXP(2*LN(DB61)+LN('Ecoinvent 3.10'!$E$23)^2)</f>
        <v>1.918597693452149E-5</v>
      </c>
      <c r="DC246" s="259">
        <f>(EXP(LN('Ecoinvent 3.10'!$E$23)^2)-1)*EXP(2*LN(DC61)+LN('Ecoinvent 3.10'!$E$23)^2)</f>
        <v>2.8496775174455112E-5</v>
      </c>
      <c r="DD246" s="57">
        <f>(EXP(LN('Ecoinvent 3.10'!$E$23)^2)-1)*EXP(2*LN(DD61)+LN('Ecoinvent 3.10'!$E$23)^2)</f>
        <v>1.265039561410427E-5</v>
      </c>
      <c r="DE246" s="259">
        <f>(EXP(LN('Ecoinvent 3.10'!$E$23)^2)-1)*EXP(2*LN(DE61)+LN('Ecoinvent 3.10'!$E$23)^2)</f>
        <v>2.1506593362152981E-5</v>
      </c>
      <c r="DF246" s="57">
        <f>(EXP(LN('Ecoinvent 3.10'!$E$23)^2)-1)*EXP(2*LN(DF61)+LN('Ecoinvent 3.10'!$E$23)^2)</f>
        <v>9.533044554219382E-6</v>
      </c>
      <c r="DG246" s="259">
        <f>(EXP(LN('Ecoinvent 3.10'!$E$23)^2)-1)*EXP(2*LN(DG61)+LN('Ecoinvent 3.10'!$E$23)^2)</f>
        <v>7.0543918479013879E-5</v>
      </c>
      <c r="DH246" s="57">
        <f>(EXP(LN('Ecoinvent 3.10'!$E$23)^2)-1)*EXP(2*LN(DH61)+LN('Ecoinvent 3.10'!$E$23)^2)</f>
        <v>3.1243235070094994E-5</v>
      </c>
      <c r="DI246" s="264"/>
      <c r="DJ246" s="265"/>
      <c r="DK246" s="264"/>
      <c r="DL246" s="265"/>
      <c r="DO246" s="117" t="s">
        <v>621</v>
      </c>
      <c r="DP246" s="259">
        <f>(EXP(LN('Ecoinvent 3.10'!$E$23)^2)-1)*EXP(2*LN(DP61)+LN('Ecoinvent 3.10'!$E$23)^2)</f>
        <v>2.6701289759849174</v>
      </c>
      <c r="DQ246" s="57">
        <f>(EXP(LN('Ecoinvent 3.10'!$E$23)^2)-1)*EXP(2*LN(DQ61)+LN('Ecoinvent 3.10'!$E$23)^2)</f>
        <v>1.1913267569499517</v>
      </c>
      <c r="DR246" s="259">
        <f>(EXP(LN('Ecoinvent 3.10'!$E$23)^2)-1)*EXP(2*LN(DR61)+LN('Ecoinvent 3.10'!$E$23)^2)</f>
        <v>3.5813143387347748</v>
      </c>
      <c r="DS246" s="57">
        <f>(EXP(LN('Ecoinvent 3.10'!$E$23)^2)-1)*EXP(2*LN(DS61)+LN('Ecoinvent 3.10'!$E$23)^2)</f>
        <v>1.5908116130548711</v>
      </c>
      <c r="DT246" s="259">
        <f>(EXP(LN('Ecoinvent 3.10'!$E$23)^2)-1)*EXP(2*LN(DT61)+LN('Ecoinvent 3.10'!$E$23)^2)</f>
        <v>3.4635921271456271</v>
      </c>
      <c r="DU246" s="57">
        <f>(EXP(LN('Ecoinvent 3.10'!$E$23)^2)-1)*EXP(2*LN(DU61)+LN('Ecoinvent 3.10'!$E$23)^2)</f>
        <v>1.5392463540000187</v>
      </c>
      <c r="DV246" s="259">
        <f>(EXP(LN('Ecoinvent 3.10'!$E$23)^2)-1)*EXP(2*LN(DV61)+LN('Ecoinvent 3.10'!$E$23)^2)</f>
        <v>2.2862300646840783</v>
      </c>
      <c r="DW246" s="57">
        <f>(EXP(LN('Ecoinvent 3.10'!$E$23)^2)-1)*EXP(2*LN(DW61)+LN('Ecoinvent 3.10'!$E$23)^2)</f>
        <v>1.0149118490094486</v>
      </c>
      <c r="DX246" s="259">
        <f>(EXP(LN('Ecoinvent 3.10'!$E$23)^2)-1)*EXP(2*LN(DX61)+LN('Ecoinvent 3.10'!$E$23)^2)</f>
        <v>1.7254240184189307</v>
      </c>
      <c r="DY246" s="57">
        <f>(EXP(LN('Ecoinvent 3.10'!$E$23)^2)-1)*EXP(2*LN(DY61)+LN('Ecoinvent 3.10'!$E$23)^2)</f>
        <v>0.76481401612650823</v>
      </c>
      <c r="DZ246" s="259">
        <f>(EXP(LN('Ecoinvent 3.10'!$E$23)^2)-1)*EXP(2*LN(DZ61)+LN('Ecoinvent 3.10'!$E$23)^2)</f>
        <v>5.6595746823983557</v>
      </c>
      <c r="EA246" s="57">
        <f>(EXP(LN('Ecoinvent 3.10'!$E$23)^2)-1)*EXP(2*LN(EA61)+LN('Ecoinvent 3.10'!$E$23)^2)</f>
        <v>2.5065721611641574</v>
      </c>
      <c r="EB246" s="264"/>
      <c r="EC246" s="265"/>
      <c r="ED246" s="264"/>
      <c r="EE246" s="265"/>
      <c r="EH246" s="117" t="s">
        <v>621</v>
      </c>
      <c r="EI246" s="259">
        <f>(EXP(LN('Ecoinvent 3.10'!$E$23)^2)-1)*EXP(2*LN(EI61)+LN('Ecoinvent 3.10'!$E$23)^2)</f>
        <v>1.4293980763179821E-4</v>
      </c>
      <c r="EJ246" s="57">
        <f>(EXP(LN('Ecoinvent 3.10'!$E$23)^2)-1)*EXP(2*LN(EJ61)+LN('Ecoinvent 3.10'!$E$23)^2)</f>
        <v>6.3775202994539572E-5</v>
      </c>
      <c r="EK246" s="259">
        <f>(EXP(LN('Ecoinvent 3.10'!$E$23)^2)-1)*EXP(2*LN(EK61)+LN('Ecoinvent 3.10'!$E$23)^2)</f>
        <v>1.9171822307157376E-4</v>
      </c>
      <c r="EL246" s="57">
        <f>(EXP(LN('Ecoinvent 3.10'!$E$23)^2)-1)*EXP(2*LN(EL61)+LN('Ecoinvent 3.10'!$E$23)^2)</f>
        <v>8.5160794850599908E-5</v>
      </c>
      <c r="EM246" s="259">
        <f>(EXP(LN('Ecoinvent 3.10'!$E$23)^2)-1)*EXP(2*LN(EM61)+LN('Ecoinvent 3.10'!$E$23)^2)</f>
        <v>1.8541620903783762E-4</v>
      </c>
      <c r="EN246" s="57">
        <f>(EXP(LN('Ecoinvent 3.10'!$E$23)^2)-1)*EXP(2*LN(EN61)+LN('Ecoinvent 3.10'!$E$23)^2)</f>
        <v>8.2400355832081855E-5</v>
      </c>
      <c r="EO246" s="259">
        <f>(EXP(LN('Ecoinvent 3.10'!$E$23)^2)-1)*EXP(2*LN(EO61)+LN('Ecoinvent 3.10'!$E$23)^2)</f>
        <v>1.2238857695158082E-4</v>
      </c>
      <c r="EP246" s="57">
        <f>(EXP(LN('Ecoinvent 3.10'!$E$23)^2)-1)*EXP(2*LN(EP61)+LN('Ecoinvent 3.10'!$E$23)^2)</f>
        <v>5.4331197393613342E-5</v>
      </c>
      <c r="EQ246" s="259">
        <f>(EXP(LN('Ecoinvent 3.10'!$E$23)^2)-1)*EXP(2*LN(EQ61)+LN('Ecoinvent 3.10'!$E$23)^2)</f>
        <v>9.2366990319301881E-5</v>
      </c>
      <c r="ER246" s="57">
        <f>(EXP(LN('Ecoinvent 3.10'!$E$23)^2)-1)*EXP(2*LN(ER61)+LN('Ecoinvent 3.10'!$E$23)^2)</f>
        <v>4.0942729479537941E-5</v>
      </c>
      <c r="ES246" s="259">
        <f>(EXP(LN('Ecoinvent 3.10'!$E$23)^2)-1)*EXP(2*LN(ES61)+LN('Ecoinvent 3.10'!$E$23)^2)</f>
        <v>3.0297357305798773E-4</v>
      </c>
      <c r="ET246" s="57">
        <f>(EXP(LN('Ecoinvent 3.10'!$E$23)^2)-1)*EXP(2*LN(ET61)+LN('Ecoinvent 3.10'!$E$23)^2)</f>
        <v>1.3418413333380843E-4</v>
      </c>
      <c r="EU246" s="264"/>
      <c r="EV246" s="265"/>
      <c r="EW246" s="264"/>
      <c r="EX246" s="265"/>
      <c r="FA246" s="117" t="s">
        <v>621</v>
      </c>
      <c r="FB246" s="259">
        <f>(EXP(LN('Ecoinvent 3.10'!$E$23)^2)-1)*EXP(2*LN(FB61)+LN('Ecoinvent 3.10'!$E$23)^2)</f>
        <v>1.7909524710286561E-7</v>
      </c>
      <c r="FC246" s="57">
        <f>(EXP(LN('Ecoinvent 3.10'!$E$23)^2)-1)*EXP(2*LN(FC61)+LN('Ecoinvent 3.10'!$E$23)^2)</f>
        <v>7.9906611940910436E-8</v>
      </c>
      <c r="FD246" s="259">
        <f>(EXP(LN('Ecoinvent 3.10'!$E$23)^2)-1)*EXP(2*LN(FD61)+LN('Ecoinvent 3.10'!$E$23)^2)</f>
        <v>2.4021175838974271E-7</v>
      </c>
      <c r="FE246" s="57">
        <f>(EXP(LN('Ecoinvent 3.10'!$E$23)^2)-1)*EXP(2*LN(FE61)+LN('Ecoinvent 3.10'!$E$23)^2)</f>
        <v>1.0670151198560681E-7</v>
      </c>
      <c r="FF246" s="259">
        <f>(EXP(LN('Ecoinvent 3.10'!$E$23)^2)-1)*EXP(2*LN(FF61)+LN('Ecoinvent 3.10'!$E$23)^2)</f>
        <v>2.3231570214538953E-7</v>
      </c>
      <c r="FG246" s="57">
        <f>(EXP(LN('Ecoinvent 3.10'!$E$23)^2)-1)*EXP(2*LN(FG61)+LN('Ecoinvent 3.10'!$E$23)^2)</f>
        <v>1.032428427994318E-7</v>
      </c>
      <c r="FH246" s="259">
        <f>(EXP(LN('Ecoinvent 3.10'!$E$23)^2)-1)*EXP(2*LN(FH61)+LN('Ecoinvent 3.10'!$E$23)^2)</f>
        <v>1.5334575297718078E-7</v>
      </c>
      <c r="FI246" s="57">
        <f>(EXP(LN('Ecoinvent 3.10'!$E$23)^2)-1)*EXP(2*LN(FI61)+LN('Ecoinvent 3.10'!$E$23)^2)</f>
        <v>6.8073823407323041E-8</v>
      </c>
      <c r="FJ246" s="259">
        <f>(EXP(LN('Ecoinvent 3.10'!$E$23)^2)-1)*EXP(2*LN(FJ61)+LN('Ecoinvent 3.10'!$E$23)^2)</f>
        <v>1.1573045486387907E-7</v>
      </c>
      <c r="FK246" s="57">
        <f>(EXP(LN('Ecoinvent 3.10'!$E$23)^2)-1)*EXP(2*LN(FK61)+LN('Ecoinvent 3.10'!$E$23)^2)</f>
        <v>5.129885351526397E-8</v>
      </c>
      <c r="FL246" s="259">
        <f>(EXP(LN('Ecoinvent 3.10'!$E$23)^2)-1)*EXP(2*LN(FL61)+LN('Ecoinvent 3.10'!$E$23)^2)</f>
        <v>3.796082269274553E-7</v>
      </c>
      <c r="FM246" s="57">
        <f>(EXP(LN('Ecoinvent 3.10'!$E$23)^2)-1)*EXP(2*LN(FM61)+LN('Ecoinvent 3.10'!$E$23)^2)</f>
        <v>1.681248975695152E-7</v>
      </c>
      <c r="FN246" s="264"/>
      <c r="FO246" s="265"/>
      <c r="FP246" s="264"/>
      <c r="FQ246" s="265"/>
      <c r="FT246" s="117" t="s">
        <v>621</v>
      </c>
      <c r="FU246" s="259">
        <f>(EXP(LN('Ecoinvent 3.10'!$E$23)^2)-1)*EXP(2*LN(FU61)+LN('Ecoinvent 3.10'!$E$23)^2)</f>
        <v>1.2884275280429049E-2</v>
      </c>
      <c r="FV246" s="57">
        <f>(EXP(LN('Ecoinvent 3.10'!$E$23)^2)-1)*EXP(2*LN(FV61)+LN('Ecoinvent 3.10'!$E$23)^2)</f>
        <v>5.7485544794037974E-3</v>
      </c>
      <c r="FW246" s="259">
        <f>(EXP(LN('Ecoinvent 3.10'!$E$23)^2)-1)*EXP(2*LN(FW61)+LN('Ecoinvent 3.10'!$E$23)^2)</f>
        <v>1.7281052795955727E-2</v>
      </c>
      <c r="FX246" s="57">
        <f>(EXP(LN('Ecoinvent 3.10'!$E$23)^2)-1)*EXP(2*LN(FX61)+LN('Ecoinvent 3.10'!$E$23)^2)</f>
        <v>7.6762040059663843E-3</v>
      </c>
      <c r="FY246" s="259">
        <f>(EXP(LN('Ecoinvent 3.10'!$E$23)^2)-1)*EXP(2*LN(FY61)+LN('Ecoinvent 3.10'!$E$23)^2)</f>
        <v>1.6713003314309992E-2</v>
      </c>
      <c r="FZ246" s="57">
        <f>(EXP(LN('Ecoinvent 3.10'!$E$23)^2)-1)*EXP(2*LN(FZ61)+LN('Ecoinvent 3.10'!$E$23)^2)</f>
        <v>7.4273841929368293E-3</v>
      </c>
      <c r="GA246" s="259">
        <f>(EXP(LN('Ecoinvent 3.10'!$E$23)^2)-1)*EXP(2*LN(GA61)+LN('Ecoinvent 3.10'!$E$23)^2)</f>
        <v>1.1031833208325575E-2</v>
      </c>
      <c r="GB246" s="57">
        <f>(EXP(LN('Ecoinvent 3.10'!$E$23)^2)-1)*EXP(2*LN(GB61)+LN('Ecoinvent 3.10'!$E$23)^2)</f>
        <v>4.8972928894506123E-3</v>
      </c>
      <c r="GC246" s="259">
        <f>(EXP(LN('Ecoinvent 3.10'!$E$23)^2)-1)*EXP(2*LN(GC61)+LN('Ecoinvent 3.10'!$E$23)^2)</f>
        <v>8.3257543844201063E-3</v>
      </c>
      <c r="GD246" s="57">
        <f>(EXP(LN('Ecoinvent 3.10'!$E$23)^2)-1)*EXP(2*LN(GD61)+LN('Ecoinvent 3.10'!$E$23)^2)</f>
        <v>3.6904862689150107E-3</v>
      </c>
      <c r="GE246" s="259">
        <f>(EXP(LN('Ecoinvent 3.10'!$E$23)^2)-1)*EXP(2*LN(GE61)+LN('Ecoinvent 3.10'!$E$23)^2)</f>
        <v>2.7309361770163094E-2</v>
      </c>
      <c r="GF246" s="57">
        <f>(EXP(LN('Ecoinvent 3.10'!$E$23)^2)-1)*EXP(2*LN(GF61)+LN('Ecoinvent 3.10'!$E$23)^2)</f>
        <v>1.2095058338066364E-2</v>
      </c>
      <c r="GG246" s="264"/>
      <c r="GH246" s="265"/>
      <c r="GI246" s="264"/>
      <c r="GJ246" s="265"/>
      <c r="GM246" s="117" t="s">
        <v>621</v>
      </c>
      <c r="GN246" s="259">
        <f>(EXP(LN('Ecoinvent 3.10'!$E$23)^2)-1)*EXP(2*LN(GN61)+LN('Ecoinvent 3.10'!$E$23)^2)</f>
        <v>6.2562555582218543E-2</v>
      </c>
      <c r="GO246" s="57">
        <f>(EXP(LN('Ecoinvent 3.10'!$E$23)^2)-1)*EXP(2*LN(GO61)+LN('Ecoinvent 3.10'!$E$23)^2)</f>
        <v>2.7913425575546623E-2</v>
      </c>
      <c r="GP246" s="259">
        <f>(EXP(LN('Ecoinvent 3.10'!$E$23)^2)-1)*EXP(2*LN(GP61)+LN('Ecoinvent 3.10'!$E$23)^2)</f>
        <v>8.3912117875071593E-2</v>
      </c>
      <c r="GQ246" s="57">
        <f>(EXP(LN('Ecoinvent 3.10'!$E$23)^2)-1)*EXP(2*LN(GQ61)+LN('Ecoinvent 3.10'!$E$23)^2)</f>
        <v>3.7273570249868819E-2</v>
      </c>
      <c r="GR246" s="259">
        <f>(EXP(LN('Ecoinvent 3.10'!$E$23)^2)-1)*EXP(2*LN(GR61)+LN('Ecoinvent 3.10'!$E$23)^2)</f>
        <v>8.1153823248838755E-2</v>
      </c>
      <c r="GS246" s="57">
        <f>(EXP(LN('Ecoinvent 3.10'!$E$23)^2)-1)*EXP(2*LN(GS61)+LN('Ecoinvent 3.10'!$E$23)^2)</f>
        <v>3.6065368543230024E-2</v>
      </c>
      <c r="GT246" s="259">
        <f>(EXP(LN('Ecoinvent 3.10'!$E$23)^2)-1)*EXP(2*LN(GT61)+LN('Ecoinvent 3.10'!$E$23)^2)</f>
        <v>5.3567597963232148E-2</v>
      </c>
      <c r="GU246" s="57">
        <f>(EXP(LN('Ecoinvent 3.10'!$E$23)^2)-1)*EXP(2*LN(GU61)+LN('Ecoinvent 3.10'!$E$23)^2)</f>
        <v>2.3779929559876248E-2</v>
      </c>
      <c r="GV246" s="259">
        <f>(EXP(LN('Ecoinvent 3.10'!$E$23)^2)-1)*EXP(2*LN(GV61)+LN('Ecoinvent 3.10'!$E$23)^2)</f>
        <v>4.042761118511564E-2</v>
      </c>
      <c r="GW246" s="57">
        <f>(EXP(LN('Ecoinvent 3.10'!$E$23)^2)-1)*EXP(2*LN(GW61)+LN('Ecoinvent 3.10'!$E$23)^2)</f>
        <v>1.7920003050161552E-2</v>
      </c>
      <c r="GX246" s="259">
        <f>(EXP(LN('Ecoinvent 3.10'!$E$23)^2)-1)*EXP(2*LN(GX61)+LN('Ecoinvent 3.10'!$E$23)^2)</f>
        <v>0.13260687360941328</v>
      </c>
      <c r="GY246" s="57">
        <f>(EXP(LN('Ecoinvent 3.10'!$E$23)^2)-1)*EXP(2*LN(GY61)+LN('Ecoinvent 3.10'!$E$23)^2)</f>
        <v>5.8730331592251911E-2</v>
      </c>
      <c r="GZ246" s="264"/>
      <c r="HA246" s="265"/>
      <c r="HB246" s="264"/>
      <c r="HC246" s="265"/>
      <c r="HF246" s="117" t="s">
        <v>621</v>
      </c>
      <c r="HG246" s="259">
        <f>(EXP(LN('Ecoinvent 3.10'!$E$23)^2)-1)*EXP(2*LN(HG61)+LN('Ecoinvent 3.10'!$E$23)^2)</f>
        <v>5.3414941577610948</v>
      </c>
      <c r="HH246" s="57">
        <f>(EXP(LN('Ecoinvent 3.10'!$E$23)^2)-1)*EXP(2*LN(HH61)+LN('Ecoinvent 3.10'!$E$23)^2)</f>
        <v>2.3832050696672349</v>
      </c>
      <c r="HI246" s="259">
        <f>(EXP(LN('Ecoinvent 3.10'!$E$23)^2)-1)*EXP(2*LN(HI61)+LN('Ecoinvent 3.10'!$E$23)^2)</f>
        <v>7.1642867402693957</v>
      </c>
      <c r="HJ246" s="57">
        <f>(EXP(LN('Ecoinvent 3.10'!$E$23)^2)-1)*EXP(2*LN(HJ61)+LN('Ecoinvent 3.10'!$E$23)^2)</f>
        <v>3.1823597338015253</v>
      </c>
      <c r="HK246" s="259">
        <f>(EXP(LN('Ecoinvent 3.10'!$E$23)^2)-1)*EXP(2*LN(HK61)+LN('Ecoinvent 3.10'!$E$23)^2)</f>
        <v>6.9287878145254824</v>
      </c>
      <c r="HL246" s="57">
        <f>(EXP(LN('Ecoinvent 3.10'!$E$23)^2)-1)*EXP(2*LN(HL61)+LN('Ecoinvent 3.10'!$E$23)^2)</f>
        <v>3.0792053422113836</v>
      </c>
      <c r="HM246" s="259">
        <f>(EXP(LN('Ecoinvent 3.10'!$E$23)^2)-1)*EXP(2*LN(HM61)+LN('Ecoinvent 3.10'!$E$23)^2)</f>
        <v>4.5735185991542755</v>
      </c>
      <c r="HN246" s="57">
        <f>(EXP(LN('Ecoinvent 3.10'!$E$23)^2)-1)*EXP(2*LN(HN61)+LN('Ecoinvent 3.10'!$E$23)^2)</f>
        <v>2.030293577907341</v>
      </c>
      <c r="HO246" s="259">
        <f>(EXP(LN('Ecoinvent 3.10'!$E$23)^2)-1)*EXP(2*LN(HO61)+LN('Ecoinvent 3.10'!$E$23)^2)</f>
        <v>3.4516468668506182</v>
      </c>
      <c r="HP246" s="57">
        <f>(EXP(LN('Ecoinvent 3.10'!$E$23)^2)-1)*EXP(2*LN(HP61)+LN('Ecoinvent 3.10'!$E$23)^2)</f>
        <v>1.5299821228323389</v>
      </c>
      <c r="HQ246" s="259">
        <f>(EXP(LN('Ecoinvent 3.10'!$E$23)^2)-1)*EXP(2*LN(HQ61)+LN('Ecoinvent 3.10'!$E$23)^2)</f>
        <v>11.321769612380773</v>
      </c>
      <c r="HR246" s="57">
        <f>(EXP(LN('Ecoinvent 3.10'!$E$23)^2)-1)*EXP(2*LN(HR61)+LN('Ecoinvent 3.10'!$E$23)^2)</f>
        <v>5.0143048052299699</v>
      </c>
      <c r="HS246" s="264"/>
      <c r="HT246" s="265"/>
      <c r="HU246" s="264"/>
      <c r="HV246" s="265"/>
      <c r="HY246" s="117" t="s">
        <v>621</v>
      </c>
      <c r="HZ246" s="259">
        <f>(EXP(LN('Ecoinvent 3.10'!$E$23)^2)-1)*EXP(2*LN(HZ61)+LN('Ecoinvent 3.10'!$E$23)^2)</f>
        <v>5.7392514411654473E-6</v>
      </c>
      <c r="IA246" s="57">
        <f>(EXP(LN('Ecoinvent 3.10'!$E$23)^2)-1)*EXP(2*LN(IA61)+LN('Ecoinvent 3.10'!$E$23)^2)</f>
        <v>2.5606717384136529E-6</v>
      </c>
      <c r="IB246" s="259">
        <f>(EXP(LN('Ecoinvent 3.10'!$E$23)^2)-1)*EXP(2*LN(IB61)+LN('Ecoinvent 3.10'!$E$23)^2)</f>
        <v>7.6977792701074891E-6</v>
      </c>
      <c r="IC246" s="57">
        <f>(EXP(LN('Ecoinvent 3.10'!$E$23)^2)-1)*EXP(2*LN(IC61)+LN('Ecoinvent 3.10'!$E$23)^2)</f>
        <v>3.4193358916230375E-6</v>
      </c>
      <c r="ID246" s="259">
        <f>(EXP(LN('Ecoinvent 3.10'!$E$23)^2)-1)*EXP(2*LN(ID61)+LN('Ecoinvent 3.10'!$E$23)^2)</f>
        <v>7.444743788077645E-6</v>
      </c>
      <c r="IE246" s="57">
        <f>(EXP(LN('Ecoinvent 3.10'!$E$23)^2)-1)*EXP(2*LN(IE61)+LN('Ecoinvent 3.10'!$E$23)^2)</f>
        <v>3.3085000518541108E-6</v>
      </c>
      <c r="IF246" s="259">
        <f>(EXP(LN('Ecoinvent 3.10'!$E$23)^2)-1)*EXP(2*LN(IF61)+LN('Ecoinvent 3.10'!$E$23)^2)</f>
        <v>4.9140881626266436E-6</v>
      </c>
      <c r="IG246" s="57">
        <f>(EXP(LN('Ecoinvent 3.10'!$E$23)^2)-1)*EXP(2*LN(IG61)+LN('Ecoinvent 3.10'!$E$23)^2)</f>
        <v>2.1814804994334715E-6</v>
      </c>
      <c r="IH246" s="259">
        <f>(EXP(LN('Ecoinvent 3.10'!$E$23)^2)-1)*EXP(2*LN(IH61)+LN('Ecoinvent 3.10'!$E$23)^2)</f>
        <v>3.7086756382918097E-6</v>
      </c>
      <c r="II246" s="57">
        <f>(EXP(LN('Ecoinvent 3.10'!$E$23)^2)-1)*EXP(2*LN(II61)+LN('Ecoinvent 3.10'!$E$23)^2)</f>
        <v>1.6439130782656218E-6</v>
      </c>
      <c r="IJ246" s="259">
        <f>(EXP(LN('Ecoinvent 3.10'!$E$23)^2)-1)*EXP(2*LN(IJ61)+LN('Ecoinvent 3.10'!$E$23)^2)</f>
        <v>1.216485137777168E-5</v>
      </c>
      <c r="IK246" s="57">
        <f>(EXP(LN('Ecoinvent 3.10'!$E$23)^2)-1)*EXP(2*LN(IK61)+LN('Ecoinvent 3.10'!$E$23)^2)</f>
        <v>5.3876977545776225E-6</v>
      </c>
      <c r="IL246" s="264"/>
      <c r="IM246" s="265"/>
      <c r="IN246" s="264"/>
      <c r="IO246" s="265"/>
    </row>
    <row r="247" spans="1:249" x14ac:dyDescent="0.2">
      <c r="A247" s="158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  <c r="AA247" s="158"/>
      <c r="AB247" s="158"/>
      <c r="AC247" s="158"/>
      <c r="AD247" s="158"/>
      <c r="AE247" s="158"/>
      <c r="AF247" s="158"/>
      <c r="AG247" s="158"/>
      <c r="AH247" s="158"/>
      <c r="AI247" s="158"/>
      <c r="AJ247" s="158"/>
      <c r="AK247" s="158"/>
      <c r="AL247" s="158"/>
      <c r="AM247" s="122"/>
      <c r="AN247" s="156"/>
      <c r="AO247" s="158"/>
      <c r="AP247" s="726"/>
      <c r="AQ247" s="117" t="s">
        <v>622</v>
      </c>
      <c r="AR247" s="264"/>
      <c r="AS247" s="265"/>
      <c r="AT247" s="264"/>
      <c r="AU247" s="265"/>
      <c r="AV247" s="264"/>
      <c r="AW247" s="265"/>
      <c r="AX247" s="264"/>
      <c r="AY247" s="265"/>
      <c r="AZ247" s="264"/>
      <c r="BA247" s="265"/>
      <c r="BB247" s="264"/>
      <c r="BC247" s="265"/>
      <c r="BD247" s="259">
        <f>(EXP(LN('Ecoinvent 3.10'!$E$23)^2)-1)*EXP(2*LN(BD62)+LN('Ecoinvent 3.10'!$E$23)^2)</f>
        <v>113.39976940476114</v>
      </c>
      <c r="BE247" s="57">
        <f>(EXP(LN('Ecoinvent 3.10'!$E$23)^2)-1)*EXP(2*LN(BE62)+LN('Ecoinvent 3.10'!$E$23)^2)</f>
        <v>50.699584987201469</v>
      </c>
      <c r="BF247" s="264"/>
      <c r="BG247" s="265"/>
      <c r="BI247" s="156"/>
      <c r="BJ247" s="117" t="s">
        <v>622</v>
      </c>
      <c r="BK247" s="264"/>
      <c r="BL247" s="265"/>
      <c r="BM247" s="264"/>
      <c r="BN247" s="265"/>
      <c r="BO247" s="264"/>
      <c r="BP247" s="265"/>
      <c r="BQ247" s="264"/>
      <c r="BR247" s="265"/>
      <c r="BS247" s="264"/>
      <c r="BT247" s="265"/>
      <c r="BU247" s="264"/>
      <c r="BV247" s="265"/>
      <c r="BW247" s="259">
        <f>(EXP(LN('Ecoinvent 3.10'!$E$23)^2)-1)*EXP(2*LN(BW62)+LN('Ecoinvent 3.10'!$E$23)^2)</f>
        <v>6.1098362058084055</v>
      </c>
      <c r="BX247" s="57">
        <f>(EXP(LN('Ecoinvent 3.10'!$E$23)^2)-1)*EXP(2*LN(BX62)+LN('Ecoinvent 3.10'!$E$23)^2)</f>
        <v>2.7316295403441817</v>
      </c>
      <c r="BY247" s="264"/>
      <c r="BZ247" s="265"/>
      <c r="CA247" s="156"/>
      <c r="CB247" s="156"/>
      <c r="CC247" s="117" t="s">
        <v>622</v>
      </c>
      <c r="CD247" s="264"/>
      <c r="CE247" s="265"/>
      <c r="CF247" s="264"/>
      <c r="CG247" s="265"/>
      <c r="CH247" s="264"/>
      <c r="CI247" s="265"/>
      <c r="CJ247" s="264"/>
      <c r="CK247" s="265"/>
      <c r="CL247" s="264"/>
      <c r="CM247" s="265"/>
      <c r="CN247" s="264"/>
      <c r="CO247" s="265"/>
      <c r="CP247" s="259">
        <f>(EXP(LN('Ecoinvent 3.10'!$E$23)^2)-1)*EXP(2*LN(CP62)+LN('Ecoinvent 3.10'!$E$23)^2)</f>
        <v>643.02768025189869</v>
      </c>
      <c r="CQ247" s="57">
        <f>(EXP(LN('Ecoinvent 3.10'!$E$23)^2)-1)*EXP(2*LN(CQ62)+LN('Ecoinvent 3.10'!$E$23)^2)</f>
        <v>287.48944283730947</v>
      </c>
      <c r="CR247" s="264"/>
      <c r="CS247" s="265"/>
      <c r="CV247" s="117" t="s">
        <v>622</v>
      </c>
      <c r="CW247" s="264"/>
      <c r="CX247" s="265"/>
      <c r="CY247" s="264"/>
      <c r="CZ247" s="265"/>
      <c r="DA247" s="264"/>
      <c r="DB247" s="265"/>
      <c r="DC247" s="264"/>
      <c r="DD247" s="265"/>
      <c r="DE247" s="264"/>
      <c r="DF247" s="265"/>
      <c r="DG247" s="264"/>
      <c r="DH247" s="265"/>
      <c r="DI247" s="259">
        <f>(EXP(LN('Ecoinvent 3.10'!$E$23)^2)-1)*EXP(2*LN(DI62)+LN('Ecoinvent 3.10'!$E$23)^2)</f>
        <v>1.2295716752065786E-4</v>
      </c>
      <c r="DJ247" s="57">
        <f>(EXP(LN('Ecoinvent 3.10'!$E$23)^2)-1)*EXP(2*LN(DJ62)+LN('Ecoinvent 3.10'!$E$23)^2)</f>
        <v>5.4972575316695795E-5</v>
      </c>
      <c r="DK247" s="264"/>
      <c r="DL247" s="265"/>
      <c r="DO247" s="117" t="s">
        <v>622</v>
      </c>
      <c r="DP247" s="264"/>
      <c r="DQ247" s="265"/>
      <c r="DR247" s="264"/>
      <c r="DS247" s="265"/>
      <c r="DT247" s="264"/>
      <c r="DU247" s="265"/>
      <c r="DV247" s="264"/>
      <c r="DW247" s="265"/>
      <c r="DX247" s="264"/>
      <c r="DY247" s="265"/>
      <c r="DZ247" s="264"/>
      <c r="EA247" s="265"/>
      <c r="EB247" s="259">
        <f>(EXP(LN('Ecoinvent 3.10'!$E$23)^2)-1)*EXP(2*LN(EB62)+LN('Ecoinvent 3.10'!$E$23)^2)</f>
        <v>9.8645678794600578</v>
      </c>
      <c r="EC247" s="57">
        <f>(EXP(LN('Ecoinvent 3.10'!$E$23)^2)-1)*EXP(2*LN(EC62)+LN('Ecoinvent 3.10'!$E$23)^2)</f>
        <v>4.4103219979361343</v>
      </c>
      <c r="ED247" s="264"/>
      <c r="EE247" s="265"/>
      <c r="EH247" s="117" t="s">
        <v>622</v>
      </c>
      <c r="EI247" s="264"/>
      <c r="EJ247" s="265"/>
      <c r="EK247" s="264"/>
      <c r="EL247" s="265"/>
      <c r="EM247" s="264"/>
      <c r="EN247" s="265"/>
      <c r="EO247" s="264"/>
      <c r="EP247" s="265"/>
      <c r="EQ247" s="264"/>
      <c r="ER247" s="265"/>
      <c r="ES247" s="264"/>
      <c r="ET247" s="265"/>
      <c r="EU247" s="259">
        <f>(EXP(LN('Ecoinvent 3.10'!$E$23)^2)-1)*EXP(2*LN(EU62)+LN('Ecoinvent 3.10'!$E$23)^2)</f>
        <v>5.2807914813954705E-4</v>
      </c>
      <c r="EV247" s="57">
        <f>(EXP(LN('Ecoinvent 3.10'!$E$23)^2)-1)*EXP(2*LN(EV62)+LN('Ecoinvent 3.10'!$E$23)^2)</f>
        <v>2.3609742587312396E-4</v>
      </c>
      <c r="EW247" s="264"/>
      <c r="EX247" s="265"/>
      <c r="FA247" s="117" t="s">
        <v>622</v>
      </c>
      <c r="FB247" s="264"/>
      <c r="FC247" s="265"/>
      <c r="FD247" s="264"/>
      <c r="FE247" s="265"/>
      <c r="FF247" s="264"/>
      <c r="FG247" s="265"/>
      <c r="FH247" s="264"/>
      <c r="FI247" s="265"/>
      <c r="FJ247" s="264"/>
      <c r="FK247" s="265"/>
      <c r="FL247" s="264"/>
      <c r="FM247" s="265"/>
      <c r="FN247" s="259">
        <f>(EXP(LN('Ecoinvent 3.10'!$E$23)^2)-1)*EXP(2*LN(FN62)+LN('Ecoinvent 3.10'!$E$23)^2)</f>
        <v>6.6165239126069497E-7</v>
      </c>
      <c r="FO247" s="57">
        <f>(EXP(LN('Ecoinvent 3.10'!$E$23)^2)-1)*EXP(2*LN(FO62)+LN('Ecoinvent 3.10'!$E$23)^2)</f>
        <v>2.9581631266790096E-7</v>
      </c>
      <c r="FP247" s="264"/>
      <c r="FQ247" s="265"/>
      <c r="FT247" s="117" t="s">
        <v>622</v>
      </c>
      <c r="FU247" s="264"/>
      <c r="FV247" s="265"/>
      <c r="FW247" s="264"/>
      <c r="FX247" s="265"/>
      <c r="FY247" s="264"/>
      <c r="FZ247" s="265"/>
      <c r="GA247" s="264"/>
      <c r="GB247" s="265"/>
      <c r="GC247" s="264"/>
      <c r="GD247" s="265"/>
      <c r="GE247" s="264"/>
      <c r="GF247" s="265"/>
      <c r="GG247" s="259">
        <f>(EXP(LN('Ecoinvent 3.10'!$E$23)^2)-1)*EXP(2*LN(GG62)+LN('Ecoinvent 3.10'!$E$23)^2)</f>
        <v>4.7599875970245842E-2</v>
      </c>
      <c r="GH247" s="57">
        <f>(EXP(LN('Ecoinvent 3.10'!$E$23)^2)-1)*EXP(2*LN(GH62)+LN('Ecoinvent 3.10'!$E$23)^2)</f>
        <v>2.1281295101402611E-2</v>
      </c>
      <c r="GI247" s="264"/>
      <c r="GJ247" s="265"/>
      <c r="GM247" s="117" t="s">
        <v>622</v>
      </c>
      <c r="GN247" s="264"/>
      <c r="GO247" s="265"/>
      <c r="GP247" s="264"/>
      <c r="GQ247" s="265"/>
      <c r="GR247" s="264"/>
      <c r="GS247" s="265"/>
      <c r="GT247" s="264"/>
      <c r="GU247" s="265"/>
      <c r="GV247" s="264"/>
      <c r="GW247" s="265"/>
      <c r="GX247" s="264"/>
      <c r="GY247" s="265"/>
      <c r="GZ247" s="259">
        <f>(EXP(LN('Ecoinvent 3.10'!$E$23)^2)-1)*EXP(2*LN(GZ62)+LN('Ecoinvent 3.10'!$E$23)^2)</f>
        <v>0.23113212200756769</v>
      </c>
      <c r="HA247" s="57">
        <f>(EXP(LN('Ecoinvent 3.10'!$E$23)^2)-1)*EXP(2*LN(HA62)+LN('Ecoinvent 3.10'!$E$23)^2)</f>
        <v>0.10333621245003079</v>
      </c>
      <c r="HB247" s="264"/>
      <c r="HC247" s="265"/>
      <c r="HF247" s="117" t="s">
        <v>622</v>
      </c>
      <c r="HG247" s="264"/>
      <c r="HH247" s="265"/>
      <c r="HI247" s="264"/>
      <c r="HJ247" s="265"/>
      <c r="HK247" s="264"/>
      <c r="HL247" s="265"/>
      <c r="HM247" s="264"/>
      <c r="HN247" s="265"/>
      <c r="HO247" s="264"/>
      <c r="HP247" s="265"/>
      <c r="HQ247" s="264"/>
      <c r="HR247" s="265"/>
      <c r="HS247" s="259">
        <f>(EXP(LN('Ecoinvent 3.10'!$E$23)^2)-1)*EXP(2*LN(HS62)+LN('Ecoinvent 3.10'!$E$23)^2)</f>
        <v>19.733702817684154</v>
      </c>
      <c r="HT247" s="57">
        <f>(EXP(LN('Ecoinvent 3.10'!$E$23)^2)-1)*EXP(2*LN(HT62)+LN('Ecoinvent 3.10'!$E$23)^2)</f>
        <v>8.8226858693713446</v>
      </c>
      <c r="HU247" s="264"/>
      <c r="HV247" s="265"/>
      <c r="HY247" s="117" t="s">
        <v>622</v>
      </c>
      <c r="HZ247" s="264"/>
      <c r="IA247" s="265"/>
      <c r="IB247" s="264"/>
      <c r="IC247" s="265"/>
      <c r="ID247" s="264"/>
      <c r="IE247" s="265"/>
      <c r="IF247" s="264"/>
      <c r="IG247" s="265"/>
      <c r="IH247" s="264"/>
      <c r="II247" s="265"/>
      <c r="IJ247" s="264"/>
      <c r="IK247" s="265"/>
      <c r="IL247" s="259">
        <f>(EXP(LN('Ecoinvent 3.10'!$E$23)^2)-1)*EXP(2*LN(IL62)+LN('Ecoinvent 3.10'!$E$23)^2)</f>
        <v>2.1203183789195831E-5</v>
      </c>
      <c r="IM247" s="57">
        <f>(EXP(LN('Ecoinvent 3.10'!$E$23)^2)-1)*EXP(2*LN(IM62)+LN('Ecoinvent 3.10'!$E$23)^2)</f>
        <v>9.4796719972382289E-6</v>
      </c>
      <c r="IN247" s="264"/>
      <c r="IO247" s="265"/>
    </row>
    <row r="248" spans="1:249" x14ac:dyDescent="0.2">
      <c r="A248" s="158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22"/>
      <c r="AN248" s="156"/>
      <c r="AO248" s="158"/>
      <c r="AP248" s="726"/>
      <c r="AQ248" s="117" t="s">
        <v>623</v>
      </c>
      <c r="AR248" s="264"/>
      <c r="AS248" s="265"/>
      <c r="AT248" s="264"/>
      <c r="AU248" s="265"/>
      <c r="AV248" s="264"/>
      <c r="AW248" s="265"/>
      <c r="AX248" s="264"/>
      <c r="AY248" s="265"/>
      <c r="AZ248" s="264"/>
      <c r="BA248" s="265"/>
      <c r="BB248" s="264"/>
      <c r="BC248" s="265"/>
      <c r="BD248" s="264"/>
      <c r="BE248" s="265"/>
      <c r="BF248" s="259">
        <f>(EXP(LN('Ecoinvent 3.10'!$E$24)^2)-1)*EXP(2*LN(BF63)+LN('Ecoinvent 3.10'!$E$24)^2)</f>
        <v>36.034485461736573</v>
      </c>
      <c r="BG248" s="57">
        <f>(EXP(LN('Ecoinvent 3.10'!$E$24)^2)-1)*EXP(2*LN(BG63)+LN('Ecoinvent 3.10'!$E$24)^2)</f>
        <v>16.015326871882927</v>
      </c>
      <c r="BI248" s="156"/>
      <c r="BJ248" s="117" t="s">
        <v>623</v>
      </c>
      <c r="BK248" s="264"/>
      <c r="BL248" s="265"/>
      <c r="BM248" s="264"/>
      <c r="BN248" s="265"/>
      <c r="BO248" s="264"/>
      <c r="BP248" s="265"/>
      <c r="BQ248" s="264"/>
      <c r="BR248" s="265"/>
      <c r="BS248" s="264"/>
      <c r="BT248" s="265"/>
      <c r="BU248" s="264"/>
      <c r="BV248" s="265"/>
      <c r="BW248" s="264"/>
      <c r="BX248" s="265"/>
      <c r="BY248" s="259">
        <f>(EXP(LN('Ecoinvent 3.10'!$E$24)^2)-1)*EXP(2*LN(BY63)+LN('Ecoinvent 3.10'!$E$24)^2)</f>
        <v>1.1968549407178668</v>
      </c>
      <c r="BZ248" s="57">
        <f>(EXP(LN('Ecoinvent 3.10'!$E$24)^2)-1)*EXP(2*LN(BZ63)+LN('Ecoinvent 3.10'!$E$24)^2)</f>
        <v>0.53193552920794085</v>
      </c>
      <c r="CA248" s="156"/>
      <c r="CB248" s="156"/>
      <c r="CC248" s="117" t="s">
        <v>623</v>
      </c>
      <c r="CD248" s="264"/>
      <c r="CE248" s="265"/>
      <c r="CF248" s="264"/>
      <c r="CG248" s="265"/>
      <c r="CH248" s="264"/>
      <c r="CI248" s="265"/>
      <c r="CJ248" s="264"/>
      <c r="CK248" s="265"/>
      <c r="CL248" s="264"/>
      <c r="CM248" s="265"/>
      <c r="CN248" s="264"/>
      <c r="CO248" s="265"/>
      <c r="CP248" s="264"/>
      <c r="CQ248" s="265"/>
      <c r="CR248" s="259">
        <f>(EXP(LN('Ecoinvent 3.10'!$E$24)^2)-1)*EXP(2*LN(CR63)+LN('Ecoinvent 3.10'!$E$24)^2)</f>
        <v>110.41907703013936</v>
      </c>
      <c r="CS248" s="57">
        <f>(EXP(LN('Ecoinvent 3.10'!$E$24)^2)-1)*EXP(2*LN(CS63)+LN('Ecoinvent 3.10'!$E$24)^2)</f>
        <v>49.075145346728583</v>
      </c>
      <c r="CV248" s="117" t="s">
        <v>623</v>
      </c>
      <c r="CW248" s="264"/>
      <c r="CX248" s="265"/>
      <c r="CY248" s="264"/>
      <c r="CZ248" s="265"/>
      <c r="DA248" s="264"/>
      <c r="DB248" s="265"/>
      <c r="DC248" s="264"/>
      <c r="DD248" s="265"/>
      <c r="DE248" s="264"/>
      <c r="DF248" s="265"/>
      <c r="DG248" s="264"/>
      <c r="DH248" s="265"/>
      <c r="DI248" s="264"/>
      <c r="DJ248" s="265"/>
      <c r="DK248" s="259">
        <f>(EXP(LN('Ecoinvent 3.10'!$E$24)^2)-1)*EXP(2*LN(DK63)+LN('Ecoinvent 3.10'!$E$24)^2)</f>
        <v>8.2402341262883053E-5</v>
      </c>
      <c r="DL248" s="57">
        <f>(EXP(LN('Ecoinvent 3.10'!$E$24)^2)-1)*EXP(2*LN(DL63)+LN('Ecoinvent 3.10'!$E$24)^2)</f>
        <v>3.6623262783503594E-5</v>
      </c>
      <c r="DO248" s="117" t="s">
        <v>623</v>
      </c>
      <c r="DP248" s="264"/>
      <c r="DQ248" s="265"/>
      <c r="DR248" s="264"/>
      <c r="DS248" s="265"/>
      <c r="DT248" s="264"/>
      <c r="DU248" s="265"/>
      <c r="DV248" s="264"/>
      <c r="DW248" s="265"/>
      <c r="DX248" s="264"/>
      <c r="DY248" s="265"/>
      <c r="DZ248" s="264"/>
      <c r="EA248" s="265"/>
      <c r="EB248" s="264"/>
      <c r="EC248" s="265"/>
      <c r="ED248" s="259">
        <f>(EXP(LN('Ecoinvent 3.10'!$E$24)^2)-1)*EXP(2*LN(ED63)+LN('Ecoinvent 3.10'!$E$24)^2)</f>
        <v>0.47300250557266615</v>
      </c>
      <c r="EE248" s="57">
        <f>(EXP(LN('Ecoinvent 3.10'!$E$24)^2)-1)*EXP(2*LN(EE63)+LN('Ecoinvent 3.10'!$E$24)^2)</f>
        <v>0.21022333581007388</v>
      </c>
      <c r="EH248" s="117" t="s">
        <v>623</v>
      </c>
      <c r="EI248" s="264"/>
      <c r="EJ248" s="265"/>
      <c r="EK248" s="264"/>
      <c r="EL248" s="265"/>
      <c r="EM248" s="264"/>
      <c r="EN248" s="265"/>
      <c r="EO248" s="264"/>
      <c r="EP248" s="265"/>
      <c r="EQ248" s="264"/>
      <c r="ER248" s="265"/>
      <c r="ES248" s="264"/>
      <c r="ET248" s="265"/>
      <c r="EU248" s="264"/>
      <c r="EV248" s="265"/>
      <c r="EW248" s="259">
        <f>(EXP(LN('Ecoinvent 3.10'!$E$24)^2)-1)*EXP(2*LN(EW63)+LN('Ecoinvent 3.10'!$E$24)^2)</f>
        <v>9.1448208263040392E-4</v>
      </c>
      <c r="EX248" s="57">
        <f>(EXP(LN('Ecoinvent 3.10'!$E$24)^2)-1)*EXP(2*LN(EX63)+LN('Ecoinvent 3.10'!$E$24)^2)</f>
        <v>4.064364811690686E-4</v>
      </c>
      <c r="FA248" s="117" t="s">
        <v>623</v>
      </c>
      <c r="FB248" s="264"/>
      <c r="FC248" s="265"/>
      <c r="FD248" s="264"/>
      <c r="FE248" s="265"/>
      <c r="FF248" s="264"/>
      <c r="FG248" s="265"/>
      <c r="FH248" s="264"/>
      <c r="FI248" s="265"/>
      <c r="FJ248" s="264"/>
      <c r="FK248" s="265"/>
      <c r="FL248" s="264"/>
      <c r="FM248" s="265"/>
      <c r="FN248" s="264"/>
      <c r="FO248" s="265"/>
      <c r="FP248" s="259">
        <f>(EXP(LN('Ecoinvent 3.10'!$E$24)^2)-1)*EXP(2*LN(FP63)+LN('Ecoinvent 3.10'!$E$24)^2)</f>
        <v>5.6990775424971961E-7</v>
      </c>
      <c r="FQ248" s="57">
        <f>(EXP(LN('Ecoinvent 3.10'!$E$24)^2)-1)*EXP(2*LN(FQ63)+LN('Ecoinvent 3.10'!$E$24)^2)</f>
        <v>2.532923352220975E-7</v>
      </c>
      <c r="FT248" s="117" t="s">
        <v>623</v>
      </c>
      <c r="FU248" s="264"/>
      <c r="FV248" s="265"/>
      <c r="FW248" s="264"/>
      <c r="FX248" s="265"/>
      <c r="FY248" s="264"/>
      <c r="FZ248" s="265"/>
      <c r="GA248" s="264"/>
      <c r="GB248" s="265"/>
      <c r="GC248" s="264"/>
      <c r="GD248" s="265"/>
      <c r="GE248" s="264"/>
      <c r="GF248" s="265"/>
      <c r="GG248" s="264"/>
      <c r="GH248" s="265"/>
      <c r="GI248" s="259">
        <f>(EXP(LN('Ecoinvent 3.10'!$E$24)^2)-1)*EXP(2*LN(GI63)+LN('Ecoinvent 3.10'!$E$24)^2)</f>
        <v>1.1931957635066799E-2</v>
      </c>
      <c r="GJ248" s="57">
        <f>(EXP(LN('Ecoinvent 3.10'!$E$24)^2)-1)*EXP(2*LN(GJ63)+LN('Ecoinvent 3.10'!$E$24)^2)</f>
        <v>5.3030922822519108E-3</v>
      </c>
      <c r="GM248" s="117" t="s">
        <v>623</v>
      </c>
      <c r="GN248" s="264"/>
      <c r="GO248" s="265"/>
      <c r="GP248" s="264"/>
      <c r="GQ248" s="265"/>
      <c r="GR248" s="264"/>
      <c r="GS248" s="265"/>
      <c r="GT248" s="264"/>
      <c r="GU248" s="265"/>
      <c r="GV248" s="264"/>
      <c r="GW248" s="265"/>
      <c r="GX248" s="264"/>
      <c r="GY248" s="265"/>
      <c r="GZ248" s="264"/>
      <c r="HA248" s="265"/>
      <c r="HB248" s="259">
        <f>(EXP(LN('Ecoinvent 3.10'!$E$24)^2)-1)*EXP(2*LN(HB63)+LN('Ecoinvent 3.10'!$E$24)^2)</f>
        <v>0.63995635466456857</v>
      </c>
      <c r="HC248" s="57">
        <f>(EXP(LN('Ecoinvent 3.10'!$E$24)^2)-1)*EXP(2*LN(HC63)+LN('Ecoinvent 3.10'!$E$24)^2)</f>
        <v>0.2844250465175861</v>
      </c>
      <c r="HF248" s="117" t="s">
        <v>623</v>
      </c>
      <c r="HG248" s="264"/>
      <c r="HH248" s="265"/>
      <c r="HI248" s="264"/>
      <c r="HJ248" s="265"/>
      <c r="HK248" s="264"/>
      <c r="HL248" s="265"/>
      <c r="HM248" s="264"/>
      <c r="HN248" s="265"/>
      <c r="HO248" s="264"/>
      <c r="HP248" s="265"/>
      <c r="HQ248" s="264"/>
      <c r="HR248" s="265"/>
      <c r="HS248" s="264"/>
      <c r="HT248" s="265"/>
      <c r="HU248" s="259">
        <f>(EXP(LN('Ecoinvent 3.10'!$E$24)^2)-1)*EXP(2*LN(HU63)+LN('Ecoinvent 3.10'!$E$24)^2)</f>
        <v>5.8994922962683347</v>
      </c>
      <c r="HV248" s="57">
        <f>(EXP(LN('Ecoinvent 3.10'!$E$24)^2)-1)*EXP(2*LN(HV63)+LN('Ecoinvent 3.10'!$E$24)^2)</f>
        <v>2.6219965761192601</v>
      </c>
      <c r="HY248" s="117" t="s">
        <v>623</v>
      </c>
      <c r="HZ248" s="264"/>
      <c r="IA248" s="265"/>
      <c r="IB248" s="264"/>
      <c r="IC248" s="265"/>
      <c r="ID248" s="264"/>
      <c r="IE248" s="265"/>
      <c r="IF248" s="264"/>
      <c r="IG248" s="265"/>
      <c r="IH248" s="264"/>
      <c r="II248" s="265"/>
      <c r="IJ248" s="264"/>
      <c r="IK248" s="265"/>
      <c r="IL248" s="264"/>
      <c r="IM248" s="265"/>
      <c r="IN248" s="259">
        <f>(EXP(LN('Ecoinvent 3.10'!$E$24)^2)-1)*EXP(2*LN(IN63)+LN('Ecoinvent 3.10'!$E$24)^2)</f>
        <v>9.5563067796646392E-6</v>
      </c>
      <c r="IO248" s="57">
        <f>(EXP(LN('Ecoinvent 3.10'!$E$24)^2)-1)*EXP(2*LN(IO63)+LN('Ecoinvent 3.10'!$E$24)^2)</f>
        <v>4.2472474576287266E-6</v>
      </c>
    </row>
    <row r="249" spans="1:249" x14ac:dyDescent="0.2">
      <c r="A249" s="158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  <c r="AA249" s="158"/>
      <c r="AB249" s="158"/>
      <c r="AC249" s="158"/>
      <c r="AD249" s="158"/>
      <c r="AE249" s="158"/>
      <c r="AF249" s="158"/>
      <c r="AG249" s="158"/>
      <c r="AH249" s="158"/>
      <c r="AI249" s="158"/>
      <c r="AJ249" s="158"/>
      <c r="AK249" s="158"/>
      <c r="AL249" s="158"/>
      <c r="AM249" s="122"/>
      <c r="AN249" s="156"/>
      <c r="AO249" s="158"/>
      <c r="AP249" s="726"/>
      <c r="AQ249" s="151" t="s">
        <v>505</v>
      </c>
      <c r="AR249" s="259">
        <f>(EXP(LN('Ecoinvent 3.10'!$E$33)^2)-1)*EXP(2*LN(AR64)+LN('Ecoinvent 3.10'!$E$33)^2)</f>
        <v>7.8786942820486233E-2</v>
      </c>
      <c r="AS249" s="259">
        <f>(EXP(LN('Ecoinvent 3.10'!$E$33)^2)-1)*EXP(2*LN(AS64)+LN('Ecoinvent 3.10'!$E$33)^2)</f>
        <v>5.3395513758335796E-2</v>
      </c>
      <c r="AT249" s="259">
        <f>(EXP(LN('Ecoinvent 3.10'!$E$33)^2)-1)*EXP(2*LN(AT64)+LN('Ecoinvent 3.10'!$E$33)^2)</f>
        <v>0.10217865219807315</v>
      </c>
      <c r="AU249" s="259">
        <f>(EXP(LN('Ecoinvent 3.10'!$E$33)^2)-1)*EXP(2*LN(AU64)+LN('Ecoinvent 3.10'!$E$33)^2)</f>
        <v>6.8219698817330934E-2</v>
      </c>
      <c r="AV249" s="259">
        <f>(EXP(LN('Ecoinvent 3.10'!$E$33)^2)-1)*EXP(2*LN(AV64)+LN('Ecoinvent 3.10'!$E$33)^2)</f>
        <v>0.10331239382728241</v>
      </c>
      <c r="AW249" s="259">
        <f>(EXP(LN('Ecoinvent 3.10'!$E$33)^2)-1)*EXP(2*LN(AW64)+LN('Ecoinvent 3.10'!$E$33)^2)</f>
        <v>6.9141548071838907E-2</v>
      </c>
      <c r="AX249" s="259">
        <f>(EXP(LN('Ecoinvent 3.10'!$E$33)^2)-1)*EXP(2*LN(AX64)+LN('Ecoinvent 3.10'!$E$33)^2)</f>
        <v>6.8528525867700765E-2</v>
      </c>
      <c r="AY249" s="259">
        <f>(EXP(LN('Ecoinvent 3.10'!$E$33)^2)-1)*EXP(2*LN(AY64)+LN('Ecoinvent 3.10'!$E$33)^2)</f>
        <v>4.5690809778628806E-2</v>
      </c>
      <c r="AZ249" s="259">
        <f>(EXP(LN('Ecoinvent 3.10'!$E$33)^2)-1)*EXP(2*LN(AZ64)+LN('Ecoinvent 3.10'!$E$33)^2)</f>
        <v>5.1627352033336044E-2</v>
      </c>
      <c r="BA249" s="259">
        <f>(EXP(LN('Ecoinvent 3.10'!$E$33)^2)-1)*EXP(2*LN(BA64)+LN('Ecoinvent 3.10'!$E$33)^2)</f>
        <v>3.4248183216507994E-2</v>
      </c>
      <c r="BB249" s="259">
        <f>(EXP(LN('Ecoinvent 3.10'!$E$33)^2)-1)*EXP(2*LN(BB64)+LN('Ecoinvent 3.10'!$E$33)^2)</f>
        <v>0.17059584193313468</v>
      </c>
      <c r="BC249" s="57">
        <f>(EXP(LN('Ecoinvent 3.10'!$E$33)^2)-1)*EXP(2*LN(BC64)+LN('Ecoinvent 3.10'!$E$33)^2)</f>
        <v>0.11279343053219965</v>
      </c>
      <c r="BD249" s="259">
        <f>(EXP(LN('Ecoinvent 3.10'!$E$33)^2)-1)*EXP(2*LN(BD64)+LN('Ecoinvent 3.10'!$E$33)^2)</f>
        <v>0.30009859787813692</v>
      </c>
      <c r="BE249" s="57">
        <f>(EXP(LN('Ecoinvent 3.10'!$E$33)^2)-1)*EXP(2*LN(BE64)+LN('Ecoinvent 3.10'!$E$33)^2)</f>
        <v>0.20104757669019233</v>
      </c>
      <c r="BF249" s="259">
        <f>(EXP(LN('Ecoinvent 3.10'!$E$33)^2)-1)*EXP(2*LN(BF64)+LN('Ecoinvent 3.10'!$E$33)^2)</f>
        <v>3.012251681462676E-2</v>
      </c>
      <c r="BG249" s="259">
        <f>(EXP(LN('Ecoinvent 3.10'!$E$33)^2)-1)*EXP(2*LN(BG64)+LN('Ecoinvent 3.10'!$E$33)^2)</f>
        <v>1.5814168213316528E-2</v>
      </c>
      <c r="BI249" s="156"/>
      <c r="BJ249" s="151" t="s">
        <v>505</v>
      </c>
      <c r="BK249" s="259">
        <f>(EXP(LN('Ecoinvent 3.10'!$E$33)^2)-1)*EXP(2*LN(BK64)+LN('Ecoinvent 3.10'!$E$33)^2)</f>
        <v>5.4252740171676353E-3</v>
      </c>
      <c r="BL249" s="259">
        <f>(EXP(LN('Ecoinvent 3.10'!$E$33)^2)-1)*EXP(2*LN(BL64)+LN('Ecoinvent 3.10'!$E$33)^2)</f>
        <v>3.6768185571872699E-3</v>
      </c>
      <c r="BM249" s="259">
        <f>(EXP(LN('Ecoinvent 3.10'!$E$33)^2)-1)*EXP(2*LN(BM64)+LN('Ecoinvent 3.10'!$E$33)^2)</f>
        <v>7.0360286493471227E-3</v>
      </c>
      <c r="BN249" s="259">
        <f>(EXP(LN('Ecoinvent 3.10'!$E$33)^2)-1)*EXP(2*LN(BN64)+LN('Ecoinvent 3.10'!$E$33)^2)</f>
        <v>4.6976129064425481E-3</v>
      </c>
      <c r="BO249" s="259">
        <f>(EXP(LN('Ecoinvent 3.10'!$E$33)^2)-1)*EXP(2*LN(BO64)+LN('Ecoinvent 3.10'!$E$33)^2)</f>
        <v>7.1140981718204729E-3</v>
      </c>
      <c r="BP249" s="259">
        <f>(EXP(LN('Ecoinvent 3.10'!$E$33)^2)-1)*EXP(2*LN(BP64)+LN('Ecoinvent 3.10'!$E$33)^2)</f>
        <v>4.7610915061849285E-3</v>
      </c>
      <c r="BQ249" s="259">
        <f>(EXP(LN('Ecoinvent 3.10'!$E$33)^2)-1)*EXP(2*LN(BQ64)+LN('Ecoinvent 3.10'!$E$33)^2)</f>
        <v>4.7188787572572874E-3</v>
      </c>
      <c r="BR249" s="259">
        <f>(EXP(LN('Ecoinvent 3.10'!$E$33)^2)-1)*EXP(2*LN(BR64)+LN('Ecoinvent 3.10'!$E$33)^2)</f>
        <v>3.1462721390287077E-3</v>
      </c>
      <c r="BS249" s="259">
        <f>(EXP(LN('Ecoinvent 3.10'!$E$33)^2)-1)*EXP(2*LN(BS64)+LN('Ecoinvent 3.10'!$E$33)^2)</f>
        <v>3.5550628255726002E-3</v>
      </c>
      <c r="BT249" s="259">
        <f>(EXP(LN('Ecoinvent 3.10'!$E$33)^2)-1)*EXP(2*LN(BT64)+LN('Ecoinvent 3.10'!$E$33)^2)</f>
        <v>2.3583321282445312E-3</v>
      </c>
      <c r="BU249" s="259">
        <f>(EXP(LN('Ecoinvent 3.10'!$E$33)^2)-1)*EXP(2*LN(BU64)+LN('Ecoinvent 3.10'!$E$33)^2)</f>
        <v>1.1747240793255094E-2</v>
      </c>
      <c r="BV249" s="57">
        <f>(EXP(LN('Ecoinvent 3.10'!$E$33)^2)-1)*EXP(2*LN(BV64)+LN('Ecoinvent 3.10'!$E$33)^2)</f>
        <v>7.766962977200702E-3</v>
      </c>
      <c r="BW249" s="259">
        <f>(EXP(LN('Ecoinvent 3.10'!$E$33)^2)-1)*EXP(2*LN(BW64)+LN('Ecoinvent 3.10'!$E$33)^2)</f>
        <v>2.0664809007328935E-2</v>
      </c>
      <c r="BX249" s="57">
        <f>(EXP(LN('Ecoinvent 3.10'!$E$33)^2)-1)*EXP(2*LN(BX64)+LN('Ecoinvent 3.10'!$E$33)^2)</f>
        <v>1.3844149233167137E-2</v>
      </c>
      <c r="BY249" s="259">
        <f>(EXP(LN('Ecoinvent 3.10'!$E$33)^2)-1)*EXP(2*LN(BY64)+LN('Ecoinvent 3.10'!$E$33)^2)</f>
        <v>2.0742384709411064E-3</v>
      </c>
      <c r="BZ249" s="259">
        <f>(EXP(LN('Ecoinvent 3.10'!$E$33)^2)-1)*EXP(2*LN(BZ64)+LN('Ecoinvent 3.10'!$E$33)^2)</f>
        <v>1.0889646537790999E-3</v>
      </c>
      <c r="CA249" s="156"/>
      <c r="CB249" s="156"/>
      <c r="CC249" s="151" t="s">
        <v>505</v>
      </c>
      <c r="CD249" s="259">
        <f>(EXP(LN('Ecoinvent 3.10'!$E$33)^2)-1)*EXP(2*LN(CD64)+LN('Ecoinvent 3.10'!$E$33)^2)</f>
        <v>60.694299152142989</v>
      </c>
      <c r="CE249" s="259">
        <f>(EXP(LN('Ecoinvent 3.10'!$E$33)^2)-1)*EXP(2*LN(CE64)+LN('Ecoinvent 3.10'!$E$33)^2)</f>
        <v>41.133761120987728</v>
      </c>
      <c r="CF249" s="259">
        <f>(EXP(LN('Ecoinvent 3.10'!$E$33)^2)-1)*EXP(2*LN(CF64)+LN('Ecoinvent 3.10'!$E$33)^2)</f>
        <v>78.714333383933095</v>
      </c>
      <c r="CG249" s="259">
        <f>(EXP(LN('Ecoinvent 3.10'!$E$33)^2)-1)*EXP(2*LN(CG64)+LN('Ecoinvent 3.10'!$E$33)^2)</f>
        <v>52.553718419082415</v>
      </c>
      <c r="CH249" s="259">
        <f>(EXP(LN('Ecoinvent 3.10'!$E$33)^2)-1)*EXP(2*LN(CH64)+LN('Ecoinvent 3.10'!$E$33)^2)</f>
        <v>79.587722439797957</v>
      </c>
      <c r="CI249" s="259">
        <f>(EXP(LN('Ecoinvent 3.10'!$E$33)^2)-1)*EXP(2*LN(CI64)+LN('Ecoinvent 3.10'!$E$33)^2)</f>
        <v>53.263874092386885</v>
      </c>
      <c r="CJ249" s="259">
        <f>(EXP(LN('Ecoinvent 3.10'!$E$33)^2)-1)*EXP(2*LN(CJ64)+LN('Ecoinvent 3.10'!$E$33)^2)</f>
        <v>52.791626385940923</v>
      </c>
      <c r="CK249" s="259">
        <f>(EXP(LN('Ecoinvent 3.10'!$E$33)^2)-1)*EXP(2*LN(CK64)+LN('Ecoinvent 3.10'!$E$33)^2)</f>
        <v>35.198366352738766</v>
      </c>
      <c r="CL249" s="259">
        <f>(EXP(LN('Ecoinvent 3.10'!$E$33)^2)-1)*EXP(2*LN(CL64)+LN('Ecoinvent 3.10'!$E$33)^2)</f>
        <v>39.771640281611802</v>
      </c>
      <c r="CM249" s="259">
        <f>(EXP(LN('Ecoinvent 3.10'!$E$33)^2)-1)*EXP(2*LN(CM64)+LN('Ecoinvent 3.10'!$E$33)^2)</f>
        <v>26.383426023983777</v>
      </c>
      <c r="CN249" s="259">
        <f>(EXP(LN('Ecoinvent 3.10'!$E$33)^2)-1)*EXP(2*LN(CN64)+LN('Ecoinvent 3.10'!$E$33)^2)</f>
        <v>131.42019088103351</v>
      </c>
      <c r="CO249" s="57">
        <f>(EXP(LN('Ecoinvent 3.10'!$E$33)^2)-1)*EXP(2*LN(CO64)+LN('Ecoinvent 3.10'!$E$33)^2)</f>
        <v>86.891532658095542</v>
      </c>
      <c r="CP249" s="259">
        <f>(EXP(LN('Ecoinvent 3.10'!$E$33)^2)-1)*EXP(2*LN(CP64)+LN('Ecoinvent 3.10'!$E$33)^2)</f>
        <v>231.18391731806372</v>
      </c>
      <c r="CQ249" s="57">
        <f>(EXP(LN('Ecoinvent 3.10'!$E$33)^2)-1)*EXP(2*LN(CQ64)+LN('Ecoinvent 3.10'!$E$33)^2)</f>
        <v>154.87898535739413</v>
      </c>
      <c r="CR249" s="259">
        <f>(EXP(LN('Ecoinvent 3.10'!$E$33)^2)-1)*EXP(2*LN(CR64)+LN('Ecoinvent 3.10'!$E$33)^2)</f>
        <v>23.205178184512924</v>
      </c>
      <c r="CS249" s="259">
        <f>(EXP(LN('Ecoinvent 3.10'!$E$33)^2)-1)*EXP(2*LN(CS64)+LN('Ecoinvent 3.10'!$E$33)^2)</f>
        <v>12.182600593708635</v>
      </c>
      <c r="CV249" s="151" t="s">
        <v>505</v>
      </c>
      <c r="CW249" s="259">
        <f>(EXP(LN('Ecoinvent 3.10'!$E$33)^2)-1)*EXP(2*LN(CW64)+LN('Ecoinvent 3.10'!$E$33)^2)</f>
        <v>3.9751902107870155E-8</v>
      </c>
      <c r="CX249" s="259">
        <f>(EXP(LN('Ecoinvent 3.10'!$E$33)^2)-1)*EXP(2*LN(CX64)+LN('Ecoinvent 3.10'!$E$33)^2)</f>
        <v>2.6940672653805327E-8</v>
      </c>
      <c r="CY249" s="259">
        <f>(EXP(LN('Ecoinvent 3.10'!$E$33)^2)-1)*EXP(2*LN(CY64)+LN('Ecoinvent 3.10'!$E$33)^2)</f>
        <v>5.1554174261420429E-8</v>
      </c>
      <c r="CZ249" s="259">
        <f>(EXP(LN('Ecoinvent 3.10'!$E$33)^2)-1)*EXP(2*LN(CZ64)+LN('Ecoinvent 3.10'!$E$33)^2)</f>
        <v>3.4420205837835674E-8</v>
      </c>
      <c r="DA249" s="259">
        <f>(EXP(LN('Ecoinvent 3.10'!$E$33)^2)-1)*EXP(2*LN(DA64)+LN('Ecoinvent 3.10'!$E$33)^2)</f>
        <v>5.2126202882490717E-8</v>
      </c>
      <c r="DB249" s="259">
        <f>(EXP(LN('Ecoinvent 3.10'!$E$33)^2)-1)*EXP(2*LN(DB64)+LN('Ecoinvent 3.10'!$E$33)^2)</f>
        <v>3.4885324295432223E-8</v>
      </c>
      <c r="DC249" s="259">
        <f>(EXP(LN('Ecoinvent 3.10'!$E$33)^2)-1)*EXP(2*LN(DC64)+LN('Ecoinvent 3.10'!$E$33)^2)</f>
        <v>3.4576024330533537E-8</v>
      </c>
      <c r="DD249" s="259">
        <f>(EXP(LN('Ecoinvent 3.10'!$E$33)^2)-1)*EXP(2*LN(DD64)+LN('Ecoinvent 3.10'!$E$33)^2)</f>
        <v>2.3053269139884624E-8</v>
      </c>
      <c r="DE249" s="259">
        <f>(EXP(LN('Ecoinvent 3.10'!$E$33)^2)-1)*EXP(2*LN(DE64)+LN('Ecoinvent 3.10'!$E$33)^2)</f>
        <v>2.6048547775153521E-8</v>
      </c>
      <c r="DF249" s="259">
        <f>(EXP(LN('Ecoinvent 3.10'!$E$33)^2)-1)*EXP(2*LN(DF64)+LN('Ecoinvent 3.10'!$E$33)^2)</f>
        <v>1.727989915406422E-8</v>
      </c>
      <c r="DG249" s="259">
        <f>(EXP(LN('Ecoinvent 3.10'!$E$33)^2)-1)*EXP(2*LN(DG64)+LN('Ecoinvent 3.10'!$E$33)^2)</f>
        <v>8.6074024016734924E-8</v>
      </c>
      <c r="DH249" s="57">
        <f>(EXP(LN('Ecoinvent 3.10'!$E$33)^2)-1)*EXP(2*LN(DH64)+LN('Ecoinvent 3.10'!$E$33)^2)</f>
        <v>5.6909853948045128E-8</v>
      </c>
      <c r="DI249" s="259">
        <f>(EXP(LN('Ecoinvent 3.10'!$E$33)^2)-1)*EXP(2*LN(DI64)+LN('Ecoinvent 3.10'!$E$33)^2)</f>
        <v>1.5141455752054975E-7</v>
      </c>
      <c r="DJ249" s="57">
        <f>(EXP(LN('Ecoinvent 3.10'!$E$33)^2)-1)*EXP(2*LN(DJ64)+LN('Ecoinvent 3.10'!$E$33)^2)</f>
        <v>1.0143842750470266E-7</v>
      </c>
      <c r="DK249" s="259">
        <f>(EXP(LN('Ecoinvent 3.10'!$E$33)^2)-1)*EXP(2*LN(DK64)+LN('Ecoinvent 3.10'!$E$33)^2)</f>
        <v>1.5198296783592919E-8</v>
      </c>
      <c r="DL249" s="259">
        <f>(EXP(LN('Ecoinvent 3.10'!$E$33)^2)-1)*EXP(2*LN(DL64)+LN('Ecoinvent 3.10'!$E$33)^2)</f>
        <v>7.9790285576316162E-9</v>
      </c>
      <c r="DO249" s="151" t="s">
        <v>505</v>
      </c>
      <c r="DP249" s="259">
        <f>(EXP(LN('Ecoinvent 3.10'!$E$33)^2)-1)*EXP(2*LN(DP64)+LN('Ecoinvent 3.10'!$E$33)^2)</f>
        <v>1.3266715504313013E-4</v>
      </c>
      <c r="DQ249" s="259">
        <f>(EXP(LN('Ecoinvent 3.10'!$E$33)^2)-1)*EXP(2*LN(DQ64)+LN('Ecoinvent 3.10'!$E$33)^2)</f>
        <v>8.9911229561540702E-5</v>
      </c>
      <c r="DR249" s="259">
        <f>(EXP(LN('Ecoinvent 3.10'!$E$33)^2)-1)*EXP(2*LN(DR64)+LN('Ecoinvent 3.10'!$E$33)^2)</f>
        <v>1.7205580782777956E-4</v>
      </c>
      <c r="DS249" s="259">
        <f>(EXP(LN('Ecoinvent 3.10'!$E$33)^2)-1)*EXP(2*LN(DS64)+LN('Ecoinvent 3.10'!$E$33)^2)</f>
        <v>1.1487326498523763E-4</v>
      </c>
      <c r="DT249" s="259">
        <f>(EXP(LN('Ecoinvent 3.10'!$E$33)^2)-1)*EXP(2*LN(DT64)+LN('Ecoinvent 3.10'!$E$33)^2)</f>
        <v>1.7396488401625229E-4</v>
      </c>
      <c r="DU249" s="259">
        <f>(EXP(LN('Ecoinvent 3.10'!$E$33)^2)-1)*EXP(2*LN(DU64)+LN('Ecoinvent 3.10'!$E$33)^2)</f>
        <v>1.1642554146146617E-4</v>
      </c>
      <c r="DV249" s="259">
        <f>(EXP(LN('Ecoinvent 3.10'!$E$33)^2)-1)*EXP(2*LN(DV64)+LN('Ecoinvent 3.10'!$E$33)^2)</f>
        <v>1.1539329031819521E-4</v>
      </c>
      <c r="DW249" s="259">
        <f>(EXP(LN('Ecoinvent 3.10'!$E$33)^2)-1)*EXP(2*LN(DW64)+LN('Ecoinvent 3.10'!$E$33)^2)</f>
        <v>7.6937491517583699E-5</v>
      </c>
      <c r="DX249" s="259">
        <f>(EXP(LN('Ecoinvent 3.10'!$E$33)^2)-1)*EXP(2*LN(DX64)+LN('Ecoinvent 3.10'!$E$33)^2)</f>
        <v>8.6933870911563111E-5</v>
      </c>
      <c r="DY249" s="259">
        <f>(EXP(LN('Ecoinvent 3.10'!$E$33)^2)-1)*EXP(2*LN(DY64)+LN('Ecoinvent 3.10'!$E$33)^2)</f>
        <v>5.7669568967569591E-5</v>
      </c>
      <c r="DZ249" s="259">
        <f>(EXP(LN('Ecoinvent 3.10'!$E$33)^2)-1)*EXP(2*LN(DZ64)+LN('Ecoinvent 3.10'!$E$33)^2)</f>
        <v>2.8726162230997989E-4</v>
      </c>
      <c r="EA249" s="57">
        <f>(EXP(LN('Ecoinvent 3.10'!$E$33)^2)-1)*EXP(2*LN(EA64)+LN('Ecoinvent 3.10'!$E$33)^2)</f>
        <v>1.8992973963156374E-4</v>
      </c>
      <c r="EB249" s="259">
        <f>(EXP(LN('Ecoinvent 3.10'!$E$33)^2)-1)*EXP(2*LN(EB64)+LN('Ecoinvent 3.10'!$E$33)^2)</f>
        <v>5.0532773309453112E-4</v>
      </c>
      <c r="EC249" s="57">
        <f>(EXP(LN('Ecoinvent 3.10'!$E$33)^2)-1)*EXP(2*LN(EC64)+LN('Ecoinvent 3.10'!$E$33)^2)</f>
        <v>3.385384566650294E-4</v>
      </c>
      <c r="ED249" s="259">
        <f>(EXP(LN('Ecoinvent 3.10'!$E$33)^2)-1)*EXP(2*LN(ED64)+LN('Ecoinvent 3.10'!$E$33)^2)</f>
        <v>5.0722473362632776E-5</v>
      </c>
      <c r="EE249" s="259">
        <f>(EXP(LN('Ecoinvent 3.10'!$E$33)^2)-1)*EXP(2*LN(EE64)+LN('Ecoinvent 3.10'!$E$33)^2)</f>
        <v>2.6629040690339816E-5</v>
      </c>
      <c r="EH249" s="151" t="s">
        <v>505</v>
      </c>
      <c r="EI249" s="259">
        <f>(EXP(LN('Ecoinvent 3.10'!$E$33)^2)-1)*EXP(2*LN(EI64)+LN('Ecoinvent 3.10'!$E$33)^2)</f>
        <v>1.8266166907623006E-6</v>
      </c>
      <c r="EJ249" s="259">
        <f>(EXP(LN('Ecoinvent 3.10'!$E$33)^2)-1)*EXP(2*LN(EJ64)+LN('Ecoinvent 3.10'!$E$33)^2)</f>
        <v>1.2379352866252292E-6</v>
      </c>
      <c r="EK249" s="259">
        <f>(EXP(LN('Ecoinvent 3.10'!$E$33)^2)-1)*EXP(2*LN(EK64)+LN('Ecoinvent 3.10'!$E$33)^2)</f>
        <v>2.3689360808154855E-6</v>
      </c>
      <c r="EL249" s="259">
        <f>(EXP(LN('Ecoinvent 3.10'!$E$33)^2)-1)*EXP(2*LN(EL64)+LN('Ecoinvent 3.10'!$E$33)^2)</f>
        <v>1.5816229953539004E-6</v>
      </c>
      <c r="EM249" s="259">
        <f>(EXP(LN('Ecoinvent 3.10'!$E$33)^2)-1)*EXP(2*LN(EM64)+LN('Ecoinvent 3.10'!$E$33)^2)</f>
        <v>2.39522103754549E-6</v>
      </c>
      <c r="EN249" s="259">
        <f>(EXP(LN('Ecoinvent 3.10'!$E$33)^2)-1)*EXP(2*LN(EN64)+LN('Ecoinvent 3.10'!$E$33)^2)</f>
        <v>1.6029953849196132E-6</v>
      </c>
      <c r="EO249" s="259">
        <f>(EXP(LN('Ecoinvent 3.10'!$E$33)^2)-1)*EXP(2*LN(EO64)+LN('Ecoinvent 3.10'!$E$33)^2)</f>
        <v>1.588782920902092E-6</v>
      </c>
      <c r="EP249" s="259">
        <f>(EXP(LN('Ecoinvent 3.10'!$E$33)^2)-1)*EXP(2*LN(EP64)+LN('Ecoinvent 3.10'!$E$33)^2)</f>
        <v>1.0593074533460307E-6</v>
      </c>
      <c r="EQ249" s="259">
        <f>(EXP(LN('Ecoinvent 3.10'!$E$33)^2)-1)*EXP(2*LN(EQ64)+LN('Ecoinvent 3.10'!$E$33)^2)</f>
        <v>1.1969417716691977E-6</v>
      </c>
      <c r="ER249" s="259">
        <f>(EXP(LN('Ecoinvent 3.10'!$E$33)^2)-1)*EXP(2*LN(ER64)+LN('Ecoinvent 3.10'!$E$33)^2)</f>
        <v>7.9401866415982187E-7</v>
      </c>
      <c r="ES249" s="259">
        <f>(EXP(LN('Ecoinvent 3.10'!$E$33)^2)-1)*EXP(2*LN(ES64)+LN('Ecoinvent 3.10'!$E$33)^2)</f>
        <v>3.9551377562613687E-6</v>
      </c>
      <c r="ET249" s="57">
        <f>(EXP(LN('Ecoinvent 3.10'!$E$33)^2)-1)*EXP(2*LN(ET64)+LN('Ecoinvent 3.10'!$E$33)^2)</f>
        <v>2.6150318243454156E-6</v>
      </c>
      <c r="EU249" s="259">
        <f>(EXP(LN('Ecoinvent 3.10'!$E$33)^2)-1)*EXP(2*LN(EU64)+LN('Ecoinvent 3.10'!$E$33)^2)</f>
        <v>6.9575628668261272E-6</v>
      </c>
      <c r="EV249" s="57">
        <f>(EXP(LN('Ecoinvent 3.10'!$E$33)^2)-1)*EXP(2*LN(EV64)+LN('Ecoinvent 3.10'!$E$33)^2)</f>
        <v>4.6611385855694008E-6</v>
      </c>
      <c r="EW249" s="259">
        <f>(EXP(LN('Ecoinvent 3.10'!$E$33)^2)-1)*EXP(2*LN(EW64)+LN('Ecoinvent 3.10'!$E$33)^2)</f>
        <v>6.9836815608814728E-7</v>
      </c>
      <c r="EX249" s="259">
        <f>(EXP(LN('Ecoinvent 3.10'!$E$33)^2)-1)*EXP(2*LN(EX64)+LN('Ecoinvent 3.10'!$E$33)^2)</f>
        <v>3.6663973210362351E-7</v>
      </c>
      <c r="FA249" s="151" t="s">
        <v>505</v>
      </c>
      <c r="FB249" s="259">
        <f>(EXP(LN('Ecoinvent 3.10'!$E$33)^2)-1)*EXP(2*LN(FB64)+LN('Ecoinvent 3.10'!$E$33)^2)</f>
        <v>6.5443160952826254E-10</v>
      </c>
      <c r="FC249" s="259">
        <f>(EXP(LN('Ecoinvent 3.10'!$E$33)^2)-1)*EXP(2*LN(FC64)+LN('Ecoinvent 3.10'!$E$33)^2)</f>
        <v>4.4352161360131027E-10</v>
      </c>
      <c r="FD249" s="259">
        <f>(EXP(LN('Ecoinvent 3.10'!$E$33)^2)-1)*EXP(2*LN(FD64)+LN('Ecoinvent 3.10'!$E$33)^2)</f>
        <v>8.4873124179691274E-10</v>
      </c>
      <c r="FE249" s="259">
        <f>(EXP(LN('Ecoinvent 3.10'!$E$33)^2)-1)*EXP(2*LN(FE64)+LN('Ecoinvent 3.10'!$E$33)^2)</f>
        <v>5.6665642427936116E-10</v>
      </c>
      <c r="FF249" s="259">
        <f>(EXP(LN('Ecoinvent 3.10'!$E$33)^2)-1)*EXP(2*LN(FF64)+LN('Ecoinvent 3.10'!$E$33)^2)</f>
        <v>8.581484920750847E-10</v>
      </c>
      <c r="FG249" s="259">
        <f>(EXP(LN('Ecoinvent 3.10'!$E$33)^2)-1)*EXP(2*LN(FG64)+LN('Ecoinvent 3.10'!$E$33)^2)</f>
        <v>5.7431362317264343E-10</v>
      </c>
      <c r="FH249" s="259">
        <f>(EXP(LN('Ecoinvent 3.10'!$E$33)^2)-1)*EXP(2*LN(FH64)+LN('Ecoinvent 3.10'!$E$33)^2)</f>
        <v>5.6922164862243319E-10</v>
      </c>
      <c r="FI249" s="259">
        <f>(EXP(LN('Ecoinvent 3.10'!$E$33)^2)-1)*EXP(2*LN(FI64)+LN('Ecoinvent 3.10'!$E$33)^2)</f>
        <v>3.7952367630518945E-10</v>
      </c>
      <c r="FJ249" s="259">
        <f>(EXP(LN('Ecoinvent 3.10'!$E$33)^2)-1)*EXP(2*LN(FJ64)+LN('Ecoinvent 3.10'!$E$33)^2)</f>
        <v>4.2883465048060092E-10</v>
      </c>
      <c r="FK249" s="259">
        <f>(EXP(LN('Ecoinvent 3.10'!$E$33)^2)-1)*EXP(2*LN(FK64)+LN('Ecoinvent 3.10'!$E$33)^2)</f>
        <v>2.8447726061494419E-10</v>
      </c>
      <c r="FL249" s="259">
        <f>(EXP(LN('Ecoinvent 3.10'!$E$33)^2)-1)*EXP(2*LN(FL64)+LN('Ecoinvent 3.10'!$E$33)^2)</f>
        <v>1.4170280939762611E-9</v>
      </c>
      <c r="FM249" s="57">
        <f>(EXP(LN('Ecoinvent 3.10'!$E$33)^2)-1)*EXP(2*LN(FM64)+LN('Ecoinvent 3.10'!$E$33)^2)</f>
        <v>9.3690126364705356E-10</v>
      </c>
      <c r="FN249" s="259">
        <f>(EXP(LN('Ecoinvent 3.10'!$E$33)^2)-1)*EXP(2*LN(FN64)+LN('Ecoinvent 3.10'!$E$33)^2)</f>
        <v>2.4927227963907907E-9</v>
      </c>
      <c r="FO249" s="57">
        <f>(EXP(LN('Ecoinvent 3.10'!$E$33)^2)-1)*EXP(2*LN(FO64)+LN('Ecoinvent 3.10'!$E$33)^2)</f>
        <v>1.6699707400108406E-9</v>
      </c>
      <c r="FP249" s="259">
        <f>(EXP(LN('Ecoinvent 3.10'!$E$33)^2)-1)*EXP(2*LN(FP64)+LN('Ecoinvent 3.10'!$E$33)^2)</f>
        <v>2.502080478862357E-10</v>
      </c>
      <c r="FQ249" s="259">
        <f>(EXP(LN('Ecoinvent 3.10'!$E$33)^2)-1)*EXP(2*LN(FQ64)+LN('Ecoinvent 3.10'!$E$33)^2)</f>
        <v>1.3135795331939677E-10</v>
      </c>
      <c r="FT249" s="151" t="s">
        <v>505</v>
      </c>
      <c r="FU249" s="259">
        <f>(EXP(LN('Ecoinvent 3.10'!$E$33)^2)-1)*EXP(2*LN(FU64)+LN('Ecoinvent 3.10'!$E$33)^2)</f>
        <v>7.5218131765119713E-5</v>
      </c>
      <c r="FV249" s="259">
        <f>(EXP(LN('Ecoinvent 3.10'!$E$33)^2)-1)*EXP(2*LN(FV64)+LN('Ecoinvent 3.10'!$E$33)^2)</f>
        <v>5.0976857912761165E-5</v>
      </c>
      <c r="FW249" s="259">
        <f>(EXP(LN('Ecoinvent 3.10'!$E$33)^2)-1)*EXP(2*LN(FW64)+LN('Ecoinvent 3.10'!$E$33)^2)</f>
        <v>9.75502672077101E-5</v>
      </c>
      <c r="FX249" s="259">
        <f>(EXP(LN('Ecoinvent 3.10'!$E$33)^2)-1)*EXP(2*LN(FX64)+LN('Ecoinvent 3.10'!$E$33)^2)</f>
        <v>6.5129552066900583E-5</v>
      </c>
      <c r="FY249" s="259">
        <f>(EXP(LN('Ecoinvent 3.10'!$E$33)^2)-1)*EXP(2*LN(FY64)+LN('Ecoinvent 3.10'!$E$33)^2)</f>
        <v>9.863265375807754E-5</v>
      </c>
      <c r="FZ249" s="259">
        <f>(EXP(LN('Ecoinvent 3.10'!$E$33)^2)-1)*EXP(2*LN(FZ64)+LN('Ecoinvent 3.10'!$E$33)^2)</f>
        <v>6.6009644328522555E-5</v>
      </c>
      <c r="GA249" s="259">
        <f>(EXP(LN('Ecoinvent 3.10'!$E$33)^2)-1)*EXP(2*LN(GA64)+LN('Ecoinvent 3.10'!$E$33)^2)</f>
        <v>6.542439018265641E-5</v>
      </c>
      <c r="GB249" s="259">
        <f>(EXP(LN('Ecoinvent 3.10'!$E$33)^2)-1)*EXP(2*LN(GB64)+LN('Ecoinvent 3.10'!$E$33)^2)</f>
        <v>4.362115380228068E-5</v>
      </c>
      <c r="GC249" s="259">
        <f>(EXP(LN('Ecoinvent 3.10'!$E$33)^2)-1)*EXP(2*LN(GC64)+LN('Ecoinvent 3.10'!$E$33)^2)</f>
        <v>4.9288788584876408E-5</v>
      </c>
      <c r="GD249" s="259">
        <f>(EXP(LN('Ecoinvent 3.10'!$E$33)^2)-1)*EXP(2*LN(GD64)+LN('Ecoinvent 3.10'!$E$33)^2)</f>
        <v>3.2696843736719075E-5</v>
      </c>
      <c r="GE249" s="259">
        <f>(EXP(LN('Ecoinvent 3.10'!$E$33)^2)-1)*EXP(2*LN(GE64)+LN('Ecoinvent 3.10'!$E$33)^2)</f>
        <v>1.6286836444898197E-4</v>
      </c>
      <c r="GF249" s="57">
        <f>(EXP(LN('Ecoinvent 3.10'!$E$33)^2)-1)*EXP(2*LN(GF64)+LN('Ecoinvent 3.10'!$E$33)^2)</f>
        <v>1.0768422807497016E-4</v>
      </c>
      <c r="GG249" s="259">
        <f>(EXP(LN('Ecoinvent 3.10'!$E$33)^2)-1)*EXP(2*LN(GG64)+LN('Ecoinvent 3.10'!$E$33)^2)</f>
        <v>2.8650503585545857E-4</v>
      </c>
      <c r="GH249" s="57">
        <f>(EXP(LN('Ecoinvent 3.10'!$E$33)^2)-1)*EXP(2*LN(GH64)+LN('Ecoinvent 3.10'!$E$33)^2)</f>
        <v>1.9194072739942317E-4</v>
      </c>
      <c r="GI249" s="259">
        <f>(EXP(LN('Ecoinvent 3.10'!$E$33)^2)-1)*EXP(2*LN(GI64)+LN('Ecoinvent 3.10'!$E$33)^2)</f>
        <v>2.8758057588579082E-5</v>
      </c>
      <c r="GJ249" s="259">
        <f>(EXP(LN('Ecoinvent 3.10'!$E$33)^2)-1)*EXP(2*LN(GJ64)+LN('Ecoinvent 3.10'!$E$33)^2)</f>
        <v>1.5097834055260647E-5</v>
      </c>
      <c r="GM249" s="151" t="s">
        <v>505</v>
      </c>
      <c r="GN249" s="259">
        <f>(EXP(LN('Ecoinvent 3.10'!$E$33)^2)-1)*EXP(2*LN(GN64)+LN('Ecoinvent 3.10'!$E$33)^2)</f>
        <v>2.3988236805594993E-2</v>
      </c>
      <c r="GO249" s="259">
        <f>(EXP(LN('Ecoinvent 3.10'!$E$33)^2)-1)*EXP(2*LN(GO64)+LN('Ecoinvent 3.10'!$E$33)^2)</f>
        <v>1.6257316028999581E-2</v>
      </c>
      <c r="GP249" s="259">
        <f>(EXP(LN('Ecoinvent 3.10'!$E$33)^2)-1)*EXP(2*LN(GP64)+LN('Ecoinvent 3.10'!$E$33)^2)</f>
        <v>3.111030353073397E-2</v>
      </c>
      <c r="GQ249" s="259">
        <f>(EXP(LN('Ecoinvent 3.10'!$E$33)^2)-1)*EXP(2*LN(GQ64)+LN('Ecoinvent 3.10'!$E$33)^2)</f>
        <v>2.0770831199341658E-2</v>
      </c>
      <c r="GR249" s="259">
        <f>(EXP(LN('Ecoinvent 3.10'!$E$33)^2)-1)*EXP(2*LN(GR64)+LN('Ecoinvent 3.10'!$E$33)^2)</f>
        <v>3.1455493503897397E-2</v>
      </c>
      <c r="GS249" s="259">
        <f>(EXP(LN('Ecoinvent 3.10'!$E$33)^2)-1)*EXP(2*LN(GS64)+LN('Ecoinvent 3.10'!$E$33)^2)</f>
        <v>2.1051506364852063E-2</v>
      </c>
      <c r="GT249" s="259">
        <f>(EXP(LN('Ecoinvent 3.10'!$E$33)^2)-1)*EXP(2*LN(GT64)+LN('Ecoinvent 3.10'!$E$33)^2)</f>
        <v>2.0864859678567264E-2</v>
      </c>
      <c r="GU249" s="259">
        <f>(EXP(LN('Ecoinvent 3.10'!$E$33)^2)-1)*EXP(2*LN(GU64)+LN('Ecoinvent 3.10'!$E$33)^2)</f>
        <v>1.3911467123511094E-2</v>
      </c>
      <c r="GV249" s="259">
        <f>(EXP(LN('Ecoinvent 3.10'!$E$33)^2)-1)*EXP(2*LN(GV64)+LN('Ecoinvent 3.10'!$E$33)^2)</f>
        <v>1.5718964359909885E-2</v>
      </c>
      <c r="GW249" s="259">
        <f>(EXP(LN('Ecoinvent 3.10'!$E$33)^2)-1)*EXP(2*LN(GW64)+LN('Ecoinvent 3.10'!$E$33)^2)</f>
        <v>1.0427534052576251E-2</v>
      </c>
      <c r="GX249" s="259">
        <f>(EXP(LN('Ecoinvent 3.10'!$E$33)^2)-1)*EXP(2*LN(GX64)+LN('Ecoinvent 3.10'!$E$33)^2)</f>
        <v>5.1941264730452338E-2</v>
      </c>
      <c r="GY249" s="57">
        <f>(EXP(LN('Ecoinvent 3.10'!$E$33)^2)-1)*EXP(2*LN(GY64)+LN('Ecoinvent 3.10'!$E$33)^2)</f>
        <v>3.4342181900454335E-2</v>
      </c>
      <c r="GZ249" s="259">
        <f>(EXP(LN('Ecoinvent 3.10'!$E$33)^2)-1)*EXP(2*LN(GZ64)+LN('Ecoinvent 3.10'!$E$33)^2)</f>
        <v>9.1370929918300217E-2</v>
      </c>
      <c r="HA249" s="57">
        <f>(EXP(LN('Ecoinvent 3.10'!$E$33)^2)-1)*EXP(2*LN(HA64)+LN('Ecoinvent 3.10'!$E$33)^2)</f>
        <v>6.121289526138754E-2</v>
      </c>
      <c r="HB249" s="259">
        <f>(EXP(LN('Ecoinvent 3.10'!$E$33)^2)-1)*EXP(2*LN(HB64)+LN('Ecoinvent 3.10'!$E$33)^2)</f>
        <v>9.1713936429311024E-3</v>
      </c>
      <c r="HC249" s="259">
        <f>(EXP(LN('Ecoinvent 3.10'!$E$33)^2)-1)*EXP(2*LN(HC64)+LN('Ecoinvent 3.10'!$E$33)^2)</f>
        <v>4.8149350438548826E-3</v>
      </c>
      <c r="HF249" s="151" t="s">
        <v>505</v>
      </c>
      <c r="HG249" s="259">
        <f>(EXP(LN('Ecoinvent 3.10'!$E$33)^2)-1)*EXP(2*LN(HG64)+LN('Ecoinvent 3.10'!$E$33)^2)</f>
        <v>4.6078603207063773E-3</v>
      </c>
      <c r="HH249" s="259">
        <f>(EXP(LN('Ecoinvent 3.10'!$E$33)^2)-1)*EXP(2*LN(HH64)+LN('Ecoinvent 3.10'!$E$33)^2)</f>
        <v>3.122840668045209E-3</v>
      </c>
      <c r="HI249" s="259">
        <f>(EXP(LN('Ecoinvent 3.10'!$E$33)^2)-1)*EXP(2*LN(HI64)+LN('Ecoinvent 3.10'!$E$33)^2)</f>
        <v>5.9759262160929381E-3</v>
      </c>
      <c r="HJ249" s="259">
        <f>(EXP(LN('Ecoinvent 3.10'!$E$33)^2)-1)*EXP(2*LN(HJ64)+LN('Ecoinvent 3.10'!$E$33)^2)</f>
        <v>3.9898342544798229E-3</v>
      </c>
      <c r="HK249" s="259">
        <f>(EXP(LN('Ecoinvent 3.10'!$E$33)^2)-1)*EXP(2*LN(HK64)+LN('Ecoinvent 3.10'!$E$33)^2)</f>
        <v>6.0422331811831979E-3</v>
      </c>
      <c r="HL249" s="259">
        <f>(EXP(LN('Ecoinvent 3.10'!$E$33)^2)-1)*EXP(2*LN(HL64)+LN('Ecoinvent 3.10'!$E$33)^2)</f>
        <v>4.0437486779801518E-3</v>
      </c>
      <c r="HM249" s="259">
        <f>(EXP(LN('Ecoinvent 3.10'!$E$33)^2)-1)*EXP(2*LN(HM64)+LN('Ecoinvent 3.10'!$E$33)^2)</f>
        <v>4.0078960279211684E-3</v>
      </c>
      <c r="HN249" s="259">
        <f>(EXP(LN('Ecoinvent 3.10'!$E$33)^2)-1)*EXP(2*LN(HN64)+LN('Ecoinvent 3.10'!$E$33)^2)</f>
        <v>2.6722304719906287E-3</v>
      </c>
      <c r="HO249" s="259">
        <f>(EXP(LN('Ecoinvent 3.10'!$E$33)^2)-1)*EXP(2*LN(HO64)+LN('Ecoinvent 3.10'!$E$33)^2)</f>
        <v>3.0194295955813144E-3</v>
      </c>
      <c r="HP249" s="259">
        <f>(EXP(LN('Ecoinvent 3.10'!$E$33)^2)-1)*EXP(2*LN(HP64)+LN('Ecoinvent 3.10'!$E$33)^2)</f>
        <v>2.0030075904734213E-3</v>
      </c>
      <c r="HQ249" s="259">
        <f>(EXP(LN('Ecoinvent 3.10'!$E$33)^2)-1)*EXP(2*LN(HQ64)+LN('Ecoinvent 3.10'!$E$33)^2)</f>
        <v>9.9773107418605293E-3</v>
      </c>
      <c r="HR249" s="57">
        <f>(EXP(LN('Ecoinvent 3.10'!$E$33)^2)-1)*EXP(2*LN(HR64)+LN('Ecoinvent 3.10'!$E$33)^2)</f>
        <v>6.5967323312681181E-3</v>
      </c>
      <c r="HS249" s="259">
        <f>(EXP(LN('Ecoinvent 3.10'!$E$33)^2)-1)*EXP(2*LN(HS64)+LN('Ecoinvent 3.10'!$E$33)^2)</f>
        <v>1.7551289235996682E-2</v>
      </c>
      <c r="HT249" s="57">
        <f>(EXP(LN('Ecoinvent 3.10'!$E$33)^2)-1)*EXP(2*LN(HT64)+LN('Ecoinvent 3.10'!$E$33)^2)</f>
        <v>1.1758282756518209E-2</v>
      </c>
      <c r="HU249" s="259">
        <f>(EXP(LN('Ecoinvent 3.10'!$E$33)^2)-1)*EXP(2*LN(HU64)+LN('Ecoinvent 3.10'!$E$33)^2)</f>
        <v>1.7617176783490886E-3</v>
      </c>
      <c r="HV249" s="259">
        <f>(EXP(LN('Ecoinvent 3.10'!$E$33)^2)-1)*EXP(2*LN(HV64)+LN('Ecoinvent 3.10'!$E$33)^2)</f>
        <v>9.2489282622817731E-4</v>
      </c>
      <c r="HY249" s="151" t="s">
        <v>505</v>
      </c>
      <c r="HZ249" s="259">
        <f>(EXP(LN('Ecoinvent 3.10'!$E$33)^2)-1)*EXP(2*LN(HZ64)+LN('Ecoinvent 3.10'!$E$33)^2)</f>
        <v>1.174261414866251E-8</v>
      </c>
      <c r="IA249" s="259">
        <f>(EXP(LN('Ecoinvent 3.10'!$E$33)^2)-1)*EXP(2*LN(IA64)+LN('Ecoinvent 3.10'!$E$33)^2)</f>
        <v>7.9582084656127002E-9</v>
      </c>
      <c r="IB249" s="259">
        <f>(EXP(LN('Ecoinvent 3.10'!$E$33)^2)-1)*EXP(2*LN(IB64)+LN('Ecoinvent 3.10'!$E$33)^2)</f>
        <v>1.5228976325762128E-8</v>
      </c>
      <c r="IC249" s="259">
        <f>(EXP(LN('Ecoinvent 3.10'!$E$33)^2)-1)*EXP(2*LN(IC64)+LN('Ecoinvent 3.10'!$E$33)^2)</f>
        <v>1.0167644178999513E-8</v>
      </c>
      <c r="ID249" s="259">
        <f>(EXP(LN('Ecoinvent 3.10'!$E$33)^2)-1)*EXP(2*LN(ID64)+LN('Ecoinvent 3.10'!$E$33)^2)</f>
        <v>1.5397952174037068E-8</v>
      </c>
      <c r="IE249" s="259">
        <f>(EXP(LN('Ecoinvent 3.10'!$E$33)^2)-1)*EXP(2*LN(IE64)+LN('Ecoinvent 3.10'!$E$33)^2)</f>
        <v>1.0305039027833593E-8</v>
      </c>
      <c r="IF249" s="259">
        <f>(EXP(LN('Ecoinvent 3.10'!$E$33)^2)-1)*EXP(2*LN(IF64)+LN('Ecoinvent 3.10'!$E$33)^2)</f>
        <v>1.0213672578647209E-8</v>
      </c>
      <c r="IG249" s="259">
        <f>(EXP(LN('Ecoinvent 3.10'!$E$33)^2)-1)*EXP(2*LN(IG64)+LN('Ecoinvent 3.10'!$E$33)^2)</f>
        <v>6.8098790251684141E-9</v>
      </c>
      <c r="IH249" s="259">
        <f>(EXP(LN('Ecoinvent 3.10'!$E$33)^2)-1)*EXP(2*LN(IH64)+LN('Ecoinvent 3.10'!$E$33)^2)</f>
        <v>7.6946769698366274E-9</v>
      </c>
      <c r="II249" s="259">
        <f>(EXP(LN('Ecoinvent 3.10'!$E$33)^2)-1)*EXP(2*LN(II64)+LN('Ecoinvent 3.10'!$E$33)^2)</f>
        <v>5.1044397257610249E-9</v>
      </c>
      <c r="IJ249" s="259">
        <f>(EXP(LN('Ecoinvent 3.10'!$E$33)^2)-1)*EXP(2*LN(IJ64)+LN('Ecoinvent 3.10'!$E$33)^2)</f>
        <v>2.5426055073000472E-8</v>
      </c>
      <c r="IK249" s="57">
        <f>(EXP(LN('Ecoinvent 3.10'!$E$33)^2)-1)*EXP(2*LN(IK64)+LN('Ecoinvent 3.10'!$E$33)^2)</f>
        <v>1.6811030937720246E-8</v>
      </c>
      <c r="IL249" s="259">
        <f>(EXP(LN('Ecoinvent 3.10'!$E$33)^2)-1)*EXP(2*LN(IL64)+LN('Ecoinvent 3.10'!$E$33)^2)</f>
        <v>4.4727488023831415E-8</v>
      </c>
      <c r="IM249" s="57">
        <f>(EXP(LN('Ecoinvent 3.10'!$E$33)^2)-1)*EXP(2*LN(IM64)+LN('Ecoinvent 3.10'!$E$33)^2)</f>
        <v>2.9964662088433028E-8</v>
      </c>
      <c r="IN249" s="259">
        <f>(EXP(LN('Ecoinvent 3.10'!$E$33)^2)-1)*EXP(2*LN(IN64)+LN('Ecoinvent 3.10'!$E$33)^2)</f>
        <v>4.4895395033501167E-9</v>
      </c>
      <c r="IO249" s="259">
        <f>(EXP(LN('Ecoinvent 3.10'!$E$33)^2)-1)*EXP(2*LN(IO64)+LN('Ecoinvent 3.10'!$E$33)^2)</f>
        <v>2.3569854186896227E-9</v>
      </c>
    </row>
    <row r="250" spans="1:249" x14ac:dyDescent="0.2">
      <c r="A250" s="158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  <c r="AA250" s="158"/>
      <c r="AB250" s="158"/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41"/>
      <c r="AN250" s="156"/>
      <c r="AO250" s="158"/>
      <c r="AP250" s="726"/>
      <c r="AQ250" s="117" t="s">
        <v>446</v>
      </c>
      <c r="AR250" s="259">
        <f>AR251+AR252</f>
        <v>114.33980089954231</v>
      </c>
      <c r="AS250" s="57">
        <f t="shared" ref="AS250:BG250" si="3037">AS251+AS252</f>
        <v>86.223032170889297</v>
      </c>
      <c r="AT250" s="259">
        <f t="shared" si="3037"/>
        <v>146.77912525458896</v>
      </c>
      <c r="AU250" s="57">
        <f t="shared" si="3037"/>
        <v>104.92764888538444</v>
      </c>
      <c r="AV250" s="259">
        <f t="shared" si="3037"/>
        <v>142.60269119460523</v>
      </c>
      <c r="AW250" s="57">
        <f t="shared" si="3037"/>
        <v>102.54357722653131</v>
      </c>
      <c r="AX250" s="259">
        <f t="shared" si="3037"/>
        <v>120.55994030553475</v>
      </c>
      <c r="AY250" s="57">
        <f t="shared" si="3037"/>
        <v>89.7385758973127</v>
      </c>
      <c r="AZ250" s="259">
        <f t="shared" si="3037"/>
        <v>110.3194702448321</v>
      </c>
      <c r="BA250" s="57">
        <f t="shared" si="3037"/>
        <v>83.699866039351846</v>
      </c>
      <c r="BB250" s="259">
        <f t="shared" si="3037"/>
        <v>203.73542117504832</v>
      </c>
      <c r="BC250" s="57">
        <f t="shared" si="3037"/>
        <v>136.99860029493615</v>
      </c>
      <c r="BD250" s="259">
        <f t="shared" si="3037"/>
        <v>269.55857757574586</v>
      </c>
      <c r="BE250" s="57">
        <f t="shared" si="3037"/>
        <v>181.46918119508138</v>
      </c>
      <c r="BF250" s="259">
        <f t="shared" si="3037"/>
        <v>49.954005215816451</v>
      </c>
      <c r="BG250" s="57">
        <f t="shared" si="3037"/>
        <v>24.694972009697285</v>
      </c>
      <c r="BI250" s="156"/>
      <c r="BJ250" s="117" t="s">
        <v>446</v>
      </c>
      <c r="BK250" s="259">
        <f>BK251+BK252</f>
        <v>1.8300301104010064</v>
      </c>
      <c r="BL250" s="57">
        <f t="shared" ref="BL250:BZ250" si="3038">BL251+BL252</f>
        <v>1.3291288666866212</v>
      </c>
      <c r="BM250" s="259">
        <f t="shared" si="3038"/>
        <v>2.4386514464057396</v>
      </c>
      <c r="BN250" s="57">
        <f t="shared" si="3038"/>
        <v>1.6691675916051991</v>
      </c>
      <c r="BO250" s="259">
        <f t="shared" si="3038"/>
        <v>2.3592517155058044</v>
      </c>
      <c r="BP250" s="57">
        <f t="shared" si="3038"/>
        <v>1.6252081346661498</v>
      </c>
      <c r="BQ250" s="259">
        <f t="shared" si="3038"/>
        <v>1.9468022625112469</v>
      </c>
      <c r="BR250" s="57">
        <f t="shared" si="3038"/>
        <v>1.3933549031598651</v>
      </c>
      <c r="BS250" s="259">
        <f t="shared" si="3038"/>
        <v>1.7585543203869567</v>
      </c>
      <c r="BT250" s="57">
        <f t="shared" si="3038"/>
        <v>1.28605342374567</v>
      </c>
      <c r="BU250" s="259">
        <f t="shared" si="3038"/>
        <v>3.5422997492016148</v>
      </c>
      <c r="BV250" s="57">
        <f t="shared" si="3038"/>
        <v>2.2728399499151366</v>
      </c>
      <c r="BW250" s="259">
        <f t="shared" si="3038"/>
        <v>4.6824123368275652</v>
      </c>
      <c r="BX250" s="57">
        <f t="shared" si="3038"/>
        <v>3.0079462858772983</v>
      </c>
      <c r="BY250" s="259">
        <f t="shared" si="3038"/>
        <v>1.213589467106416</v>
      </c>
      <c r="BZ250" s="57">
        <f t="shared" si="3038"/>
        <v>0.6342110323853889</v>
      </c>
      <c r="CA250" s="156"/>
      <c r="CB250" s="156"/>
      <c r="CC250" s="117" t="s">
        <v>446</v>
      </c>
      <c r="CD250" s="259">
        <f>CD251+CD252</f>
        <v>36.029507819326156</v>
      </c>
      <c r="CE250" s="57">
        <f t="shared" ref="CE250:CS250" si="3039">CE251+CE252</f>
        <v>26.905334814341078</v>
      </c>
      <c r="CF250" s="259">
        <f t="shared" si="3039"/>
        <v>46.715930123518696</v>
      </c>
      <c r="CG250" s="57">
        <f t="shared" si="3039"/>
        <v>33.01057121517767</v>
      </c>
      <c r="CH250" s="259">
        <f t="shared" si="3039"/>
        <v>45.334682440778792</v>
      </c>
      <c r="CI250" s="57">
        <f t="shared" si="3039"/>
        <v>32.229191415059873</v>
      </c>
      <c r="CJ250" s="259">
        <f t="shared" si="3039"/>
        <v>38.078964323600069</v>
      </c>
      <c r="CK250" s="57">
        <f t="shared" si="3039"/>
        <v>28.054456703915793</v>
      </c>
      <c r="CL250" s="259">
        <f t="shared" si="3039"/>
        <v>34.725631466282678</v>
      </c>
      <c r="CM250" s="57">
        <f t="shared" si="3039"/>
        <v>26.096280745375275</v>
      </c>
      <c r="CN250" s="259">
        <f t="shared" si="3039"/>
        <v>65.6609575137024</v>
      </c>
      <c r="CO250" s="57">
        <f t="shared" si="3039"/>
        <v>43.585834383284379</v>
      </c>
      <c r="CP250" s="259">
        <f t="shared" si="3039"/>
        <v>86.852262851442617</v>
      </c>
      <c r="CQ250" s="57">
        <f t="shared" si="3039"/>
        <v>57.720185976721126</v>
      </c>
      <c r="CR250" s="259">
        <f t="shared" si="3039"/>
        <v>17.891757550931771</v>
      </c>
      <c r="CS250" s="57">
        <f t="shared" si="3039"/>
        <v>9.022864740485506</v>
      </c>
      <c r="CV250" s="117" t="s">
        <v>446</v>
      </c>
      <c r="CW250" s="259">
        <f>CW251+CW252</f>
        <v>1.7909771200520556E-5</v>
      </c>
      <c r="CX250" s="57">
        <f t="shared" ref="CX250:DL250" si="3040">CX251+CX252</f>
        <v>1.378404173987102E-5</v>
      </c>
      <c r="CY250" s="259">
        <f t="shared" si="3040"/>
        <v>2.2501753535146485E-5</v>
      </c>
      <c r="CZ250" s="57">
        <f t="shared" si="3040"/>
        <v>1.649139058289534E-5</v>
      </c>
      <c r="DA250" s="259">
        <f t="shared" si="3040"/>
        <v>2.1916255193068285E-5</v>
      </c>
      <c r="DB250" s="57">
        <f t="shared" si="3040"/>
        <v>1.6149697936480674E-5</v>
      </c>
      <c r="DC250" s="259">
        <f t="shared" si="3040"/>
        <v>1.8789881613809099E-5</v>
      </c>
      <c r="DD250" s="57">
        <f t="shared" si="3040"/>
        <v>1.4291163280645024E-5</v>
      </c>
      <c r="DE250" s="259">
        <f t="shared" si="3040"/>
        <v>1.7319044101859393E-5</v>
      </c>
      <c r="DF250" s="57">
        <f t="shared" si="3040"/>
        <v>1.3403547141626047E-5</v>
      </c>
      <c r="DG250" s="259">
        <f t="shared" si="3040"/>
        <v>3.0372554666448842E-5</v>
      </c>
      <c r="DH250" s="57">
        <f t="shared" si="3040"/>
        <v>2.1020492268135087E-5</v>
      </c>
      <c r="DI250" s="259">
        <f t="shared" si="3040"/>
        <v>4.0209104091276926E-5</v>
      </c>
      <c r="DJ250" s="57">
        <f t="shared" si="3040"/>
        <v>2.7858486015211986E-5</v>
      </c>
      <c r="DK250" s="259">
        <f t="shared" si="3040"/>
        <v>5.5594528528676196E-6</v>
      </c>
      <c r="DL250" s="57">
        <f t="shared" si="3040"/>
        <v>2.5608748024230529E-6</v>
      </c>
      <c r="DO250" s="117" t="s">
        <v>446</v>
      </c>
      <c r="DP250" s="259">
        <f>DP251+DP252</f>
        <v>6.8481358525950773E-5</v>
      </c>
      <c r="DQ250" s="57">
        <f t="shared" ref="DQ250:EE250" si="3041">DQ251+DQ252</f>
        <v>5.0045112763931425E-5</v>
      </c>
      <c r="DR250" s="259">
        <f t="shared" si="3041"/>
        <v>9.0715394209006829E-5</v>
      </c>
      <c r="DS250" s="57">
        <f t="shared" si="3041"/>
        <v>6.2523577888172751E-5</v>
      </c>
      <c r="DT250" s="259">
        <f t="shared" si="3041"/>
        <v>8.7820158425277138E-5</v>
      </c>
      <c r="DU250" s="57">
        <f t="shared" si="3041"/>
        <v>6.0913684248050301E-5</v>
      </c>
      <c r="DV250" s="259">
        <f t="shared" si="3041"/>
        <v>7.2746889937302302E-5</v>
      </c>
      <c r="DW250" s="57">
        <f t="shared" si="3041"/>
        <v>5.2400346600079237E-5</v>
      </c>
      <c r="DX250" s="259">
        <f t="shared" si="3041"/>
        <v>6.5849813277524033E-5</v>
      </c>
      <c r="DY250" s="57">
        <f t="shared" si="3041"/>
        <v>4.8449479127563934E-5</v>
      </c>
      <c r="DZ250" s="259">
        <f t="shared" si="3041"/>
        <v>1.308527612188959E-4</v>
      </c>
      <c r="EA250" s="57">
        <f t="shared" si="3041"/>
        <v>8.4566688569091776E-5</v>
      </c>
      <c r="EB250" s="259">
        <f t="shared" si="3041"/>
        <v>1.7299275759655828E-4</v>
      </c>
      <c r="EC250" s="57">
        <f t="shared" si="3041"/>
        <v>1.1193375112697908E-4</v>
      </c>
      <c r="ED250" s="259">
        <f t="shared" si="3041"/>
        <v>4.2908021394939778E-5</v>
      </c>
      <c r="EE250" s="57">
        <f t="shared" si="3041"/>
        <v>2.2286738145598101E-5</v>
      </c>
      <c r="EH250" s="117" t="s">
        <v>446</v>
      </c>
      <c r="EI250" s="259">
        <f>EI251+EI252</f>
        <v>3.3043126758153842E-4</v>
      </c>
      <c r="EJ250" s="57">
        <f t="shared" ref="EJ250:EX250" si="3042">EJ251+EJ252</f>
        <v>2.5454034962696501E-4</v>
      </c>
      <c r="EK250" s="259">
        <f t="shared" si="3042"/>
        <v>4.147518832180531E-4</v>
      </c>
      <c r="EL250" s="57">
        <f t="shared" si="3042"/>
        <v>3.0430822351243988E-4</v>
      </c>
      <c r="EM250" s="259">
        <f t="shared" si="3042"/>
        <v>4.0400579035516411E-4</v>
      </c>
      <c r="EN250" s="57">
        <f t="shared" si="3042"/>
        <v>2.9803005115793414E-4</v>
      </c>
      <c r="EO250" s="259">
        <f t="shared" si="3042"/>
        <v>3.4659200887666948E-4</v>
      </c>
      <c r="EP250" s="57">
        <f t="shared" si="3042"/>
        <v>2.6386098852903509E-4</v>
      </c>
      <c r="EQ250" s="259">
        <f t="shared" si="3042"/>
        <v>3.195644106455545E-4</v>
      </c>
      <c r="ER250" s="57">
        <f t="shared" si="3042"/>
        <v>2.4753236260672499E-4</v>
      </c>
      <c r="ES250" s="259">
        <f t="shared" si="3042"/>
        <v>5.591064135377201E-4</v>
      </c>
      <c r="ET250" s="57">
        <f t="shared" si="3042"/>
        <v>3.8746446513277649E-4</v>
      </c>
      <c r="EU250" s="259">
        <f t="shared" si="3042"/>
        <v>7.4020075977971949E-4</v>
      </c>
      <c r="EV250" s="57">
        <f t="shared" si="3042"/>
        <v>5.1351937622326786E-4</v>
      </c>
      <c r="EW250" s="259">
        <f t="shared" si="3042"/>
        <v>1.0071651734580648E-4</v>
      </c>
      <c r="EX250" s="57">
        <f t="shared" si="3042"/>
        <v>4.6177515076398412E-5</v>
      </c>
      <c r="FA250" s="117" t="s">
        <v>446</v>
      </c>
      <c r="FB250" s="259">
        <f>FB251+FB252</f>
        <v>1.1719336169711446E-6</v>
      </c>
      <c r="FC250" s="57">
        <f t="shared" ref="FC250:FQ250" si="3043">FC251+FC252</f>
        <v>9.0291349538203653E-7</v>
      </c>
      <c r="FD250" s="259">
        <f t="shared" si="3043"/>
        <v>1.4707446943856838E-6</v>
      </c>
      <c r="FE250" s="57">
        <f t="shared" si="3043"/>
        <v>1.0793118021200574E-6</v>
      </c>
      <c r="FF250" s="259">
        <f t="shared" si="3043"/>
        <v>1.4326664423946732E-6</v>
      </c>
      <c r="FG250" s="57">
        <f t="shared" si="3043"/>
        <v>1.0570611709669404E-6</v>
      </c>
      <c r="FH250" s="259">
        <f t="shared" si="3043"/>
        <v>1.2292030061436218E-6</v>
      </c>
      <c r="FI250" s="57">
        <f t="shared" si="3043"/>
        <v>9.359488184325331E-7</v>
      </c>
      <c r="FJ250" s="259">
        <f t="shared" si="3043"/>
        <v>1.1334120632355199E-6</v>
      </c>
      <c r="FK250" s="57">
        <f t="shared" si="3043"/>
        <v>8.7806585245070868E-7</v>
      </c>
      <c r="FL250" s="259">
        <f t="shared" si="3043"/>
        <v>1.9821932353608496E-6</v>
      </c>
      <c r="FM250" s="57">
        <f t="shared" si="3043"/>
        <v>1.3739906024911835E-6</v>
      </c>
      <c r="FN250" s="259">
        <f t="shared" si="3043"/>
        <v>2.6242374654156353E-6</v>
      </c>
      <c r="FO250" s="57">
        <f t="shared" si="3043"/>
        <v>1.8210023958459355E-6</v>
      </c>
      <c r="FP250" s="259">
        <f t="shared" si="3043"/>
        <v>3.560651042641204E-7</v>
      </c>
      <c r="FQ250" s="57">
        <f t="shared" si="3043"/>
        <v>1.6311657500909405E-7</v>
      </c>
      <c r="FT250" s="117" t="s">
        <v>446</v>
      </c>
      <c r="FU250" s="259">
        <f>FU251+FU252</f>
        <v>1.6928797242612161E-3</v>
      </c>
      <c r="FV250" s="57">
        <f t="shared" ref="FV250:GJ250" si="3044">FV251+FV252</f>
        <v>1.303258376358482E-3</v>
      </c>
      <c r="FW250" s="259">
        <f t="shared" si="3044"/>
        <v>2.1263046957515066E-3</v>
      </c>
      <c r="FX250" s="57">
        <f t="shared" si="3044"/>
        <v>1.5588816043141059E-3</v>
      </c>
      <c r="FY250" s="259">
        <f t="shared" si="3044"/>
        <v>2.0710490832399988E-3</v>
      </c>
      <c r="FZ250" s="57">
        <f t="shared" si="3044"/>
        <v>1.5266242233789157E-3</v>
      </c>
      <c r="GA250" s="259">
        <f t="shared" si="3044"/>
        <v>1.7759504546744844E-3</v>
      </c>
      <c r="GB250" s="57">
        <f t="shared" si="3044"/>
        <v>1.3511375477379827E-3</v>
      </c>
      <c r="GC250" s="259">
        <f t="shared" si="3044"/>
        <v>1.637092165601336E-3</v>
      </c>
      <c r="GD250" s="57">
        <f t="shared" si="3044"/>
        <v>1.2673117127029953E-3</v>
      </c>
      <c r="GE250" s="259">
        <f t="shared" si="3044"/>
        <v>2.8689391130229647E-3</v>
      </c>
      <c r="GF250" s="57">
        <f t="shared" si="3044"/>
        <v>1.986356346292596E-3</v>
      </c>
      <c r="GG250" s="259">
        <f t="shared" si="3044"/>
        <v>3.798114289264941E-3</v>
      </c>
      <c r="GH250" s="57">
        <f t="shared" si="3044"/>
        <v>2.632539629765633E-3</v>
      </c>
      <c r="GI250" s="259">
        <f t="shared" si="3044"/>
        <v>5.2261644456771386E-4</v>
      </c>
      <c r="GJ250" s="57">
        <f t="shared" si="3044"/>
        <v>2.403998457432943E-4</v>
      </c>
      <c r="GM250" s="117" t="s">
        <v>446</v>
      </c>
      <c r="GN250" s="259">
        <f>GN251+GN252</f>
        <v>2.5700113925736141E-2</v>
      </c>
      <c r="GO250" s="57">
        <f t="shared" ref="GO250:HC250" si="3045">GO251+GO252</f>
        <v>1.9575255003487158E-2</v>
      </c>
      <c r="GP250" s="259">
        <f t="shared" si="3045"/>
        <v>3.2648926532928536E-2</v>
      </c>
      <c r="GQ250" s="57">
        <f t="shared" si="3045"/>
        <v>2.362369565563175E-2</v>
      </c>
      <c r="GR250" s="259">
        <f t="shared" si="3045"/>
        <v>3.17582867815751E-2</v>
      </c>
      <c r="GS250" s="57">
        <f t="shared" si="3045"/>
        <v>2.3110054664493514E-2</v>
      </c>
      <c r="GT250" s="259">
        <f t="shared" si="3045"/>
        <v>2.7032255472715594E-2</v>
      </c>
      <c r="GU250" s="57">
        <f t="shared" si="3045"/>
        <v>2.0334952978486805E-2</v>
      </c>
      <c r="GV250" s="259">
        <f t="shared" si="3045"/>
        <v>2.4823777725832465E-2</v>
      </c>
      <c r="GW250" s="57">
        <f t="shared" si="3045"/>
        <v>1.9018435158192001E-2</v>
      </c>
      <c r="GX250" s="259">
        <f t="shared" si="3045"/>
        <v>4.4715264542461546E-2</v>
      </c>
      <c r="GY250" s="57">
        <f t="shared" si="3045"/>
        <v>3.0486081855344301E-2</v>
      </c>
      <c r="GZ250" s="259">
        <f t="shared" si="3045"/>
        <v>5.9178563847136399E-2</v>
      </c>
      <c r="HA250" s="57">
        <f t="shared" si="3045"/>
        <v>4.0392283290161306E-2</v>
      </c>
      <c r="HB250" s="259">
        <f t="shared" si="3045"/>
        <v>9.6419506305357033E-3</v>
      </c>
      <c r="HC250" s="57">
        <f t="shared" si="3045"/>
        <v>4.6352659541312059E-3</v>
      </c>
      <c r="HF250" s="117" t="s">
        <v>446</v>
      </c>
      <c r="HG250" s="259">
        <f>HG251+HG252</f>
        <v>2.1094281499549652</v>
      </c>
      <c r="HH250" s="57">
        <f t="shared" ref="HH250:HV250" si="3046">HH251+HH252</f>
        <v>1.6250149932321458</v>
      </c>
      <c r="HI250" s="259">
        <f t="shared" si="3046"/>
        <v>2.6476067935869612</v>
      </c>
      <c r="HJ250" s="57">
        <f t="shared" si="3046"/>
        <v>1.9426750746267545</v>
      </c>
      <c r="HK250" s="259">
        <f t="shared" si="3046"/>
        <v>2.5790210207609183</v>
      </c>
      <c r="HL250" s="57">
        <f t="shared" si="3046"/>
        <v>1.9026033885133415</v>
      </c>
      <c r="HM250" s="259">
        <f t="shared" si="3046"/>
        <v>2.2125744255080666</v>
      </c>
      <c r="HN250" s="57">
        <f t="shared" si="3046"/>
        <v>1.684506653014296</v>
      </c>
      <c r="HO250" s="259">
        <f t="shared" si="3046"/>
        <v>2.0400646000541944</v>
      </c>
      <c r="HP250" s="57">
        <f t="shared" si="3046"/>
        <v>1.5802803511377153</v>
      </c>
      <c r="HQ250" s="259">
        <f t="shared" si="3046"/>
        <v>3.5689044574909881</v>
      </c>
      <c r="HR250" s="57">
        <f t="shared" si="3046"/>
        <v>2.4734193203045374</v>
      </c>
      <c r="HS250" s="259">
        <f t="shared" si="3046"/>
        <v>4.7248769570050984</v>
      </c>
      <c r="HT250" s="57">
        <f t="shared" si="3046"/>
        <v>3.278107267467282</v>
      </c>
      <c r="HU250" s="259">
        <f t="shared" si="3046"/>
        <v>0.64243881867791897</v>
      </c>
      <c r="HV250" s="57">
        <f t="shared" si="3046"/>
        <v>0.29448988259559894</v>
      </c>
      <c r="HY250" s="117" t="s">
        <v>446</v>
      </c>
      <c r="HZ250" s="259">
        <f>HZ251+HZ252</f>
        <v>3.025934190685479E-6</v>
      </c>
      <c r="IA250" s="57">
        <f t="shared" ref="IA250:IO250" si="3047">IA251+IA252</f>
        <v>2.3290118896597441E-6</v>
      </c>
      <c r="IB250" s="259">
        <f t="shared" si="3047"/>
        <v>3.8015276443416557E-6</v>
      </c>
      <c r="IC250" s="57">
        <f t="shared" si="3047"/>
        <v>2.7863202417465312E-6</v>
      </c>
      <c r="ID250" s="259">
        <f t="shared" si="3047"/>
        <v>3.7026391219495102E-6</v>
      </c>
      <c r="IE250" s="57">
        <f t="shared" si="3047"/>
        <v>2.7286054788961399E-6</v>
      </c>
      <c r="IF250" s="259">
        <f t="shared" si="3047"/>
        <v>3.1745860909063259E-6</v>
      </c>
      <c r="IG250" s="57">
        <f t="shared" si="3047"/>
        <v>2.4146707489651658E-6</v>
      </c>
      <c r="IH250" s="259">
        <f t="shared" si="3047"/>
        <v>2.9261475614967648E-6</v>
      </c>
      <c r="II250" s="57">
        <f t="shared" si="3047"/>
        <v>2.2647329485946127E-6</v>
      </c>
      <c r="IJ250" s="259">
        <f t="shared" si="3047"/>
        <v>5.1308140862934992E-6</v>
      </c>
      <c r="IK250" s="57">
        <f t="shared" si="3047"/>
        <v>3.551287171577543E-6</v>
      </c>
      <c r="IL250" s="259">
        <f t="shared" si="3047"/>
        <v>6.7925077341929483E-6</v>
      </c>
      <c r="IM250" s="57">
        <f t="shared" si="3047"/>
        <v>4.7065329350175466E-6</v>
      </c>
      <c r="IN250" s="259">
        <f t="shared" si="3047"/>
        <v>9.3817309880890937E-7</v>
      </c>
      <c r="IO250" s="57">
        <f t="shared" si="3047"/>
        <v>4.3202418241928099E-7</v>
      </c>
    </row>
    <row r="251" spans="1:249" x14ac:dyDescent="0.2">
      <c r="A251" s="158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  <c r="AA251" s="158"/>
      <c r="AB251" s="158"/>
      <c r="AC251" s="158"/>
      <c r="AD251" s="158"/>
      <c r="AE251" s="158"/>
      <c r="AF251" s="158"/>
      <c r="AG251" s="158"/>
      <c r="AH251" s="158"/>
      <c r="AI251" s="158"/>
      <c r="AJ251" s="158"/>
      <c r="AK251" s="158"/>
      <c r="AL251" s="158"/>
      <c r="AM251" s="94"/>
      <c r="AN251" s="156"/>
      <c r="AO251" s="158"/>
      <c r="AP251" s="726"/>
      <c r="AQ251" s="123" t="s">
        <v>431</v>
      </c>
      <c r="AR251" s="224">
        <f>(EXP(LN('Ecoinvent 3.10'!$E$34)^2)-1)*EXP(2*LN(AR66)+LN('Ecoinvent 3.10'!$E$34)^2)</f>
        <v>107.35716618421004</v>
      </c>
      <c r="AS251" s="50">
        <f>(EXP(LN('Ecoinvent 3.10'!$E$34)^2)-1)*EXP(2*LN(AS66)+LN('Ecoinvent 3.10'!$E$34)^2)</f>
        <v>82.715088148062819</v>
      </c>
      <c r="AT251" s="224">
        <f>(EXP(LN('Ecoinvent 3.10'!$E$34)^2)-1)*EXP(2*LN(AT66)+LN('Ecoinvent 3.10'!$E$34)^2)</f>
        <v>134.72677642863687</v>
      </c>
      <c r="AU251" s="50">
        <f>(EXP(LN('Ecoinvent 3.10'!$E$34)^2)-1)*EXP(2*LN(AU66)+LN('Ecoinvent 3.10'!$E$34)^2)</f>
        <v>98.872776083262409</v>
      </c>
      <c r="AV251" s="224">
        <f>(EXP(LN('Ecoinvent 3.10'!$E$34)^2)-1)*EXP(2*LN(AV66)+LN('Ecoinvent 3.10'!$E$34)^2)</f>
        <v>131.23904356875943</v>
      </c>
      <c r="AW251" s="50">
        <f>(EXP(LN('Ecoinvent 3.10'!$E$34)^2)-1)*EXP(2*LN(AW66)+LN('Ecoinvent 3.10'!$E$34)^2)</f>
        <v>96.83469492182445</v>
      </c>
      <c r="AX251" s="224">
        <f>(EXP(LN('Ecoinvent 3.10'!$E$34)^2)-1)*EXP(2*LN(AX66)+LN('Ecoinvent 3.10'!$E$34)^2)</f>
        <v>112.60275460707598</v>
      </c>
      <c r="AY251" s="50">
        <f>(EXP(LN('Ecoinvent 3.10'!$E$34)^2)-1)*EXP(2*LN(AY66)+LN('Ecoinvent 3.10'!$E$34)^2)</f>
        <v>85.741035835803046</v>
      </c>
      <c r="AZ251" s="224">
        <f>(EXP(LN('Ecoinvent 3.10'!$E$34)^2)-1)*EXP(2*LN(AZ66)+LN('Ecoinvent 3.10'!$E$34)^2)</f>
        <v>103.82860929544292</v>
      </c>
      <c r="BA251" s="50">
        <f>(EXP(LN('Ecoinvent 3.10'!$E$34)^2)-1)*EXP(2*LN(BA66)+LN('Ecoinvent 3.10'!$E$34)^2)</f>
        <v>80.438979884100036</v>
      </c>
      <c r="BB251" s="224">
        <f>(EXP(LN('Ecoinvent 3.10'!$E$34)^2)-1)*EXP(2*LN(BB66)+LN('Ecoinvent 3.10'!$E$34)^2)</f>
        <v>181.57138003836505</v>
      </c>
      <c r="BC251" s="50">
        <f>(EXP(LN('Ecoinvent 3.10'!$E$34)^2)-1)*EXP(2*LN(BC66)+LN('Ecoinvent 3.10'!$E$34)^2)</f>
        <v>125.86380393269961</v>
      </c>
      <c r="BD251" s="224">
        <f>(EXP(LN('Ecoinvent 3.10'!$E$34)^2)-1)*EXP(2*LN(BD66)+LN('Ecoinvent 3.10'!$E$34)^2)</f>
        <v>240.38361545695707</v>
      </c>
      <c r="BE251" s="50">
        <f>(EXP(LN('Ecoinvent 3.10'!$E$34)^2)-1)*EXP(2*LN(BE66)+LN('Ecoinvent 3.10'!$E$34)^2)</f>
        <v>166.81223032293138</v>
      </c>
      <c r="BF251" s="224">
        <f>(EXP(LN('Ecoinvent 3.10'!$E$34)^2)-1)*EXP(2*LN(BF66)+LN('Ecoinvent 3.10'!$E$34)^2)</f>
        <v>32.601634559364136</v>
      </c>
      <c r="BG251" s="50">
        <f>(EXP(LN('Ecoinvent 3.10'!$E$34)^2)-1)*EXP(2*LN(BG66)+LN('Ecoinvent 3.10'!$E$34)^2)</f>
        <v>14.933148706350778</v>
      </c>
      <c r="BI251" s="156"/>
      <c r="BJ251" s="123" t="s">
        <v>431</v>
      </c>
      <c r="BK251" s="224">
        <f>(EXP(LN('Ecoinvent 3.10'!$E$34)^2)-1)*EXP(2*LN(BK66)+LN('Ecoinvent 3.10'!$E$34)^2)</f>
        <v>1.5284550487221151</v>
      </c>
      <c r="BL251" s="50">
        <f>(EXP(LN('Ecoinvent 3.10'!$E$34)^2)-1)*EXP(2*LN(BL66)+LN('Ecoinvent 3.10'!$E$34)^2)</f>
        <v>1.1776232419219361</v>
      </c>
      <c r="BM251" s="224">
        <f>(EXP(LN('Ecoinvent 3.10'!$E$34)^2)-1)*EXP(2*LN(BM66)+LN('Ecoinvent 3.10'!$E$34)^2)</f>
        <v>1.9181190129131103</v>
      </c>
      <c r="BN251" s="50">
        <f>(EXP(LN('Ecoinvent 3.10'!$E$34)^2)-1)*EXP(2*LN(BN66)+LN('Ecoinvent 3.10'!$E$34)^2)</f>
        <v>1.4076619117006901</v>
      </c>
      <c r="BO251" s="224">
        <f>(EXP(LN('Ecoinvent 3.10'!$E$34)^2)-1)*EXP(2*LN(BO66)+LN('Ecoinvent 3.10'!$E$34)^2)</f>
        <v>1.8684638004317502</v>
      </c>
      <c r="BP251" s="50">
        <f>(EXP(LN('Ecoinvent 3.10'!$E$34)^2)-1)*EXP(2*LN(BP66)+LN('Ecoinvent 3.10'!$E$34)^2)</f>
        <v>1.3786455399797719</v>
      </c>
      <c r="BQ251" s="224">
        <f>(EXP(LN('Ecoinvent 3.10'!$E$34)^2)-1)*EXP(2*LN(BQ66)+LN('Ecoinvent 3.10'!$E$34)^2)</f>
        <v>1.6031370321743477</v>
      </c>
      <c r="BR251" s="50">
        <f>(EXP(LN('Ecoinvent 3.10'!$E$34)^2)-1)*EXP(2*LN(BR66)+LN('Ecoinvent 3.10'!$E$34)^2)</f>
        <v>1.2207039712750163</v>
      </c>
      <c r="BS251" s="224">
        <f>(EXP(LN('Ecoinvent 3.10'!$E$34)^2)-1)*EXP(2*LN(BS66)+LN('Ecoinvent 3.10'!$E$34)^2)</f>
        <v>1.4782186203305054</v>
      </c>
      <c r="BT251" s="50">
        <f>(EXP(LN('Ecoinvent 3.10'!$E$34)^2)-1)*EXP(2*LN(BT66)+LN('Ecoinvent 3.10'!$E$34)^2)</f>
        <v>1.1452180537901746</v>
      </c>
      <c r="BU251" s="224">
        <f>(EXP(LN('Ecoinvent 3.10'!$E$34)^2)-1)*EXP(2*LN(BU66)+LN('Ecoinvent 3.10'!$E$34)^2)</f>
        <v>2.5850504664671274</v>
      </c>
      <c r="BV251" s="50">
        <f>(EXP(LN('Ecoinvent 3.10'!$E$34)^2)-1)*EXP(2*LN(BV66)+LN('Ecoinvent 3.10'!$E$34)^2)</f>
        <v>1.7919359592839164</v>
      </c>
      <c r="BW251" s="224">
        <f>(EXP(LN('Ecoinvent 3.10'!$E$34)^2)-1)*EXP(2*LN(BW66)+LN('Ecoinvent 3.10'!$E$34)^2)</f>
        <v>3.4223663285301993</v>
      </c>
      <c r="BX251" s="50">
        <f>(EXP(LN('Ecoinvent 3.10'!$E$34)^2)-1)*EXP(2*LN(BX66)+LN('Ecoinvent 3.10'!$E$34)^2)</f>
        <v>2.3749229295806509</v>
      </c>
      <c r="BY251" s="224">
        <f>(EXP(LN('Ecoinvent 3.10'!$E$34)^2)-1)*EXP(2*LN(BY66)+LN('Ecoinvent 3.10'!$E$34)^2)</f>
        <v>0.4641528340395269</v>
      </c>
      <c r="BZ251" s="50">
        <f>(EXP(LN('Ecoinvent 3.10'!$E$34)^2)-1)*EXP(2*LN(BZ66)+LN('Ecoinvent 3.10'!$E$34)^2)</f>
        <v>0.21260477846794168</v>
      </c>
      <c r="CA251" s="156"/>
      <c r="CB251" s="156"/>
      <c r="CC251" s="123" t="s">
        <v>431</v>
      </c>
      <c r="CD251" s="224">
        <f>(EXP(LN('Ecoinvent 3.10'!$E$34)^2)-1)*EXP(2*LN(CD66)+LN('Ecoinvent 3.10'!$E$34)^2)</f>
        <v>32.843245289483519</v>
      </c>
      <c r="CE251" s="50">
        <f>(EXP(LN('Ecoinvent 3.10'!$E$34)^2)-1)*EXP(2*LN(CE66)+LN('Ecoinvent 3.10'!$E$34)^2)</f>
        <v>25.304616596592293</v>
      </c>
      <c r="CF251" s="224">
        <f>(EXP(LN('Ecoinvent 3.10'!$E$34)^2)-1)*EXP(2*LN(CF66)+LN('Ecoinvent 3.10'!$E$34)^2)</f>
        <v>41.216294380522974</v>
      </c>
      <c r="CG251" s="50">
        <f>(EXP(LN('Ecoinvent 3.10'!$E$34)^2)-1)*EXP(2*LN(CG66)+LN('Ecoinvent 3.10'!$E$34)^2)</f>
        <v>30.247657913984501</v>
      </c>
      <c r="CH251" s="224">
        <f>(EXP(LN('Ecoinvent 3.10'!$E$34)^2)-1)*EXP(2*LN(CH66)+LN('Ecoinvent 3.10'!$E$34)^2)</f>
        <v>40.149309568120252</v>
      </c>
      <c r="CI251" s="50">
        <f>(EXP(LN('Ecoinvent 3.10'!$E$34)^2)-1)*EXP(2*LN(CI66)+LN('Ecoinvent 3.10'!$E$34)^2)</f>
        <v>29.624157854471626</v>
      </c>
      <c r="CJ251" s="224">
        <f>(EXP(LN('Ecoinvent 3.10'!$E$34)^2)-1)*EXP(2*LN(CJ66)+LN('Ecoinvent 3.10'!$E$34)^2)</f>
        <v>34.44800213416633</v>
      </c>
      <c r="CK251" s="50">
        <f>(EXP(LN('Ecoinvent 3.10'!$E$34)^2)-1)*EXP(2*LN(CK66)+LN('Ecoinvent 3.10'!$E$34)^2)</f>
        <v>26.230329762037389</v>
      </c>
      <c r="CL251" s="224">
        <f>(EXP(LN('Ecoinvent 3.10'!$E$34)^2)-1)*EXP(2*LN(CL66)+LN('Ecoinvent 3.10'!$E$34)^2)</f>
        <v>31.763771384436271</v>
      </c>
      <c r="CM251" s="50">
        <f>(EXP(LN('Ecoinvent 3.10'!$E$34)^2)-1)*EXP(2*LN(CM66)+LN('Ecoinvent 3.10'!$E$34)^2)</f>
        <v>24.608298086373036</v>
      </c>
      <c r="CN251" s="224">
        <f>(EXP(LN('Ecoinvent 3.10'!$E$34)^2)-1)*EXP(2*LN(CN66)+LN('Ecoinvent 3.10'!$E$34)^2)</f>
        <v>55.547231583196762</v>
      </c>
      <c r="CO251" s="50">
        <f>(EXP(LN('Ecoinvent 3.10'!$E$34)^2)-1)*EXP(2*LN(CO66)+LN('Ecoinvent 3.10'!$E$34)^2)</f>
        <v>38.504889170939244</v>
      </c>
      <c r="CP251" s="224">
        <f>(EXP(LN('Ecoinvent 3.10'!$E$34)^2)-1)*EXP(2*LN(CP66)+LN('Ecoinvent 3.10'!$E$34)^2)</f>
        <v>73.539367017931781</v>
      </c>
      <c r="CQ251" s="50">
        <f>(EXP(LN('Ecoinvent 3.10'!$E$34)^2)-1)*EXP(2*LN(CQ66)+LN('Ecoinvent 3.10'!$E$34)^2)</f>
        <v>51.032038125719922</v>
      </c>
      <c r="CR251" s="224">
        <f>(EXP(LN('Ecoinvent 3.10'!$E$34)^2)-1)*EXP(2*LN(CR66)+LN('Ecoinvent 3.10'!$E$34)^2)</f>
        <v>9.9736563354704479</v>
      </c>
      <c r="CS251" s="50">
        <f>(EXP(LN('Ecoinvent 3.10'!$E$34)^2)-1)*EXP(2*LN(CS66)+LN('Ecoinvent 3.10'!$E$34)^2)</f>
        <v>4.568424105620136</v>
      </c>
      <c r="CV251" s="123" t="s">
        <v>431</v>
      </c>
      <c r="CW251" s="224">
        <f>(EXP(LN('Ecoinvent 3.10'!$E$34)^2)-1)*EXP(2*LN(CW66)+LN('Ecoinvent 3.10'!$E$34)^2)</f>
        <v>1.7854434315642683E-5</v>
      </c>
      <c r="CX251" s="50">
        <f>(EXP(LN('Ecoinvent 3.10'!$E$34)^2)-1)*EXP(2*LN(CX66)+LN('Ecoinvent 3.10'!$E$34)^2)</f>
        <v>1.375624153228993E-5</v>
      </c>
      <c r="CY251" s="224">
        <f>(EXP(LN('Ecoinvent 3.10'!$E$34)^2)-1)*EXP(2*LN(CY66)+LN('Ecoinvent 3.10'!$E$34)^2)</f>
        <v>2.2406239525509804E-5</v>
      </c>
      <c r="CZ251" s="50">
        <f>(EXP(LN('Ecoinvent 3.10'!$E$34)^2)-1)*EXP(2*LN(CZ66)+LN('Ecoinvent 3.10'!$E$34)^2)</f>
        <v>1.6443406145378442E-5</v>
      </c>
      <c r="DA251" s="224">
        <f>(EXP(LN('Ecoinvent 3.10'!$E$34)^2)-1)*EXP(2*LN(DA66)+LN('Ecoinvent 3.10'!$E$34)^2)</f>
        <v>2.1826199091596532E-5</v>
      </c>
      <c r="DB251" s="50">
        <f>(EXP(LN('Ecoinvent 3.10'!$E$34)^2)-1)*EXP(2*LN(DB66)+LN('Ecoinvent 3.10'!$E$34)^2)</f>
        <v>1.6104455449116525E-5</v>
      </c>
      <c r="DC251" s="224">
        <f>(EXP(LN('Ecoinvent 3.10'!$E$34)^2)-1)*EXP(2*LN(DC66)+LN('Ecoinvent 3.10'!$E$34)^2)</f>
        <v>1.8726821481509668E-5</v>
      </c>
      <c r="DD251" s="50">
        <f>(EXP(LN('Ecoinvent 3.10'!$E$34)^2)-1)*EXP(2*LN(DD66)+LN('Ecoinvent 3.10'!$E$34)^2)</f>
        <v>1.4259483059181812E-5</v>
      </c>
      <c r="DE251" s="224">
        <f>(EXP(LN('Ecoinvent 3.10'!$E$34)^2)-1)*EXP(2*LN(DE66)+LN('Ecoinvent 3.10'!$E$34)^2)</f>
        <v>1.7267604489197724E-5</v>
      </c>
      <c r="DF251" s="50">
        <f>(EXP(LN('Ecoinvent 3.10'!$E$34)^2)-1)*EXP(2*LN(DF66)+LN('Ecoinvent 3.10'!$E$34)^2)</f>
        <v>1.3377704850122984E-5</v>
      </c>
      <c r="DG251" s="224">
        <f>(EXP(LN('Ecoinvent 3.10'!$E$34)^2)-1)*EXP(2*LN(DG66)+LN('Ecoinvent 3.10'!$E$34)^2)</f>
        <v>3.0196906212418162E-5</v>
      </c>
      <c r="DH251" s="50">
        <f>(EXP(LN('Ecoinvent 3.10'!$E$34)^2)-1)*EXP(2*LN(DH66)+LN('Ecoinvent 3.10'!$E$34)^2)</f>
        <v>2.0932249796696236E-5</v>
      </c>
      <c r="DI251" s="224">
        <f>(EXP(LN('Ecoinvent 3.10'!$E$34)^2)-1)*EXP(2*LN(DI66)+LN('Ecoinvent 3.10'!$E$34)^2)</f>
        <v>3.9977894585710394E-5</v>
      </c>
      <c r="DJ251" s="50">
        <f>(EXP(LN('Ecoinvent 3.10'!$E$34)^2)-1)*EXP(2*LN(DJ66)+LN('Ecoinvent 3.10'!$E$34)^2)</f>
        <v>2.7742330719089755E-5</v>
      </c>
      <c r="DK251" s="224">
        <f>(EXP(LN('Ecoinvent 3.10'!$E$34)^2)-1)*EXP(2*LN(DK66)+LN('Ecoinvent 3.10'!$E$34)^2)</f>
        <v>5.4219365461265788E-6</v>
      </c>
      <c r="DL251" s="50">
        <f>(EXP(LN('Ecoinvent 3.10'!$E$34)^2)-1)*EXP(2*LN(DL66)+LN('Ecoinvent 3.10'!$E$34)^2)</f>
        <v>2.4835130450982302E-6</v>
      </c>
      <c r="DO251" s="123" t="s">
        <v>431</v>
      </c>
      <c r="DP251" s="224">
        <f>(EXP(LN('Ecoinvent 3.10'!$E$34)^2)-1)*EXP(2*LN(DP66)+LN('Ecoinvent 3.10'!$E$34)^2)</f>
        <v>5.8344760913387436E-5</v>
      </c>
      <c r="DQ251" s="50">
        <f>(EXP(LN('Ecoinvent 3.10'!$E$34)^2)-1)*EXP(2*LN(DQ66)+LN('Ecoinvent 3.10'!$E$34)^2)</f>
        <v>4.4952677249767957E-5</v>
      </c>
      <c r="DR251" s="224">
        <f>(EXP(LN('Ecoinvent 3.10'!$E$34)^2)-1)*EXP(2*LN(DR66)+LN('Ecoinvent 3.10'!$E$34)^2)</f>
        <v>7.3219160292220406E-5</v>
      </c>
      <c r="DS251" s="50">
        <f>(EXP(LN('Ecoinvent 3.10'!$E$34)^2)-1)*EXP(2*LN(DS66)+LN('Ecoinvent 3.10'!$E$34)^2)</f>
        <v>5.3733799861320266E-5</v>
      </c>
      <c r="DT251" s="224">
        <f>(EXP(LN('Ecoinvent 3.10'!$E$34)^2)-1)*EXP(2*LN(DT66)+LN('Ecoinvent 3.10'!$E$34)^2)</f>
        <v>7.1323702847953064E-5</v>
      </c>
      <c r="DU251" s="50">
        <f>(EXP(LN('Ecoinvent 3.10'!$E$34)^2)-1)*EXP(2*LN(DU66)+LN('Ecoinvent 3.10'!$E$34)^2)</f>
        <v>5.2626176008040208E-5</v>
      </c>
      <c r="DV251" s="224">
        <f>(EXP(LN('Ecoinvent 3.10'!$E$34)^2)-1)*EXP(2*LN(DV66)+LN('Ecoinvent 3.10'!$E$34)^2)</f>
        <v>6.1195549670767655E-5</v>
      </c>
      <c r="DW251" s="50">
        <f>(EXP(LN('Ecoinvent 3.10'!$E$34)^2)-1)*EXP(2*LN(DW66)+LN('Ecoinvent 3.10'!$E$34)^2)</f>
        <v>4.6597171051650621E-5</v>
      </c>
      <c r="DX251" s="224">
        <f>(EXP(LN('Ecoinvent 3.10'!$E$34)^2)-1)*EXP(2*LN(DX66)+LN('Ecoinvent 3.10'!$E$34)^2)</f>
        <v>5.6427117076820908E-5</v>
      </c>
      <c r="DY251" s="50">
        <f>(EXP(LN('Ecoinvent 3.10'!$E$34)^2)-1)*EXP(2*LN(DY66)+LN('Ecoinvent 3.10'!$E$34)^2)</f>
        <v>4.3715694222048741E-5</v>
      </c>
      <c r="DZ251" s="224">
        <f>(EXP(LN('Ecoinvent 3.10'!$E$34)^2)-1)*EXP(2*LN(DZ66)+LN('Ecoinvent 3.10'!$E$34)^2)</f>
        <v>9.8677518544731667E-5</v>
      </c>
      <c r="EA251" s="50">
        <f>(EXP(LN('Ecoinvent 3.10'!$E$34)^2)-1)*EXP(2*LN(EA66)+LN('Ecoinvent 3.10'!$E$34)^2)</f>
        <v>6.8402453316459755E-5</v>
      </c>
      <c r="EB251" s="224">
        <f>(EXP(LN('Ecoinvent 3.10'!$E$34)^2)-1)*EXP(2*LN(EB66)+LN('Ecoinvent 3.10'!$E$34)^2)</f>
        <v>1.3063985451391898E-4</v>
      </c>
      <c r="EC251" s="50">
        <f>(EXP(LN('Ecoinvent 3.10'!$E$34)^2)-1)*EXP(2*LN(EC66)+LN('Ecoinvent 3.10'!$E$34)^2)</f>
        <v>9.0656451185759958E-5</v>
      </c>
      <c r="ED251" s="224">
        <f>(EXP(LN('Ecoinvent 3.10'!$E$34)^2)-1)*EXP(2*LN(ED66)+LN('Ecoinvent 3.10'!$E$34)^2)</f>
        <v>1.7717816531110118E-5</v>
      </c>
      <c r="EE251" s="50">
        <f>(EXP(LN('Ecoinvent 3.10'!$E$34)^2)-1)*EXP(2*LN(EE66)+LN('Ecoinvent 3.10'!$E$34)^2)</f>
        <v>8.1156295562153403E-6</v>
      </c>
      <c r="EH251" s="123" t="s">
        <v>431</v>
      </c>
      <c r="EI251" s="224">
        <f>(EXP(LN('Ecoinvent 3.10'!$E$34)^2)-1)*EXP(2*LN(EI66)+LN('Ecoinvent 3.10'!$E$34)^2)</f>
        <v>3.3026029258886012E-4</v>
      </c>
      <c r="EJ251" s="50">
        <f>(EXP(LN('Ecoinvent 3.10'!$E$34)^2)-1)*EXP(2*LN(EJ66)+LN('Ecoinvent 3.10'!$E$34)^2)</f>
        <v>2.5445445501439111E-4</v>
      </c>
      <c r="EK251" s="224">
        <f>(EXP(LN('Ecoinvent 3.10'!$E$34)^2)-1)*EXP(2*LN(EK66)+LN('Ecoinvent 3.10'!$E$34)^2)</f>
        <v>4.1445677251324294E-4</v>
      </c>
      <c r="EL251" s="50">
        <f>(EXP(LN('Ecoinvent 3.10'!$E$34)^2)-1)*EXP(2*LN(EL66)+LN('Ecoinvent 3.10'!$E$34)^2)</f>
        <v>3.0415996545868004E-4</v>
      </c>
      <c r="EM251" s="224">
        <f>(EXP(LN('Ecoinvent 3.10'!$E$34)^2)-1)*EXP(2*LN(EM66)+LN('Ecoinvent 3.10'!$E$34)^2)</f>
        <v>4.0372754301030994E-4</v>
      </c>
      <c r="EN251" s="50">
        <f>(EXP(LN('Ecoinvent 3.10'!$E$34)^2)-1)*EXP(2*LN(EN66)+LN('Ecoinvent 3.10'!$E$34)^2)</f>
        <v>2.9789026493825616E-4</v>
      </c>
      <c r="EO251" s="224">
        <f>(EXP(LN('Ecoinvent 3.10'!$E$34)^2)-1)*EXP(2*LN(EO66)+LN('Ecoinvent 3.10'!$E$34)^2)</f>
        <v>3.4639717127997455E-4</v>
      </c>
      <c r="EP251" s="50">
        <f>(EXP(LN('Ecoinvent 3.10'!$E$34)^2)-1)*EXP(2*LN(EP66)+LN('Ecoinvent 3.10'!$E$34)^2)</f>
        <v>2.637631057941346E-4</v>
      </c>
      <c r="EQ251" s="224">
        <f>(EXP(LN('Ecoinvent 3.10'!$E$34)^2)-1)*EXP(2*LN(EQ66)+LN('Ecoinvent 3.10'!$E$34)^2)</f>
        <v>3.1940547709847079E-4</v>
      </c>
      <c r="ER251" s="50">
        <f>(EXP(LN('Ecoinvent 3.10'!$E$34)^2)-1)*EXP(2*LN(ER66)+LN('Ecoinvent 3.10'!$E$34)^2)</f>
        <v>2.4745251738937532E-4</v>
      </c>
      <c r="ES251" s="224">
        <f>(EXP(LN('Ecoinvent 3.10'!$E$34)^2)-1)*EXP(2*LN(ES66)+LN('Ecoinvent 3.10'!$E$34)^2)</f>
        <v>5.5856371054299736E-4</v>
      </c>
      <c r="ET251" s="50">
        <f>(EXP(LN('Ecoinvent 3.10'!$E$34)^2)-1)*EXP(2*LN(ET66)+LN('Ecoinvent 3.10'!$E$34)^2)</f>
        <v>3.8719182138093771E-4</v>
      </c>
      <c r="EU251" s="224">
        <f>(EXP(LN('Ecoinvent 3.10'!$E$34)^2)-1)*EXP(2*LN(EU66)+LN('Ecoinvent 3.10'!$E$34)^2)</f>
        <v>7.3948638918208578E-4</v>
      </c>
      <c r="EV251" s="50">
        <f>(EXP(LN('Ecoinvent 3.10'!$E$34)^2)-1)*EXP(2*LN(EV66)+LN('Ecoinvent 3.10'!$E$34)^2)</f>
        <v>5.1316048990453353E-4</v>
      </c>
      <c r="EW251" s="224">
        <f>(EXP(LN('Ecoinvent 3.10'!$E$34)^2)-1)*EXP(2*LN(EW66)+LN('Ecoinvent 3.10'!$E$34)^2)</f>
        <v>1.0029163167343648E-4</v>
      </c>
      <c r="EX251" s="50">
        <f>(EXP(LN('Ecoinvent 3.10'!$E$34)^2)-1)*EXP(2*LN(EX66)+LN('Ecoinvent 3.10'!$E$34)^2)</f>
        <v>4.5938489588762387E-5</v>
      </c>
      <c r="FA251" s="123" t="s">
        <v>431</v>
      </c>
      <c r="FB251" s="224">
        <f>(EXP(LN('Ecoinvent 3.10'!$E$34)^2)-1)*EXP(2*LN(FB66)+LN('Ecoinvent 3.10'!$E$34)^2)</f>
        <v>1.1718516786009584E-6</v>
      </c>
      <c r="FC251" s="50">
        <f>(EXP(LN('Ecoinvent 3.10'!$E$34)^2)-1)*EXP(2*LN(FC66)+LN('Ecoinvent 3.10'!$E$34)^2)</f>
        <v>9.0287233108980981E-7</v>
      </c>
      <c r="FD251" s="224">
        <f>(EXP(LN('Ecoinvent 3.10'!$E$34)^2)-1)*EXP(2*LN(FD66)+LN('Ecoinvent 3.10'!$E$34)^2)</f>
        <v>1.4706032649883326E-6</v>
      </c>
      <c r="FE251" s="50">
        <f>(EXP(LN('Ecoinvent 3.10'!$E$34)^2)-1)*EXP(2*LN(FE66)+LN('Ecoinvent 3.10'!$E$34)^2)</f>
        <v>1.0792407506574911E-6</v>
      </c>
      <c r="FF251" s="224">
        <f>(EXP(LN('Ecoinvent 3.10'!$E$34)^2)-1)*EXP(2*LN(FF66)+LN('Ecoinvent 3.10'!$E$34)^2)</f>
        <v>1.4325330946249858E-6</v>
      </c>
      <c r="FG251" s="50">
        <f>(EXP(LN('Ecoinvent 3.10'!$E$34)^2)-1)*EXP(2*LN(FG66)+LN('Ecoinvent 3.10'!$E$34)^2)</f>
        <v>1.0569941795617327E-6</v>
      </c>
      <c r="FH251" s="224">
        <f>(EXP(LN('Ecoinvent 3.10'!$E$34)^2)-1)*EXP(2*LN(FH66)+LN('Ecoinvent 3.10'!$E$34)^2)</f>
        <v>1.2291096318151654E-6</v>
      </c>
      <c r="FI251" s="50">
        <f>(EXP(LN('Ecoinvent 3.10'!$E$34)^2)-1)*EXP(2*LN(FI66)+LN('Ecoinvent 3.10'!$E$34)^2)</f>
        <v>9.359019089304974E-7</v>
      </c>
      <c r="FJ251" s="224">
        <f>(EXP(LN('Ecoinvent 3.10'!$E$34)^2)-1)*EXP(2*LN(FJ66)+LN('Ecoinvent 3.10'!$E$34)^2)</f>
        <v>1.1333358956298839E-6</v>
      </c>
      <c r="FK251" s="50">
        <f>(EXP(LN('Ecoinvent 3.10'!$E$34)^2)-1)*EXP(2*LN(FK66)+LN('Ecoinvent 3.10'!$E$34)^2)</f>
        <v>8.7802758728178374E-7</v>
      </c>
      <c r="FL251" s="224">
        <f>(EXP(LN('Ecoinvent 3.10'!$E$34)^2)-1)*EXP(2*LN(FL66)+LN('Ecoinvent 3.10'!$E$34)^2)</f>
        <v>1.9819331493787647E-6</v>
      </c>
      <c r="FM251" s="50">
        <f>(EXP(LN('Ecoinvent 3.10'!$E$34)^2)-1)*EXP(2*LN(FM66)+LN('Ecoinvent 3.10'!$E$34)^2)</f>
        <v>1.3738599401977268E-6</v>
      </c>
      <c r="FN251" s="224">
        <f>(EXP(LN('Ecoinvent 3.10'!$E$34)^2)-1)*EXP(2*LN(FN66)+LN('Ecoinvent 3.10'!$E$34)^2)</f>
        <v>2.6238951091355616E-6</v>
      </c>
      <c r="FO251" s="50">
        <f>(EXP(LN('Ecoinvent 3.10'!$E$34)^2)-1)*EXP(2*LN(FO66)+LN('Ecoinvent 3.10'!$E$34)^2)</f>
        <v>1.8208304025059825E-6</v>
      </c>
      <c r="FP251" s="224">
        <f>(EXP(LN('Ecoinvent 3.10'!$E$34)^2)-1)*EXP(2*LN(FP66)+LN('Ecoinvent 3.10'!$E$34)^2)</f>
        <v>3.5586148127245327E-7</v>
      </c>
      <c r="FQ251" s="50">
        <f>(EXP(LN('Ecoinvent 3.10'!$E$34)^2)-1)*EXP(2*LN(FQ66)+LN('Ecoinvent 3.10'!$E$34)^2)</f>
        <v>1.6300202399445133E-7</v>
      </c>
      <c r="FT251" s="123" t="s">
        <v>431</v>
      </c>
      <c r="FU251" s="224">
        <f>(EXP(LN('Ecoinvent 3.10'!$E$34)^2)-1)*EXP(2*LN(FU66)+LN('Ecoinvent 3.10'!$E$34)^2)</f>
        <v>1.688968462492653E-3</v>
      </c>
      <c r="FV251" s="50">
        <f>(EXP(LN('Ecoinvent 3.10'!$E$34)^2)-1)*EXP(2*LN(FV66)+LN('Ecoinvent 3.10'!$E$34)^2)</f>
        <v>1.3012934321931207E-3</v>
      </c>
      <c r="FW251" s="224">
        <f>(EXP(LN('Ecoinvent 3.10'!$E$34)^2)-1)*EXP(2*LN(FW66)+LN('Ecoinvent 3.10'!$E$34)^2)</f>
        <v>2.1195536779614987E-3</v>
      </c>
      <c r="FX251" s="50">
        <f>(EXP(LN('Ecoinvent 3.10'!$E$34)^2)-1)*EXP(2*LN(FX66)+LN('Ecoinvent 3.10'!$E$34)^2)</f>
        <v>1.5554900202674061E-3</v>
      </c>
      <c r="FY251" s="224">
        <f>(EXP(LN('Ecoinvent 3.10'!$E$34)^2)-1)*EXP(2*LN(FY66)+LN('Ecoinvent 3.10'!$E$34)^2)</f>
        <v>2.0646838354041351E-3</v>
      </c>
      <c r="FZ251" s="50">
        <f>(EXP(LN('Ecoinvent 3.10'!$E$34)^2)-1)*EXP(2*LN(FZ66)+LN('Ecoinvent 3.10'!$E$34)^2)</f>
        <v>1.5234264428834535E-3</v>
      </c>
      <c r="GA251" s="224">
        <f>(EXP(LN('Ecoinvent 3.10'!$E$34)^2)-1)*EXP(2*LN(GA66)+LN('Ecoinvent 3.10'!$E$34)^2)</f>
        <v>1.771493306695742E-3</v>
      </c>
      <c r="GB251" s="50">
        <f>(EXP(LN('Ecoinvent 3.10'!$E$34)^2)-1)*EXP(2*LN(GB66)+LN('Ecoinvent 3.10'!$E$34)^2)</f>
        <v>1.3488983606333572E-3</v>
      </c>
      <c r="GC251" s="224">
        <f>(EXP(LN('Ecoinvent 3.10'!$E$34)^2)-1)*EXP(2*LN(GC66)+LN('Ecoinvent 3.10'!$E$34)^2)</f>
        <v>1.6334563666069162E-3</v>
      </c>
      <c r="GD251" s="50">
        <f>(EXP(LN('Ecoinvent 3.10'!$E$34)^2)-1)*EXP(2*LN(GD66)+LN('Ecoinvent 3.10'!$E$34)^2)</f>
        <v>1.2654851558414903E-3</v>
      </c>
      <c r="GE251" s="224">
        <f>(EXP(LN('Ecoinvent 3.10'!$E$34)^2)-1)*EXP(2*LN(GE66)+LN('Ecoinvent 3.10'!$E$34)^2)</f>
        <v>2.8565241192177724E-3</v>
      </c>
      <c r="GF251" s="50">
        <f>(EXP(LN('Ecoinvent 3.10'!$E$34)^2)-1)*EXP(2*LN(GF66)+LN('Ecoinvent 3.10'!$E$34)^2)</f>
        <v>1.9801192874906049E-3</v>
      </c>
      <c r="GG251" s="224">
        <f>(EXP(LN('Ecoinvent 3.10'!$E$34)^2)-1)*EXP(2*LN(GG66)+LN('Ecoinvent 3.10'!$E$34)^2)</f>
        <v>3.7817721893862325E-3</v>
      </c>
      <c r="GH251" s="50">
        <f>(EXP(LN('Ecoinvent 3.10'!$E$34)^2)-1)*EXP(2*LN(GH66)+LN('Ecoinvent 3.10'!$E$34)^2)</f>
        <v>2.624329666918218E-3</v>
      </c>
      <c r="GI251" s="224">
        <f>(EXP(LN('Ecoinvent 3.10'!$E$34)^2)-1)*EXP(2*LN(GI66)+LN('Ecoinvent 3.10'!$E$34)^2)</f>
        <v>5.128966659011465E-4</v>
      </c>
      <c r="GJ251" s="50">
        <f>(EXP(LN('Ecoinvent 3.10'!$E$34)^2)-1)*EXP(2*LN(GJ66)+LN('Ecoinvent 3.10'!$E$34)^2)</f>
        <v>2.3493184579278687E-4</v>
      </c>
      <c r="GM251" s="123" t="s">
        <v>431</v>
      </c>
      <c r="GN251" s="224">
        <f>(EXP(LN('Ecoinvent 3.10'!$E$34)^2)-1)*EXP(2*LN(GN66)+LN('Ecoinvent 3.10'!$E$34)^2)</f>
        <v>2.4857773769991737E-2</v>
      </c>
      <c r="GO251" s="50">
        <f>(EXP(LN('Ecoinvent 3.10'!$E$34)^2)-1)*EXP(2*LN(GO66)+LN('Ecoinvent 3.10'!$E$34)^2)</f>
        <v>1.9152079191634641E-2</v>
      </c>
      <c r="GP251" s="224">
        <f>(EXP(LN('Ecoinvent 3.10'!$E$34)^2)-1)*EXP(2*LN(GP66)+LN('Ecoinvent 3.10'!$E$34)^2)</f>
        <v>3.1195008663668308E-2</v>
      </c>
      <c r="GQ251" s="50">
        <f>(EXP(LN('Ecoinvent 3.10'!$E$34)^2)-1)*EXP(2*LN(GQ66)+LN('Ecoinvent 3.10'!$E$34)^2)</f>
        <v>2.2893274731857371E-2</v>
      </c>
      <c r="GR251" s="224">
        <f>(EXP(LN('Ecoinvent 3.10'!$E$34)^2)-1)*EXP(2*LN(GR66)+LN('Ecoinvent 3.10'!$E$34)^2)</f>
        <v>3.0387449396946993E-2</v>
      </c>
      <c r="GS251" s="50">
        <f>(EXP(LN('Ecoinvent 3.10'!$E$34)^2)-1)*EXP(2*LN(GS66)+LN('Ecoinvent 3.10'!$E$34)^2)</f>
        <v>2.2421371809708889E-2</v>
      </c>
      <c r="GT251" s="224">
        <f>(EXP(LN('Ecoinvent 3.10'!$E$34)^2)-1)*EXP(2*LN(GT66)+LN('Ecoinvent 3.10'!$E$34)^2)</f>
        <v>2.6072351752446595E-2</v>
      </c>
      <c r="GU251" s="50">
        <f>(EXP(LN('Ecoinvent 3.10'!$E$34)^2)-1)*EXP(2*LN(GU66)+LN('Ecoinvent 3.10'!$E$34)^2)</f>
        <v>1.9852715448487886E-2</v>
      </c>
      <c r="GV251" s="224">
        <f>(EXP(LN('Ecoinvent 3.10'!$E$34)^2)-1)*EXP(2*LN(GV66)+LN('Ecoinvent 3.10'!$E$34)^2)</f>
        <v>2.4040761995248943E-2</v>
      </c>
      <c r="GW251" s="50">
        <f>(EXP(LN('Ecoinvent 3.10'!$E$34)^2)-1)*EXP(2*LN(GW66)+LN('Ecoinvent 3.10'!$E$34)^2)</f>
        <v>1.8625062818973356E-2</v>
      </c>
      <c r="GX251" s="224">
        <f>(EXP(LN('Ecoinvent 3.10'!$E$34)^2)-1)*EXP(2*LN(GX66)+LN('Ecoinvent 3.10'!$E$34)^2)</f>
        <v>4.2041537128079565E-2</v>
      </c>
      <c r="GY251" s="50">
        <f>(EXP(LN('Ecoinvent 3.10'!$E$34)^2)-1)*EXP(2*LN(GY66)+LN('Ecoinvent 3.10'!$E$34)^2)</f>
        <v>2.9142851615710855E-2</v>
      </c>
      <c r="GZ251" s="224">
        <f>(EXP(LN('Ecoinvent 3.10'!$E$34)^2)-1)*EXP(2*LN(GZ66)+LN('Ecoinvent 3.10'!$E$34)^2)</f>
        <v>5.5659084003658973E-2</v>
      </c>
      <c r="HA251" s="50">
        <f>(EXP(LN('Ecoinvent 3.10'!$E$34)^2)-1)*EXP(2*LN(HA66)+LN('Ecoinvent 3.10'!$E$34)^2)</f>
        <v>3.8624162976882474E-2</v>
      </c>
      <c r="HB251" s="224">
        <f>(EXP(LN('Ecoinvent 3.10'!$E$34)^2)-1)*EXP(2*LN(HB66)+LN('Ecoinvent 3.10'!$E$34)^2)</f>
        <v>7.5486722052450356E-3</v>
      </c>
      <c r="HC251" s="50">
        <f>(EXP(LN('Ecoinvent 3.10'!$E$34)^2)-1)*EXP(2*LN(HC66)+LN('Ecoinvent 3.10'!$E$34)^2)</f>
        <v>3.4576623565042357E-3</v>
      </c>
      <c r="HF251" s="123" t="s">
        <v>431</v>
      </c>
      <c r="HG251" s="224">
        <f>(EXP(LN('Ecoinvent 3.10'!$E$34)^2)-1)*EXP(2*LN(HG66)+LN('Ecoinvent 3.10'!$E$34)^2)</f>
        <v>2.1085758239656456</v>
      </c>
      <c r="HH251" s="50">
        <f>(EXP(LN('Ecoinvent 3.10'!$E$34)^2)-1)*EXP(2*LN(HH66)+LN('Ecoinvent 3.10'!$E$34)^2)</f>
        <v>1.6245868007257889</v>
      </c>
      <c r="HI251" s="224">
        <f>(EXP(LN('Ecoinvent 3.10'!$E$34)^2)-1)*EXP(2*LN(HI66)+LN('Ecoinvent 3.10'!$E$34)^2)</f>
        <v>2.6461356397094504</v>
      </c>
      <c r="HJ251" s="50">
        <f>(EXP(LN('Ecoinvent 3.10'!$E$34)^2)-1)*EXP(2*LN(HJ66)+LN('Ecoinvent 3.10'!$E$34)^2)</f>
        <v>1.9419359946574213</v>
      </c>
      <c r="HK251" s="224">
        <f>(EXP(LN('Ecoinvent 3.10'!$E$34)^2)-1)*EXP(2*LN(HK66)+LN('Ecoinvent 3.10'!$E$34)^2)</f>
        <v>2.577633932276437</v>
      </c>
      <c r="HL251" s="50">
        <f>(EXP(LN('Ecoinvent 3.10'!$E$34)^2)-1)*EXP(2*LN(HL66)+LN('Ecoinvent 3.10'!$E$34)^2)</f>
        <v>1.9019065414124066</v>
      </c>
      <c r="HM251" s="224">
        <f>(EXP(LN('Ecoinvent 3.10'!$E$34)^2)-1)*EXP(2*LN(HM66)+LN('Ecoinvent 3.10'!$E$34)^2)</f>
        <v>2.2116031422533742</v>
      </c>
      <c r="HN251" s="50">
        <f>(EXP(LN('Ecoinvent 3.10'!$E$34)^2)-1)*EXP(2*LN(HN66)+LN('Ecoinvent 3.10'!$E$34)^2)</f>
        <v>1.6840186986207648</v>
      </c>
      <c r="HO251" s="224">
        <f>(EXP(LN('Ecoinvent 3.10'!$E$34)^2)-1)*EXP(2*LN(HO66)+LN('Ecoinvent 3.10'!$E$34)^2)</f>
        <v>2.0392723017734213</v>
      </c>
      <c r="HP251" s="50">
        <f>(EXP(LN('Ecoinvent 3.10'!$E$34)^2)-1)*EXP(2*LN(HP66)+LN('Ecoinvent 3.10'!$E$34)^2)</f>
        <v>1.5798823154203048</v>
      </c>
      <c r="HQ251" s="224">
        <f>(EXP(LN('Ecoinvent 3.10'!$E$34)^2)-1)*EXP(2*LN(HQ66)+LN('Ecoinvent 3.10'!$E$34)^2)</f>
        <v>3.5661990333840015</v>
      </c>
      <c r="HR251" s="50">
        <f>(EXP(LN('Ecoinvent 3.10'!$E$34)^2)-1)*EXP(2*LN(HR66)+LN('Ecoinvent 3.10'!$E$34)^2)</f>
        <v>2.4720601662441832</v>
      </c>
      <c r="HS251" s="224">
        <f>(EXP(LN('Ecoinvent 3.10'!$E$34)^2)-1)*EXP(2*LN(HS66)+LN('Ecoinvent 3.10'!$E$34)^2)</f>
        <v>4.7213157541833821</v>
      </c>
      <c r="HT251" s="50">
        <f>(EXP(LN('Ecoinvent 3.10'!$E$34)^2)-1)*EXP(2*LN(HT66)+LN('Ecoinvent 3.10'!$E$34)^2)</f>
        <v>3.2763181863164261</v>
      </c>
      <c r="HU251" s="224">
        <f>(EXP(LN('Ecoinvent 3.10'!$E$34)^2)-1)*EXP(2*LN(HU66)+LN('Ecoinvent 3.10'!$E$34)^2)</f>
        <v>0.64032072470769841</v>
      </c>
      <c r="HV251" s="50">
        <f>(EXP(LN('Ecoinvent 3.10'!$E$34)^2)-1)*EXP(2*LN(HV66)+LN('Ecoinvent 3.10'!$E$34)^2)</f>
        <v>0.29329831865966555</v>
      </c>
      <c r="HY251" s="123" t="s">
        <v>431</v>
      </c>
      <c r="HZ251" s="224">
        <f>(EXP(LN('Ecoinvent 3.10'!$E$34)^2)-1)*EXP(2*LN(HZ66)+LN('Ecoinvent 3.10'!$E$34)^2)</f>
        <v>3.0170985713606051E-6</v>
      </c>
      <c r="IA251" s="50">
        <f>(EXP(LN('Ecoinvent 3.10'!$E$34)^2)-1)*EXP(2*LN(IA66)+LN('Ecoinvent 3.10'!$E$34)^2)</f>
        <v>2.3245730411072624E-6</v>
      </c>
      <c r="IB251" s="224">
        <f>(EXP(LN('Ecoinvent 3.10'!$E$34)^2)-1)*EXP(2*LN(IB66)+LN('Ecoinvent 3.10'!$E$34)^2)</f>
        <v>3.7862769588141894E-6</v>
      </c>
      <c r="IC251" s="50">
        <f>(EXP(LN('Ecoinvent 3.10'!$E$34)^2)-1)*EXP(2*LN(IC66)+LN('Ecoinvent 3.10'!$E$34)^2)</f>
        <v>2.7786585848904721E-6</v>
      </c>
      <c r="ID251" s="224">
        <f>(EXP(LN('Ecoinvent 3.10'!$E$34)^2)-1)*EXP(2*LN(ID66)+LN('Ecoinvent 3.10'!$E$34)^2)</f>
        <v>3.6882598985392533E-6</v>
      </c>
      <c r="IE251" s="50">
        <f>(EXP(LN('Ecoinvent 3.10'!$E$34)^2)-1)*EXP(2*LN(IE66)+LN('Ecoinvent 3.10'!$E$34)^2)</f>
        <v>2.7213816281762762E-6</v>
      </c>
      <c r="IF251" s="224">
        <f>(EXP(LN('Ecoinvent 3.10'!$E$34)^2)-1)*EXP(2*LN(IF66)+LN('Ecoinvent 3.10'!$E$34)^2)</f>
        <v>3.1645173036082401E-6</v>
      </c>
      <c r="IG251" s="50">
        <f>(EXP(LN('Ecoinvent 3.10'!$E$34)^2)-1)*EXP(2*LN(IG66)+LN('Ecoinvent 3.10'!$E$34)^2)</f>
        <v>2.4096123800744264E-6</v>
      </c>
      <c r="IH251" s="224">
        <f>(EXP(LN('Ecoinvent 3.10'!$E$34)^2)-1)*EXP(2*LN(IH66)+LN('Ecoinvent 3.10'!$E$34)^2)</f>
        <v>2.9179342181417754E-6</v>
      </c>
      <c r="II251" s="50">
        <f>(EXP(LN('Ecoinvent 3.10'!$E$34)^2)-1)*EXP(2*LN(II66)+LN('Ecoinvent 3.10'!$E$34)^2)</f>
        <v>2.260606719756336E-6</v>
      </c>
      <c r="IJ251" s="224">
        <f>(EXP(LN('Ecoinvent 3.10'!$E$34)^2)-1)*EXP(2*LN(IJ66)+LN('Ecoinvent 3.10'!$E$34)^2)</f>
        <v>5.1027683645611895E-6</v>
      </c>
      <c r="IK251" s="50">
        <f>(EXP(LN('Ecoinvent 3.10'!$E$34)^2)-1)*EXP(2*LN(IK66)+LN('Ecoinvent 3.10'!$E$34)^2)</f>
        <v>3.5371975297836389E-6</v>
      </c>
      <c r="IL251" s="224">
        <f>(EXP(LN('Ecoinvent 3.10'!$E$34)^2)-1)*EXP(2*LN(IL66)+LN('Ecoinvent 3.10'!$E$34)^2)</f>
        <v>6.7555906005308923E-6</v>
      </c>
      <c r="IM251" s="50">
        <f>(EXP(LN('Ecoinvent 3.10'!$E$34)^2)-1)*EXP(2*LN(IM66)+LN('Ecoinvent 3.10'!$E$34)^2)</f>
        <v>4.6879864631413456E-6</v>
      </c>
      <c r="IN251" s="224">
        <f>(EXP(LN('Ecoinvent 3.10'!$E$34)^2)-1)*EXP(2*LN(IN66)+LN('Ecoinvent 3.10'!$E$34)^2)</f>
        <v>9.1621592250583427E-7</v>
      </c>
      <c r="IO251" s="50">
        <f>(EXP(LN('Ecoinvent 3.10'!$E$34)^2)-1)*EXP(2*LN(IO66)+LN('Ecoinvent 3.10'!$E$34)^2)</f>
        <v>4.1967186010236777E-7</v>
      </c>
    </row>
    <row r="252" spans="1:249" ht="13.5" thickBot="1" x14ac:dyDescent="0.25">
      <c r="A252" s="158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  <c r="AA252" s="158"/>
      <c r="AB252" s="158"/>
      <c r="AC252" s="158"/>
      <c r="AD252" s="158"/>
      <c r="AE252" s="158"/>
      <c r="AF252" s="158"/>
      <c r="AG252" s="158"/>
      <c r="AH252" s="158"/>
      <c r="AI252" s="158"/>
      <c r="AJ252" s="158"/>
      <c r="AK252" s="158"/>
      <c r="AL252" s="158"/>
      <c r="AM252" s="94"/>
      <c r="AN252" s="94"/>
      <c r="AO252" s="158"/>
      <c r="AP252" s="726"/>
      <c r="AQ252" s="159" t="s">
        <v>432</v>
      </c>
      <c r="AR252" s="260">
        <f>(EXP(LN('Ecoinvent 3.10'!$E$35)^2)-1)*EXP(2*LN(AR67)+LN('Ecoinvent 3.10'!$E$35)^2)</f>
        <v>6.9826347153322637</v>
      </c>
      <c r="AS252" s="217">
        <f>(EXP(LN('Ecoinvent 3.10'!$E$35)^2)-1)*EXP(2*LN(AS67)+LN('Ecoinvent 3.10'!$E$35)^2)</f>
        <v>3.5079440228264818</v>
      </c>
      <c r="AT252" s="260">
        <f>(EXP(LN('Ecoinvent 3.10'!$E$35)^2)-1)*EXP(2*LN(AT67)+LN('Ecoinvent 3.10'!$E$35)^2)</f>
        <v>12.052348825952105</v>
      </c>
      <c r="AU252" s="217">
        <f>(EXP(LN('Ecoinvent 3.10'!$E$35)^2)-1)*EXP(2*LN(AU67)+LN('Ecoinvent 3.10'!$E$35)^2)</f>
        <v>6.0548728021220288</v>
      </c>
      <c r="AV252" s="260">
        <f>(EXP(LN('Ecoinvent 3.10'!$E$35)^2)-1)*EXP(2*LN(AV67)+LN('Ecoinvent 3.10'!$E$35)^2)</f>
        <v>11.363647625845807</v>
      </c>
      <c r="AW252" s="217">
        <f>(EXP(LN('Ecoinvent 3.10'!$E$35)^2)-1)*EXP(2*LN(AW67)+LN('Ecoinvent 3.10'!$E$35)^2)</f>
        <v>5.7088823047068544</v>
      </c>
      <c r="AX252" s="260">
        <f>(EXP(LN('Ecoinvent 3.10'!$E$35)^2)-1)*EXP(2*LN(AX67)+LN('Ecoinvent 3.10'!$E$35)^2)</f>
        <v>7.9571856984587663</v>
      </c>
      <c r="AY252" s="217">
        <f>(EXP(LN('Ecoinvent 3.10'!$E$35)^2)-1)*EXP(2*LN(AY67)+LN('Ecoinvent 3.10'!$E$35)^2)</f>
        <v>3.9975400615096524</v>
      </c>
      <c r="AZ252" s="260">
        <f>(EXP(LN('Ecoinvent 3.10'!$E$35)^2)-1)*EXP(2*LN(AZ67)+LN('Ecoinvent 3.10'!$E$35)^2)</f>
        <v>6.4908609493891891</v>
      </c>
      <c r="BA252" s="217">
        <f>(EXP(LN('Ecoinvent 3.10'!$E$35)^2)-1)*EXP(2*LN(BA67)+LN('Ecoinvent 3.10'!$E$35)^2)</f>
        <v>3.2608861552518049</v>
      </c>
      <c r="BB252" s="260">
        <f>(EXP(LN('Ecoinvent 3.10'!$E$35)^2)-1)*EXP(2*LN(BB67)+LN('Ecoinvent 3.10'!$E$35)^2)</f>
        <v>22.164041136683281</v>
      </c>
      <c r="BC252" s="217">
        <f>(EXP(LN('Ecoinvent 3.10'!$E$35)^2)-1)*EXP(2*LN(BC67)+LN('Ecoinvent 3.10'!$E$35)^2)</f>
        <v>11.134796362236546</v>
      </c>
      <c r="BD252" s="260">
        <f>(EXP(LN('Ecoinvent 3.10'!$E$35)^2)-1)*EXP(2*LN(BD67)+LN('Ecoinvent 3.10'!$E$35)^2)</f>
        <v>29.17496211878877</v>
      </c>
      <c r="BE252" s="217">
        <f>(EXP(LN('Ecoinvent 3.10'!$E$35)^2)-1)*EXP(2*LN(BE67)+LN('Ecoinvent 3.10'!$E$35)^2)</f>
        <v>14.65695087215</v>
      </c>
      <c r="BF252" s="260">
        <f>(EXP(LN('Ecoinvent 3.10'!$E$35)^2)-1)*EXP(2*LN(BF67)+LN('Ecoinvent 3.10'!$E$35)^2)</f>
        <v>17.352370656452315</v>
      </c>
      <c r="BG252" s="217">
        <f>(EXP(LN('Ecoinvent 3.10'!$E$35)^2)-1)*EXP(2*LN(BG67)+LN('Ecoinvent 3.10'!$E$35)^2)</f>
        <v>9.7618233033465067</v>
      </c>
      <c r="BI252" s="156"/>
      <c r="BJ252" s="159" t="s">
        <v>432</v>
      </c>
      <c r="BK252" s="260">
        <f>(EXP(LN('Ecoinvent 3.10'!$E$35)^2)-1)*EXP(2*LN(BK67)+LN('Ecoinvent 3.10'!$E$35)^2)</f>
        <v>0.3015750616788912</v>
      </c>
      <c r="BL252" s="217">
        <f>(EXP(LN('Ecoinvent 3.10'!$E$35)^2)-1)*EXP(2*LN(BL67)+LN('Ecoinvent 3.10'!$E$35)^2)</f>
        <v>0.15150562476468513</v>
      </c>
      <c r="BM252" s="260">
        <f>(EXP(LN('Ecoinvent 3.10'!$E$35)^2)-1)*EXP(2*LN(BM67)+LN('Ecoinvent 3.10'!$E$35)^2)</f>
        <v>0.52053243349262945</v>
      </c>
      <c r="BN252" s="217">
        <f>(EXP(LN('Ecoinvent 3.10'!$E$35)^2)-1)*EXP(2*LN(BN67)+LN('Ecoinvent 3.10'!$E$35)^2)</f>
        <v>0.26150567990450901</v>
      </c>
      <c r="BO252" s="260">
        <f>(EXP(LN('Ecoinvent 3.10'!$E$35)^2)-1)*EXP(2*LN(BO67)+LN('Ecoinvent 3.10'!$E$35)^2)</f>
        <v>0.49078791507405423</v>
      </c>
      <c r="BP252" s="217">
        <f>(EXP(LN('Ecoinvent 3.10'!$E$35)^2)-1)*EXP(2*LN(BP67)+LN('Ecoinvent 3.10'!$E$35)^2)</f>
        <v>0.24656259468637784</v>
      </c>
      <c r="BQ252" s="260">
        <f>(EXP(LN('Ecoinvent 3.10'!$E$35)^2)-1)*EXP(2*LN(BQ67)+LN('Ecoinvent 3.10'!$E$35)^2)</f>
        <v>0.34366523033689933</v>
      </c>
      <c r="BR252" s="217">
        <f>(EXP(LN('Ecoinvent 3.10'!$E$35)^2)-1)*EXP(2*LN(BR67)+LN('Ecoinvent 3.10'!$E$35)^2)</f>
        <v>0.1726509318848489</v>
      </c>
      <c r="BS252" s="260">
        <f>(EXP(LN('Ecoinvent 3.10'!$E$35)^2)-1)*EXP(2*LN(BS67)+LN('Ecoinvent 3.10'!$E$35)^2)</f>
        <v>0.28033570005645131</v>
      </c>
      <c r="BT252" s="217">
        <f>(EXP(LN('Ecoinvent 3.10'!$E$35)^2)-1)*EXP(2*LN(BT67)+LN('Ecoinvent 3.10'!$E$35)^2)</f>
        <v>0.14083536995549545</v>
      </c>
      <c r="BU252" s="260">
        <f>(EXP(LN('Ecoinvent 3.10'!$E$35)^2)-1)*EXP(2*LN(BU67)+LN('Ecoinvent 3.10'!$E$35)^2)</f>
        <v>0.95724928273448739</v>
      </c>
      <c r="BV252" s="217">
        <f>(EXP(LN('Ecoinvent 3.10'!$E$35)^2)-1)*EXP(2*LN(BV67)+LN('Ecoinvent 3.10'!$E$35)^2)</f>
        <v>0.4809039906312203</v>
      </c>
      <c r="BW252" s="260">
        <f>(EXP(LN('Ecoinvent 3.10'!$E$35)^2)-1)*EXP(2*LN(BW67)+LN('Ecoinvent 3.10'!$E$35)^2)</f>
        <v>1.2600460082973661</v>
      </c>
      <c r="BX252" s="217">
        <f>(EXP(LN('Ecoinvent 3.10'!$E$35)^2)-1)*EXP(2*LN(BX67)+LN('Ecoinvent 3.10'!$E$35)^2)</f>
        <v>0.63302335629664719</v>
      </c>
      <c r="BY252" s="260">
        <f>(EXP(LN('Ecoinvent 3.10'!$E$35)^2)-1)*EXP(2*LN(BY67)+LN('Ecoinvent 3.10'!$E$35)^2)</f>
        <v>0.74943663306688901</v>
      </c>
      <c r="BZ252" s="217">
        <f>(EXP(LN('Ecoinvent 3.10'!$E$35)^2)-1)*EXP(2*LN(BZ67)+LN('Ecoinvent 3.10'!$E$35)^2)</f>
        <v>0.42160625391744727</v>
      </c>
      <c r="CA252" s="156"/>
      <c r="CB252" s="156"/>
      <c r="CC252" s="159" t="s">
        <v>432</v>
      </c>
      <c r="CD252" s="260">
        <f>(EXP(LN('Ecoinvent 3.10'!$E$35)^2)-1)*EXP(2*LN(CD67)+LN('Ecoinvent 3.10'!$E$35)^2)</f>
        <v>3.1862625298426361</v>
      </c>
      <c r="CE252" s="217">
        <f>(EXP(LN('Ecoinvent 3.10'!$E$35)^2)-1)*EXP(2*LN(CE67)+LN('Ecoinvent 3.10'!$E$35)^2)</f>
        <v>1.6007182177487849</v>
      </c>
      <c r="CF252" s="260">
        <f>(EXP(LN('Ecoinvent 3.10'!$E$35)^2)-1)*EXP(2*LN(CF67)+LN('Ecoinvent 3.10'!$E$35)^2)</f>
        <v>5.4996357429957241</v>
      </c>
      <c r="CG252" s="217">
        <f>(EXP(LN('Ecoinvent 3.10'!$E$35)^2)-1)*EXP(2*LN(CG67)+LN('Ecoinvent 3.10'!$E$35)^2)</f>
        <v>2.7629133011931719</v>
      </c>
      <c r="CH252" s="260">
        <f>(EXP(LN('Ecoinvent 3.10'!$E$35)^2)-1)*EXP(2*LN(CH67)+LN('Ecoinvent 3.10'!$E$35)^2)</f>
        <v>5.1853728726585437</v>
      </c>
      <c r="CI252" s="217">
        <f>(EXP(LN('Ecoinvent 3.10'!$E$35)^2)-1)*EXP(2*LN(CI67)+LN('Ecoinvent 3.10'!$E$35)^2)</f>
        <v>2.6050335605882493</v>
      </c>
      <c r="CJ252" s="260">
        <f>(EXP(LN('Ecoinvent 3.10'!$E$35)^2)-1)*EXP(2*LN(CJ67)+LN('Ecoinvent 3.10'!$E$35)^2)</f>
        <v>3.6309621894337365</v>
      </c>
      <c r="CK252" s="217">
        <f>(EXP(LN('Ecoinvent 3.10'!$E$35)^2)-1)*EXP(2*LN(CK67)+LN('Ecoinvent 3.10'!$E$35)^2)</f>
        <v>1.8241269418784047</v>
      </c>
      <c r="CL252" s="260">
        <f>(EXP(LN('Ecoinvent 3.10'!$E$35)^2)-1)*EXP(2*LN(CL67)+LN('Ecoinvent 3.10'!$E$35)^2)</f>
        <v>2.9618600818464031</v>
      </c>
      <c r="CM252" s="217">
        <f>(EXP(LN('Ecoinvent 3.10'!$E$35)^2)-1)*EXP(2*LN(CM67)+LN('Ecoinvent 3.10'!$E$35)^2)</f>
        <v>1.4879826590022385</v>
      </c>
      <c r="CN252" s="260">
        <f>(EXP(LN('Ecoinvent 3.10'!$E$35)^2)-1)*EXP(2*LN(CN67)+LN('Ecoinvent 3.10'!$E$35)^2)</f>
        <v>10.113725930505634</v>
      </c>
      <c r="CO252" s="217">
        <f>(EXP(LN('Ecoinvent 3.10'!$E$35)^2)-1)*EXP(2*LN(CO67)+LN('Ecoinvent 3.10'!$E$35)^2)</f>
        <v>5.080945212345136</v>
      </c>
      <c r="CP252" s="260">
        <f>(EXP(LN('Ecoinvent 3.10'!$E$35)^2)-1)*EXP(2*LN(CP67)+LN('Ecoinvent 3.10'!$E$35)^2)</f>
        <v>13.312895833510833</v>
      </c>
      <c r="CQ252" s="217">
        <f>(EXP(LN('Ecoinvent 3.10'!$E$35)^2)-1)*EXP(2*LN(CQ67)+LN('Ecoinvent 3.10'!$E$35)^2)</f>
        <v>6.6881478510012053</v>
      </c>
      <c r="CR252" s="260">
        <f>(EXP(LN('Ecoinvent 3.10'!$E$35)^2)-1)*EXP(2*LN(CR67)+LN('Ecoinvent 3.10'!$E$35)^2)</f>
        <v>7.9181012154613235</v>
      </c>
      <c r="CS252" s="217">
        <f>(EXP(LN('Ecoinvent 3.10'!$E$35)^2)-1)*EXP(2*LN(CS67)+LN('Ecoinvent 3.10'!$E$35)^2)</f>
        <v>4.4544406348653691</v>
      </c>
      <c r="CV252" s="159" t="s">
        <v>432</v>
      </c>
      <c r="CW252" s="260">
        <f>(EXP(LN('Ecoinvent 3.10'!$E$35)^2)-1)*EXP(2*LN(CW67)+LN('Ecoinvent 3.10'!$E$35)^2)</f>
        <v>5.533688487787223E-8</v>
      </c>
      <c r="CX252" s="217">
        <f>(EXP(LN('Ecoinvent 3.10'!$E$35)^2)-1)*EXP(2*LN(CX67)+LN('Ecoinvent 3.10'!$E$35)^2)</f>
        <v>2.780020758109098E-8</v>
      </c>
      <c r="CY252" s="260">
        <f>(EXP(LN('Ecoinvent 3.10'!$E$35)^2)-1)*EXP(2*LN(CY67)+LN('Ecoinvent 3.10'!$E$35)^2)</f>
        <v>9.5514009636681166E-8</v>
      </c>
      <c r="CZ252" s="217">
        <f>(EXP(LN('Ecoinvent 3.10'!$E$35)^2)-1)*EXP(2*LN(CZ67)+LN('Ecoinvent 3.10'!$E$35)^2)</f>
        <v>4.79844375168984E-8</v>
      </c>
      <c r="DA252" s="260">
        <f>(EXP(LN('Ecoinvent 3.10'!$E$35)^2)-1)*EXP(2*LN(DA67)+LN('Ecoinvent 3.10'!$E$35)^2)</f>
        <v>9.0056101471751299E-8</v>
      </c>
      <c r="DB252" s="217">
        <f>(EXP(LN('Ecoinvent 3.10'!$E$35)^2)-1)*EXP(2*LN(DB67)+LN('Ecoinvent 3.10'!$E$35)^2)</f>
        <v>4.5242487364148651E-8</v>
      </c>
      <c r="DC252" s="260">
        <f>(EXP(LN('Ecoinvent 3.10'!$E$35)^2)-1)*EXP(2*LN(DC67)+LN('Ecoinvent 3.10'!$E$35)^2)</f>
        <v>6.3060132299432644E-8</v>
      </c>
      <c r="DD252" s="217">
        <f>(EXP(LN('Ecoinvent 3.10'!$E$35)^2)-1)*EXP(2*LN(DD67)+LN('Ecoinvent 3.10'!$E$35)^2)</f>
        <v>3.1680221463212505E-8</v>
      </c>
      <c r="DE252" s="260">
        <f>(EXP(LN('Ecoinvent 3.10'!$E$35)^2)-1)*EXP(2*LN(DE67)+LN('Ecoinvent 3.10'!$E$35)^2)</f>
        <v>5.1439612661670618E-8</v>
      </c>
      <c r="DF252" s="217">
        <f>(EXP(LN('Ecoinvent 3.10'!$E$35)^2)-1)*EXP(2*LN(DF67)+LN('Ecoinvent 3.10'!$E$35)^2)</f>
        <v>2.5842291503061977E-8</v>
      </c>
      <c r="DG252" s="260">
        <f>(EXP(LN('Ecoinvent 3.10'!$E$35)^2)-1)*EXP(2*LN(DG67)+LN('Ecoinvent 3.10'!$E$35)^2)</f>
        <v>1.7564845403067984E-7</v>
      </c>
      <c r="DH252" s="217">
        <f>(EXP(LN('Ecoinvent 3.10'!$E$35)^2)-1)*EXP(2*LN(DH67)+LN('Ecoinvent 3.10'!$E$35)^2)</f>
        <v>8.8242471438850647E-8</v>
      </c>
      <c r="DI252" s="260">
        <f>(EXP(LN('Ecoinvent 3.10'!$E$35)^2)-1)*EXP(2*LN(DI67)+LN('Ecoinvent 3.10'!$E$35)^2)</f>
        <v>2.3120950556653528E-7</v>
      </c>
      <c r="DJ252" s="217">
        <f>(EXP(LN('Ecoinvent 3.10'!$E$35)^2)-1)*EXP(2*LN(DJ67)+LN('Ecoinvent 3.10'!$E$35)^2)</f>
        <v>1.1615529612223163E-7</v>
      </c>
      <c r="DK252" s="260">
        <f>(EXP(LN('Ecoinvent 3.10'!$E$35)^2)-1)*EXP(2*LN(DK67)+LN('Ecoinvent 3.10'!$E$35)^2)</f>
        <v>1.3751630674104054E-7</v>
      </c>
      <c r="DL252" s="217">
        <f>(EXP(LN('Ecoinvent 3.10'!$E$35)^2)-1)*EXP(2*LN(DL67)+LN('Ecoinvent 3.10'!$E$35)^2)</f>
        <v>7.736175732482257E-8</v>
      </c>
      <c r="DO252" s="159" t="s">
        <v>432</v>
      </c>
      <c r="DP252" s="260">
        <f>(EXP(LN('Ecoinvent 3.10'!$E$35)^2)-1)*EXP(2*LN(DP67)+LN('Ecoinvent 3.10'!$E$35)^2)</f>
        <v>1.013659761256333E-5</v>
      </c>
      <c r="DQ252" s="217">
        <f>(EXP(LN('Ecoinvent 3.10'!$E$35)^2)-1)*EXP(2*LN(DQ67)+LN('Ecoinvent 3.10'!$E$35)^2)</f>
        <v>5.0924355141634651E-6</v>
      </c>
      <c r="DR252" s="260">
        <f>(EXP(LN('Ecoinvent 3.10'!$E$35)^2)-1)*EXP(2*LN(DR67)+LN('Ecoinvent 3.10'!$E$35)^2)</f>
        <v>1.7496233916786423E-5</v>
      </c>
      <c r="DS252" s="217">
        <f>(EXP(LN('Ecoinvent 3.10'!$E$35)^2)-1)*EXP(2*LN(DS67)+LN('Ecoinvent 3.10'!$E$35)^2)</f>
        <v>8.7897780268524792E-6</v>
      </c>
      <c r="DT252" s="260">
        <f>(EXP(LN('Ecoinvent 3.10'!$E$35)^2)-1)*EXP(2*LN(DT67)+LN('Ecoinvent 3.10'!$E$35)^2)</f>
        <v>1.6496455577324081E-5</v>
      </c>
      <c r="DU252" s="217">
        <f>(EXP(LN('Ecoinvent 3.10'!$E$35)^2)-1)*EXP(2*LN(DU67)+LN('Ecoinvent 3.10'!$E$35)^2)</f>
        <v>8.2875082400100891E-6</v>
      </c>
      <c r="DV252" s="260">
        <f>(EXP(LN('Ecoinvent 3.10'!$E$35)^2)-1)*EXP(2*LN(DV67)+LN('Ecoinvent 3.10'!$E$35)^2)</f>
        <v>1.1551340266534646E-5</v>
      </c>
      <c r="DW252" s="217">
        <f>(EXP(LN('Ecoinvent 3.10'!$E$35)^2)-1)*EXP(2*LN(DW67)+LN('Ecoinvent 3.10'!$E$35)^2)</f>
        <v>5.803175548428616E-6</v>
      </c>
      <c r="DX252" s="260">
        <f>(EXP(LN('Ecoinvent 3.10'!$E$35)^2)-1)*EXP(2*LN(DX67)+LN('Ecoinvent 3.10'!$E$35)^2)</f>
        <v>9.4226962007031231E-6</v>
      </c>
      <c r="DY252" s="217">
        <f>(EXP(LN('Ecoinvent 3.10'!$E$35)^2)-1)*EXP(2*LN(DY67)+LN('Ecoinvent 3.10'!$E$35)^2)</f>
        <v>4.7337849055151943E-6</v>
      </c>
      <c r="DZ252" s="260">
        <f>(EXP(LN('Ecoinvent 3.10'!$E$35)^2)-1)*EXP(2*LN(DZ67)+LN('Ecoinvent 3.10'!$E$35)^2)</f>
        <v>3.2175242674164248E-5</v>
      </c>
      <c r="EA252" s="217">
        <f>(EXP(LN('Ecoinvent 3.10'!$E$35)^2)-1)*EXP(2*LN(EA67)+LN('Ecoinvent 3.10'!$E$35)^2)</f>
        <v>1.6164235252632021E-5</v>
      </c>
      <c r="EB252" s="260">
        <f>(EXP(LN('Ecoinvent 3.10'!$E$35)^2)-1)*EXP(2*LN(EB67)+LN('Ecoinvent 3.10'!$E$35)^2)</f>
        <v>4.2352903082639306E-5</v>
      </c>
      <c r="EC252" s="217">
        <f>(EXP(LN('Ecoinvent 3.10'!$E$35)^2)-1)*EXP(2*LN(EC67)+LN('Ecoinvent 3.10'!$E$35)^2)</f>
        <v>2.1277299941219129E-5</v>
      </c>
      <c r="ED252" s="260">
        <f>(EXP(LN('Ecoinvent 3.10'!$E$35)^2)-1)*EXP(2*LN(ED67)+LN('Ecoinvent 3.10'!$E$35)^2)</f>
        <v>2.5190204863829661E-5</v>
      </c>
      <c r="EE252" s="217">
        <f>(EXP(LN('Ecoinvent 3.10'!$E$35)^2)-1)*EXP(2*LN(EE67)+LN('Ecoinvent 3.10'!$E$35)^2)</f>
        <v>1.4171108589382759E-5</v>
      </c>
      <c r="EH252" s="159" t="s">
        <v>432</v>
      </c>
      <c r="EI252" s="260">
        <f>(EXP(LN('Ecoinvent 3.10'!$E$35)^2)-1)*EXP(2*LN(EI67)+LN('Ecoinvent 3.10'!$E$35)^2)</f>
        <v>1.7097499267830039E-7</v>
      </c>
      <c r="EJ252" s="217">
        <f>(EXP(LN('Ecoinvent 3.10'!$E$35)^2)-1)*EXP(2*LN(EJ67)+LN('Ecoinvent 3.10'!$E$35)^2)</f>
        <v>8.5894612573916634E-8</v>
      </c>
      <c r="EK252" s="260">
        <f>(EXP(LN('Ecoinvent 3.10'!$E$35)^2)-1)*EXP(2*LN(EK67)+LN('Ecoinvent 3.10'!$E$35)^2)</f>
        <v>2.9511070481014404E-7</v>
      </c>
      <c r="EL252" s="217">
        <f>(EXP(LN('Ecoinvent 3.10'!$E$35)^2)-1)*EXP(2*LN(EL67)+LN('Ecoinvent 3.10'!$E$35)^2)</f>
        <v>1.4825805375981098E-7</v>
      </c>
      <c r="EM252" s="260">
        <f>(EXP(LN('Ecoinvent 3.10'!$E$35)^2)-1)*EXP(2*LN(EM67)+LN('Ecoinvent 3.10'!$E$35)^2)</f>
        <v>2.7824734485417248E-7</v>
      </c>
      <c r="EN252" s="217">
        <f>(EXP(LN('Ecoinvent 3.10'!$E$35)^2)-1)*EXP(2*LN(EN67)+LN('Ecoinvent 3.10'!$E$35)^2)</f>
        <v>1.3978621967798114E-7</v>
      </c>
      <c r="EO252" s="260">
        <f>(EXP(LN('Ecoinvent 3.10'!$E$35)^2)-1)*EXP(2*LN(EO67)+LN('Ecoinvent 3.10'!$E$35)^2)</f>
        <v>1.9483759669492116E-7</v>
      </c>
      <c r="EP252" s="217">
        <f>(EXP(LN('Ecoinvent 3.10'!$E$35)^2)-1)*EXP(2*LN(EP67)+LN('Ecoinvent 3.10'!$E$35)^2)</f>
        <v>9.7882734900489837E-8</v>
      </c>
      <c r="EQ252" s="260">
        <f>(EXP(LN('Ecoinvent 3.10'!$E$35)^2)-1)*EXP(2*LN(EQ67)+LN('Ecoinvent 3.10'!$E$35)^2)</f>
        <v>1.5893354708372048E-7</v>
      </c>
      <c r="ER252" s="217">
        <f>(EXP(LN('Ecoinvent 3.10'!$E$35)^2)-1)*EXP(2*LN(ER67)+LN('Ecoinvent 3.10'!$E$35)^2)</f>
        <v>7.9845217349654649E-8</v>
      </c>
      <c r="ES252" s="260">
        <f>(EXP(LN('Ecoinvent 3.10'!$E$35)^2)-1)*EXP(2*LN(ES67)+LN('Ecoinvent 3.10'!$E$35)^2)</f>
        <v>5.4270299472276619E-7</v>
      </c>
      <c r="ET252" s="217">
        <f>(EXP(LN('Ecoinvent 3.10'!$E$35)^2)-1)*EXP(2*LN(ET67)+LN('Ecoinvent 3.10'!$E$35)^2)</f>
        <v>2.7264375183875991E-7</v>
      </c>
      <c r="EU252" s="260">
        <f>(EXP(LN('Ecoinvent 3.10'!$E$35)^2)-1)*EXP(2*LN(EU67)+LN('Ecoinvent 3.10'!$E$35)^2)</f>
        <v>7.143705976336815E-7</v>
      </c>
      <c r="EV252" s="217">
        <f>(EXP(LN('Ecoinvent 3.10'!$E$35)^2)-1)*EXP(2*LN(EV67)+LN('Ecoinvent 3.10'!$E$35)^2)</f>
        <v>3.588863187343189E-7</v>
      </c>
      <c r="EW252" s="260">
        <f>(EXP(LN('Ecoinvent 3.10'!$E$35)^2)-1)*EXP(2*LN(EW67)+LN('Ecoinvent 3.10'!$E$35)^2)</f>
        <v>4.2488567237000518E-7</v>
      </c>
      <c r="EX252" s="217">
        <f>(EXP(LN('Ecoinvent 3.10'!$E$35)^2)-1)*EXP(2*LN(EX67)+LN('Ecoinvent 3.10'!$E$35)^2)</f>
        <v>2.3902548763602505E-7</v>
      </c>
      <c r="FA252" s="159" t="s">
        <v>432</v>
      </c>
      <c r="FB252" s="260">
        <f>(EXP(LN('Ecoinvent 3.10'!$E$35)^2)-1)*EXP(2*LN(FB67)+LN('Ecoinvent 3.10'!$E$35)^2)</f>
        <v>8.1938370186094615E-11</v>
      </c>
      <c r="FC252" s="217">
        <f>(EXP(LN('Ecoinvent 3.10'!$E$35)^2)-1)*EXP(2*LN(FC67)+LN('Ecoinvent 3.10'!$E$35)^2)</f>
        <v>4.116429222673111E-11</v>
      </c>
      <c r="FD252" s="260">
        <f>(EXP(LN('Ecoinvent 3.10'!$E$35)^2)-1)*EXP(2*LN(FD67)+LN('Ecoinvent 3.10'!$E$35)^2)</f>
        <v>1.4142939735117111E-10</v>
      </c>
      <c r="FE252" s="217">
        <f>(EXP(LN('Ecoinvent 3.10'!$E$35)^2)-1)*EXP(2*LN(FE67)+LN('Ecoinvent 3.10'!$E$35)^2)</f>
        <v>7.1051462566216083E-11</v>
      </c>
      <c r="FF252" s="260">
        <f>(EXP(LN('Ecoinvent 3.10'!$E$35)^2)-1)*EXP(2*LN(FF67)+LN('Ecoinvent 3.10'!$E$35)^2)</f>
        <v>1.3334776968733103E-10</v>
      </c>
      <c r="FG252" s="217">
        <f>(EXP(LN('Ecoinvent 3.10'!$E$35)^2)-1)*EXP(2*LN(FG67)+LN('Ecoinvent 3.10'!$E$35)^2)</f>
        <v>6.6991405207662681E-11</v>
      </c>
      <c r="FH252" s="260">
        <f>(EXP(LN('Ecoinvent 3.10'!$E$35)^2)-1)*EXP(2*LN(FH67)+LN('Ecoinvent 3.10'!$E$35)^2)</f>
        <v>9.3374328456302178E-11</v>
      </c>
      <c r="FI252" s="217">
        <f>(EXP(LN('Ecoinvent 3.10'!$E$35)^2)-1)*EXP(2*LN(FI67)+LN('Ecoinvent 3.10'!$E$35)^2)</f>
        <v>4.6909502035741963E-11</v>
      </c>
      <c r="FJ252" s="260">
        <f>(EXP(LN('Ecoinvent 3.10'!$E$35)^2)-1)*EXP(2*LN(FJ67)+LN('Ecoinvent 3.10'!$E$35)^2)</f>
        <v>7.6167605635977996E-11</v>
      </c>
      <c r="FK252" s="217">
        <f>(EXP(LN('Ecoinvent 3.10'!$E$35)^2)-1)*EXP(2*LN(FK67)+LN('Ecoinvent 3.10'!$E$35)^2)</f>
        <v>3.826516892499639E-11</v>
      </c>
      <c r="FL252" s="260">
        <f>(EXP(LN('Ecoinvent 3.10'!$E$35)^2)-1)*EXP(2*LN(FL67)+LN('Ecoinvent 3.10'!$E$35)^2)</f>
        <v>2.6008598208491066E-10</v>
      </c>
      <c r="FM252" s="217">
        <f>(EXP(LN('Ecoinvent 3.10'!$E$35)^2)-1)*EXP(2*LN(FM67)+LN('Ecoinvent 3.10'!$E$35)^2)</f>
        <v>1.3066229345670491E-10</v>
      </c>
      <c r="FN252" s="260">
        <f>(EXP(LN('Ecoinvent 3.10'!$E$35)^2)-1)*EXP(2*LN(FN67)+LN('Ecoinvent 3.10'!$E$35)^2)</f>
        <v>3.4235628007369607E-10</v>
      </c>
      <c r="FO252" s="217">
        <f>(EXP(LN('Ecoinvent 3.10'!$E$35)^2)-1)*EXP(2*LN(FO67)+LN('Ecoinvent 3.10'!$E$35)^2)</f>
        <v>1.7199333995298107E-10</v>
      </c>
      <c r="FP252" s="260">
        <f>(EXP(LN('Ecoinvent 3.10'!$E$35)^2)-1)*EXP(2*LN(FP67)+LN('Ecoinvent 3.10'!$E$35)^2)</f>
        <v>2.0362299166713015E-10</v>
      </c>
      <c r="FQ252" s="217">
        <f>(EXP(LN('Ecoinvent 3.10'!$E$35)^2)-1)*EXP(2*LN(FQ67)+LN('Ecoinvent 3.10'!$E$35)^2)</f>
        <v>1.1455101464272837E-10</v>
      </c>
      <c r="FT252" s="159" t="s">
        <v>432</v>
      </c>
      <c r="FU252" s="260">
        <f>(EXP(LN('Ecoinvent 3.10'!$E$35)^2)-1)*EXP(2*LN(FU67)+LN('Ecoinvent 3.10'!$E$35)^2)</f>
        <v>3.9112617685631739E-6</v>
      </c>
      <c r="FV252" s="217">
        <f>(EXP(LN('Ecoinvent 3.10'!$E$35)^2)-1)*EXP(2*LN(FV67)+LN('Ecoinvent 3.10'!$E$35)^2)</f>
        <v>1.9649441653612321E-6</v>
      </c>
      <c r="FW252" s="260">
        <f>(EXP(LN('Ecoinvent 3.10'!$E$35)^2)-1)*EXP(2*LN(FW67)+LN('Ecoinvent 3.10'!$E$35)^2)</f>
        <v>6.7510177900077374E-6</v>
      </c>
      <c r="FX252" s="217">
        <f>(EXP(LN('Ecoinvent 3.10'!$E$35)^2)-1)*EXP(2*LN(FX67)+LN('Ecoinvent 3.10'!$E$35)^2)</f>
        <v>3.3915840466997693E-6</v>
      </c>
      <c r="FY252" s="260">
        <f>(EXP(LN('Ecoinvent 3.10'!$E$35)^2)-1)*EXP(2*LN(FY67)+LN('Ecoinvent 3.10'!$E$35)^2)</f>
        <v>6.3652478358635489E-6</v>
      </c>
      <c r="FZ252" s="217">
        <f>(EXP(LN('Ecoinvent 3.10'!$E$35)^2)-1)*EXP(2*LN(FZ67)+LN('Ecoinvent 3.10'!$E$35)^2)</f>
        <v>3.1977804954621964E-6</v>
      </c>
      <c r="GA252" s="260">
        <f>(EXP(LN('Ecoinvent 3.10'!$E$35)^2)-1)*EXP(2*LN(GA67)+LN('Ecoinvent 3.10'!$E$35)^2)</f>
        <v>4.457147978742356E-6</v>
      </c>
      <c r="GB252" s="217">
        <f>(EXP(LN('Ecoinvent 3.10'!$E$35)^2)-1)*EXP(2*LN(GB67)+LN('Ecoinvent 3.10'!$E$35)^2)</f>
        <v>2.2391871046255041E-6</v>
      </c>
      <c r="GC252" s="260">
        <f>(EXP(LN('Ecoinvent 3.10'!$E$35)^2)-1)*EXP(2*LN(GC67)+LN('Ecoinvent 3.10'!$E$35)^2)</f>
        <v>3.63579899441977E-6</v>
      </c>
      <c r="GD252" s="217">
        <f>(EXP(LN('Ecoinvent 3.10'!$E$35)^2)-1)*EXP(2*LN(GD67)+LN('Ecoinvent 3.10'!$E$35)^2)</f>
        <v>1.8265568615050264E-6</v>
      </c>
      <c r="GE252" s="260">
        <f>(EXP(LN('Ecoinvent 3.10'!$E$35)^2)-1)*EXP(2*LN(GE67)+LN('Ecoinvent 3.10'!$E$35)^2)</f>
        <v>1.2414993805192318E-5</v>
      </c>
      <c r="GF252" s="217">
        <f>(EXP(LN('Ecoinvent 3.10'!$E$35)^2)-1)*EXP(2*LN(GF67)+LN('Ecoinvent 3.10'!$E$35)^2)</f>
        <v>6.2370588019911572E-6</v>
      </c>
      <c r="GG252" s="260">
        <f>(EXP(LN('Ecoinvent 3.10'!$E$35)^2)-1)*EXP(2*LN(GG67)+LN('Ecoinvent 3.10'!$E$35)^2)</f>
        <v>1.6342099878708545E-5</v>
      </c>
      <c r="GH252" s="217">
        <f>(EXP(LN('Ecoinvent 3.10'!$E$35)^2)-1)*EXP(2*LN(GH67)+LN('Ecoinvent 3.10'!$E$35)^2)</f>
        <v>8.2099628474151238E-6</v>
      </c>
      <c r="GI252" s="260">
        <f>(EXP(LN('Ecoinvent 3.10'!$E$35)^2)-1)*EXP(2*LN(GI67)+LN('Ecoinvent 3.10'!$E$35)^2)</f>
        <v>9.7197786665673901E-6</v>
      </c>
      <c r="GJ252" s="217">
        <f>(EXP(LN('Ecoinvent 3.10'!$E$35)^2)-1)*EXP(2*LN(GJ67)+LN('Ecoinvent 3.10'!$E$35)^2)</f>
        <v>5.467999950507427E-6</v>
      </c>
      <c r="GM252" s="159" t="s">
        <v>432</v>
      </c>
      <c r="GN252" s="260">
        <f>(EXP(LN('Ecoinvent 3.10'!$E$35)^2)-1)*EXP(2*LN(GN67)+LN('Ecoinvent 3.10'!$E$35)^2)</f>
        <v>8.4234015574440437E-4</v>
      </c>
      <c r="GO252" s="217">
        <f>(EXP(LN('Ecoinvent 3.10'!$E$35)^2)-1)*EXP(2*LN(GO67)+LN('Ecoinvent 3.10'!$E$35)^2)</f>
        <v>4.2317581185251878E-4</v>
      </c>
      <c r="GP252" s="260">
        <f>(EXP(LN('Ecoinvent 3.10'!$E$35)^2)-1)*EXP(2*LN(GP67)+LN('Ecoinvent 3.10'!$E$35)^2)</f>
        <v>1.4539178692602286E-3</v>
      </c>
      <c r="GQ252" s="217">
        <f>(EXP(LN('Ecoinvent 3.10'!$E$35)^2)-1)*EXP(2*LN(GQ67)+LN('Ecoinvent 3.10'!$E$35)^2)</f>
        <v>7.304209237743777E-4</v>
      </c>
      <c r="GR252" s="260">
        <f>(EXP(LN('Ecoinvent 3.10'!$E$35)^2)-1)*EXP(2*LN(GR67)+LN('Ecoinvent 3.10'!$E$35)^2)</f>
        <v>1.3708373846281049E-3</v>
      </c>
      <c r="GS252" s="217">
        <f>(EXP(LN('Ecoinvent 3.10'!$E$35)^2)-1)*EXP(2*LN(GS67)+LN('Ecoinvent 3.10'!$E$35)^2)</f>
        <v>6.8868285478462462E-4</v>
      </c>
      <c r="GT252" s="260">
        <f>(EXP(LN('Ecoinvent 3.10'!$E$35)^2)-1)*EXP(2*LN(GT67)+LN('Ecoinvent 3.10'!$E$35)^2)</f>
        <v>9.5990372026899886E-4</v>
      </c>
      <c r="GU252" s="217">
        <f>(EXP(LN('Ecoinvent 3.10'!$E$35)^2)-1)*EXP(2*LN(GU67)+LN('Ecoinvent 3.10'!$E$35)^2)</f>
        <v>4.8223752999891932E-4</v>
      </c>
      <c r="GV252" s="260">
        <f>(EXP(LN('Ecoinvent 3.10'!$E$35)^2)-1)*EXP(2*LN(GV67)+LN('Ecoinvent 3.10'!$E$35)^2)</f>
        <v>7.8301573058352323E-4</v>
      </c>
      <c r="GW252" s="217">
        <f>(EXP(LN('Ecoinvent 3.10'!$E$35)^2)-1)*EXP(2*LN(GW67)+LN('Ecoinvent 3.10'!$E$35)^2)</f>
        <v>3.9337233921864592E-4</v>
      </c>
      <c r="GX252" s="260">
        <f>(EXP(LN('Ecoinvent 3.10'!$E$35)^2)-1)*EXP(2*LN(GX67)+LN('Ecoinvent 3.10'!$E$35)^2)</f>
        <v>2.6737274143819804E-3</v>
      </c>
      <c r="GY252" s="217">
        <f>(EXP(LN('Ecoinvent 3.10'!$E$35)^2)-1)*EXP(2*LN(GY67)+LN('Ecoinvent 3.10'!$E$35)^2)</f>
        <v>1.343230239633445E-3</v>
      </c>
      <c r="GZ252" s="260">
        <f>(EXP(LN('Ecoinvent 3.10'!$E$35)^2)-1)*EXP(2*LN(GZ67)+LN('Ecoinvent 3.10'!$E$35)^2)</f>
        <v>3.5194798434774266E-3</v>
      </c>
      <c r="HA252" s="217">
        <f>(EXP(LN('Ecoinvent 3.10'!$E$35)^2)-1)*EXP(2*LN(HA67)+LN('Ecoinvent 3.10'!$E$35)^2)</f>
        <v>1.7681203132788308E-3</v>
      </c>
      <c r="HB252" s="260">
        <f>(EXP(LN('Ecoinvent 3.10'!$E$35)^2)-1)*EXP(2*LN(HB67)+LN('Ecoinvent 3.10'!$E$35)^2)</f>
        <v>2.0932784252906682E-3</v>
      </c>
      <c r="HC252" s="217">
        <f>(EXP(LN('Ecoinvent 3.10'!$E$35)^2)-1)*EXP(2*LN(HC67)+LN('Ecoinvent 3.10'!$E$35)^2)</f>
        <v>1.1776035976269704E-3</v>
      </c>
      <c r="HF252" s="159" t="s">
        <v>432</v>
      </c>
      <c r="HG252" s="260">
        <f>(EXP(LN('Ecoinvent 3.10'!$E$35)^2)-1)*EXP(2*LN(HG67)+LN('Ecoinvent 3.10'!$E$35)^2)</f>
        <v>8.5232598931943271E-4</v>
      </c>
      <c r="HH252" s="217">
        <f>(EXP(LN('Ecoinvent 3.10'!$E$35)^2)-1)*EXP(2*LN(HH67)+LN('Ecoinvent 3.10'!$E$35)^2)</f>
        <v>4.2819250635689298E-4</v>
      </c>
      <c r="HI252" s="260">
        <f>(EXP(LN('Ecoinvent 3.10'!$E$35)^2)-1)*EXP(2*LN(HI67)+LN('Ecoinvent 3.10'!$E$35)^2)</f>
        <v>1.4711538775107923E-3</v>
      </c>
      <c r="HJ252" s="217">
        <f>(EXP(LN('Ecoinvent 3.10'!$E$35)^2)-1)*EXP(2*LN(HJ67)+LN('Ecoinvent 3.10'!$E$35)^2)</f>
        <v>7.3907996933309645E-4</v>
      </c>
      <c r="HK252" s="260">
        <f>(EXP(LN('Ecoinvent 3.10'!$E$35)^2)-1)*EXP(2*LN(HK67)+LN('Ecoinvent 3.10'!$E$35)^2)</f>
        <v>1.3870884844812581E-3</v>
      </c>
      <c r="HL252" s="217">
        <f>(EXP(LN('Ecoinvent 3.10'!$E$35)^2)-1)*EXP(2*LN(HL67)+LN('Ecoinvent 3.10'!$E$35)^2)</f>
        <v>6.9684710093501372E-4</v>
      </c>
      <c r="HM252" s="260">
        <f>(EXP(LN('Ecoinvent 3.10'!$E$35)^2)-1)*EXP(2*LN(HM67)+LN('Ecoinvent 3.10'!$E$35)^2)</f>
        <v>9.7128325469257842E-4</v>
      </c>
      <c r="HN252" s="217">
        <f>(EXP(LN('Ecoinvent 3.10'!$E$35)^2)-1)*EXP(2*LN(HN67)+LN('Ecoinvent 3.10'!$E$35)^2)</f>
        <v>4.8795439353126045E-4</v>
      </c>
      <c r="HO252" s="260">
        <f>(EXP(LN('Ecoinvent 3.10'!$E$35)^2)-1)*EXP(2*LN(HO67)+LN('Ecoinvent 3.10'!$E$35)^2)</f>
        <v>7.922982807729125E-4</v>
      </c>
      <c r="HP252" s="217">
        <f>(EXP(LN('Ecoinvent 3.10'!$E$35)^2)-1)*EXP(2*LN(HP67)+LN('Ecoinvent 3.10'!$E$35)^2)</f>
        <v>3.9803571741054241E-4</v>
      </c>
      <c r="HQ252" s="260">
        <f>(EXP(LN('Ecoinvent 3.10'!$E$35)^2)-1)*EXP(2*LN(HQ67)+LN('Ecoinvent 3.10'!$E$35)^2)</f>
        <v>2.7054241069864229E-3</v>
      </c>
      <c r="HR252" s="217">
        <f>(EXP(LN('Ecoinvent 3.10'!$E$35)^2)-1)*EXP(2*LN(HR67)+LN('Ecoinvent 3.10'!$E$35)^2)</f>
        <v>1.3591540603541499E-3</v>
      </c>
      <c r="HS252" s="260">
        <f>(EXP(LN('Ecoinvent 3.10'!$E$35)^2)-1)*EXP(2*LN(HS67)+LN('Ecoinvent 3.10'!$E$35)^2)</f>
        <v>3.5612028217160367E-3</v>
      </c>
      <c r="HT252" s="217">
        <f>(EXP(LN('Ecoinvent 3.10'!$E$35)^2)-1)*EXP(2*LN(HT67)+LN('Ecoinvent 3.10'!$E$35)^2)</f>
        <v>1.7890811508556948E-3</v>
      </c>
      <c r="HU252" s="260">
        <f>(EXP(LN('Ecoinvent 3.10'!$E$35)^2)-1)*EXP(2*LN(HU67)+LN('Ecoinvent 3.10'!$E$35)^2)</f>
        <v>2.1180939702205859E-3</v>
      </c>
      <c r="HV252" s="217">
        <f>(EXP(LN('Ecoinvent 3.10'!$E$35)^2)-1)*EXP(2*LN(HV67)+LN('Ecoinvent 3.10'!$E$35)^2)</f>
        <v>1.1915639359333697E-3</v>
      </c>
      <c r="HY252" s="159" t="s">
        <v>432</v>
      </c>
      <c r="HZ252" s="260">
        <f>(EXP(LN('Ecoinvent 3.10'!$E$35)^2)-1)*EXP(2*LN(HZ67)+LN('Ecoinvent 3.10'!$E$35)^2)</f>
        <v>8.8356193248737974E-9</v>
      </c>
      <c r="IA252" s="217">
        <f>(EXP(LN('Ecoinvent 3.10'!$E$35)^2)-1)*EXP(2*LN(IA67)+LN('Ecoinvent 3.10'!$E$35)^2)</f>
        <v>4.4388485524817236E-9</v>
      </c>
      <c r="IB252" s="260">
        <f>(EXP(LN('Ecoinvent 3.10'!$E$35)^2)-1)*EXP(2*LN(IB67)+LN('Ecoinvent 3.10'!$E$35)^2)</f>
        <v>1.5250685527466432E-8</v>
      </c>
      <c r="IC252" s="217">
        <f>(EXP(LN('Ecoinvent 3.10'!$E$35)^2)-1)*EXP(2*LN(IC67)+LN('Ecoinvent 3.10'!$E$35)^2)</f>
        <v>7.6616568560591691E-9</v>
      </c>
      <c r="ID252" s="260">
        <f>(EXP(LN('Ecoinvent 3.10'!$E$35)^2)-1)*EXP(2*LN(ID67)+LN('Ecoinvent 3.10'!$E$35)^2)</f>
        <v>1.4379223410257103E-8</v>
      </c>
      <c r="IE252" s="217">
        <f>(EXP(LN('Ecoinvent 3.10'!$E$35)^2)-1)*EXP(2*LN(IE67)+LN('Ecoinvent 3.10'!$E$35)^2)</f>
        <v>7.2238507198636706E-9</v>
      </c>
      <c r="IF252" s="260">
        <f>(EXP(LN('Ecoinvent 3.10'!$E$35)^2)-1)*EXP(2*LN(IF67)+LN('Ecoinvent 3.10'!$E$35)^2)</f>
        <v>1.0068787298085986E-8</v>
      </c>
      <c r="IG252" s="217">
        <f>(EXP(LN('Ecoinvent 3.10'!$E$35)^2)-1)*EXP(2*LN(IG67)+LN('Ecoinvent 3.10'!$E$35)^2)</f>
        <v>5.0583688907391396E-9</v>
      </c>
      <c r="IH252" s="260">
        <f>(EXP(LN('Ecoinvent 3.10'!$E$35)^2)-1)*EXP(2*LN(IH67)+LN('Ecoinvent 3.10'!$E$35)^2)</f>
        <v>8.2133433549892986E-9</v>
      </c>
      <c r="II252" s="217">
        <f>(EXP(LN('Ecoinvent 3.10'!$E$35)^2)-1)*EXP(2*LN(II67)+LN('Ecoinvent 3.10'!$E$35)^2)</f>
        <v>4.1262288382767375E-9</v>
      </c>
      <c r="IJ252" s="260">
        <f>(EXP(LN('Ecoinvent 3.10'!$E$35)^2)-1)*EXP(2*LN(IJ67)+LN('Ecoinvent 3.10'!$E$35)^2)</f>
        <v>2.8045721732310066E-8</v>
      </c>
      <c r="IK252" s="217">
        <f>(EXP(LN('Ecoinvent 3.10'!$E$35)^2)-1)*EXP(2*LN(IK67)+LN('Ecoinvent 3.10'!$E$35)^2)</f>
        <v>1.4089641793904206E-8</v>
      </c>
      <c r="IL252" s="260">
        <f>(EXP(LN('Ecoinvent 3.10'!$E$35)^2)-1)*EXP(2*LN(IL67)+LN('Ecoinvent 3.10'!$E$35)^2)</f>
        <v>3.6917133662055707E-8</v>
      </c>
      <c r="IM252" s="217">
        <f>(EXP(LN('Ecoinvent 3.10'!$E$35)^2)-1)*EXP(2*LN(IM67)+LN('Ecoinvent 3.10'!$E$35)^2)</f>
        <v>1.8546471876200971E-8</v>
      </c>
      <c r="IN252" s="260">
        <f>(EXP(LN('Ecoinvent 3.10'!$E$35)^2)-1)*EXP(2*LN(IN67)+LN('Ecoinvent 3.10'!$E$35)^2)</f>
        <v>2.1957176303075095E-8</v>
      </c>
      <c r="IO252" s="217">
        <f>(EXP(LN('Ecoinvent 3.10'!$E$35)^2)-1)*EXP(2*LN(IO67)+LN('Ecoinvent 3.10'!$E$35)^2)</f>
        <v>1.2352322316913227E-8</v>
      </c>
    </row>
    <row r="253" spans="1:249" ht="15" x14ac:dyDescent="0.25">
      <c r="T253" s="109"/>
      <c r="U253" s="109"/>
      <c r="V253" s="94"/>
      <c r="AM253" s="94"/>
      <c r="AN253" s="94"/>
      <c r="AO253" s="109"/>
      <c r="AP253" s="726"/>
      <c r="AQ253" s="155" t="s">
        <v>215</v>
      </c>
      <c r="AR253" s="132">
        <f>AR250+AR245+AR234+AR194+AR246+AR249</f>
        <v>951.66966899409636</v>
      </c>
      <c r="AS253" s="132">
        <f t="shared" ref="AS253:BC253" si="3048">AS250+AS245+AS234+AS194+AS246+AS249</f>
        <v>878.28780081963419</v>
      </c>
      <c r="AT253" s="132">
        <f t="shared" si="3048"/>
        <v>1100.9659039731673</v>
      </c>
      <c r="AU253" s="132">
        <f t="shared" si="3048"/>
        <v>987.45534104255159</v>
      </c>
      <c r="AV253" s="132">
        <f t="shared" si="3048"/>
        <v>1163.703086012534</v>
      </c>
      <c r="AW253" s="132">
        <f t="shared" si="3048"/>
        <v>1055.5304567336766</v>
      </c>
      <c r="AX253" s="132">
        <f t="shared" si="3048"/>
        <v>969.37223472632763</v>
      </c>
      <c r="AY253" s="132">
        <f t="shared" si="3048"/>
        <v>891.73238990275058</v>
      </c>
      <c r="AZ253" s="132">
        <f t="shared" si="3048"/>
        <v>891.64231533185443</v>
      </c>
      <c r="BA253" s="132">
        <f t="shared" si="3048"/>
        <v>827.71174356149311</v>
      </c>
      <c r="BB253" s="132">
        <f t="shared" si="3048"/>
        <v>748.70281950212609</v>
      </c>
      <c r="BC253" s="132">
        <f t="shared" si="3048"/>
        <v>556.0252278094174</v>
      </c>
      <c r="BD253" s="132">
        <f>BD250+BD245+BD234+BD194+BD247+BD249</f>
        <v>1506.5542471299375</v>
      </c>
      <c r="BE253" s="132">
        <f>BE250+BE245+BE234+BE194+BE247+BE249</f>
        <v>1289.3129259135287</v>
      </c>
      <c r="BF253" s="132">
        <f>BF250+BF245+BF234+BF194+BF248+BF249</f>
        <v>7167.3349322326676</v>
      </c>
      <c r="BG253" s="132">
        <f>BG250+BG245+BG234+BG194+BG248+BG249</f>
        <v>2425.0448706739389</v>
      </c>
      <c r="BI253" s="156"/>
      <c r="BJ253" s="155" t="s">
        <v>215</v>
      </c>
      <c r="BK253" s="132">
        <f>BK250+BK245+BK234+BK194+BK246+BK249</f>
        <v>19.636818655482681</v>
      </c>
      <c r="BL253" s="132">
        <f t="shared" ref="BL253:BV253" si="3049">BL250+BL245+BL234+BL194+BL246+BL249</f>
        <v>16.304948114679931</v>
      </c>
      <c r="BM253" s="132">
        <f t="shared" si="3049"/>
        <v>31.642101297952681</v>
      </c>
      <c r="BN253" s="132">
        <f t="shared" si="3049"/>
        <v>26.334992008721869</v>
      </c>
      <c r="BO253" s="132">
        <f t="shared" si="3049"/>
        <v>30.72597903763177</v>
      </c>
      <c r="BP253" s="132">
        <f t="shared" si="3049"/>
        <v>25.683979609795628</v>
      </c>
      <c r="BQ253" s="132">
        <f t="shared" si="3049"/>
        <v>21.496851207835721</v>
      </c>
      <c r="BR253" s="132">
        <f t="shared" si="3049"/>
        <v>17.974089818027206</v>
      </c>
      <c r="BS253" s="132">
        <f t="shared" si="3049"/>
        <v>18.118324845422269</v>
      </c>
      <c r="BT253" s="132">
        <f t="shared" si="3049"/>
        <v>15.271113223257275</v>
      </c>
      <c r="BU253" s="132">
        <f t="shared" si="3049"/>
        <v>32.18548441985623</v>
      </c>
      <c r="BV253" s="132">
        <f t="shared" si="3049"/>
        <v>22.886069080214043</v>
      </c>
      <c r="BW253" s="132">
        <f>BW250+BW245+BW234+BW194+BW247+BW249</f>
        <v>52.715651923385551</v>
      </c>
      <c r="BX253" s="132">
        <f>BX250+BX245+BX234+BX194+BX247+BX249</f>
        <v>41.26102916937495</v>
      </c>
      <c r="BY253" s="132">
        <f>BY250+BY245+BY234+BY194+BY248+BY249</f>
        <v>477.64153874652328</v>
      </c>
      <c r="BZ253" s="132">
        <f>BZ250+BZ245+BZ234+BZ194+BZ248+BZ249</f>
        <v>134.73348074933267</v>
      </c>
      <c r="CA253" s="156"/>
      <c r="CB253" s="156"/>
      <c r="CC253" s="155" t="s">
        <v>215</v>
      </c>
      <c r="CD253" s="132">
        <f>CD250+CD245+CD234+CD194+CD246+CD249</f>
        <v>35599.019839482782</v>
      </c>
      <c r="CE253" s="132">
        <f t="shared" ref="CE253:CO253" si="3050">CE250+CE245+CE234+CE194+CE246+CE249</f>
        <v>19565.668125163971</v>
      </c>
      <c r="CF253" s="132">
        <f t="shared" si="3050"/>
        <v>48154.424670460015</v>
      </c>
      <c r="CG253" s="132">
        <f t="shared" si="3050"/>
        <v>20526.40004909474</v>
      </c>
      <c r="CH253" s="132">
        <f t="shared" si="3050"/>
        <v>48292.611112460763</v>
      </c>
      <c r="CI253" s="132">
        <f t="shared" si="3050"/>
        <v>22238.377261721696</v>
      </c>
      <c r="CJ253" s="132">
        <f t="shared" si="3050"/>
        <v>37723.977407753446</v>
      </c>
      <c r="CK253" s="132">
        <f t="shared" si="3050"/>
        <v>19484.935403003259</v>
      </c>
      <c r="CL253" s="132">
        <f t="shared" si="3050"/>
        <v>33265.52087295353</v>
      </c>
      <c r="CM253" s="132">
        <f t="shared" si="3050"/>
        <v>18393.004527852605</v>
      </c>
      <c r="CN253" s="132">
        <f t="shared" si="3050"/>
        <v>70898.479632361428</v>
      </c>
      <c r="CO253" s="132">
        <f t="shared" si="3050"/>
        <v>20130.856274288413</v>
      </c>
      <c r="CP253" s="132">
        <f>CP250+CP245+CP234+CP194+CP247+CP249</f>
        <v>9311.8444379183675</v>
      </c>
      <c r="CQ253" s="132">
        <f>CQ250+CQ245+CQ234+CQ194+CQ247+CQ249</f>
        <v>8709.3866462501828</v>
      </c>
      <c r="CR253" s="132">
        <f>CR250+CR245+CR234+CR194+CR248+CR249</f>
        <v>60221.542741803096</v>
      </c>
      <c r="CS253" s="132">
        <f>CS250+CS245+CS234+CS194+CS248+CS249</f>
        <v>24951.675844116169</v>
      </c>
      <c r="CV253" s="155" t="s">
        <v>215</v>
      </c>
      <c r="CW253" s="132">
        <f>CW250+CW245+CW234+CW194+CW246+CW249</f>
        <v>4.3492360925688183E-3</v>
      </c>
      <c r="CX253" s="132">
        <f t="shared" ref="CX253:DH253" si="3051">CX250+CX245+CX234+CX194+CX246+CX249</f>
        <v>1.7837001314200223E-3</v>
      </c>
      <c r="CY253" s="132">
        <f t="shared" si="3051"/>
        <v>6.728107666812296E-3</v>
      </c>
      <c r="CZ253" s="132">
        <f t="shared" si="3051"/>
        <v>2.3079951836652529E-3</v>
      </c>
      <c r="DA253" s="132">
        <f t="shared" si="3051"/>
        <v>6.5115659054933743E-3</v>
      </c>
      <c r="DB253" s="132">
        <f t="shared" si="3051"/>
        <v>2.3433357888430861E-3</v>
      </c>
      <c r="DC253" s="132">
        <f t="shared" si="3051"/>
        <v>4.7809433026776999E-3</v>
      </c>
      <c r="DD253" s="132">
        <f t="shared" si="3051"/>
        <v>1.8627058409211123E-3</v>
      </c>
      <c r="DE253" s="132">
        <f t="shared" si="3051"/>
        <v>4.0384512295784779E-3</v>
      </c>
      <c r="DF253" s="132">
        <f t="shared" si="3051"/>
        <v>1.6586847980366538E-3</v>
      </c>
      <c r="DG253" s="132">
        <f t="shared" si="3051"/>
        <v>1.118720520491537E-2</v>
      </c>
      <c r="DH253" s="132">
        <f t="shared" si="3051"/>
        <v>3.066731025746592E-3</v>
      </c>
      <c r="DI253" s="132">
        <f>DI250+DI245+DI234+DI194+DI247+DI249</f>
        <v>9.5693339957288594E-4</v>
      </c>
      <c r="DJ253" s="132">
        <f>DJ250+DJ245+DJ234+DJ194+DJ247+DJ249</f>
        <v>7.5883901767522693E-4</v>
      </c>
      <c r="DK253" s="132">
        <f>DK250+DK245+DK234+DK194+DK248+DK249</f>
        <v>1.4758177849192334E-2</v>
      </c>
      <c r="DL253" s="132">
        <f>DL250+DL245+DL234+DL194+DL248+DL249</f>
        <v>4.4574896243898899E-3</v>
      </c>
      <c r="DO253" s="155" t="s">
        <v>215</v>
      </c>
      <c r="DP253" s="132">
        <f>DP250+DP245+DP234+DP194+DP246+DP249</f>
        <v>12.85736729858869</v>
      </c>
      <c r="DQ253" s="132">
        <f t="shared" ref="DQ253:EA253" si="3052">DQ250+DQ245+DQ234+DQ194+DQ246+DQ249</f>
        <v>11.328582606363973</v>
      </c>
      <c r="DR253" s="132">
        <f t="shared" si="3052"/>
        <v>41.410353587685314</v>
      </c>
      <c r="DS253" s="132">
        <f t="shared" si="3052"/>
        <v>39.333599064785687</v>
      </c>
      <c r="DT253" s="132">
        <f t="shared" si="3052"/>
        <v>39.223399590853077</v>
      </c>
      <c r="DU253" s="132">
        <f t="shared" si="3052"/>
        <v>37.217726712410141</v>
      </c>
      <c r="DV253" s="132">
        <f t="shared" si="3052"/>
        <v>14.018538442958446</v>
      </c>
      <c r="DW253" s="132">
        <f t="shared" si="3052"/>
        <v>12.690272744328819</v>
      </c>
      <c r="DX253" s="132">
        <f t="shared" si="3052"/>
        <v>11.372118990931746</v>
      </c>
      <c r="DY253" s="132">
        <f t="shared" si="3052"/>
        <v>10.365056908278737</v>
      </c>
      <c r="DZ253" s="132">
        <f t="shared" si="3052"/>
        <v>5.8970007860268581</v>
      </c>
      <c r="EA253" s="132">
        <f t="shared" si="3052"/>
        <v>2.5853962319775756</v>
      </c>
      <c r="EB253" s="132">
        <f>EB250+EB245+EB234+EB194+EB247+EB249</f>
        <v>10.131075804535111</v>
      </c>
      <c r="EC253" s="132">
        <f>EC250+EC245+EC234+EC194+EC247+EC249</f>
        <v>4.6744492640871114</v>
      </c>
      <c r="ED253" s="132">
        <f>ED250+ED245+ED234+ED194+ED248+ED249</f>
        <v>1751.0971042299423</v>
      </c>
      <c r="EE253" s="132">
        <f>EE250+EE245+EE234+EE194+EE248+EE249</f>
        <v>464.61351112094377</v>
      </c>
      <c r="EH253" s="155" t="s">
        <v>215</v>
      </c>
      <c r="EI253" s="132">
        <f>EI250+EI245+EI234+EI194+EI246+EI249</f>
        <v>0.15016408156254399</v>
      </c>
      <c r="EJ253" s="132">
        <f t="shared" ref="EJ253:ET253" si="3053">EJ250+EJ245+EJ234+EJ194+EJ246+EJ249</f>
        <v>0.14966255695429023</v>
      </c>
      <c r="EK253" s="132">
        <f t="shared" si="3053"/>
        <v>0.12286724815990267</v>
      </c>
      <c r="EL253" s="132">
        <f t="shared" si="3053"/>
        <v>0.12205245434254633</v>
      </c>
      <c r="EM253" s="132">
        <f t="shared" si="3053"/>
        <v>0.1479526026602774</v>
      </c>
      <c r="EN253" s="132">
        <f t="shared" si="3053"/>
        <v>0.14717992779474071</v>
      </c>
      <c r="EO253" s="132">
        <f t="shared" si="3053"/>
        <v>0.14294768460917284</v>
      </c>
      <c r="EP253" s="132">
        <f t="shared" si="3053"/>
        <v>0.14240221261815697</v>
      </c>
      <c r="EQ253" s="132">
        <f t="shared" si="3053"/>
        <v>0.14137477913369267</v>
      </c>
      <c r="ER253" s="132">
        <f t="shared" si="3053"/>
        <v>0.1409293992561024</v>
      </c>
      <c r="ES253" s="132">
        <f t="shared" si="3053"/>
        <v>1.8199526181971841E-2</v>
      </c>
      <c r="ET253" s="132">
        <f t="shared" si="3053"/>
        <v>1.6759873099567137E-2</v>
      </c>
      <c r="EU253" s="132">
        <f>EU250+EU245+EU234+EU194+EU247+EU249</f>
        <v>9.6510213743818962E-2</v>
      </c>
      <c r="EV253" s="132">
        <f>EV250+EV245+EV234+EV194+EV247+EV249</f>
        <v>9.5769101889045471E-2</v>
      </c>
      <c r="EW253" s="132">
        <f>EW250+EW245+EW234+EW194+EW248+EW249</f>
        <v>0.17820600350231111</v>
      </c>
      <c r="EX253" s="132">
        <f>EX250+EX245+EX234+EX194+EX248+EX249</f>
        <v>0.1505336718672512</v>
      </c>
      <c r="FA253" s="155" t="s">
        <v>215</v>
      </c>
      <c r="FB253" s="132">
        <f>FB250+FB245+FB234+FB194+FB246+FB249</f>
        <v>4.2951441366925703E-5</v>
      </c>
      <c r="FC253" s="132">
        <f t="shared" ref="FC253:FM253" si="3054">FC250+FC245+FC234+FC194+FC246+FC249</f>
        <v>1.3409413850695917E-5</v>
      </c>
      <c r="FD253" s="132">
        <f t="shared" si="3054"/>
        <v>7.334900237079466E-5</v>
      </c>
      <c r="FE253" s="132">
        <f t="shared" si="3054"/>
        <v>2.2468787690714005E-5</v>
      </c>
      <c r="FF253" s="132">
        <f t="shared" si="3054"/>
        <v>6.9368229666919818E-5</v>
      </c>
      <c r="FG253" s="132">
        <f t="shared" si="3054"/>
        <v>2.1385687615432915E-5</v>
      </c>
      <c r="FH253" s="132">
        <f t="shared" si="3054"/>
        <v>4.8704583939593104E-5</v>
      </c>
      <c r="FI253" s="132">
        <f t="shared" si="3054"/>
        <v>1.5080564016541013E-5</v>
      </c>
      <c r="FJ253" s="132">
        <f t="shared" si="3054"/>
        <v>3.9966816230314935E-5</v>
      </c>
      <c r="FK253" s="132">
        <f t="shared" si="3054"/>
        <v>1.2527928354242295E-5</v>
      </c>
      <c r="FL253" s="132">
        <f t="shared" si="3054"/>
        <v>1.2891295661555477E-4</v>
      </c>
      <c r="FM253" s="132">
        <f t="shared" si="3054"/>
        <v>3.5490919054209053E-5</v>
      </c>
      <c r="FN253" s="132">
        <f>FN250+FN245+FN234+FN194+FN247+FN249</f>
        <v>8.2834566528533538E-6</v>
      </c>
      <c r="FO253" s="132">
        <f>FO250+FO245+FO234+FO194+FO247+FO249</f>
        <v>6.54643931623384E-6</v>
      </c>
      <c r="FP253" s="132">
        <f>FP250+FP245+FP234+FP194+FP248+FP249</f>
        <v>1.5119387999849992E-4</v>
      </c>
      <c r="FQ253" s="132">
        <f>FQ250+FQ245+FQ234+FQ194+FQ248+FQ249</f>
        <v>4.1150263641295736E-5</v>
      </c>
      <c r="FT253" s="155" t="s">
        <v>215</v>
      </c>
      <c r="FU253" s="132">
        <f>FU250+FU245+FU234+FU194+FU246+FU249</f>
        <v>27.268385010195711</v>
      </c>
      <c r="FV253" s="132">
        <f t="shared" ref="FV253:GF253" si="3055">FV250+FV245+FV234+FV194+FV246+FV249</f>
        <v>7.2724448802549517</v>
      </c>
      <c r="FW253" s="132">
        <f t="shared" si="3055"/>
        <v>46.891205691621458</v>
      </c>
      <c r="FX253" s="132">
        <f t="shared" si="3055"/>
        <v>12.380119149102995</v>
      </c>
      <c r="FY253" s="132">
        <f t="shared" si="3055"/>
        <v>44.252969723905295</v>
      </c>
      <c r="FZ253" s="132">
        <f t="shared" si="3055"/>
        <v>11.71369143942781</v>
      </c>
      <c r="GA253" s="132">
        <f t="shared" si="3055"/>
        <v>31.033914186426419</v>
      </c>
      <c r="GB253" s="132">
        <f t="shared" si="3055"/>
        <v>8.2492067408705783</v>
      </c>
      <c r="GC253" s="132">
        <f t="shared" si="3055"/>
        <v>25.346974471936157</v>
      </c>
      <c r="GD253" s="132">
        <f t="shared" si="3055"/>
        <v>6.7613068555658593</v>
      </c>
      <c r="GE253" s="132">
        <f t="shared" si="3055"/>
        <v>85.930592393959529</v>
      </c>
      <c r="GF253" s="132">
        <f t="shared" si="3055"/>
        <v>22.467972287608745</v>
      </c>
      <c r="GG253" s="132">
        <f>GG250+GG245+GG234+GG194+GG247+GG249</f>
        <v>0.23808668646535019</v>
      </c>
      <c r="GH253" s="132">
        <f>GH250+GH245+GH234+GH194+GH247+GH249</f>
        <v>0.16335449218912135</v>
      </c>
      <c r="GI253" s="132">
        <f>GI250+GI245+GI234+GI194+GI248+GI249</f>
        <v>26.192165844468391</v>
      </c>
      <c r="GJ253" s="132">
        <f>GJ250+GJ245+GJ234+GJ194+GJ248+GJ249</f>
        <v>6.9819638058396736</v>
      </c>
      <c r="GM253" s="155" t="s">
        <v>215</v>
      </c>
      <c r="GN253" s="132">
        <f>GN250+GN245+GN234+GN194+GN246+GN249</f>
        <v>2.6940260392777078</v>
      </c>
      <c r="GO253" s="132">
        <f t="shared" ref="GO253:GY253" si="3056">GO250+GO245+GO234+GO194+GO246+GO249</f>
        <v>1.0541100705476583</v>
      </c>
      <c r="GP253" s="132">
        <f t="shared" si="3056"/>
        <v>4.4848290611972974</v>
      </c>
      <c r="GQ253" s="132">
        <f t="shared" si="3056"/>
        <v>1.6719771644941437</v>
      </c>
      <c r="GR253" s="132">
        <f t="shared" si="3056"/>
        <v>4.2838917802423309</v>
      </c>
      <c r="GS253" s="132">
        <f t="shared" si="3056"/>
        <v>1.6298642210441439</v>
      </c>
      <c r="GT253" s="132">
        <f t="shared" si="3056"/>
        <v>3.0044704976733487</v>
      </c>
      <c r="GU253" s="132">
        <f t="shared" si="3056"/>
        <v>1.1475113828889945</v>
      </c>
      <c r="GV253" s="132">
        <f t="shared" si="3056"/>
        <v>2.4847758210674695</v>
      </c>
      <c r="GW253" s="132">
        <f t="shared" si="3056"/>
        <v>0.97184050531019206</v>
      </c>
      <c r="GX253" s="132">
        <f t="shared" si="3056"/>
        <v>7.3640710018224249</v>
      </c>
      <c r="GY253" s="132">
        <f t="shared" si="3056"/>
        <v>2.2069636348524</v>
      </c>
      <c r="GZ253" s="132">
        <f>GZ250+GZ245+GZ234+GZ194+GZ247+GZ249</f>
        <v>3.8830178873279872</v>
      </c>
      <c r="HA253" s="132">
        <f>HA250+HA245+HA234+HA194+HA247+HA249</f>
        <v>1.5974720169367245</v>
      </c>
      <c r="HB253" s="132">
        <f>HB250+HB245+HB234+HB194+HB248+HB249</f>
        <v>18.37286122348133</v>
      </c>
      <c r="HC253" s="132">
        <f>HC250+HC245+HC234+HC194+HC248+HC249</f>
        <v>5.2167668043771753</v>
      </c>
      <c r="HF253" s="155" t="s">
        <v>215</v>
      </c>
      <c r="HG253" s="132">
        <f>HG250+HG245+HG234+HG194+HG246+HG249</f>
        <v>6414.4832288149582</v>
      </c>
      <c r="HH253" s="132">
        <f t="shared" ref="HH253:HR253" si="3057">HH250+HH245+HH234+HH194+HH246+HH249</f>
        <v>1769.0255927646217</v>
      </c>
      <c r="HI253" s="132">
        <f t="shared" si="3057"/>
        <v>10963.163600640657</v>
      </c>
      <c r="HJ253" s="132">
        <f t="shared" si="3057"/>
        <v>2946.1459416093689</v>
      </c>
      <c r="HK253" s="132">
        <f t="shared" si="3057"/>
        <v>10362.612586148502</v>
      </c>
      <c r="HL253" s="132">
        <f t="shared" si="3057"/>
        <v>2803.6001776374424</v>
      </c>
      <c r="HM253" s="132">
        <f t="shared" si="3057"/>
        <v>7285.3731771325656</v>
      </c>
      <c r="HN253" s="132">
        <f t="shared" si="3057"/>
        <v>1992.4114846284394</v>
      </c>
      <c r="HO253" s="132">
        <f t="shared" si="3057"/>
        <v>5962.8463589536741</v>
      </c>
      <c r="HP253" s="132">
        <f t="shared" si="3057"/>
        <v>1645.3786797327223</v>
      </c>
      <c r="HQ253" s="132">
        <f t="shared" si="3057"/>
        <v>19971.089934445321</v>
      </c>
      <c r="HR253" s="132">
        <f t="shared" si="3057"/>
        <v>5229.1627243213716</v>
      </c>
      <c r="HS253" s="132">
        <f>HS250+HS245+HS234+HS194+HS247+HS249</f>
        <v>113.78386291718817</v>
      </c>
      <c r="HT253" s="132">
        <f>HT250+HT245+HT234+HT194+HT247+HT249</f>
        <v>92.632823810990288</v>
      </c>
      <c r="HU253" s="132">
        <f>HU250+HU245+HU234+HU194+HU248+HU249</f>
        <v>6826.8286405773297</v>
      </c>
      <c r="HV253" s="132">
        <f>HV250+HV245+HV234+HV194+HV248+HV249</f>
        <v>1870.5667908633541</v>
      </c>
      <c r="HY253" s="155" t="s">
        <v>215</v>
      </c>
      <c r="HZ253" s="132">
        <f>HZ250+HZ245+HZ234+HZ194+HZ246+HZ249</f>
        <v>4.6600388377084892E-4</v>
      </c>
      <c r="IA253" s="132">
        <f t="shared" ref="IA253:IK253" si="3058">IA250+IA245+IA234+IA194+IA246+IA249</f>
        <v>1.9645762120449613E-4</v>
      </c>
      <c r="IB253" s="132">
        <f t="shared" si="3058"/>
        <v>7.259812040392846E-4</v>
      </c>
      <c r="IC253" s="132">
        <f t="shared" si="3058"/>
        <v>2.6212907518376118E-4</v>
      </c>
      <c r="ID253" s="132">
        <f t="shared" si="3058"/>
        <v>7.0209202132105091E-4</v>
      </c>
      <c r="IE253" s="132">
        <f t="shared" si="3058"/>
        <v>2.6462611677967058E-4</v>
      </c>
      <c r="IF253" s="132">
        <f t="shared" si="3058"/>
        <v>5.1234375419202563E-4</v>
      </c>
      <c r="IG253" s="132">
        <f t="shared" si="3058"/>
        <v>2.0610230163673664E-4</v>
      </c>
      <c r="IH253" s="132">
        <f t="shared" si="3058"/>
        <v>4.3216110436019206E-4</v>
      </c>
      <c r="II253" s="132">
        <f t="shared" si="3058"/>
        <v>1.8247579016228611E-4</v>
      </c>
      <c r="IJ253" s="132">
        <f t="shared" si="3058"/>
        <v>1.1891819837422163E-3</v>
      </c>
      <c r="IK253" s="132">
        <f t="shared" si="3058"/>
        <v>3.3754564990798352E-4</v>
      </c>
      <c r="IL253" s="132">
        <f>IL250+IL245+IL234+IL194+IL247+IL249</f>
        <v>1.4879967558512725E-4</v>
      </c>
      <c r="IM253" s="132">
        <f>IM250+IM245+IM234+IM194+IM247+IM249</f>
        <v>1.1203288542508983E-4</v>
      </c>
      <c r="IN253" s="132">
        <f>IN250+IN245+IN234+IN194+IN248+IN249</f>
        <v>2.4563777296813232E-3</v>
      </c>
      <c r="IO253" s="132">
        <f>IO250+IO245+IO234+IO194+IO248+IO249</f>
        <v>7.1035705436670287E-4</v>
      </c>
    </row>
    <row r="254" spans="1:249" ht="51" customHeight="1" x14ac:dyDescent="0.2"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122"/>
      <c r="AN254" s="69"/>
      <c r="AO254" s="69"/>
      <c r="AP254" s="158"/>
      <c r="AQ254" s="158"/>
      <c r="AR254" s="158"/>
      <c r="AS254" s="158"/>
      <c r="AT254" s="158"/>
      <c r="AU254" s="158"/>
      <c r="AV254" s="158"/>
      <c r="AW254" s="158"/>
      <c r="AX254" s="158"/>
      <c r="AY254" s="158"/>
      <c r="AZ254" s="158"/>
      <c r="BA254" s="158"/>
      <c r="BB254" s="158"/>
      <c r="BC254" s="158"/>
      <c r="BD254" s="158"/>
      <c r="BE254" s="158"/>
      <c r="BF254" s="158"/>
      <c r="BG254" s="158"/>
      <c r="BH254" s="158"/>
      <c r="BJ254" s="158"/>
      <c r="BK254" s="158"/>
      <c r="BL254" s="158"/>
      <c r="BM254" s="158"/>
      <c r="BN254" s="158"/>
      <c r="BO254" s="158"/>
      <c r="BP254" s="158"/>
      <c r="BQ254" s="158"/>
      <c r="BR254" s="158"/>
      <c r="BS254" s="158"/>
      <c r="BT254" s="158"/>
      <c r="BU254" s="158"/>
      <c r="BV254" s="158"/>
      <c r="BW254" s="158"/>
      <c r="BX254" s="158"/>
      <c r="BY254" s="158"/>
      <c r="BZ254" s="158"/>
    </row>
    <row r="255" spans="1:249" ht="12.75" customHeight="1" x14ac:dyDescent="0.2">
      <c r="B255" s="248"/>
      <c r="T255" s="112"/>
      <c r="U255" s="112"/>
      <c r="V255" s="109"/>
      <c r="W255" s="109"/>
      <c r="X255" s="109"/>
      <c r="Y255" s="109"/>
      <c r="Z255" s="109"/>
      <c r="AA255" s="109"/>
      <c r="AB255" s="109"/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30"/>
      <c r="AN255" s="118"/>
      <c r="AO255" s="438"/>
      <c r="AP255" s="726" t="s">
        <v>479</v>
      </c>
      <c r="AQ255" s="708" t="s">
        <v>222</v>
      </c>
      <c r="AR255" s="708"/>
      <c r="AS255" s="708"/>
      <c r="AT255" s="708"/>
      <c r="AU255" s="708"/>
      <c r="AV255" s="708"/>
      <c r="AW255" s="708"/>
      <c r="AX255" s="708"/>
      <c r="AY255" s="708"/>
      <c r="AZ255" s="708"/>
      <c r="BA255" s="708"/>
      <c r="BB255" s="708"/>
      <c r="BC255" s="708"/>
      <c r="BD255" s="708"/>
      <c r="BE255" s="708"/>
      <c r="BF255" s="708"/>
      <c r="BG255" s="708"/>
      <c r="BI255" s="156"/>
      <c r="BJ255" s="708" t="s">
        <v>437</v>
      </c>
      <c r="BK255" s="708"/>
      <c r="BL255" s="708"/>
      <c r="BM255" s="708"/>
      <c r="BN255" s="708"/>
      <c r="BO255" s="708"/>
      <c r="BP255" s="708"/>
      <c r="BQ255" s="708"/>
      <c r="BR255" s="708"/>
      <c r="BS255" s="708"/>
      <c r="BT255" s="708"/>
      <c r="BU255" s="708"/>
      <c r="BV255" s="708"/>
      <c r="BW255" s="708"/>
      <c r="BX255" s="708"/>
      <c r="BY255" s="708"/>
      <c r="BZ255" s="708"/>
      <c r="CA255" s="156"/>
      <c r="CB255" s="156"/>
      <c r="CC255" s="708" t="s">
        <v>439</v>
      </c>
      <c r="CD255" s="708"/>
      <c r="CE255" s="708"/>
      <c r="CF255" s="708"/>
      <c r="CG255" s="708"/>
      <c r="CH255" s="708"/>
      <c r="CI255" s="708"/>
      <c r="CJ255" s="708"/>
      <c r="CK255" s="708"/>
      <c r="CL255" s="708"/>
      <c r="CM255" s="708"/>
      <c r="CN255" s="708"/>
      <c r="CO255" s="708"/>
      <c r="CP255" s="708"/>
      <c r="CQ255" s="708"/>
      <c r="CR255" s="708"/>
      <c r="CS255" s="708"/>
      <c r="CV255" s="708" t="s">
        <v>441</v>
      </c>
      <c r="CW255" s="708"/>
      <c r="CX255" s="708"/>
      <c r="CY255" s="708"/>
      <c r="CZ255" s="708"/>
      <c r="DA255" s="708"/>
      <c r="DB255" s="708"/>
      <c r="DC255" s="708"/>
      <c r="DD255" s="708"/>
      <c r="DE255" s="708"/>
      <c r="DF255" s="708"/>
      <c r="DG255" s="708"/>
      <c r="DH255" s="708"/>
      <c r="DI255" s="708"/>
      <c r="DJ255" s="708"/>
      <c r="DK255" s="708"/>
      <c r="DL255" s="708"/>
      <c r="DO255" s="708" t="s">
        <v>443</v>
      </c>
      <c r="DP255" s="708"/>
      <c r="DQ255" s="708"/>
      <c r="DR255" s="708"/>
      <c r="DS255" s="708"/>
      <c r="DT255" s="708"/>
      <c r="DU255" s="708"/>
      <c r="DV255" s="708"/>
      <c r="DW255" s="708"/>
      <c r="DX255" s="708"/>
      <c r="DY255" s="708"/>
      <c r="DZ255" s="708"/>
      <c r="EA255" s="708"/>
      <c r="EB255" s="708"/>
      <c r="EC255" s="708"/>
      <c r="ED255" s="708"/>
      <c r="EE255" s="708"/>
      <c r="EH255" s="708" t="s">
        <v>225</v>
      </c>
      <c r="EI255" s="708"/>
      <c r="EJ255" s="708"/>
      <c r="EK255" s="708"/>
      <c r="EL255" s="708"/>
      <c r="EM255" s="708"/>
      <c r="EN255" s="708"/>
      <c r="EO255" s="708"/>
      <c r="EP255" s="708"/>
      <c r="EQ255" s="708"/>
      <c r="ER255" s="708"/>
      <c r="ES255" s="708"/>
      <c r="ET255" s="708"/>
      <c r="EU255" s="708"/>
      <c r="EV255" s="708"/>
      <c r="EW255" s="708"/>
      <c r="EX255" s="708"/>
      <c r="FA255" s="708" t="s">
        <v>433</v>
      </c>
      <c r="FB255" s="708"/>
      <c r="FC255" s="708"/>
      <c r="FD255" s="708"/>
      <c r="FE255" s="708"/>
      <c r="FF255" s="708"/>
      <c r="FG255" s="708"/>
      <c r="FH255" s="708"/>
      <c r="FI255" s="708"/>
      <c r="FJ255" s="708"/>
      <c r="FK255" s="708"/>
      <c r="FL255" s="708"/>
      <c r="FM255" s="708"/>
      <c r="FN255" s="708"/>
      <c r="FO255" s="708"/>
      <c r="FP255" s="708"/>
      <c r="FQ255" s="708"/>
      <c r="FT255" s="708" t="s">
        <v>426</v>
      </c>
      <c r="FU255" s="708"/>
      <c r="FV255" s="708"/>
      <c r="FW255" s="708"/>
      <c r="FX255" s="708"/>
      <c r="FY255" s="708"/>
      <c r="FZ255" s="708"/>
      <c r="GA255" s="708"/>
      <c r="GB255" s="708"/>
      <c r="GC255" s="708"/>
      <c r="GD255" s="708"/>
      <c r="GE255" s="708"/>
      <c r="GF255" s="708"/>
      <c r="GG255" s="708"/>
      <c r="GH255" s="708"/>
      <c r="GI255" s="708"/>
      <c r="GJ255" s="708"/>
      <c r="GM255" s="708" t="s">
        <v>434</v>
      </c>
      <c r="GN255" s="708"/>
      <c r="GO255" s="708"/>
      <c r="GP255" s="708"/>
      <c r="GQ255" s="708"/>
      <c r="GR255" s="708"/>
      <c r="GS255" s="708"/>
      <c r="GT255" s="708"/>
      <c r="GU255" s="708"/>
      <c r="GV255" s="708"/>
      <c r="GW255" s="708"/>
      <c r="GX255" s="708"/>
      <c r="GY255" s="708"/>
      <c r="GZ255" s="708"/>
      <c r="HA255" s="708"/>
      <c r="HB255" s="708"/>
      <c r="HC255" s="708"/>
      <c r="HF255" s="708" t="s">
        <v>435</v>
      </c>
      <c r="HG255" s="708"/>
      <c r="HH255" s="708"/>
      <c r="HI255" s="708"/>
      <c r="HJ255" s="708"/>
      <c r="HK255" s="708"/>
      <c r="HL255" s="708"/>
      <c r="HM255" s="708"/>
      <c r="HN255" s="708"/>
      <c r="HO255" s="708"/>
      <c r="HP255" s="708"/>
      <c r="HQ255" s="708"/>
      <c r="HR255" s="708"/>
      <c r="HS255" s="708"/>
      <c r="HT255" s="708"/>
      <c r="HU255" s="708"/>
      <c r="HV255" s="708"/>
      <c r="HY255" s="708" t="s">
        <v>435</v>
      </c>
      <c r="HZ255" s="708"/>
      <c r="IA255" s="708"/>
      <c r="IB255" s="708"/>
      <c r="IC255" s="708"/>
      <c r="ID255" s="708"/>
      <c r="IE255" s="708"/>
      <c r="IF255" s="708"/>
      <c r="IG255" s="708"/>
      <c r="IH255" s="708"/>
      <c r="II255" s="708"/>
      <c r="IJ255" s="708"/>
      <c r="IK255" s="708"/>
      <c r="IL255" s="417"/>
      <c r="IM255" s="417"/>
      <c r="IN255" s="417"/>
      <c r="IO255" s="417"/>
    </row>
    <row r="256" spans="1:249" ht="12.75" customHeight="1" x14ac:dyDescent="0.2">
      <c r="B256" s="248"/>
      <c r="C256" s="248"/>
      <c r="D256" s="248"/>
      <c r="E256" s="248"/>
      <c r="F256" s="248"/>
      <c r="G256" s="248"/>
      <c r="H256" s="248"/>
      <c r="I256" s="248"/>
      <c r="J256" s="248"/>
      <c r="K256" s="248"/>
      <c r="L256" s="248"/>
      <c r="M256" s="248"/>
      <c r="N256" s="248"/>
      <c r="O256" s="248"/>
      <c r="P256" s="248"/>
      <c r="Q256" s="248"/>
      <c r="R256" s="248"/>
      <c r="S256" s="248"/>
      <c r="T256" s="248"/>
      <c r="U256" s="248"/>
      <c r="V256" s="248"/>
      <c r="W256" s="248"/>
      <c r="X256" s="248"/>
      <c r="Y256" s="248"/>
      <c r="Z256" s="248"/>
      <c r="AA256" s="248"/>
      <c r="AB256" s="248"/>
      <c r="AC256" s="248"/>
      <c r="AD256" s="248"/>
      <c r="AE256" s="248"/>
      <c r="AF256" s="248"/>
      <c r="AG256" s="248"/>
      <c r="AH256" s="248"/>
      <c r="AI256" s="248"/>
      <c r="AJ256" s="248"/>
      <c r="AK256" s="248"/>
      <c r="AL256" s="248"/>
      <c r="AM256" s="130"/>
      <c r="AN256" s="248"/>
      <c r="AO256" s="248"/>
      <c r="AP256" s="726"/>
      <c r="AQ256" s="708"/>
      <c r="AR256" s="708"/>
      <c r="AS256" s="708"/>
      <c r="AT256" s="708"/>
      <c r="AU256" s="708"/>
      <c r="AV256" s="708"/>
      <c r="AW256" s="708"/>
      <c r="AX256" s="708"/>
      <c r="AY256" s="708"/>
      <c r="AZ256" s="708"/>
      <c r="BA256" s="708"/>
      <c r="BB256" s="708"/>
      <c r="BC256" s="708"/>
      <c r="BD256" s="708"/>
      <c r="BE256" s="708"/>
      <c r="BF256" s="708"/>
      <c r="BG256" s="708"/>
      <c r="BI256" s="156"/>
      <c r="BJ256" s="708"/>
      <c r="BK256" s="708"/>
      <c r="BL256" s="708"/>
      <c r="BM256" s="708"/>
      <c r="BN256" s="708"/>
      <c r="BO256" s="708"/>
      <c r="BP256" s="708"/>
      <c r="BQ256" s="708"/>
      <c r="BR256" s="708"/>
      <c r="BS256" s="708"/>
      <c r="BT256" s="708"/>
      <c r="BU256" s="708"/>
      <c r="BV256" s="708"/>
      <c r="BW256" s="708"/>
      <c r="BX256" s="708"/>
      <c r="BY256" s="708"/>
      <c r="BZ256" s="708"/>
      <c r="CA256" s="156"/>
      <c r="CB256" s="156"/>
      <c r="CC256" s="708"/>
      <c r="CD256" s="708"/>
      <c r="CE256" s="708"/>
      <c r="CF256" s="708"/>
      <c r="CG256" s="708"/>
      <c r="CH256" s="708"/>
      <c r="CI256" s="708"/>
      <c r="CJ256" s="708"/>
      <c r="CK256" s="708"/>
      <c r="CL256" s="708"/>
      <c r="CM256" s="708"/>
      <c r="CN256" s="708"/>
      <c r="CO256" s="708"/>
      <c r="CP256" s="708"/>
      <c r="CQ256" s="708"/>
      <c r="CR256" s="708"/>
      <c r="CS256" s="708"/>
      <c r="CV256" s="708"/>
      <c r="CW256" s="708"/>
      <c r="CX256" s="708"/>
      <c r="CY256" s="708"/>
      <c r="CZ256" s="708"/>
      <c r="DA256" s="708"/>
      <c r="DB256" s="708"/>
      <c r="DC256" s="708"/>
      <c r="DD256" s="708"/>
      <c r="DE256" s="708"/>
      <c r="DF256" s="708"/>
      <c r="DG256" s="708"/>
      <c r="DH256" s="708"/>
      <c r="DI256" s="708"/>
      <c r="DJ256" s="708"/>
      <c r="DK256" s="708"/>
      <c r="DL256" s="708"/>
      <c r="DO256" s="708"/>
      <c r="DP256" s="708"/>
      <c r="DQ256" s="708"/>
      <c r="DR256" s="708"/>
      <c r="DS256" s="708"/>
      <c r="DT256" s="708"/>
      <c r="DU256" s="708"/>
      <c r="DV256" s="708"/>
      <c r="DW256" s="708"/>
      <c r="DX256" s="708"/>
      <c r="DY256" s="708"/>
      <c r="DZ256" s="708"/>
      <c r="EA256" s="708"/>
      <c r="EB256" s="708"/>
      <c r="EC256" s="708"/>
      <c r="ED256" s="708"/>
      <c r="EE256" s="708"/>
      <c r="EH256" s="708"/>
      <c r="EI256" s="708"/>
      <c r="EJ256" s="708"/>
      <c r="EK256" s="708"/>
      <c r="EL256" s="708"/>
      <c r="EM256" s="708"/>
      <c r="EN256" s="708"/>
      <c r="EO256" s="708"/>
      <c r="EP256" s="708"/>
      <c r="EQ256" s="708"/>
      <c r="ER256" s="708"/>
      <c r="ES256" s="708"/>
      <c r="ET256" s="708"/>
      <c r="EU256" s="708"/>
      <c r="EV256" s="708"/>
      <c r="EW256" s="708"/>
      <c r="EX256" s="708"/>
      <c r="FA256" s="708"/>
      <c r="FB256" s="708"/>
      <c r="FC256" s="708"/>
      <c r="FD256" s="708"/>
      <c r="FE256" s="708"/>
      <c r="FF256" s="708"/>
      <c r="FG256" s="708"/>
      <c r="FH256" s="708"/>
      <c r="FI256" s="708"/>
      <c r="FJ256" s="708"/>
      <c r="FK256" s="708"/>
      <c r="FL256" s="708"/>
      <c r="FM256" s="708"/>
      <c r="FN256" s="708"/>
      <c r="FO256" s="708"/>
      <c r="FP256" s="708"/>
      <c r="FQ256" s="708"/>
      <c r="FT256" s="708"/>
      <c r="FU256" s="708"/>
      <c r="FV256" s="708"/>
      <c r="FW256" s="708"/>
      <c r="FX256" s="708"/>
      <c r="FY256" s="708"/>
      <c r="FZ256" s="708"/>
      <c r="GA256" s="708"/>
      <c r="GB256" s="708"/>
      <c r="GC256" s="708"/>
      <c r="GD256" s="708"/>
      <c r="GE256" s="708"/>
      <c r="GF256" s="708"/>
      <c r="GG256" s="708"/>
      <c r="GH256" s="708"/>
      <c r="GI256" s="708"/>
      <c r="GJ256" s="708"/>
      <c r="GM256" s="708"/>
      <c r="GN256" s="708"/>
      <c r="GO256" s="708"/>
      <c r="GP256" s="708"/>
      <c r="GQ256" s="708"/>
      <c r="GR256" s="708"/>
      <c r="GS256" s="708"/>
      <c r="GT256" s="708"/>
      <c r="GU256" s="708"/>
      <c r="GV256" s="708"/>
      <c r="GW256" s="708"/>
      <c r="GX256" s="708"/>
      <c r="GY256" s="708"/>
      <c r="GZ256" s="708"/>
      <c r="HA256" s="708"/>
      <c r="HB256" s="708"/>
      <c r="HC256" s="708"/>
      <c r="HF256" s="708"/>
      <c r="HG256" s="708"/>
      <c r="HH256" s="708"/>
      <c r="HI256" s="708"/>
      <c r="HJ256" s="708"/>
      <c r="HK256" s="708"/>
      <c r="HL256" s="708"/>
      <c r="HM256" s="708"/>
      <c r="HN256" s="708"/>
      <c r="HO256" s="708"/>
      <c r="HP256" s="708"/>
      <c r="HQ256" s="708"/>
      <c r="HR256" s="708"/>
      <c r="HS256" s="708"/>
      <c r="HT256" s="708"/>
      <c r="HU256" s="708"/>
      <c r="HV256" s="708"/>
      <c r="HY256" s="708"/>
      <c r="HZ256" s="708"/>
      <c r="IA256" s="708"/>
      <c r="IB256" s="708"/>
      <c r="IC256" s="708"/>
      <c r="ID256" s="708"/>
      <c r="IE256" s="708"/>
      <c r="IF256" s="708"/>
      <c r="IG256" s="708"/>
      <c r="IH256" s="708"/>
      <c r="II256" s="708"/>
      <c r="IJ256" s="708"/>
      <c r="IK256" s="708"/>
      <c r="IL256" s="417"/>
      <c r="IM256" s="417"/>
      <c r="IN256" s="417"/>
      <c r="IO256" s="417"/>
    </row>
    <row r="257" spans="2:249" ht="12.75" customHeight="1" x14ac:dyDescent="0.2">
      <c r="B257" s="248"/>
      <c r="C257" s="248"/>
      <c r="D257" s="248"/>
      <c r="E257" s="248"/>
      <c r="F257" s="248"/>
      <c r="G257" s="248"/>
      <c r="H257" s="248"/>
      <c r="I257" s="248"/>
      <c r="J257" s="248"/>
      <c r="K257" s="248"/>
      <c r="L257" s="248"/>
      <c r="M257" s="248"/>
      <c r="N257" s="248"/>
      <c r="O257" s="248"/>
      <c r="P257" s="248"/>
      <c r="Q257" s="248"/>
      <c r="R257" s="248"/>
      <c r="S257" s="248"/>
      <c r="T257" s="248"/>
      <c r="U257" s="248"/>
      <c r="V257" s="248"/>
      <c r="W257" s="248"/>
      <c r="X257" s="248"/>
      <c r="Y257" s="248"/>
      <c r="Z257" s="248"/>
      <c r="AA257" s="248"/>
      <c r="AB257" s="248"/>
      <c r="AC257" s="248"/>
      <c r="AD257" s="248"/>
      <c r="AE257" s="248"/>
      <c r="AF257" s="248"/>
      <c r="AG257" s="248"/>
      <c r="AH257" s="248"/>
      <c r="AI257" s="248"/>
      <c r="AJ257" s="248"/>
      <c r="AK257" s="248"/>
      <c r="AL257" s="248"/>
      <c r="AM257" s="248"/>
      <c r="AN257" s="248"/>
      <c r="AO257" s="248"/>
      <c r="AP257" s="726"/>
      <c r="AQ257" s="3"/>
      <c r="AR257" s="715" t="s">
        <v>0</v>
      </c>
      <c r="AS257" s="712"/>
      <c r="AT257" s="711" t="s">
        <v>1</v>
      </c>
      <c r="AU257" s="712"/>
      <c r="AV257" s="711" t="s">
        <v>2</v>
      </c>
      <c r="AW257" s="712"/>
      <c r="AX257" s="713" t="s">
        <v>3</v>
      </c>
      <c r="AY257" s="714"/>
      <c r="AZ257" s="713" t="s">
        <v>200</v>
      </c>
      <c r="BA257" s="714"/>
      <c r="BB257" s="713" t="s">
        <v>5</v>
      </c>
      <c r="BC257" s="714"/>
      <c r="BD257" s="709" t="s">
        <v>634</v>
      </c>
      <c r="BE257" s="710"/>
      <c r="BF257" s="709" t="s">
        <v>582</v>
      </c>
      <c r="BG257" s="710"/>
      <c r="BI257" s="156"/>
      <c r="BJ257" s="3"/>
      <c r="BK257" s="715" t="s">
        <v>0</v>
      </c>
      <c r="BL257" s="712"/>
      <c r="BM257" s="711" t="s">
        <v>1</v>
      </c>
      <c r="BN257" s="712"/>
      <c r="BO257" s="711" t="s">
        <v>2</v>
      </c>
      <c r="BP257" s="712"/>
      <c r="BQ257" s="713" t="s">
        <v>3</v>
      </c>
      <c r="BR257" s="714"/>
      <c r="BS257" s="713" t="s">
        <v>200</v>
      </c>
      <c r="BT257" s="714"/>
      <c r="BU257" s="713" t="s">
        <v>5</v>
      </c>
      <c r="BV257" s="714"/>
      <c r="BW257" s="709" t="s">
        <v>634</v>
      </c>
      <c r="BX257" s="710"/>
      <c r="BY257" s="709" t="s">
        <v>582</v>
      </c>
      <c r="BZ257" s="710"/>
      <c r="CA257" s="156"/>
      <c r="CB257" s="156"/>
      <c r="CC257" s="3"/>
      <c r="CD257" s="715" t="s">
        <v>0</v>
      </c>
      <c r="CE257" s="712"/>
      <c r="CF257" s="711" t="s">
        <v>1</v>
      </c>
      <c r="CG257" s="712"/>
      <c r="CH257" s="711" t="s">
        <v>2</v>
      </c>
      <c r="CI257" s="712"/>
      <c r="CJ257" s="713" t="s">
        <v>3</v>
      </c>
      <c r="CK257" s="714"/>
      <c r="CL257" s="713" t="s">
        <v>200</v>
      </c>
      <c r="CM257" s="714"/>
      <c r="CN257" s="713" t="s">
        <v>5</v>
      </c>
      <c r="CO257" s="714"/>
      <c r="CP257" s="709" t="s">
        <v>634</v>
      </c>
      <c r="CQ257" s="710"/>
      <c r="CR257" s="709" t="s">
        <v>582</v>
      </c>
      <c r="CS257" s="710"/>
      <c r="CT257" s="9"/>
      <c r="CV257" s="3"/>
      <c r="CW257" s="715" t="s">
        <v>0</v>
      </c>
      <c r="CX257" s="712"/>
      <c r="CY257" s="711" t="s">
        <v>1</v>
      </c>
      <c r="CZ257" s="712"/>
      <c r="DA257" s="711" t="s">
        <v>2</v>
      </c>
      <c r="DB257" s="712"/>
      <c r="DC257" s="713" t="s">
        <v>3</v>
      </c>
      <c r="DD257" s="714"/>
      <c r="DE257" s="713" t="s">
        <v>200</v>
      </c>
      <c r="DF257" s="714"/>
      <c r="DG257" s="713" t="s">
        <v>5</v>
      </c>
      <c r="DH257" s="714"/>
      <c r="DI257" s="709" t="s">
        <v>634</v>
      </c>
      <c r="DJ257" s="710"/>
      <c r="DK257" s="709" t="s">
        <v>582</v>
      </c>
      <c r="DL257" s="710"/>
      <c r="DO257" s="3"/>
      <c r="DP257" s="715" t="s">
        <v>0</v>
      </c>
      <c r="DQ257" s="712"/>
      <c r="DR257" s="711" t="s">
        <v>1</v>
      </c>
      <c r="DS257" s="712"/>
      <c r="DT257" s="711" t="s">
        <v>2</v>
      </c>
      <c r="DU257" s="712"/>
      <c r="DV257" s="713" t="s">
        <v>3</v>
      </c>
      <c r="DW257" s="714"/>
      <c r="DX257" s="713" t="s">
        <v>200</v>
      </c>
      <c r="DY257" s="714"/>
      <c r="DZ257" s="713" t="s">
        <v>5</v>
      </c>
      <c r="EA257" s="714"/>
      <c r="EB257" s="709" t="s">
        <v>634</v>
      </c>
      <c r="EC257" s="710"/>
      <c r="ED257" s="709" t="s">
        <v>582</v>
      </c>
      <c r="EE257" s="710"/>
      <c r="EH257" s="3"/>
      <c r="EI257" s="715" t="s">
        <v>0</v>
      </c>
      <c r="EJ257" s="712"/>
      <c r="EK257" s="711" t="s">
        <v>1</v>
      </c>
      <c r="EL257" s="712"/>
      <c r="EM257" s="711" t="s">
        <v>2</v>
      </c>
      <c r="EN257" s="712"/>
      <c r="EO257" s="713" t="s">
        <v>3</v>
      </c>
      <c r="EP257" s="714"/>
      <c r="EQ257" s="713" t="s">
        <v>200</v>
      </c>
      <c r="ER257" s="714"/>
      <c r="ES257" s="713" t="s">
        <v>5</v>
      </c>
      <c r="ET257" s="714"/>
      <c r="EU257" s="709" t="s">
        <v>634</v>
      </c>
      <c r="EV257" s="710"/>
      <c r="EW257" s="709" t="s">
        <v>582</v>
      </c>
      <c r="EX257" s="710"/>
      <c r="FA257" s="3"/>
      <c r="FB257" s="715" t="s">
        <v>0</v>
      </c>
      <c r="FC257" s="712"/>
      <c r="FD257" s="711" t="s">
        <v>1</v>
      </c>
      <c r="FE257" s="712"/>
      <c r="FF257" s="711" t="s">
        <v>2</v>
      </c>
      <c r="FG257" s="712"/>
      <c r="FH257" s="713" t="s">
        <v>3</v>
      </c>
      <c r="FI257" s="714"/>
      <c r="FJ257" s="713" t="s">
        <v>200</v>
      </c>
      <c r="FK257" s="714"/>
      <c r="FL257" s="713" t="s">
        <v>5</v>
      </c>
      <c r="FM257" s="714"/>
      <c r="FN257" s="709" t="s">
        <v>634</v>
      </c>
      <c r="FO257" s="710"/>
      <c r="FP257" s="709" t="s">
        <v>582</v>
      </c>
      <c r="FQ257" s="710"/>
      <c r="FT257" s="3"/>
      <c r="FU257" s="715" t="s">
        <v>0</v>
      </c>
      <c r="FV257" s="712"/>
      <c r="FW257" s="711" t="s">
        <v>1</v>
      </c>
      <c r="FX257" s="712"/>
      <c r="FY257" s="711" t="s">
        <v>2</v>
      </c>
      <c r="FZ257" s="712"/>
      <c r="GA257" s="713" t="s">
        <v>3</v>
      </c>
      <c r="GB257" s="714"/>
      <c r="GC257" s="713" t="s">
        <v>200</v>
      </c>
      <c r="GD257" s="714"/>
      <c r="GE257" s="713" t="s">
        <v>5</v>
      </c>
      <c r="GF257" s="714"/>
      <c r="GG257" s="709" t="s">
        <v>634</v>
      </c>
      <c r="GH257" s="710"/>
      <c r="GI257" s="709" t="s">
        <v>582</v>
      </c>
      <c r="GJ257" s="710"/>
      <c r="GM257" s="3"/>
      <c r="GN257" s="715" t="s">
        <v>0</v>
      </c>
      <c r="GO257" s="712"/>
      <c r="GP257" s="711" t="s">
        <v>1</v>
      </c>
      <c r="GQ257" s="712"/>
      <c r="GR257" s="711" t="s">
        <v>2</v>
      </c>
      <c r="GS257" s="712"/>
      <c r="GT257" s="713" t="s">
        <v>3</v>
      </c>
      <c r="GU257" s="714"/>
      <c r="GV257" s="713" t="s">
        <v>200</v>
      </c>
      <c r="GW257" s="714"/>
      <c r="GX257" s="713" t="s">
        <v>5</v>
      </c>
      <c r="GY257" s="714"/>
      <c r="GZ257" s="709" t="s">
        <v>634</v>
      </c>
      <c r="HA257" s="710"/>
      <c r="HB257" s="709" t="s">
        <v>582</v>
      </c>
      <c r="HC257" s="710"/>
      <c r="HF257" s="3"/>
      <c r="HG257" s="715" t="s">
        <v>0</v>
      </c>
      <c r="HH257" s="712"/>
      <c r="HI257" s="711" t="s">
        <v>1</v>
      </c>
      <c r="HJ257" s="712"/>
      <c r="HK257" s="711" t="s">
        <v>2</v>
      </c>
      <c r="HL257" s="712"/>
      <c r="HM257" s="713" t="s">
        <v>3</v>
      </c>
      <c r="HN257" s="714"/>
      <c r="HO257" s="713" t="s">
        <v>200</v>
      </c>
      <c r="HP257" s="714"/>
      <c r="HQ257" s="713" t="s">
        <v>5</v>
      </c>
      <c r="HR257" s="714"/>
      <c r="HS257" s="709" t="s">
        <v>634</v>
      </c>
      <c r="HT257" s="710"/>
      <c r="HU257" s="709" t="s">
        <v>582</v>
      </c>
      <c r="HV257" s="710"/>
      <c r="HY257" s="3"/>
      <c r="HZ257" s="711" t="s">
        <v>0</v>
      </c>
      <c r="IA257" s="712"/>
      <c r="IB257" s="711" t="s">
        <v>1</v>
      </c>
      <c r="IC257" s="712"/>
      <c r="ID257" s="711" t="s">
        <v>2</v>
      </c>
      <c r="IE257" s="712"/>
      <c r="IF257" s="713" t="s">
        <v>3</v>
      </c>
      <c r="IG257" s="714"/>
      <c r="IH257" s="713" t="s">
        <v>200</v>
      </c>
      <c r="II257" s="714"/>
      <c r="IJ257" s="713" t="s">
        <v>5</v>
      </c>
      <c r="IK257" s="714"/>
      <c r="IL257" s="418"/>
      <c r="IM257" s="418"/>
      <c r="IN257" s="418"/>
      <c r="IO257" s="418"/>
    </row>
    <row r="258" spans="2:249" ht="12.75" customHeight="1" x14ac:dyDescent="0.2"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248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248"/>
      <c r="AL258" s="248"/>
      <c r="AM258" s="248"/>
      <c r="AN258" s="248"/>
      <c r="AO258" s="248"/>
      <c r="AP258" s="726"/>
      <c r="AQ258" s="231"/>
      <c r="AR258" s="53" t="s">
        <v>25</v>
      </c>
      <c r="AS258" s="52" t="s">
        <v>26</v>
      </c>
      <c r="AT258" s="131" t="s">
        <v>25</v>
      </c>
      <c r="AU258" s="52" t="s">
        <v>26</v>
      </c>
      <c r="AV258" s="131" t="s">
        <v>25</v>
      </c>
      <c r="AW258" s="52" t="s">
        <v>26</v>
      </c>
      <c r="AX258" s="131" t="s">
        <v>25</v>
      </c>
      <c r="AY258" s="52" t="s">
        <v>26</v>
      </c>
      <c r="AZ258" s="131" t="s">
        <v>25</v>
      </c>
      <c r="BA258" s="52" t="s">
        <v>26</v>
      </c>
      <c r="BB258" s="131" t="s">
        <v>25</v>
      </c>
      <c r="BC258" s="52" t="s">
        <v>26</v>
      </c>
      <c r="BD258" s="131" t="s">
        <v>25</v>
      </c>
      <c r="BE258" s="52" t="s">
        <v>26</v>
      </c>
      <c r="BF258" s="131" t="s">
        <v>25</v>
      </c>
      <c r="BG258" s="52" t="s">
        <v>26</v>
      </c>
      <c r="BI258" s="156"/>
      <c r="BJ258" s="231"/>
      <c r="BK258" s="53" t="s">
        <v>25</v>
      </c>
      <c r="BL258" s="52" t="s">
        <v>26</v>
      </c>
      <c r="BM258" s="131" t="s">
        <v>25</v>
      </c>
      <c r="BN258" s="52" t="s">
        <v>26</v>
      </c>
      <c r="BO258" s="131" t="s">
        <v>25</v>
      </c>
      <c r="BP258" s="52" t="s">
        <v>26</v>
      </c>
      <c r="BQ258" s="131" t="s">
        <v>25</v>
      </c>
      <c r="BR258" s="52" t="s">
        <v>26</v>
      </c>
      <c r="BS258" s="131" t="s">
        <v>25</v>
      </c>
      <c r="BT258" s="52" t="s">
        <v>26</v>
      </c>
      <c r="BU258" s="131" t="s">
        <v>25</v>
      </c>
      <c r="BV258" s="52" t="s">
        <v>26</v>
      </c>
      <c r="BW258" s="131" t="s">
        <v>25</v>
      </c>
      <c r="BX258" s="52" t="s">
        <v>26</v>
      </c>
      <c r="BY258" s="131" t="s">
        <v>25</v>
      </c>
      <c r="BZ258" s="52" t="s">
        <v>26</v>
      </c>
      <c r="CA258" s="156"/>
      <c r="CB258" s="156"/>
      <c r="CC258" s="231"/>
      <c r="CD258" s="53" t="s">
        <v>25</v>
      </c>
      <c r="CE258" s="52" t="s">
        <v>26</v>
      </c>
      <c r="CF258" s="131" t="s">
        <v>25</v>
      </c>
      <c r="CG258" s="52" t="s">
        <v>26</v>
      </c>
      <c r="CH258" s="131" t="s">
        <v>25</v>
      </c>
      <c r="CI258" s="52" t="s">
        <v>26</v>
      </c>
      <c r="CJ258" s="131" t="s">
        <v>25</v>
      </c>
      <c r="CK258" s="52" t="s">
        <v>26</v>
      </c>
      <c r="CL258" s="131" t="s">
        <v>25</v>
      </c>
      <c r="CM258" s="52" t="s">
        <v>26</v>
      </c>
      <c r="CN258" s="131" t="s">
        <v>25</v>
      </c>
      <c r="CO258" s="52" t="s">
        <v>26</v>
      </c>
      <c r="CP258" s="131" t="s">
        <v>25</v>
      </c>
      <c r="CQ258" s="52" t="s">
        <v>26</v>
      </c>
      <c r="CR258" s="131" t="s">
        <v>25</v>
      </c>
      <c r="CS258" s="52" t="s">
        <v>26</v>
      </c>
      <c r="CV258" s="231"/>
      <c r="CW258" s="53" t="s">
        <v>25</v>
      </c>
      <c r="CX258" s="52" t="s">
        <v>26</v>
      </c>
      <c r="CY258" s="131" t="s">
        <v>25</v>
      </c>
      <c r="CZ258" s="52" t="s">
        <v>26</v>
      </c>
      <c r="DA258" s="131" t="s">
        <v>25</v>
      </c>
      <c r="DB258" s="52" t="s">
        <v>26</v>
      </c>
      <c r="DC258" s="131" t="s">
        <v>25</v>
      </c>
      <c r="DD258" s="52" t="s">
        <v>26</v>
      </c>
      <c r="DE258" s="131" t="s">
        <v>25</v>
      </c>
      <c r="DF258" s="52" t="s">
        <v>26</v>
      </c>
      <c r="DG258" s="131" t="s">
        <v>25</v>
      </c>
      <c r="DH258" s="52" t="s">
        <v>26</v>
      </c>
      <c r="DI258" s="131" t="s">
        <v>25</v>
      </c>
      <c r="DJ258" s="52" t="s">
        <v>26</v>
      </c>
      <c r="DK258" s="131" t="s">
        <v>25</v>
      </c>
      <c r="DL258" s="52" t="s">
        <v>26</v>
      </c>
      <c r="DO258" s="231"/>
      <c r="DP258" s="53" t="s">
        <v>25</v>
      </c>
      <c r="DQ258" s="52" t="s">
        <v>26</v>
      </c>
      <c r="DR258" s="131" t="s">
        <v>25</v>
      </c>
      <c r="DS258" s="52" t="s">
        <v>26</v>
      </c>
      <c r="DT258" s="131" t="s">
        <v>25</v>
      </c>
      <c r="DU258" s="52" t="s">
        <v>26</v>
      </c>
      <c r="DV258" s="131" t="s">
        <v>25</v>
      </c>
      <c r="DW258" s="52" t="s">
        <v>26</v>
      </c>
      <c r="DX258" s="131" t="s">
        <v>25</v>
      </c>
      <c r="DY258" s="52" t="s">
        <v>26</v>
      </c>
      <c r="DZ258" s="131" t="s">
        <v>25</v>
      </c>
      <c r="EA258" s="52" t="s">
        <v>26</v>
      </c>
      <c r="EB258" s="131" t="s">
        <v>25</v>
      </c>
      <c r="EC258" s="52" t="s">
        <v>26</v>
      </c>
      <c r="ED258" s="131" t="s">
        <v>25</v>
      </c>
      <c r="EE258" s="52" t="s">
        <v>26</v>
      </c>
      <c r="EH258" s="231"/>
      <c r="EI258" s="53" t="s">
        <v>25</v>
      </c>
      <c r="EJ258" s="52" t="s">
        <v>26</v>
      </c>
      <c r="EK258" s="131" t="s">
        <v>25</v>
      </c>
      <c r="EL258" s="52" t="s">
        <v>26</v>
      </c>
      <c r="EM258" s="131" t="s">
        <v>25</v>
      </c>
      <c r="EN258" s="52" t="s">
        <v>26</v>
      </c>
      <c r="EO258" s="131" t="s">
        <v>25</v>
      </c>
      <c r="EP258" s="52" t="s">
        <v>26</v>
      </c>
      <c r="EQ258" s="131" t="s">
        <v>25</v>
      </c>
      <c r="ER258" s="52" t="s">
        <v>26</v>
      </c>
      <c r="ES258" s="131" t="s">
        <v>25</v>
      </c>
      <c r="ET258" s="52" t="s">
        <v>26</v>
      </c>
      <c r="EU258" s="131" t="s">
        <v>25</v>
      </c>
      <c r="EV258" s="52" t="s">
        <v>26</v>
      </c>
      <c r="EW258" s="131" t="s">
        <v>25</v>
      </c>
      <c r="EX258" s="52" t="s">
        <v>26</v>
      </c>
      <c r="FA258" s="231"/>
      <c r="FB258" s="53" t="s">
        <v>25</v>
      </c>
      <c r="FC258" s="52" t="s">
        <v>26</v>
      </c>
      <c r="FD258" s="131" t="s">
        <v>25</v>
      </c>
      <c r="FE258" s="52" t="s">
        <v>26</v>
      </c>
      <c r="FF258" s="131" t="s">
        <v>25</v>
      </c>
      <c r="FG258" s="52" t="s">
        <v>26</v>
      </c>
      <c r="FH258" s="131" t="s">
        <v>25</v>
      </c>
      <c r="FI258" s="52" t="s">
        <v>26</v>
      </c>
      <c r="FJ258" s="131" t="s">
        <v>25</v>
      </c>
      <c r="FK258" s="52" t="s">
        <v>26</v>
      </c>
      <c r="FL258" s="131" t="s">
        <v>25</v>
      </c>
      <c r="FM258" s="52" t="s">
        <v>26</v>
      </c>
      <c r="FN258" s="131" t="s">
        <v>25</v>
      </c>
      <c r="FO258" s="52" t="s">
        <v>26</v>
      </c>
      <c r="FP258" s="131" t="s">
        <v>25</v>
      </c>
      <c r="FQ258" s="52" t="s">
        <v>26</v>
      </c>
      <c r="FT258" s="231"/>
      <c r="FU258" s="53" t="s">
        <v>25</v>
      </c>
      <c r="FV258" s="52" t="s">
        <v>26</v>
      </c>
      <c r="FW258" s="131" t="s">
        <v>25</v>
      </c>
      <c r="FX258" s="52" t="s">
        <v>26</v>
      </c>
      <c r="FY258" s="131" t="s">
        <v>25</v>
      </c>
      <c r="FZ258" s="52" t="s">
        <v>26</v>
      </c>
      <c r="GA258" s="131" t="s">
        <v>25</v>
      </c>
      <c r="GB258" s="52" t="s">
        <v>26</v>
      </c>
      <c r="GC258" s="131" t="s">
        <v>25</v>
      </c>
      <c r="GD258" s="52" t="s">
        <v>26</v>
      </c>
      <c r="GE258" s="131" t="s">
        <v>25</v>
      </c>
      <c r="GF258" s="52" t="s">
        <v>26</v>
      </c>
      <c r="GG258" s="131" t="s">
        <v>25</v>
      </c>
      <c r="GH258" s="52" t="s">
        <v>26</v>
      </c>
      <c r="GI258" s="131" t="s">
        <v>25</v>
      </c>
      <c r="GJ258" s="52" t="s">
        <v>26</v>
      </c>
      <c r="GM258" s="231"/>
      <c r="GN258" s="53" t="s">
        <v>25</v>
      </c>
      <c r="GO258" s="52" t="s">
        <v>26</v>
      </c>
      <c r="GP258" s="131" t="s">
        <v>25</v>
      </c>
      <c r="GQ258" s="52" t="s">
        <v>26</v>
      </c>
      <c r="GR258" s="131" t="s">
        <v>25</v>
      </c>
      <c r="GS258" s="52" t="s">
        <v>26</v>
      </c>
      <c r="GT258" s="131" t="s">
        <v>25</v>
      </c>
      <c r="GU258" s="52" t="s">
        <v>26</v>
      </c>
      <c r="GV258" s="131" t="s">
        <v>25</v>
      </c>
      <c r="GW258" s="52" t="s">
        <v>26</v>
      </c>
      <c r="GX258" s="131" t="s">
        <v>25</v>
      </c>
      <c r="GY258" s="52" t="s">
        <v>26</v>
      </c>
      <c r="GZ258" s="131" t="s">
        <v>25</v>
      </c>
      <c r="HA258" s="52" t="s">
        <v>26</v>
      </c>
      <c r="HB258" s="131" t="s">
        <v>25</v>
      </c>
      <c r="HC258" s="52" t="s">
        <v>26</v>
      </c>
      <c r="HF258" s="231"/>
      <c r="HG258" s="53" t="s">
        <v>25</v>
      </c>
      <c r="HH258" s="52" t="s">
        <v>26</v>
      </c>
      <c r="HI258" s="131" t="s">
        <v>25</v>
      </c>
      <c r="HJ258" s="52" t="s">
        <v>26</v>
      </c>
      <c r="HK258" s="131" t="s">
        <v>25</v>
      </c>
      <c r="HL258" s="52" t="s">
        <v>26</v>
      </c>
      <c r="HM258" s="131" t="s">
        <v>25</v>
      </c>
      <c r="HN258" s="52" t="s">
        <v>26</v>
      </c>
      <c r="HO258" s="131" t="s">
        <v>25</v>
      </c>
      <c r="HP258" s="52" t="s">
        <v>26</v>
      </c>
      <c r="HQ258" s="131" t="s">
        <v>25</v>
      </c>
      <c r="HR258" s="52" t="s">
        <v>26</v>
      </c>
      <c r="HS258" s="131" t="s">
        <v>25</v>
      </c>
      <c r="HT258" s="52" t="s">
        <v>26</v>
      </c>
      <c r="HU258" s="131" t="s">
        <v>25</v>
      </c>
      <c r="HV258" s="52" t="s">
        <v>26</v>
      </c>
      <c r="HY258" s="231"/>
      <c r="HZ258" s="131" t="s">
        <v>25</v>
      </c>
      <c r="IA258" s="52" t="s">
        <v>26</v>
      </c>
      <c r="IB258" s="131" t="s">
        <v>25</v>
      </c>
      <c r="IC258" s="52" t="s">
        <v>26</v>
      </c>
      <c r="ID258" s="131" t="s">
        <v>25</v>
      </c>
      <c r="IE258" s="52" t="s">
        <v>26</v>
      </c>
      <c r="IF258" s="131" t="s">
        <v>25</v>
      </c>
      <c r="IG258" s="52" t="s">
        <v>26</v>
      </c>
      <c r="IH258" s="131" t="s">
        <v>25</v>
      </c>
      <c r="II258" s="52" t="s">
        <v>26</v>
      </c>
      <c r="IJ258" s="131" t="s">
        <v>25</v>
      </c>
      <c r="IK258" s="52" t="s">
        <v>26</v>
      </c>
      <c r="IL258" s="131"/>
      <c r="IM258" s="131"/>
      <c r="IN258" s="131"/>
      <c r="IO258" s="131"/>
    </row>
    <row r="259" spans="2:249" ht="13.5" customHeight="1" thickBot="1" x14ac:dyDescent="0.25">
      <c r="B259" s="248"/>
      <c r="C259" s="248"/>
      <c r="D259" s="248"/>
      <c r="E259" s="248"/>
      <c r="F259" s="248"/>
      <c r="G259" s="248"/>
      <c r="H259" s="248"/>
      <c r="I259" s="248"/>
      <c r="J259" s="248"/>
      <c r="K259" s="248"/>
      <c r="L259" s="248"/>
      <c r="M259" s="248"/>
      <c r="N259" s="248"/>
      <c r="O259" s="248"/>
      <c r="P259" s="248"/>
      <c r="Q259" s="248"/>
      <c r="R259" s="248"/>
      <c r="S259" s="248"/>
      <c r="T259" s="248"/>
      <c r="U259" s="248"/>
      <c r="V259" s="248"/>
      <c r="W259" s="248"/>
      <c r="X259" s="248"/>
      <c r="Y259" s="248"/>
      <c r="Z259" s="248"/>
      <c r="AA259" s="248"/>
      <c r="AB259" s="248"/>
      <c r="AC259" s="248"/>
      <c r="AD259" s="248"/>
      <c r="AE259" s="248"/>
      <c r="AF259" s="248"/>
      <c r="AG259" s="248"/>
      <c r="AH259" s="248"/>
      <c r="AI259" s="248"/>
      <c r="AJ259" s="248"/>
      <c r="AK259" s="248"/>
      <c r="AL259" s="248"/>
      <c r="AM259" s="248"/>
      <c r="AN259" s="248"/>
      <c r="AO259" s="248"/>
      <c r="AP259" s="726"/>
      <c r="AQ259" s="134"/>
      <c r="AR259" s="133" t="s">
        <v>221</v>
      </c>
      <c r="AS259" s="134" t="s">
        <v>221</v>
      </c>
      <c r="AT259" s="133" t="s">
        <v>221</v>
      </c>
      <c r="AU259" s="134" t="s">
        <v>221</v>
      </c>
      <c r="AV259" s="133" t="s">
        <v>221</v>
      </c>
      <c r="AW259" s="134" t="s">
        <v>221</v>
      </c>
      <c r="AX259" s="133" t="s">
        <v>221</v>
      </c>
      <c r="AY259" s="134" t="s">
        <v>221</v>
      </c>
      <c r="AZ259" s="133" t="s">
        <v>221</v>
      </c>
      <c r="BA259" s="134" t="s">
        <v>221</v>
      </c>
      <c r="BB259" s="133" t="s">
        <v>221</v>
      </c>
      <c r="BC259" s="134" t="s">
        <v>221</v>
      </c>
      <c r="BD259" s="133" t="s">
        <v>221</v>
      </c>
      <c r="BE259" s="134" t="s">
        <v>221</v>
      </c>
      <c r="BF259" s="133" t="s">
        <v>221</v>
      </c>
      <c r="BG259" s="134" t="s">
        <v>221</v>
      </c>
      <c r="BI259" s="156"/>
      <c r="BJ259" s="134"/>
      <c r="BK259" s="133" t="s">
        <v>221</v>
      </c>
      <c r="BL259" s="134" t="s">
        <v>221</v>
      </c>
      <c r="BM259" s="133" t="s">
        <v>221</v>
      </c>
      <c r="BN259" s="134" t="s">
        <v>221</v>
      </c>
      <c r="BO259" s="133" t="s">
        <v>221</v>
      </c>
      <c r="BP259" s="134" t="s">
        <v>221</v>
      </c>
      <c r="BQ259" s="133" t="s">
        <v>221</v>
      </c>
      <c r="BR259" s="134" t="s">
        <v>221</v>
      </c>
      <c r="BS259" s="133" t="s">
        <v>221</v>
      </c>
      <c r="BT259" s="134" t="s">
        <v>221</v>
      </c>
      <c r="BU259" s="133" t="s">
        <v>221</v>
      </c>
      <c r="BV259" s="134" t="s">
        <v>221</v>
      </c>
      <c r="BW259" s="133" t="s">
        <v>221</v>
      </c>
      <c r="BX259" s="134" t="s">
        <v>221</v>
      </c>
      <c r="BY259" s="133" t="s">
        <v>221</v>
      </c>
      <c r="BZ259" s="134" t="s">
        <v>221</v>
      </c>
      <c r="CA259" s="156"/>
      <c r="CB259" s="156"/>
      <c r="CC259" s="134"/>
      <c r="CD259" s="133" t="s">
        <v>221</v>
      </c>
      <c r="CE259" s="134" t="s">
        <v>221</v>
      </c>
      <c r="CF259" s="133" t="s">
        <v>221</v>
      </c>
      <c r="CG259" s="134" t="s">
        <v>221</v>
      </c>
      <c r="CH259" s="133" t="s">
        <v>221</v>
      </c>
      <c r="CI259" s="134" t="s">
        <v>221</v>
      </c>
      <c r="CJ259" s="133" t="s">
        <v>221</v>
      </c>
      <c r="CK259" s="134" t="s">
        <v>221</v>
      </c>
      <c r="CL259" s="133" t="s">
        <v>221</v>
      </c>
      <c r="CM259" s="134" t="s">
        <v>221</v>
      </c>
      <c r="CN259" s="133" t="s">
        <v>221</v>
      </c>
      <c r="CO259" s="134" t="s">
        <v>221</v>
      </c>
      <c r="CP259" s="133" t="s">
        <v>221</v>
      </c>
      <c r="CQ259" s="134" t="s">
        <v>221</v>
      </c>
      <c r="CR259" s="133" t="s">
        <v>221</v>
      </c>
      <c r="CS259" s="134" t="s">
        <v>221</v>
      </c>
      <c r="CV259" s="134"/>
      <c r="CW259" s="133" t="s">
        <v>221</v>
      </c>
      <c r="CX259" s="134" t="s">
        <v>221</v>
      </c>
      <c r="CY259" s="133" t="s">
        <v>221</v>
      </c>
      <c r="CZ259" s="134" t="s">
        <v>221</v>
      </c>
      <c r="DA259" s="133" t="s">
        <v>221</v>
      </c>
      <c r="DB259" s="134" t="s">
        <v>221</v>
      </c>
      <c r="DC259" s="133" t="s">
        <v>221</v>
      </c>
      <c r="DD259" s="134" t="s">
        <v>221</v>
      </c>
      <c r="DE259" s="133" t="s">
        <v>221</v>
      </c>
      <c r="DF259" s="134" t="s">
        <v>221</v>
      </c>
      <c r="DG259" s="133" t="s">
        <v>221</v>
      </c>
      <c r="DH259" s="134" t="s">
        <v>221</v>
      </c>
      <c r="DI259" s="133" t="s">
        <v>221</v>
      </c>
      <c r="DJ259" s="134" t="s">
        <v>221</v>
      </c>
      <c r="DK259" s="133" t="s">
        <v>221</v>
      </c>
      <c r="DL259" s="134" t="s">
        <v>221</v>
      </c>
      <c r="DO259" s="134"/>
      <c r="DP259" s="133" t="s">
        <v>221</v>
      </c>
      <c r="DQ259" s="134" t="s">
        <v>221</v>
      </c>
      <c r="DR259" s="133" t="s">
        <v>221</v>
      </c>
      <c r="DS259" s="134" t="s">
        <v>221</v>
      </c>
      <c r="DT259" s="133" t="s">
        <v>221</v>
      </c>
      <c r="DU259" s="134" t="s">
        <v>221</v>
      </c>
      <c r="DV259" s="133" t="s">
        <v>221</v>
      </c>
      <c r="DW259" s="134" t="s">
        <v>221</v>
      </c>
      <c r="DX259" s="133" t="s">
        <v>221</v>
      </c>
      <c r="DY259" s="134" t="s">
        <v>221</v>
      </c>
      <c r="DZ259" s="133" t="s">
        <v>221</v>
      </c>
      <c r="EA259" s="134" t="s">
        <v>221</v>
      </c>
      <c r="EB259" s="133" t="s">
        <v>221</v>
      </c>
      <c r="EC259" s="134" t="s">
        <v>221</v>
      </c>
      <c r="ED259" s="133" t="s">
        <v>221</v>
      </c>
      <c r="EE259" s="134" t="s">
        <v>221</v>
      </c>
      <c r="EH259" s="134"/>
      <c r="EI259" s="133" t="s">
        <v>221</v>
      </c>
      <c r="EJ259" s="134" t="s">
        <v>221</v>
      </c>
      <c r="EK259" s="133" t="s">
        <v>221</v>
      </c>
      <c r="EL259" s="134" t="s">
        <v>221</v>
      </c>
      <c r="EM259" s="133" t="s">
        <v>221</v>
      </c>
      <c r="EN259" s="134" t="s">
        <v>221</v>
      </c>
      <c r="EO259" s="133" t="s">
        <v>221</v>
      </c>
      <c r="EP259" s="134" t="s">
        <v>221</v>
      </c>
      <c r="EQ259" s="133" t="s">
        <v>221</v>
      </c>
      <c r="ER259" s="134" t="s">
        <v>221</v>
      </c>
      <c r="ES259" s="133" t="s">
        <v>221</v>
      </c>
      <c r="ET259" s="134" t="s">
        <v>221</v>
      </c>
      <c r="EU259" s="133" t="s">
        <v>221</v>
      </c>
      <c r="EV259" s="134" t="s">
        <v>221</v>
      </c>
      <c r="EW259" s="133" t="s">
        <v>221</v>
      </c>
      <c r="EX259" s="134" t="s">
        <v>221</v>
      </c>
      <c r="FA259" s="134"/>
      <c r="FB259" s="133" t="s">
        <v>221</v>
      </c>
      <c r="FC259" s="134" t="s">
        <v>221</v>
      </c>
      <c r="FD259" s="133" t="s">
        <v>221</v>
      </c>
      <c r="FE259" s="134" t="s">
        <v>221</v>
      </c>
      <c r="FF259" s="133" t="s">
        <v>221</v>
      </c>
      <c r="FG259" s="134" t="s">
        <v>221</v>
      </c>
      <c r="FH259" s="133" t="s">
        <v>221</v>
      </c>
      <c r="FI259" s="134" t="s">
        <v>221</v>
      </c>
      <c r="FJ259" s="133" t="s">
        <v>221</v>
      </c>
      <c r="FK259" s="134" t="s">
        <v>221</v>
      </c>
      <c r="FL259" s="133" t="s">
        <v>221</v>
      </c>
      <c r="FM259" s="134" t="s">
        <v>221</v>
      </c>
      <c r="FN259" s="133" t="s">
        <v>221</v>
      </c>
      <c r="FO259" s="134" t="s">
        <v>221</v>
      </c>
      <c r="FP259" s="133" t="s">
        <v>221</v>
      </c>
      <c r="FQ259" s="134" t="s">
        <v>221</v>
      </c>
      <c r="FT259" s="134"/>
      <c r="FU259" s="133" t="s">
        <v>221</v>
      </c>
      <c r="FV259" s="134" t="s">
        <v>221</v>
      </c>
      <c r="FW259" s="133" t="s">
        <v>221</v>
      </c>
      <c r="FX259" s="134" t="s">
        <v>221</v>
      </c>
      <c r="FY259" s="133" t="s">
        <v>221</v>
      </c>
      <c r="FZ259" s="134" t="s">
        <v>221</v>
      </c>
      <c r="GA259" s="133" t="s">
        <v>221</v>
      </c>
      <c r="GB259" s="134" t="s">
        <v>221</v>
      </c>
      <c r="GC259" s="133" t="s">
        <v>221</v>
      </c>
      <c r="GD259" s="134" t="s">
        <v>221</v>
      </c>
      <c r="GE259" s="133" t="s">
        <v>221</v>
      </c>
      <c r="GF259" s="134" t="s">
        <v>221</v>
      </c>
      <c r="GG259" s="133" t="s">
        <v>221</v>
      </c>
      <c r="GH259" s="134" t="s">
        <v>221</v>
      </c>
      <c r="GI259" s="133" t="s">
        <v>221</v>
      </c>
      <c r="GJ259" s="134" t="s">
        <v>221</v>
      </c>
      <c r="GM259" s="134"/>
      <c r="GN259" s="133" t="s">
        <v>221</v>
      </c>
      <c r="GO259" s="134" t="s">
        <v>221</v>
      </c>
      <c r="GP259" s="133" t="s">
        <v>221</v>
      </c>
      <c r="GQ259" s="134" t="s">
        <v>221</v>
      </c>
      <c r="GR259" s="133" t="s">
        <v>221</v>
      </c>
      <c r="GS259" s="134" t="s">
        <v>221</v>
      </c>
      <c r="GT259" s="133" t="s">
        <v>221</v>
      </c>
      <c r="GU259" s="134" t="s">
        <v>221</v>
      </c>
      <c r="GV259" s="133" t="s">
        <v>221</v>
      </c>
      <c r="GW259" s="134" t="s">
        <v>221</v>
      </c>
      <c r="GX259" s="133" t="s">
        <v>221</v>
      </c>
      <c r="GY259" s="134" t="s">
        <v>221</v>
      </c>
      <c r="GZ259" s="133" t="s">
        <v>221</v>
      </c>
      <c r="HA259" s="134" t="s">
        <v>221</v>
      </c>
      <c r="HB259" s="133" t="s">
        <v>221</v>
      </c>
      <c r="HC259" s="134" t="s">
        <v>221</v>
      </c>
      <c r="HF259" s="134"/>
      <c r="HG259" s="133" t="s">
        <v>221</v>
      </c>
      <c r="HH259" s="134" t="s">
        <v>221</v>
      </c>
      <c r="HI259" s="133" t="s">
        <v>221</v>
      </c>
      <c r="HJ259" s="134" t="s">
        <v>221</v>
      </c>
      <c r="HK259" s="133" t="s">
        <v>221</v>
      </c>
      <c r="HL259" s="134" t="s">
        <v>221</v>
      </c>
      <c r="HM259" s="133" t="s">
        <v>221</v>
      </c>
      <c r="HN259" s="134" t="s">
        <v>221</v>
      </c>
      <c r="HO259" s="133" t="s">
        <v>221</v>
      </c>
      <c r="HP259" s="134" t="s">
        <v>221</v>
      </c>
      <c r="HQ259" s="133" t="s">
        <v>221</v>
      </c>
      <c r="HR259" s="134" t="s">
        <v>221</v>
      </c>
      <c r="HS259" s="133" t="s">
        <v>221</v>
      </c>
      <c r="HT259" s="134" t="s">
        <v>221</v>
      </c>
      <c r="HU259" s="133" t="s">
        <v>221</v>
      </c>
      <c r="HV259" s="134" t="s">
        <v>221</v>
      </c>
      <c r="HY259" s="134"/>
      <c r="HZ259" s="133" t="s">
        <v>438</v>
      </c>
      <c r="IA259" s="134" t="s">
        <v>438</v>
      </c>
      <c r="IB259" s="133" t="s">
        <v>438</v>
      </c>
      <c r="IC259" s="134" t="s">
        <v>438</v>
      </c>
      <c r="ID259" s="133" t="s">
        <v>438</v>
      </c>
      <c r="IE259" s="134" t="s">
        <v>438</v>
      </c>
      <c r="IF259" s="133" t="s">
        <v>438</v>
      </c>
      <c r="IG259" s="134" t="s">
        <v>438</v>
      </c>
      <c r="IH259" s="133" t="s">
        <v>438</v>
      </c>
      <c r="II259" s="134" t="s">
        <v>438</v>
      </c>
      <c r="IJ259" s="133" t="s">
        <v>438</v>
      </c>
      <c r="IK259" s="134" t="s">
        <v>438</v>
      </c>
      <c r="IL259" s="94"/>
      <c r="IM259" s="94"/>
      <c r="IN259" s="94"/>
      <c r="IO259" s="94"/>
    </row>
    <row r="260" spans="2:249" ht="12.75" customHeight="1" x14ac:dyDescent="0.2">
      <c r="B260" s="248"/>
      <c r="C260" s="248"/>
      <c r="D260" s="248"/>
      <c r="E260" s="248"/>
      <c r="F260" s="248"/>
      <c r="G260" s="248"/>
      <c r="H260" s="248"/>
      <c r="I260" s="248"/>
      <c r="J260" s="248"/>
      <c r="K260" s="248"/>
      <c r="L260" s="248"/>
      <c r="M260" s="248"/>
      <c r="N260" s="248"/>
      <c r="O260" s="248"/>
      <c r="P260" s="248"/>
      <c r="Q260" s="248"/>
      <c r="R260" s="248"/>
      <c r="S260" s="248"/>
      <c r="T260" s="248"/>
      <c r="U260" s="248"/>
      <c r="V260" s="248"/>
      <c r="W260" s="248"/>
      <c r="X260" s="248"/>
      <c r="Y260" s="248"/>
      <c r="Z260" s="248"/>
      <c r="AA260" s="248"/>
      <c r="AB260" s="248"/>
      <c r="AC260" s="248"/>
      <c r="AD260" s="248"/>
      <c r="AE260" s="248"/>
      <c r="AF260" s="248"/>
      <c r="AG260" s="248"/>
      <c r="AH260" s="248"/>
      <c r="AI260" s="248"/>
      <c r="AJ260" s="248"/>
      <c r="AK260" s="248"/>
      <c r="AL260" s="248"/>
      <c r="AM260" s="248"/>
      <c r="AN260" s="122"/>
      <c r="AO260" s="248"/>
      <c r="AP260" s="726"/>
      <c r="AQ260" s="262" t="s">
        <v>52</v>
      </c>
      <c r="AR260" s="259">
        <f>AR261+AR262</f>
        <v>337.68333193294825</v>
      </c>
      <c r="AS260" s="57">
        <f t="shared" ref="AS260:BC260" si="3059">AS261+AS262</f>
        <v>333.03099082662214</v>
      </c>
      <c r="AT260" s="259">
        <f t="shared" si="3059"/>
        <v>484.67850886590685</v>
      </c>
      <c r="AU260" s="57">
        <f t="shared" si="3059"/>
        <v>478.5663063663178</v>
      </c>
      <c r="AV260" s="259">
        <f t="shared" si="3059"/>
        <v>490.78761983182704</v>
      </c>
      <c r="AW260" s="57">
        <f t="shared" si="3059"/>
        <v>484.8526192360041</v>
      </c>
      <c r="AX260" s="259">
        <f t="shared" si="3059"/>
        <v>370.56440009219415</v>
      </c>
      <c r="AY260" s="57">
        <f t="shared" si="3059"/>
        <v>365.59800078732724</v>
      </c>
      <c r="AZ260" s="259">
        <f t="shared" si="3059"/>
        <v>315.51953318250912</v>
      </c>
      <c r="BA260" s="57">
        <f t="shared" si="3059"/>
        <v>311.03401067185274</v>
      </c>
      <c r="BB260" s="259">
        <f t="shared" si="3059"/>
        <v>177.22155751636487</v>
      </c>
      <c r="BC260" s="57">
        <f t="shared" si="3059"/>
        <v>168.93285865388569</v>
      </c>
      <c r="BD260" s="259">
        <f t="shared" ref="BD260:BG260" si="3060">BD261+BD262</f>
        <v>336.92254282324956</v>
      </c>
      <c r="BE260" s="57">
        <f t="shared" si="3060"/>
        <v>327.41283797116279</v>
      </c>
      <c r="BF260" s="259">
        <f t="shared" si="3060"/>
        <v>315.06291239607219</v>
      </c>
      <c r="BG260" s="57">
        <f t="shared" si="3060"/>
        <v>310.69862022354164</v>
      </c>
      <c r="BI260" s="156"/>
      <c r="BJ260" s="262" t="s">
        <v>52</v>
      </c>
      <c r="BK260" s="259">
        <f>BK261+BK262</f>
        <v>46.440813064125294</v>
      </c>
      <c r="BL260" s="57">
        <f t="shared" ref="BL260:BZ260" si="3061">BL261+BL262</f>
        <v>44.886577602444454</v>
      </c>
      <c r="BM260" s="259">
        <f t="shared" si="3061"/>
        <v>66.411404513907982</v>
      </c>
      <c r="BN260" s="57">
        <f t="shared" si="3061"/>
        <v>64.369464411769286</v>
      </c>
      <c r="BO260" s="259">
        <f t="shared" si="3061"/>
        <v>65.881987852917121</v>
      </c>
      <c r="BP260" s="57">
        <f t="shared" si="3061"/>
        <v>63.899246652238183</v>
      </c>
      <c r="BQ260" s="259">
        <f t="shared" si="3061"/>
        <v>51.166008371032483</v>
      </c>
      <c r="BR260" s="57">
        <f t="shared" si="3061"/>
        <v>49.506853605704706</v>
      </c>
      <c r="BS260" s="259">
        <f t="shared" si="3061"/>
        <v>44.000386923334659</v>
      </c>
      <c r="BT260" s="57">
        <f t="shared" si="3061"/>
        <v>42.501881549180105</v>
      </c>
      <c r="BU260" s="259">
        <f t="shared" si="3061"/>
        <v>38.198284693801277</v>
      </c>
      <c r="BV260" s="57">
        <f t="shared" si="3061"/>
        <v>35.429229414139719</v>
      </c>
      <c r="BW260" s="259">
        <f t="shared" si="3061"/>
        <v>55.878066067626385</v>
      </c>
      <c r="BX260" s="57">
        <f t="shared" si="3061"/>
        <v>52.701102002989373</v>
      </c>
      <c r="BY260" s="259">
        <f t="shared" si="3061"/>
        <v>43.869227178039438</v>
      </c>
      <c r="BZ260" s="57">
        <f t="shared" si="3061"/>
        <v>42.411221949132305</v>
      </c>
      <c r="CA260" s="156"/>
      <c r="CB260" s="156"/>
      <c r="CC260" s="262" t="s">
        <v>52</v>
      </c>
      <c r="CD260" s="259">
        <f>CD261+CD262</f>
        <v>1114.420887231388</v>
      </c>
      <c r="CE260" s="57">
        <f t="shared" ref="CE260:CS260" si="3062">CE261+CE262</f>
        <v>1107.34646254121</v>
      </c>
      <c r="CF260" s="259">
        <f t="shared" si="3062"/>
        <v>1541.4488329783912</v>
      </c>
      <c r="CG260" s="57">
        <f t="shared" si="3062"/>
        <v>1532.1545195808496</v>
      </c>
      <c r="CH260" s="259">
        <f t="shared" si="3062"/>
        <v>1595.0141184808958</v>
      </c>
      <c r="CI260" s="57">
        <f t="shared" si="3062"/>
        <v>1585.9892611474088</v>
      </c>
      <c r="CJ260" s="259">
        <f t="shared" si="3062"/>
        <v>1205.8684038250115</v>
      </c>
      <c r="CK260" s="57">
        <f t="shared" si="3062"/>
        <v>1198.3164171884644</v>
      </c>
      <c r="CL260" s="259">
        <f t="shared" si="3062"/>
        <v>1033.0336373445564</v>
      </c>
      <c r="CM260" s="57">
        <f t="shared" si="3062"/>
        <v>1026.2128796931909</v>
      </c>
      <c r="CN260" s="259">
        <f t="shared" si="3062"/>
        <v>312.88882331331632</v>
      </c>
      <c r="CO260" s="57">
        <f t="shared" si="3062"/>
        <v>300.28489455099094</v>
      </c>
      <c r="CP260" s="259">
        <f t="shared" si="3062"/>
        <v>832.60598800407968</v>
      </c>
      <c r="CQ260" s="57">
        <f t="shared" si="3062"/>
        <v>818.14537790168879</v>
      </c>
      <c r="CR260" s="259">
        <f t="shared" si="3062"/>
        <v>1032.3297789544324</v>
      </c>
      <c r="CS260" s="57">
        <f t="shared" si="3062"/>
        <v>1025.6933661044552</v>
      </c>
      <c r="CV260" s="262" t="s">
        <v>52</v>
      </c>
      <c r="CW260" s="259">
        <f>CW261+CW262</f>
        <v>0.2999658892336784</v>
      </c>
      <c r="CX260" s="57">
        <f t="shared" ref="CX260:DL260" si="3063">CX261+CX262</f>
        <v>0.29322019179771508</v>
      </c>
      <c r="CY260" s="259">
        <f t="shared" si="3063"/>
        <v>0.38539056830525348</v>
      </c>
      <c r="CZ260" s="57">
        <f t="shared" si="3063"/>
        <v>0.37652813371861027</v>
      </c>
      <c r="DA260" s="259">
        <f t="shared" si="3063"/>
        <v>0.39266460606909193</v>
      </c>
      <c r="DB260" s="57">
        <f t="shared" si="3063"/>
        <v>0.38405910673301696</v>
      </c>
      <c r="DC260" s="259">
        <f t="shared" si="3063"/>
        <v>0.32043679012391069</v>
      </c>
      <c r="DD260" s="57">
        <f t="shared" si="3063"/>
        <v>0.31323572160998425</v>
      </c>
      <c r="DE260" s="259">
        <f t="shared" si="3063"/>
        <v>0.28542923854266405</v>
      </c>
      <c r="DF260" s="57">
        <f t="shared" si="3063"/>
        <v>0.27892542100057827</v>
      </c>
      <c r="DG260" s="259">
        <f t="shared" si="3063"/>
        <v>0.21224428088374708</v>
      </c>
      <c r="DH260" s="57">
        <f t="shared" si="3063"/>
        <v>0.20022601881176166</v>
      </c>
      <c r="DI260" s="259">
        <f t="shared" si="3063"/>
        <v>0.27258266986300184</v>
      </c>
      <c r="DJ260" s="57">
        <f t="shared" si="3063"/>
        <v>0.25879400085284243</v>
      </c>
      <c r="DK260" s="259">
        <f t="shared" si="3063"/>
        <v>0.28493396699046458</v>
      </c>
      <c r="DL260" s="57">
        <f t="shared" si="3063"/>
        <v>0.27860592830086767</v>
      </c>
      <c r="DO260" s="262" t="s">
        <v>52</v>
      </c>
      <c r="DP260" s="259">
        <f>DP261+DP262</f>
        <v>21.289832428019412</v>
      </c>
      <c r="DQ260" s="57">
        <f t="shared" ref="DQ260:EE260" si="3064">DQ261+DQ262</f>
        <v>21.261037718127984</v>
      </c>
      <c r="DR260" s="259">
        <f t="shared" si="3064"/>
        <v>28.940442115876664</v>
      </c>
      <c r="DS260" s="57">
        <f t="shared" si="3064"/>
        <v>28.902611893682934</v>
      </c>
      <c r="DT260" s="259">
        <f t="shared" si="3064"/>
        <v>28.687747657380374</v>
      </c>
      <c r="DU260" s="57">
        <f t="shared" si="3064"/>
        <v>28.651014189980529</v>
      </c>
      <c r="DV260" s="259">
        <f t="shared" si="3064"/>
        <v>23.077671813214977</v>
      </c>
      <c r="DW260" s="57">
        <f t="shared" si="3064"/>
        <v>23.046933304597417</v>
      </c>
      <c r="DX260" s="259">
        <f t="shared" si="3064"/>
        <v>20.348799472560135</v>
      </c>
      <c r="DY260" s="57">
        <f t="shared" si="3064"/>
        <v>20.321037252109402</v>
      </c>
      <c r="DZ260" s="259">
        <f t="shared" si="3064"/>
        <v>14.01046744177969</v>
      </c>
      <c r="EA260" s="57">
        <f t="shared" si="3064"/>
        <v>13.959166242304446</v>
      </c>
      <c r="EB260" s="259">
        <f t="shared" si="3064"/>
        <v>4.6088668822536336</v>
      </c>
      <c r="EC260" s="57">
        <f t="shared" si="3064"/>
        <v>4.5500085169466242</v>
      </c>
      <c r="ED260" s="259">
        <f t="shared" si="3064"/>
        <v>20.334193435664702</v>
      </c>
      <c r="EE260" s="57">
        <f t="shared" si="3064"/>
        <v>20.307181545496423</v>
      </c>
      <c r="EH260" s="262" t="s">
        <v>52</v>
      </c>
      <c r="EI260" s="259">
        <f>EI261+EI262</f>
        <v>3.702184124846859</v>
      </c>
      <c r="EJ260" s="57">
        <f t="shared" ref="EJ260:EX260" si="3065">EJ261+EJ262</f>
        <v>3.693372838442659</v>
      </c>
      <c r="EK260" s="259">
        <f t="shared" si="3065"/>
        <v>5.4775522386664575</v>
      </c>
      <c r="EL260" s="57">
        <f t="shared" si="3065"/>
        <v>5.4659760524940557</v>
      </c>
      <c r="EM260" s="259">
        <f t="shared" si="3065"/>
        <v>5.6596870901362228</v>
      </c>
      <c r="EN260" s="57">
        <f t="shared" si="3065"/>
        <v>5.6484465149368281</v>
      </c>
      <c r="EO260" s="259">
        <f t="shared" si="3065"/>
        <v>4.068495150992792</v>
      </c>
      <c r="EP260" s="57">
        <f t="shared" si="3065"/>
        <v>4.0590890550783509</v>
      </c>
      <c r="EQ260" s="259">
        <f t="shared" si="3065"/>
        <v>3.389296514960551</v>
      </c>
      <c r="ER260" s="57">
        <f t="shared" si="3065"/>
        <v>3.380801174096542</v>
      </c>
      <c r="ES260" s="259">
        <f t="shared" si="3065"/>
        <v>0.86234100110833256</v>
      </c>
      <c r="ET260" s="57">
        <f t="shared" si="3065"/>
        <v>0.8466426466828233</v>
      </c>
      <c r="EU260" s="259">
        <f t="shared" si="3065"/>
        <v>2.6222786428908158</v>
      </c>
      <c r="EV260" s="57">
        <f t="shared" si="3065"/>
        <v>2.6042677681169928</v>
      </c>
      <c r="EW260" s="259">
        <f t="shared" si="3065"/>
        <v>3.3879039019628006</v>
      </c>
      <c r="EX260" s="57">
        <f t="shared" si="3065"/>
        <v>3.3796381649059271</v>
      </c>
      <c r="FA260" s="262" t="s">
        <v>52</v>
      </c>
      <c r="FB260" s="259">
        <f>FB261+FB262</f>
        <v>1.8088215775897747E-2</v>
      </c>
      <c r="FC260" s="57">
        <f t="shared" ref="FC260:FQ260" si="3066">FC261+FC262</f>
        <v>1.7621954698977389E-2</v>
      </c>
      <c r="FD260" s="259">
        <f t="shared" si="3066"/>
        <v>2.5243627413991492E-2</v>
      </c>
      <c r="FE260" s="57">
        <f t="shared" si="3066"/>
        <v>2.4631057945269923E-2</v>
      </c>
      <c r="FF260" s="259">
        <f t="shared" si="3066"/>
        <v>2.5181930299326308E-2</v>
      </c>
      <c r="FG260" s="57">
        <f t="shared" si="3066"/>
        <v>2.4587120136853793E-2</v>
      </c>
      <c r="FH260" s="259">
        <f t="shared" si="3066"/>
        <v>1.9782370354518752E-2</v>
      </c>
      <c r="FI260" s="57">
        <f t="shared" si="3066"/>
        <v>1.9284634131962963E-2</v>
      </c>
      <c r="FJ260" s="259">
        <f t="shared" si="3066"/>
        <v>1.71100301664673E-2</v>
      </c>
      <c r="FK260" s="57">
        <f t="shared" si="3066"/>
        <v>1.666048777295593E-2</v>
      </c>
      <c r="FL260" s="259">
        <f t="shared" si="3066"/>
        <v>1.4028027763278507E-2</v>
      </c>
      <c r="FM260" s="57">
        <f t="shared" si="3066"/>
        <v>1.3197328214478651E-2</v>
      </c>
      <c r="FN260" s="259">
        <f t="shared" si="3066"/>
        <v>1.960697855380383E-2</v>
      </c>
      <c r="FO260" s="57">
        <f t="shared" si="3066"/>
        <v>1.8653908878947113E-2</v>
      </c>
      <c r="FP260" s="259">
        <f t="shared" si="3066"/>
        <v>1.7073424676534419E-2</v>
      </c>
      <c r="FQ260" s="57">
        <f t="shared" si="3066"/>
        <v>1.663603207744228E-2</v>
      </c>
      <c r="FT260" s="262" t="s">
        <v>52</v>
      </c>
      <c r="FU260" s="259">
        <f>FU261+FU262</f>
        <v>4.8370272051354091</v>
      </c>
      <c r="FV260" s="57">
        <f t="shared" ref="FV260:GJ260" si="3067">FV261+FV262</f>
        <v>4.7017594778121312</v>
      </c>
      <c r="FW260" s="259">
        <f t="shared" si="3067"/>
        <v>6.7597415159917933</v>
      </c>
      <c r="FX260" s="57">
        <f t="shared" si="3067"/>
        <v>6.5820280332175329</v>
      </c>
      <c r="FY260" s="259">
        <f t="shared" si="3067"/>
        <v>6.9274713885734762</v>
      </c>
      <c r="FZ260" s="57">
        <f t="shared" si="3067"/>
        <v>6.7549100857989144</v>
      </c>
      <c r="GA260" s="259">
        <f t="shared" si="3067"/>
        <v>5.250297750576391</v>
      </c>
      <c r="GB260" s="57">
        <f t="shared" si="3067"/>
        <v>5.1058987197237791</v>
      </c>
      <c r="GC260" s="259">
        <f t="shared" si="3067"/>
        <v>4.4936298689381609</v>
      </c>
      <c r="GD260" s="57">
        <f t="shared" si="3067"/>
        <v>4.3632124249014677</v>
      </c>
      <c r="GE260" s="259">
        <f t="shared" si="3067"/>
        <v>1.9321445610729606</v>
      </c>
      <c r="GF260" s="57">
        <f t="shared" si="3067"/>
        <v>1.6911490209845443</v>
      </c>
      <c r="GG260" s="259">
        <f t="shared" si="3067"/>
        <v>3.870998661625396</v>
      </c>
      <c r="GH260" s="57">
        <f t="shared" si="3067"/>
        <v>3.5945021336498817</v>
      </c>
      <c r="GI260" s="259">
        <f t="shared" si="3067"/>
        <v>4.4846360275364985</v>
      </c>
      <c r="GJ260" s="57">
        <f t="shared" si="3067"/>
        <v>4.3577433792845808</v>
      </c>
      <c r="GM260" s="262" t="s">
        <v>52</v>
      </c>
      <c r="GN260" s="259">
        <f>GN261+GN262</f>
        <v>9.8994871482207643</v>
      </c>
      <c r="GO260" s="57">
        <f t="shared" ref="GO260:HC260" si="3068">GO261+GO262</f>
        <v>8.9936322518554537</v>
      </c>
      <c r="GP260" s="259">
        <f t="shared" si="3068"/>
        <v>14.11321910411675</v>
      </c>
      <c r="GQ260" s="57">
        <f t="shared" si="3068"/>
        <v>12.923115361658937</v>
      </c>
      <c r="GR260" s="259">
        <f t="shared" si="3068"/>
        <v>14.068576192635053</v>
      </c>
      <c r="GS260" s="57">
        <f t="shared" si="3068"/>
        <v>12.912975339905914</v>
      </c>
      <c r="GT260" s="259">
        <f t="shared" si="3068"/>
        <v>10.725693181350735</v>
      </c>
      <c r="GU260" s="57">
        <f t="shared" si="3068"/>
        <v>9.7586881778909511</v>
      </c>
      <c r="GV260" s="259">
        <f t="shared" si="3068"/>
        <v>9.1783270767755916</v>
      </c>
      <c r="GW260" s="57">
        <f t="shared" si="3068"/>
        <v>8.3049533416662182</v>
      </c>
      <c r="GX260" s="259">
        <f t="shared" si="3068"/>
        <v>8.1741725430657493</v>
      </c>
      <c r="GY260" s="57">
        <f t="shared" si="3068"/>
        <v>6.5602843354997296</v>
      </c>
      <c r="GZ260" s="259">
        <f t="shared" si="3068"/>
        <v>11.325915429053175</v>
      </c>
      <c r="HA260" s="57">
        <f t="shared" si="3068"/>
        <v>9.474285785745602</v>
      </c>
      <c r="HB260" s="259">
        <f t="shared" si="3068"/>
        <v>9.1243172192958912</v>
      </c>
      <c r="HC260" s="57">
        <f t="shared" si="3068"/>
        <v>8.2745481797300133</v>
      </c>
      <c r="HF260" s="262" t="s">
        <v>52</v>
      </c>
      <c r="HG260" s="259">
        <f>HG261+HG262</f>
        <v>118.95196578662518</v>
      </c>
      <c r="HH260" s="57">
        <f t="shared" ref="HH260:HV260" si="3069">HH261+HH262</f>
        <v>117.11451621005672</v>
      </c>
      <c r="HI260" s="259">
        <f t="shared" si="3069"/>
        <v>170.61585470670454</v>
      </c>
      <c r="HJ260" s="57">
        <f t="shared" si="3069"/>
        <v>168.20183053304726</v>
      </c>
      <c r="HK260" s="259">
        <f t="shared" si="3069"/>
        <v>174.84022805442439</v>
      </c>
      <c r="HL260" s="57">
        <f t="shared" si="3069"/>
        <v>172.4961900566731</v>
      </c>
      <c r="HM260" s="259">
        <f t="shared" si="3069"/>
        <v>130.0022085400671</v>
      </c>
      <c r="HN260" s="57">
        <f t="shared" si="3069"/>
        <v>128.04072117462238</v>
      </c>
      <c r="HO260" s="259">
        <f t="shared" si="3069"/>
        <v>110.00797795576148</v>
      </c>
      <c r="HP260" s="57">
        <f t="shared" si="3069"/>
        <v>108.23641365092431</v>
      </c>
      <c r="HQ260" s="259">
        <f t="shared" si="3069"/>
        <v>41.675289926353905</v>
      </c>
      <c r="HR260" s="57">
        <f t="shared" si="3069"/>
        <v>38.401655025753705</v>
      </c>
      <c r="HS260" s="259">
        <f t="shared" si="3069"/>
        <v>90.25758406331812</v>
      </c>
      <c r="HT260" s="57">
        <f t="shared" si="3069"/>
        <v>86.501710890132671</v>
      </c>
      <c r="HU260" s="259">
        <f t="shared" si="3069"/>
        <v>109.86801702886763</v>
      </c>
      <c r="HV260" s="57">
        <f t="shared" si="3069"/>
        <v>108.14433284037742</v>
      </c>
      <c r="HY260" s="117" t="s">
        <v>52</v>
      </c>
      <c r="HZ260" s="259">
        <f>HZ261+HZ262</f>
        <v>0.10803083501081667</v>
      </c>
      <c r="IA260" s="57">
        <f t="shared" ref="IA260:IK260" si="3070">IA261+IA262</f>
        <v>0.10505584379859041</v>
      </c>
      <c r="IB260" s="259">
        <f t="shared" si="3070"/>
        <v>0.14195855691803427</v>
      </c>
      <c r="IC260" s="57">
        <f t="shared" si="3070"/>
        <v>0.13805004111748406</v>
      </c>
      <c r="ID260" s="259">
        <f t="shared" si="3070"/>
        <v>0.14382879592137368</v>
      </c>
      <c r="IE260" s="57">
        <f t="shared" si="3070"/>
        <v>0.14003359384706274</v>
      </c>
      <c r="IF260" s="259">
        <f t="shared" si="3070"/>
        <v>0.1161005907895824</v>
      </c>
      <c r="IG260" s="57">
        <f t="shared" si="3070"/>
        <v>0.11292477157282396</v>
      </c>
      <c r="IH260" s="259">
        <f t="shared" si="3070"/>
        <v>0.10270434730302824</v>
      </c>
      <c r="II260" s="57">
        <f t="shared" si="3070"/>
        <v>9.9836030095310932E-2</v>
      </c>
      <c r="IJ260" s="259">
        <f t="shared" si="3070"/>
        <v>7.9956055063591353E-2</v>
      </c>
      <c r="IK260" s="57">
        <f t="shared" si="3070"/>
        <v>7.4655754480915881E-2</v>
      </c>
      <c r="IL260" s="259"/>
      <c r="IM260" s="259"/>
      <c r="IN260" s="259"/>
      <c r="IO260" s="259"/>
    </row>
    <row r="261" spans="2:249" ht="12.75" customHeight="1" x14ac:dyDescent="0.2">
      <c r="B261" s="248"/>
      <c r="C261" s="248"/>
      <c r="D261" s="248"/>
      <c r="E261" s="248"/>
      <c r="F261" s="248"/>
      <c r="G261" s="248"/>
      <c r="H261" s="248"/>
      <c r="I261" s="248"/>
      <c r="J261" s="248"/>
      <c r="K261" s="248"/>
      <c r="L261" s="248"/>
      <c r="M261" s="248"/>
      <c r="N261" s="248"/>
      <c r="O261" s="248"/>
      <c r="P261" s="248"/>
      <c r="Q261" s="248"/>
      <c r="R261" s="248"/>
      <c r="S261" s="248"/>
      <c r="T261" s="248"/>
      <c r="U261" s="248"/>
      <c r="V261" s="248"/>
      <c r="W261" s="248"/>
      <c r="X261" s="248"/>
      <c r="Y261" s="248"/>
      <c r="Z261" s="248"/>
      <c r="AA261" s="248"/>
      <c r="AB261" s="248"/>
      <c r="AC261" s="248"/>
      <c r="AD261" s="248"/>
      <c r="AE261" s="248"/>
      <c r="AF261" s="248"/>
      <c r="AG261" s="248"/>
      <c r="AH261" s="248"/>
      <c r="AI261" s="248"/>
      <c r="AJ261" s="248"/>
      <c r="AK261" s="248"/>
      <c r="AL261" s="248"/>
      <c r="AM261" s="248"/>
      <c r="AN261" s="130"/>
      <c r="AO261" s="248"/>
      <c r="AP261" s="726"/>
      <c r="AQ261" s="123" t="s">
        <v>198</v>
      </c>
      <c r="AR261" s="224">
        <f>EXP(LN(AR10)+0.5*LN('Ecoinvent 3.10'!$E$5)^2)</f>
        <v>9.5161522629397428</v>
      </c>
      <c r="AS261" s="50">
        <f>EXP(LN(AS10)+0.5*LN('Ecoinvent 3.10'!$E$5)^2)</f>
        <v>4.8638111566136448</v>
      </c>
      <c r="AT261" s="224">
        <f>EXP(LN(AT10)+0.5*LN('Ecoinvent 3.10'!$E$5)^2)</f>
        <v>12.50223238552303</v>
      </c>
      <c r="AU261" s="50">
        <f>EXP(LN(AU10)+0.5*LN('Ecoinvent 3.10'!$E$5)^2)</f>
        <v>6.3900298859339895</v>
      </c>
      <c r="AV261" s="224">
        <f>EXP(LN(AV10)+0.5*LN('Ecoinvent 3.10'!$E$5)^2)</f>
        <v>12.139773946001528</v>
      </c>
      <c r="AW261" s="50">
        <f>EXP(LN(AW10)+0.5*LN('Ecoinvent 3.10'!$E$5)^2)</f>
        <v>6.2047733501785611</v>
      </c>
      <c r="AX261" s="224">
        <f>EXP(LN(AX10)+0.5*LN('Ecoinvent 3.10'!$E$5)^2)</f>
        <v>10.158544032682318</v>
      </c>
      <c r="AY261" s="50">
        <f>EXP(LN(AY10)+0.5*LN('Ecoinvent 3.10'!$E$5)^2)</f>
        <v>5.1921447278154087</v>
      </c>
      <c r="AZ261" s="224">
        <f>EXP(LN(AZ10)+0.5*LN('Ecoinvent 3.10'!$E$5)^2)</f>
        <v>9.1749324081607746</v>
      </c>
      <c r="BA261" s="50">
        <f>EXP(LN(BA10)+0.5*LN('Ecoinvent 3.10'!$E$5)^2)</f>
        <v>4.6894098975043947</v>
      </c>
      <c r="BB261" s="224">
        <f>EXP(LN(BB10)+0.5*LN('Ecoinvent 3.10'!$E$5)^2)</f>
        <v>16.954156764161951</v>
      </c>
      <c r="BC261" s="50">
        <f>EXP(LN(BC10)+0.5*LN('Ecoinvent 3.10'!$E$5)^2)</f>
        <v>8.6654579016827711</v>
      </c>
      <c r="BD261" s="224">
        <f>EXP(LN(BD10)+0.5*LN('Ecoinvent 3.10'!$E$5)^2)</f>
        <v>19.451669015632042</v>
      </c>
      <c r="BE261" s="50">
        <f>EXP(LN(BE10)+0.5*LN('Ecoinvent 3.10'!$E$5)^2)</f>
        <v>9.9419641635452667</v>
      </c>
      <c r="BF261" s="224">
        <f>EXP(LN(BF10)+0.5*LN('Ecoinvent 3.10'!$E$5)^2)</f>
        <v>8.9269612619942631</v>
      </c>
      <c r="BG261" s="50">
        <f>EXP(LN(BG10)+0.5*LN('Ecoinvent 3.10'!$E$5)^2)</f>
        <v>4.5626690894637347</v>
      </c>
      <c r="BI261" s="156"/>
      <c r="BJ261" s="123" t="s">
        <v>198</v>
      </c>
      <c r="BK261" s="224">
        <f>EXP(LN(BK10)+0.5*LN('Ecoinvent 3.10'!$E$5)^2)</f>
        <v>3.1791179898017177</v>
      </c>
      <c r="BL261" s="50">
        <f>EXP(LN(BL10)+0.5*LN('Ecoinvent 3.10'!$E$5)^2)</f>
        <v>1.6248825281208774</v>
      </c>
      <c r="BM261" s="224">
        <f>EXP(LN(BM10)+0.5*LN('Ecoinvent 3.10'!$E$5)^2)</f>
        <v>4.1766956634655088</v>
      </c>
      <c r="BN261" s="50">
        <f>EXP(LN(BN10)+0.5*LN('Ecoinvent 3.10'!$E$5)^2)</f>
        <v>2.1347555613268141</v>
      </c>
      <c r="BO261" s="224">
        <f>EXP(LN(BO10)+0.5*LN('Ecoinvent 3.10'!$E$5)^2)</f>
        <v>4.0556070013887329</v>
      </c>
      <c r="BP261" s="50">
        <f>EXP(LN(BP10)+0.5*LN('Ecoinvent 3.10'!$E$5)^2)</f>
        <v>2.0728658007097969</v>
      </c>
      <c r="BQ261" s="224">
        <f>EXP(LN(BQ10)+0.5*LN('Ecoinvent 3.10'!$E$5)^2)</f>
        <v>3.3937256563522635</v>
      </c>
      <c r="BR261" s="50">
        <f>EXP(LN(BR10)+0.5*LN('Ecoinvent 3.10'!$E$5)^2)</f>
        <v>1.7345708910244899</v>
      </c>
      <c r="BS261" s="224">
        <f>EXP(LN(BS10)+0.5*LN('Ecoinvent 3.10'!$E$5)^2)</f>
        <v>3.0651246289525043</v>
      </c>
      <c r="BT261" s="50">
        <f>EXP(LN(BT10)+0.5*LN('Ecoinvent 3.10'!$E$5)^2)</f>
        <v>1.5666192547979463</v>
      </c>
      <c r="BU261" s="224">
        <f>EXP(LN(BU10)+0.5*LN('Ecoinvent 3.10'!$E$5)^2)</f>
        <v>5.6639767083986428</v>
      </c>
      <c r="BV261" s="50">
        <f>EXP(LN(BV10)+0.5*LN('Ecoinvent 3.10'!$E$5)^2)</f>
        <v>2.8949214287370832</v>
      </c>
      <c r="BW261" s="224">
        <f>EXP(LN(BW10)+0.5*LN('Ecoinvent 3.10'!$E$5)^2)</f>
        <v>6.4983355867575279</v>
      </c>
      <c r="BX261" s="50">
        <f>EXP(LN(BX10)+0.5*LN('Ecoinvent 3.10'!$E$5)^2)</f>
        <v>3.321371522120514</v>
      </c>
      <c r="BY261" s="224">
        <f>EXP(LN(BY10)+0.5*LN('Ecoinvent 3.10'!$E$5)^2)</f>
        <v>2.9822834227645982</v>
      </c>
      <c r="BZ261" s="50">
        <f>EXP(LN(BZ10)+0.5*LN('Ecoinvent 3.10'!$E$5)^2)</f>
        <v>1.5242781938574612</v>
      </c>
      <c r="CA261" s="156"/>
      <c r="CB261" s="156"/>
      <c r="CC261" s="123" t="s">
        <v>198</v>
      </c>
      <c r="CD261" s="224">
        <f>EXP(LN(CD10)+0.5*LN('Ecoinvent 3.10'!$E$5)^2)</f>
        <v>14.470414139000274</v>
      </c>
      <c r="CE261" s="50">
        <f>EXP(LN(CE10)+0.5*LN('Ecoinvent 3.10'!$E$5)^2)</f>
        <v>7.3959894488223599</v>
      </c>
      <c r="CF261" s="224">
        <f>EXP(LN(CF10)+0.5*LN('Ecoinvent 3.10'!$E$5)^2)</f>
        <v>19.011095585880412</v>
      </c>
      <c r="CG261" s="50">
        <f>EXP(LN(CG10)+0.5*LN('Ecoinvent 3.10'!$E$5)^2)</f>
        <v>9.7167821883388701</v>
      </c>
      <c r="CH261" s="224">
        <f>EXP(LN(CH10)+0.5*LN('Ecoinvent 3.10'!$E$5)^2)</f>
        <v>18.459935454860016</v>
      </c>
      <c r="CI261" s="50">
        <f>EXP(LN(CI10)+0.5*LN('Ecoinvent 3.10'!$E$5)^2)</f>
        <v>9.4350781213728983</v>
      </c>
      <c r="CJ261" s="224">
        <f>EXP(LN(CJ10)+0.5*LN('Ecoinvent 3.10'!$E$5)^2)</f>
        <v>15.447245392937019</v>
      </c>
      <c r="CK261" s="50">
        <f>EXP(LN(CK10)+0.5*LN('Ecoinvent 3.10'!$E$5)^2)</f>
        <v>7.8952587563900325</v>
      </c>
      <c r="CL261" s="224">
        <f>EXP(LN(CL10)+0.5*LN('Ecoinvent 3.10'!$E$5)^2)</f>
        <v>13.951549741429586</v>
      </c>
      <c r="CM261" s="50">
        <f>EXP(LN(CM10)+0.5*LN('Ecoinvent 3.10'!$E$5)^2)</f>
        <v>7.1307920900640083</v>
      </c>
      <c r="CN261" s="224">
        <f>EXP(LN(CN10)+0.5*LN('Ecoinvent 3.10'!$E$5)^2)</f>
        <v>25.78076337748378</v>
      </c>
      <c r="CO261" s="50">
        <f>EXP(LN(CO10)+0.5*LN('Ecoinvent 3.10'!$E$5)^2)</f>
        <v>13.176834615158372</v>
      </c>
      <c r="CP261" s="224">
        <f>EXP(LN(CP10)+0.5*LN('Ecoinvent 3.10'!$E$5)^2)</f>
        <v>29.578520663981294</v>
      </c>
      <c r="CQ261" s="50">
        <f>EXP(LN(CQ10)+0.5*LN('Ecoinvent 3.10'!$E$5)^2)</f>
        <v>15.11791056159044</v>
      </c>
      <c r="CR261" s="224">
        <f>EXP(LN(CR10)+0.5*LN('Ecoinvent 3.10'!$E$5)^2)</f>
        <v>13.57448082949905</v>
      </c>
      <c r="CS261" s="50">
        <f>EXP(LN(CS10)+0.5*LN('Ecoinvent 3.10'!$E$5)^2)</f>
        <v>6.9380679795217377</v>
      </c>
      <c r="CV261" s="123" t="s">
        <v>198</v>
      </c>
      <c r="CW261" s="224">
        <f>EXP(LN(CW10)+0.5*LN('Ecoinvent 3.10'!$E$5)^2)</f>
        <v>1.3798017482652183E-2</v>
      </c>
      <c r="CX261" s="50">
        <f>EXP(LN(CX10)+0.5*LN('Ecoinvent 3.10'!$E$5)^2)</f>
        <v>7.0523200466888879E-3</v>
      </c>
      <c r="CY261" s="224">
        <f>EXP(LN(CY10)+0.5*LN('Ecoinvent 3.10'!$E$5)^2)</f>
        <v>1.8127707109042868E-2</v>
      </c>
      <c r="CZ261" s="50">
        <f>EXP(LN(CZ10)+0.5*LN('Ecoinvent 3.10'!$E$5)^2)</f>
        <v>9.2652725223996805E-3</v>
      </c>
      <c r="DA261" s="224">
        <f>EXP(LN(DA10)+0.5*LN('Ecoinvent 3.10'!$E$5)^2)</f>
        <v>1.7602157732880666E-2</v>
      </c>
      <c r="DB261" s="50">
        <f>EXP(LN(DB10)+0.5*LN('Ecoinvent 3.10'!$E$5)^2)</f>
        <v>8.9966583968056745E-3</v>
      </c>
      <c r="DC261" s="224">
        <f>EXP(LN(DC10)+0.5*LN('Ecoinvent 3.10'!$E$5)^2)</f>
        <v>1.4729458323940466E-2</v>
      </c>
      <c r="DD261" s="50">
        <f>EXP(LN(DD10)+0.5*LN('Ecoinvent 3.10'!$E$5)^2)</f>
        <v>7.5283898100140167E-3</v>
      </c>
      <c r="DE261" s="224">
        <f>EXP(LN(DE10)+0.5*LN('Ecoinvent 3.10'!$E$5)^2)</f>
        <v>1.330326315426633E-2</v>
      </c>
      <c r="DF261" s="50">
        <f>EXP(LN(DF10)+0.5*LN('Ecoinvent 3.10'!$E$5)^2)</f>
        <v>6.7994456121805696E-3</v>
      </c>
      <c r="DG261" s="224">
        <f>EXP(LN(DG10)+0.5*LN('Ecoinvent 3.10'!$E$5)^2)</f>
        <v>2.4582808783606538E-2</v>
      </c>
      <c r="DH261" s="50">
        <f>EXP(LN(DH10)+0.5*LN('Ecoinvent 3.10'!$E$5)^2)</f>
        <v>1.2564546711621121E-2</v>
      </c>
      <c r="DI261" s="224">
        <f>EXP(LN(DI10)+0.5*LN('Ecoinvent 3.10'!$E$5)^2)</f>
        <v>2.8204095702598801E-2</v>
      </c>
      <c r="DJ261" s="50">
        <f>EXP(LN(DJ10)+0.5*LN('Ecoinvent 3.10'!$E$5)^2)</f>
        <v>1.4415426692439382E-2</v>
      </c>
      <c r="DK261" s="224">
        <f>EXP(LN(DK10)+0.5*LN('Ecoinvent 3.10'!$E$5)^2)</f>
        <v>1.2943715501448317E-2</v>
      </c>
      <c r="DL261" s="50">
        <f>EXP(LN(DL10)+0.5*LN('Ecoinvent 3.10'!$E$5)^2)</f>
        <v>6.6156768118513622E-3</v>
      </c>
      <c r="DO261" s="123" t="s">
        <v>198</v>
      </c>
      <c r="DP261" s="224">
        <f>EXP(LN(DP10)+0.5*LN('Ecoinvent 3.10'!$E$5)^2)</f>
        <v>5.8898270232469213E-2</v>
      </c>
      <c r="DQ261" s="50">
        <f>EXP(LN(DQ10)+0.5*LN('Ecoinvent 3.10'!$E$5)^2)</f>
        <v>3.0103560341039823E-2</v>
      </c>
      <c r="DR261" s="224">
        <f>EXP(LN(DR10)+0.5*LN('Ecoinvent 3.10'!$E$5)^2)</f>
        <v>7.7379999941718736E-2</v>
      </c>
      <c r="DS261" s="50">
        <f>EXP(LN(DS10)+0.5*LN('Ecoinvent 3.10'!$E$5)^2)</f>
        <v>3.9549777747989547E-2</v>
      </c>
      <c r="DT261" s="224">
        <f>EXP(LN(DT10)+0.5*LN('Ecoinvent 3.10'!$E$5)^2)</f>
        <v>7.5136637863316938E-2</v>
      </c>
      <c r="DU261" s="50">
        <f>EXP(LN(DU10)+0.5*LN('Ecoinvent 3.10'!$E$5)^2)</f>
        <v>3.8403170463473101E-2</v>
      </c>
      <c r="DV261" s="224">
        <f>EXP(LN(DV10)+0.5*LN('Ecoinvent 3.10'!$E$5)^2)</f>
        <v>6.2874222172284458E-2</v>
      </c>
      <c r="DW261" s="50">
        <f>EXP(LN(DW10)+0.5*LN('Ecoinvent 3.10'!$E$5)^2)</f>
        <v>3.2135713554723173E-2</v>
      </c>
      <c r="DX261" s="224">
        <f>EXP(LN(DX10)+0.5*LN('Ecoinvent 3.10'!$E$5)^2)</f>
        <v>5.6786360012860457E-2</v>
      </c>
      <c r="DY261" s="50">
        <f>EXP(LN(DY10)+0.5*LN('Ecoinvent 3.10'!$E$5)^2)</f>
        <v>2.9024139562128667E-2</v>
      </c>
      <c r="DZ261" s="224">
        <f>EXP(LN(DZ10)+0.5*LN('Ecoinvent 3.10'!$E$5)^2)</f>
        <v>0.10493427165390656</v>
      </c>
      <c r="EA261" s="50">
        <f>EXP(LN(EA10)+0.5*LN('Ecoinvent 3.10'!$E$5)^2)</f>
        <v>5.3633072178663338E-2</v>
      </c>
      <c r="EB261" s="224">
        <f>EXP(LN(EB10)+0.5*LN('Ecoinvent 3.10'!$E$5)^2)</f>
        <v>0.12039211085524633</v>
      </c>
      <c r="EC261" s="50">
        <f>EXP(LN(EC10)+0.5*LN('Ecoinvent 3.10'!$E$5)^2)</f>
        <v>6.1533745548237019E-2</v>
      </c>
      <c r="ED261" s="224">
        <f>EXP(LN(ED10)+0.5*LN('Ecoinvent 3.10'!$E$5)^2)</f>
        <v>5.525159352602637E-2</v>
      </c>
      <c r="EE261" s="50">
        <f>EXP(LN(EE10)+0.5*LN('Ecoinvent 3.10'!$E$5)^2)</f>
        <v>2.8239703357746813E-2</v>
      </c>
      <c r="EH261" s="123" t="s">
        <v>198</v>
      </c>
      <c r="EI261" s="224">
        <f>EXP(LN(EI10)+0.5*LN('Ecoinvent 3.10'!$E$5)^2)</f>
        <v>1.8023085826773155E-2</v>
      </c>
      <c r="EJ261" s="50">
        <f>EXP(LN(EJ10)+0.5*LN('Ecoinvent 3.10'!$E$5)^2)</f>
        <v>9.2117994225729468E-3</v>
      </c>
      <c r="EK261" s="224">
        <f>EXP(LN(EK10)+0.5*LN('Ecoinvent 3.10'!$E$5)^2)</f>
        <v>2.3678562625366779E-2</v>
      </c>
      <c r="EL261" s="50">
        <f>EXP(LN(EL10)+0.5*LN('Ecoinvent 3.10'!$E$5)^2)</f>
        <v>1.2102376452965235E-2</v>
      </c>
      <c r="EM261" s="224">
        <f>EXP(LN(EM10)+0.5*LN('Ecoinvent 3.10'!$E$5)^2)</f>
        <v>2.2992085635126176E-2</v>
      </c>
      <c r="EN261" s="50">
        <f>EXP(LN(EN10)+0.5*LN('Ecoinvent 3.10'!$E$5)^2)</f>
        <v>1.1751510435731152E-2</v>
      </c>
      <c r="EO261" s="224">
        <f>EXP(LN(EO10)+0.5*LN('Ecoinvent 3.10'!$E$5)^2)</f>
        <v>1.9239741643176267E-2</v>
      </c>
      <c r="EP261" s="50">
        <f>EXP(LN(EP10)+0.5*LN('Ecoinvent 3.10'!$E$5)^2)</f>
        <v>9.833645728734533E-3</v>
      </c>
      <c r="EQ261" s="224">
        <f>EXP(LN(EQ10)+0.5*LN('Ecoinvent 3.10'!$E$5)^2)</f>
        <v>1.7376833585472779E-2</v>
      </c>
      <c r="ER261" s="50">
        <f>EXP(LN(ER10)+0.5*LN('Ecoinvent 3.10'!$E$5)^2)</f>
        <v>8.8814927214638656E-3</v>
      </c>
      <c r="ES261" s="224">
        <f>EXP(LN(ES10)+0.5*LN('Ecoinvent 3.10'!$E$5)^2)</f>
        <v>3.211027041581422E-2</v>
      </c>
      <c r="ET261" s="50">
        <f>EXP(LN(ET10)+0.5*LN('Ecoinvent 3.10'!$E$5)^2)</f>
        <v>1.6411915990305039E-2</v>
      </c>
      <c r="EU261" s="224">
        <f>EXP(LN(EU10)+0.5*LN('Ecoinvent 3.10'!$E$5)^2)</f>
        <v>3.6840425673729089E-2</v>
      </c>
      <c r="EV261" s="50">
        <f>EXP(LN(EV10)+0.5*LN('Ecoinvent 3.10'!$E$5)^2)</f>
        <v>1.882955089990598E-2</v>
      </c>
      <c r="EW261" s="224">
        <f>EXP(LN(EW10)+0.5*LN('Ecoinvent 3.10'!$E$5)^2)</f>
        <v>1.6907189434514063E-2</v>
      </c>
      <c r="EX261" s="50">
        <f>EXP(LN(EX10)+0.5*LN('Ecoinvent 3.10'!$E$5)^2)</f>
        <v>8.6414523776405221E-3</v>
      </c>
      <c r="FA261" s="123" t="s">
        <v>198</v>
      </c>
      <c r="FB261" s="224">
        <f>EXP(LN(FB10)+0.5*LN('Ecoinvent 3.10'!$E$5)^2)</f>
        <v>9.537158391552808E-4</v>
      </c>
      <c r="FC261" s="50">
        <f>EXP(LN(FC10)+0.5*LN('Ecoinvent 3.10'!$E$5)^2)</f>
        <v>4.8745476223492135E-4</v>
      </c>
      <c r="FD261" s="224">
        <f>EXP(LN(FD10)+0.5*LN('Ecoinvent 3.10'!$E$5)^2)</f>
        <v>1.2529830042032116E-3</v>
      </c>
      <c r="FE261" s="50">
        <f>EXP(LN(FE10)+0.5*LN('Ecoinvent 3.10'!$E$5)^2)</f>
        <v>6.404135354816415E-4</v>
      </c>
      <c r="FF261" s="224">
        <f>EXP(LN(FF10)+0.5*LN('Ecoinvent 3.10'!$E$5)^2)</f>
        <v>1.2166571505119674E-3</v>
      </c>
      <c r="FG261" s="50">
        <f>EXP(LN(FG10)+0.5*LN('Ecoinvent 3.10'!$E$5)^2)</f>
        <v>6.2184698803944996E-4</v>
      </c>
      <c r="FH261" s="224">
        <f>EXP(LN(FH10)+0.5*LN('Ecoinvent 3.10'!$E$5)^2)</f>
        <v>1.0180968188641139E-3</v>
      </c>
      <c r="FI261" s="50">
        <f>EXP(LN(FI10)+0.5*LN('Ecoinvent 3.10'!$E$5)^2)</f>
        <v>5.203605963083254E-4</v>
      </c>
      <c r="FJ261" s="224">
        <f>EXP(LN(FJ10)+0.5*LN('Ecoinvent 3.10'!$E$5)^2)</f>
        <v>9.1951853218234369E-4</v>
      </c>
      <c r="FK261" s="50">
        <f>EXP(LN(FK10)+0.5*LN('Ecoinvent 3.10'!$E$5)^2)</f>
        <v>4.6997613867097573E-4</v>
      </c>
      <c r="FL261" s="224">
        <f>EXP(LN(FL10)+0.5*LN('Ecoinvent 3.10'!$E$5)^2)</f>
        <v>1.6991581679997017E-3</v>
      </c>
      <c r="FM261" s="50">
        <f>EXP(LN(FM10)+0.5*LN('Ecoinvent 3.10'!$E$5)^2)</f>
        <v>8.6845861919984679E-4</v>
      </c>
      <c r="FN261" s="224">
        <f>EXP(LN(FN10)+0.5*LN('Ecoinvent 3.10'!$E$5)^2)</f>
        <v>1.9494606985705565E-3</v>
      </c>
      <c r="FO261" s="50">
        <f>EXP(LN(FO10)+0.5*LN('Ecoinvent 3.10'!$E$5)^2)</f>
        <v>9.9639102371384025E-4</v>
      </c>
      <c r="FP261" s="224">
        <f>EXP(LN(FP10)+0.5*LN('Ecoinvent 3.10'!$E$5)^2)</f>
        <v>8.9466667996119891E-4</v>
      </c>
      <c r="FQ261" s="50">
        <f>EXP(LN(FQ10)+0.5*LN('Ecoinvent 3.10'!$E$5)^2)</f>
        <v>4.5727408086905725E-4</v>
      </c>
      <c r="FT261" s="123" t="s">
        <v>198</v>
      </c>
      <c r="FU261" s="224">
        <f>EXP(LN(FU10)+0.5*LN('Ecoinvent 3.10'!$E$5)^2)</f>
        <v>0.27668398770670499</v>
      </c>
      <c r="FV261" s="50">
        <f>EXP(LN(FV10)+0.5*LN('Ecoinvent 3.10'!$E$5)^2)</f>
        <v>0.141416260383427</v>
      </c>
      <c r="FW261" s="224">
        <f>EXP(LN(FW10)+0.5*LN('Ecoinvent 3.10'!$E$5)^2)</f>
        <v>0.36350485112916986</v>
      </c>
      <c r="FX261" s="50">
        <f>EXP(LN(FX10)+0.5*LN('Ecoinvent 3.10'!$E$5)^2)</f>
        <v>0.18579136835490895</v>
      </c>
      <c r="FY261" s="224">
        <f>EXP(LN(FY10)+0.5*LN('Ecoinvent 3.10'!$E$5)^2)</f>
        <v>0.35296630112978417</v>
      </c>
      <c r="FZ261" s="50">
        <f>EXP(LN(FZ10)+0.5*LN('Ecoinvent 3.10'!$E$5)^2)</f>
        <v>0.18040499835522303</v>
      </c>
      <c r="GA261" s="224">
        <f>EXP(LN(GA10)+0.5*LN('Ecoinvent 3.10'!$E$5)^2)</f>
        <v>0.29536165401670544</v>
      </c>
      <c r="GB261" s="50">
        <f>EXP(LN(GB10)+0.5*LN('Ecoinvent 3.10'!$E$5)^2)</f>
        <v>0.1509626231640939</v>
      </c>
      <c r="GC261" s="224">
        <f>EXP(LN(GC10)+0.5*LN('Ecoinvent 3.10'!$E$5)^2)</f>
        <v>0.2667629537114185</v>
      </c>
      <c r="GD261" s="50">
        <f>EXP(LN(GD10)+0.5*LN('Ecoinvent 3.10'!$E$5)^2)</f>
        <v>0.136345509674725</v>
      </c>
      <c r="GE261" s="224">
        <f>EXP(LN(GE10)+0.5*LN('Ecoinvent 3.10'!$E$5)^2)</f>
        <v>0.49294542290812421</v>
      </c>
      <c r="GF261" s="50">
        <f>EXP(LN(GF10)+0.5*LN('Ecoinvent 3.10'!$E$5)^2)</f>
        <v>0.25194988281970793</v>
      </c>
      <c r="GG261" s="224">
        <f>EXP(LN(GG10)+0.5*LN('Ecoinvent 3.10'!$E$5)^2)</f>
        <v>0.56556107994991534</v>
      </c>
      <c r="GH261" s="50">
        <f>EXP(LN(GH10)+0.5*LN('Ecoinvent 3.10'!$E$5)^2)</f>
        <v>0.28906455197440123</v>
      </c>
      <c r="GI261" s="224">
        <f>EXP(LN(GI10)+0.5*LN('Ecoinvent 3.10'!$E$5)^2)</f>
        <v>0.25955314415165043</v>
      </c>
      <c r="GJ261" s="50">
        <f>EXP(LN(GJ10)+0.5*LN('Ecoinvent 3.10'!$E$5)^2)</f>
        <v>0.13266049589973242</v>
      </c>
      <c r="GM261" s="123" t="s">
        <v>198</v>
      </c>
      <c r="GN261" s="224">
        <f>EXP(LN(GN10)+0.5*LN('Ecoinvent 3.10'!$E$5)^2)</f>
        <v>1.8528850152926788</v>
      </c>
      <c r="GO261" s="50">
        <f>EXP(LN(GO10)+0.5*LN('Ecoinvent 3.10'!$E$5)^2)</f>
        <v>0.94703011892736888</v>
      </c>
      <c r="GP261" s="224">
        <f>EXP(LN(GP10)+0.5*LN('Ecoinvent 3.10'!$E$5)^2)</f>
        <v>2.4343031095728009</v>
      </c>
      <c r="GQ261" s="50">
        <f>EXP(LN(GQ10)+0.5*LN('Ecoinvent 3.10'!$E$5)^2)</f>
        <v>1.2441993671149867</v>
      </c>
      <c r="GR261" s="224">
        <f>EXP(LN(GR10)+0.5*LN('Ecoinvent 3.10'!$E$5)^2)</f>
        <v>2.3637290169459684</v>
      </c>
      <c r="GS261" s="50">
        <f>EXP(LN(GS10)+0.5*LN('Ecoinvent 3.10'!$E$5)^2)</f>
        <v>1.2081281642168284</v>
      </c>
      <c r="GT261" s="224">
        <f>EXP(LN(GT10)+0.5*LN('Ecoinvent 3.10'!$E$5)^2)</f>
        <v>1.9779647798041038</v>
      </c>
      <c r="GU261" s="50">
        <f>EXP(LN(GU10)+0.5*LN('Ecoinvent 3.10'!$E$5)^2)</f>
        <v>1.0109597763443197</v>
      </c>
      <c r="GV261" s="224">
        <f>EXP(LN(GV10)+0.5*LN('Ecoinvent 3.10'!$E$5)^2)</f>
        <v>1.7864462763600817</v>
      </c>
      <c r="GW261" s="50">
        <f>EXP(LN(GW10)+0.5*LN('Ecoinvent 3.10'!$E$5)^2)</f>
        <v>0.91307254125070847</v>
      </c>
      <c r="GX261" s="224">
        <f>EXP(LN(GX10)+0.5*LN('Ecoinvent 3.10'!$E$5)^2)</f>
        <v>3.301134970021403</v>
      </c>
      <c r="GY261" s="50">
        <f>EXP(LN(GY10)+0.5*LN('Ecoinvent 3.10'!$E$5)^2)</f>
        <v>1.6872467624553831</v>
      </c>
      <c r="GZ261" s="224">
        <f>EXP(LN(GZ10)+0.5*LN('Ecoinvent 3.10'!$E$5)^2)</f>
        <v>3.7874242704018539</v>
      </c>
      <c r="HA261" s="50">
        <f>EXP(LN(HA10)+0.5*LN('Ecoinvent 3.10'!$E$5)^2)</f>
        <v>1.935794627094281</v>
      </c>
      <c r="HB261" s="224">
        <f>EXP(LN(HB10)+0.5*LN('Ecoinvent 3.10'!$E$5)^2)</f>
        <v>1.738163944566566</v>
      </c>
      <c r="HC261" s="50">
        <f>EXP(LN(HC10)+0.5*LN('Ecoinvent 3.10'!$E$5)^2)</f>
        <v>0.88839490500068918</v>
      </c>
      <c r="HF261" s="123" t="s">
        <v>198</v>
      </c>
      <c r="HG261" s="224">
        <f>EXP(LN(HG10)+0.5*LN('Ecoinvent 3.10'!$E$5)^2)</f>
        <v>3.7584195884355336</v>
      </c>
      <c r="HH261" s="50">
        <f>EXP(LN(HH10)+0.5*LN('Ecoinvent 3.10'!$E$5)^2)</f>
        <v>1.9209700118670501</v>
      </c>
      <c r="HI261" s="224">
        <f>EXP(LN(HI10)+0.5*LN('Ecoinvent 3.10'!$E$5)^2)</f>
        <v>4.9377767188444581</v>
      </c>
      <c r="HJ261" s="50">
        <f>EXP(LN(HJ10)+0.5*LN('Ecoinvent 3.10'!$E$5)^2)</f>
        <v>2.5237525451871665</v>
      </c>
      <c r="HK261" s="224">
        <f>EXP(LN(HK10)+0.5*LN('Ecoinvent 3.10'!$E$5)^2)</f>
        <v>4.7946231772185355</v>
      </c>
      <c r="HL261" s="50">
        <f>EXP(LN(HL10)+0.5*LN('Ecoinvent 3.10'!$E$5)^2)</f>
        <v>2.4505851794672515</v>
      </c>
      <c r="HM261" s="224">
        <f>EXP(LN(HM10)+0.5*LN('Ecoinvent 3.10'!$E$5)^2)</f>
        <v>4.0121332475005502</v>
      </c>
      <c r="HN261" s="50">
        <f>EXP(LN(HN10)+0.5*LN('Ecoinvent 3.10'!$E$5)^2)</f>
        <v>2.0506458820558366</v>
      </c>
      <c r="HO261" s="224">
        <f>EXP(LN(HO10)+0.5*LN('Ecoinvent 3.10'!$E$5)^2)</f>
        <v>3.6236542598942032</v>
      </c>
      <c r="HP261" s="50">
        <f>EXP(LN(HP10)+0.5*LN('Ecoinvent 3.10'!$E$5)^2)</f>
        <v>1.8520899550570367</v>
      </c>
      <c r="HQ261" s="224">
        <f>EXP(LN(HQ10)+0.5*LN('Ecoinvent 3.10'!$E$5)^2)</f>
        <v>6.6960713875913092</v>
      </c>
      <c r="HR261" s="50">
        <f>EXP(LN(HR10)+0.5*LN('Ecoinvent 3.10'!$E$5)^2)</f>
        <v>3.4224364869911126</v>
      </c>
      <c r="HS261" s="224">
        <f>EXP(LN(HS10)+0.5*LN('Ecoinvent 3.10'!$E$5)^2)</f>
        <v>7.6824678542429652</v>
      </c>
      <c r="HT261" s="50">
        <f>EXP(LN(HT10)+0.5*LN('Ecoinvent 3.10'!$E$5)^2)</f>
        <v>3.9265946810575159</v>
      </c>
      <c r="HU261" s="224">
        <f>EXP(LN(HU10)+0.5*LN('Ecoinvent 3.10'!$E$5)^2)</f>
        <v>3.525717658275441</v>
      </c>
      <c r="HV261" s="50">
        <f>EXP(LN(HV10)+0.5*LN('Ecoinvent 3.10'!$E$5)^2)</f>
        <v>1.8020334697852249</v>
      </c>
      <c r="HY261" s="123" t="s">
        <v>198</v>
      </c>
      <c r="HZ261" s="224">
        <f>EXP(LN(HZ10)+0.5*LN('Ecoinvent 3.10'!$E$5)^2)</f>
        <v>6.0852092977355075E-3</v>
      </c>
      <c r="IA261" s="50">
        <f>EXP(LN(IA10)+0.5*LN('Ecoinvent 3.10'!$E$5)^2)</f>
        <v>3.1102180855092569E-3</v>
      </c>
      <c r="IB261" s="224">
        <f>EXP(LN(IB10)+0.5*LN('Ecoinvent 3.10'!$E$5)^2)</f>
        <v>7.9946914102162897E-3</v>
      </c>
      <c r="IC261" s="50">
        <f>EXP(LN(IC10)+0.5*LN('Ecoinvent 3.10'!$E$5)^2)</f>
        <v>4.0861756096661041E-3</v>
      </c>
      <c r="ID261" s="224">
        <f>EXP(LN(ID10)+0.5*LN('Ecoinvent 3.10'!$E$5)^2)</f>
        <v>7.7629133338178455E-3</v>
      </c>
      <c r="IE261" s="50">
        <f>EXP(LN(IE10)+0.5*LN('Ecoinvent 3.10'!$E$5)^2)</f>
        <v>3.9677112595068991E-3</v>
      </c>
      <c r="IF261" s="224">
        <f>EXP(LN(IF10)+0.5*LN('Ecoinvent 3.10'!$E$5)^2)</f>
        <v>6.4959938524604341E-3</v>
      </c>
      <c r="IG261" s="50">
        <f>EXP(LN(IG10)+0.5*LN('Ecoinvent 3.10'!$E$5)^2)</f>
        <v>3.3201746357020001E-3</v>
      </c>
      <c r="IH261" s="224">
        <f>EXP(LN(IH10)+0.5*LN('Ecoinvent 3.10'!$E$5)^2)</f>
        <v>5.8670124703308667E-3</v>
      </c>
      <c r="II261" s="50">
        <f>EXP(LN(II10)+0.5*LN('Ecoinvent 3.10'!$E$5)^2)</f>
        <v>2.9986952626135542E-3</v>
      </c>
      <c r="IJ261" s="224">
        <f>EXP(LN(IJ10)+0.5*LN('Ecoinvent 3.10'!$E$5)^2)</f>
        <v>1.0841523919108913E-2</v>
      </c>
      <c r="IK261" s="50">
        <f>EXP(LN(IK10)+0.5*LN('Ecoinvent 3.10'!$E$5)^2)</f>
        <v>5.541223336433445E-3</v>
      </c>
      <c r="IL261" s="224"/>
      <c r="IM261" s="224"/>
      <c r="IN261" s="224"/>
      <c r="IO261" s="224"/>
    </row>
    <row r="262" spans="2:249" ht="12.75" customHeight="1" x14ac:dyDescent="0.2">
      <c r="B262" s="248"/>
      <c r="C262" s="248"/>
      <c r="D262" s="248"/>
      <c r="E262" s="248"/>
      <c r="F262" s="248"/>
      <c r="G262" s="248"/>
      <c r="H262" s="248"/>
      <c r="I262" s="248"/>
      <c r="J262" s="248"/>
      <c r="K262" s="248"/>
      <c r="L262" s="248"/>
      <c r="M262" s="248"/>
      <c r="N262" s="248"/>
      <c r="O262" s="248"/>
      <c r="P262" s="248"/>
      <c r="Q262" s="248"/>
      <c r="R262" s="248"/>
      <c r="S262" s="248"/>
      <c r="T262" s="248"/>
      <c r="U262" s="248"/>
      <c r="V262" s="248"/>
      <c r="W262" s="248"/>
      <c r="X262" s="248"/>
      <c r="Y262" s="248"/>
      <c r="Z262" s="248"/>
      <c r="AA262" s="248"/>
      <c r="AB262" s="248"/>
      <c r="AC262" s="248"/>
      <c r="AD262" s="248"/>
      <c r="AE262" s="248"/>
      <c r="AF262" s="248"/>
      <c r="AG262" s="248"/>
      <c r="AH262" s="248"/>
      <c r="AI262" s="248"/>
      <c r="AJ262" s="248"/>
      <c r="AK262" s="248"/>
      <c r="AL262" s="248"/>
      <c r="AM262" s="248"/>
      <c r="AN262" s="130"/>
      <c r="AO262" s="248"/>
      <c r="AP262" s="726"/>
      <c r="AQ262" s="123" t="s">
        <v>218</v>
      </c>
      <c r="AR262" s="259">
        <f>AR263+AR264+AR266+AR265+AR287</f>
        <v>328.16717967000852</v>
      </c>
      <c r="AS262" s="57">
        <f t="shared" ref="AS262:BC262" si="3071">AS263+AS264+AS266+AS265+AS287</f>
        <v>328.16717967000852</v>
      </c>
      <c r="AT262" s="259">
        <f t="shared" si="3071"/>
        <v>472.17627648038382</v>
      </c>
      <c r="AU262" s="57">
        <f t="shared" si="3071"/>
        <v>472.17627648038382</v>
      </c>
      <c r="AV262" s="259">
        <f t="shared" si="3071"/>
        <v>478.64784588582552</v>
      </c>
      <c r="AW262" s="57">
        <f t="shared" si="3071"/>
        <v>478.64784588582552</v>
      </c>
      <c r="AX262" s="259">
        <f t="shared" si="3071"/>
        <v>360.40585605951185</v>
      </c>
      <c r="AY262" s="57">
        <f t="shared" si="3071"/>
        <v>360.40585605951185</v>
      </c>
      <c r="AZ262" s="259">
        <f t="shared" si="3071"/>
        <v>306.34460077434835</v>
      </c>
      <c r="BA262" s="57">
        <f t="shared" si="3071"/>
        <v>306.34460077434835</v>
      </c>
      <c r="BB262" s="259">
        <f t="shared" si="3071"/>
        <v>160.26740075220292</v>
      </c>
      <c r="BC262" s="57">
        <f t="shared" si="3071"/>
        <v>160.26740075220292</v>
      </c>
      <c r="BD262" s="259">
        <f t="shared" ref="BD262:BG262" si="3072">BD263+BD264+BD266+BD265+BD287</f>
        <v>317.47087380761752</v>
      </c>
      <c r="BE262" s="57">
        <f t="shared" si="3072"/>
        <v>317.47087380761752</v>
      </c>
      <c r="BF262" s="259">
        <f t="shared" si="3072"/>
        <v>306.13595113407791</v>
      </c>
      <c r="BG262" s="57">
        <f t="shared" si="3072"/>
        <v>306.13595113407791</v>
      </c>
      <c r="BI262" s="156"/>
      <c r="BJ262" s="123" t="s">
        <v>218</v>
      </c>
      <c r="BK262" s="259">
        <f>BK263+BK264+BK266+BK265+BK287</f>
        <v>43.261695074323576</v>
      </c>
      <c r="BL262" s="57">
        <f t="shared" ref="BL262:BZ262" si="3073">BL263+BL264+BL266+BL265+BL287</f>
        <v>43.261695074323576</v>
      </c>
      <c r="BM262" s="259">
        <f t="shared" si="3073"/>
        <v>62.234708850442473</v>
      </c>
      <c r="BN262" s="57">
        <f t="shared" si="3073"/>
        <v>62.234708850442473</v>
      </c>
      <c r="BO262" s="259">
        <f t="shared" si="3073"/>
        <v>61.826380851528384</v>
      </c>
      <c r="BP262" s="57">
        <f t="shared" si="3073"/>
        <v>61.826380851528384</v>
      </c>
      <c r="BQ262" s="259">
        <f t="shared" si="3073"/>
        <v>47.772282714680216</v>
      </c>
      <c r="BR262" s="57">
        <f t="shared" si="3073"/>
        <v>47.772282714680216</v>
      </c>
      <c r="BS262" s="259">
        <f t="shared" si="3073"/>
        <v>40.935262294382156</v>
      </c>
      <c r="BT262" s="57">
        <f t="shared" si="3073"/>
        <v>40.935262294382156</v>
      </c>
      <c r="BU262" s="259">
        <f t="shared" si="3073"/>
        <v>32.534307985402634</v>
      </c>
      <c r="BV262" s="57">
        <f t="shared" si="3073"/>
        <v>32.534307985402634</v>
      </c>
      <c r="BW262" s="259">
        <f t="shared" si="3073"/>
        <v>49.379730480868858</v>
      </c>
      <c r="BX262" s="57">
        <f t="shared" si="3073"/>
        <v>49.379730480868858</v>
      </c>
      <c r="BY262" s="259">
        <f t="shared" si="3073"/>
        <v>40.886943755274842</v>
      </c>
      <c r="BZ262" s="57">
        <f t="shared" si="3073"/>
        <v>40.886943755274842</v>
      </c>
      <c r="CA262" s="156"/>
      <c r="CB262" s="156"/>
      <c r="CC262" s="123" t="s">
        <v>218</v>
      </c>
      <c r="CD262" s="259">
        <f>CD263+CD264+CD266+CD265+CD287</f>
        <v>1099.9504730923877</v>
      </c>
      <c r="CE262" s="57">
        <f t="shared" ref="CE262:CS262" si="3074">CE263+CE264+CE266+CE265+CE287</f>
        <v>1099.9504730923877</v>
      </c>
      <c r="CF262" s="259">
        <f t="shared" si="3074"/>
        <v>1522.4377373925108</v>
      </c>
      <c r="CG262" s="57">
        <f t="shared" si="3074"/>
        <v>1522.4377373925108</v>
      </c>
      <c r="CH262" s="259">
        <f t="shared" si="3074"/>
        <v>1576.5541830260358</v>
      </c>
      <c r="CI262" s="57">
        <f t="shared" si="3074"/>
        <v>1576.5541830260358</v>
      </c>
      <c r="CJ262" s="259">
        <f t="shared" si="3074"/>
        <v>1190.4211584320744</v>
      </c>
      <c r="CK262" s="57">
        <f t="shared" si="3074"/>
        <v>1190.4211584320744</v>
      </c>
      <c r="CL262" s="259">
        <f t="shared" si="3074"/>
        <v>1019.0820876031269</v>
      </c>
      <c r="CM262" s="57">
        <f t="shared" si="3074"/>
        <v>1019.0820876031269</v>
      </c>
      <c r="CN262" s="259">
        <f t="shared" si="3074"/>
        <v>287.10805993583256</v>
      </c>
      <c r="CO262" s="57">
        <f t="shared" si="3074"/>
        <v>287.10805993583256</v>
      </c>
      <c r="CP262" s="259">
        <f t="shared" si="3074"/>
        <v>803.02746734009838</v>
      </c>
      <c r="CQ262" s="57">
        <f t="shared" si="3074"/>
        <v>803.02746734009838</v>
      </c>
      <c r="CR262" s="259">
        <f t="shared" si="3074"/>
        <v>1018.7552981249335</v>
      </c>
      <c r="CS262" s="57">
        <f t="shared" si="3074"/>
        <v>1018.7552981249335</v>
      </c>
      <c r="CV262" s="123" t="s">
        <v>218</v>
      </c>
      <c r="CW262" s="259">
        <f>CW263+CW264+CW266+CW265+CW287</f>
        <v>0.2861678717510262</v>
      </c>
      <c r="CX262" s="57">
        <f t="shared" ref="CX262:DL262" si="3075">CX263+CX264+CX266+CX265+CX287</f>
        <v>0.2861678717510262</v>
      </c>
      <c r="CY262" s="259">
        <f t="shared" si="3075"/>
        <v>0.3672628611962106</v>
      </c>
      <c r="CZ262" s="57">
        <f t="shared" si="3075"/>
        <v>0.3672628611962106</v>
      </c>
      <c r="DA262" s="259">
        <f t="shared" si="3075"/>
        <v>0.37506244833621127</v>
      </c>
      <c r="DB262" s="57">
        <f t="shared" si="3075"/>
        <v>0.37506244833621127</v>
      </c>
      <c r="DC262" s="259">
        <f t="shared" si="3075"/>
        <v>0.30570733179997023</v>
      </c>
      <c r="DD262" s="57">
        <f t="shared" si="3075"/>
        <v>0.30570733179997023</v>
      </c>
      <c r="DE262" s="259">
        <f t="shared" si="3075"/>
        <v>0.27212597538839772</v>
      </c>
      <c r="DF262" s="57">
        <f t="shared" si="3075"/>
        <v>0.27212597538839772</v>
      </c>
      <c r="DG262" s="259">
        <f t="shared" si="3075"/>
        <v>0.18766147210014053</v>
      </c>
      <c r="DH262" s="57">
        <f t="shared" si="3075"/>
        <v>0.18766147210014053</v>
      </c>
      <c r="DI262" s="259">
        <f t="shared" si="3075"/>
        <v>0.24437857416040304</v>
      </c>
      <c r="DJ262" s="57">
        <f t="shared" si="3075"/>
        <v>0.24437857416040304</v>
      </c>
      <c r="DK262" s="259">
        <f t="shared" si="3075"/>
        <v>0.27199025148901629</v>
      </c>
      <c r="DL262" s="57">
        <f t="shared" si="3075"/>
        <v>0.27199025148901629</v>
      </c>
      <c r="DO262" s="123" t="s">
        <v>218</v>
      </c>
      <c r="DP262" s="259">
        <f>DP263+DP264+DP266+DP265+DP287</f>
        <v>21.230934157786944</v>
      </c>
      <c r="DQ262" s="57">
        <f t="shared" ref="DQ262:EE262" si="3076">DQ263+DQ264+DQ266+DQ265+DQ287</f>
        <v>21.230934157786944</v>
      </c>
      <c r="DR262" s="259">
        <f t="shared" si="3076"/>
        <v>28.863062115934945</v>
      </c>
      <c r="DS262" s="57">
        <f t="shared" si="3076"/>
        <v>28.863062115934945</v>
      </c>
      <c r="DT262" s="259">
        <f t="shared" si="3076"/>
        <v>28.612611019517058</v>
      </c>
      <c r="DU262" s="57">
        <f t="shared" si="3076"/>
        <v>28.612611019517058</v>
      </c>
      <c r="DV262" s="259">
        <f t="shared" si="3076"/>
        <v>23.014797591042694</v>
      </c>
      <c r="DW262" s="57">
        <f t="shared" si="3076"/>
        <v>23.014797591042694</v>
      </c>
      <c r="DX262" s="259">
        <f t="shared" si="3076"/>
        <v>20.292013112547274</v>
      </c>
      <c r="DY262" s="57">
        <f t="shared" si="3076"/>
        <v>20.292013112547274</v>
      </c>
      <c r="DZ262" s="259">
        <f t="shared" si="3076"/>
        <v>13.905533170125784</v>
      </c>
      <c r="EA262" s="57">
        <f t="shared" si="3076"/>
        <v>13.905533170125784</v>
      </c>
      <c r="EB262" s="259">
        <f t="shared" si="3076"/>
        <v>4.488474771398387</v>
      </c>
      <c r="EC262" s="57">
        <f t="shared" si="3076"/>
        <v>4.488474771398387</v>
      </c>
      <c r="ED262" s="259">
        <f t="shared" si="3076"/>
        <v>20.278941842138675</v>
      </c>
      <c r="EE262" s="57">
        <f t="shared" si="3076"/>
        <v>20.278941842138675</v>
      </c>
      <c r="EH262" s="123" t="s">
        <v>218</v>
      </c>
      <c r="EI262" s="259">
        <f>EI263+EI264+EI266+EI265+EI287</f>
        <v>3.6841610390200858</v>
      </c>
      <c r="EJ262" s="57">
        <f t="shared" ref="EJ262:EX262" si="3077">EJ263+EJ264+EJ266+EJ265+EJ287</f>
        <v>3.6841610390200858</v>
      </c>
      <c r="EK262" s="259">
        <f t="shared" si="3077"/>
        <v>5.4538736760410904</v>
      </c>
      <c r="EL262" s="57">
        <f t="shared" si="3077"/>
        <v>5.4538736760410904</v>
      </c>
      <c r="EM262" s="259">
        <f t="shared" si="3077"/>
        <v>5.6366950045010968</v>
      </c>
      <c r="EN262" s="57">
        <f t="shared" si="3077"/>
        <v>5.6366950045010968</v>
      </c>
      <c r="EO262" s="259">
        <f t="shared" si="3077"/>
        <v>4.049255409349616</v>
      </c>
      <c r="EP262" s="57">
        <f t="shared" si="3077"/>
        <v>4.049255409349616</v>
      </c>
      <c r="EQ262" s="259">
        <f t="shared" si="3077"/>
        <v>3.3719196813750782</v>
      </c>
      <c r="ER262" s="57">
        <f t="shared" si="3077"/>
        <v>3.3719196813750782</v>
      </c>
      <c r="ES262" s="259">
        <f t="shared" si="3077"/>
        <v>0.83023073069251829</v>
      </c>
      <c r="ET262" s="57">
        <f t="shared" si="3077"/>
        <v>0.83023073069251829</v>
      </c>
      <c r="EU262" s="259">
        <f t="shared" si="3077"/>
        <v>2.5854382172170869</v>
      </c>
      <c r="EV262" s="57">
        <f t="shared" si="3077"/>
        <v>2.5854382172170869</v>
      </c>
      <c r="EW262" s="259">
        <f t="shared" si="3077"/>
        <v>3.3709967125282865</v>
      </c>
      <c r="EX262" s="57">
        <f t="shared" si="3077"/>
        <v>3.3709967125282865</v>
      </c>
      <c r="FA262" s="123" t="s">
        <v>218</v>
      </c>
      <c r="FB262" s="259">
        <f>FB263+FB264+FB266+FB265+FB287</f>
        <v>1.7134499936742466E-2</v>
      </c>
      <c r="FC262" s="57">
        <f t="shared" ref="FC262:FQ262" si="3078">FC263+FC264+FC266+FC265+FC287</f>
        <v>1.7134499936742466E-2</v>
      </c>
      <c r="FD262" s="259">
        <f t="shared" si="3078"/>
        <v>2.3990644409788282E-2</v>
      </c>
      <c r="FE262" s="57">
        <f t="shared" si="3078"/>
        <v>2.3990644409788282E-2</v>
      </c>
      <c r="FF262" s="259">
        <f t="shared" si="3078"/>
        <v>2.3965273148814342E-2</v>
      </c>
      <c r="FG262" s="57">
        <f t="shared" si="3078"/>
        <v>2.3965273148814342E-2</v>
      </c>
      <c r="FH262" s="259">
        <f t="shared" si="3078"/>
        <v>1.8764273535654637E-2</v>
      </c>
      <c r="FI262" s="57">
        <f t="shared" si="3078"/>
        <v>1.8764273535654637E-2</v>
      </c>
      <c r="FJ262" s="259">
        <f t="shared" si="3078"/>
        <v>1.6190511634284956E-2</v>
      </c>
      <c r="FK262" s="57">
        <f t="shared" si="3078"/>
        <v>1.6190511634284956E-2</v>
      </c>
      <c r="FL262" s="259">
        <f t="shared" si="3078"/>
        <v>1.2328869595278805E-2</v>
      </c>
      <c r="FM262" s="57">
        <f t="shared" si="3078"/>
        <v>1.2328869595278805E-2</v>
      </c>
      <c r="FN262" s="259">
        <f t="shared" si="3078"/>
        <v>1.7657517855233274E-2</v>
      </c>
      <c r="FO262" s="57">
        <f t="shared" si="3078"/>
        <v>1.7657517855233274E-2</v>
      </c>
      <c r="FP262" s="259">
        <f t="shared" si="3078"/>
        <v>1.6178757996573222E-2</v>
      </c>
      <c r="FQ262" s="57">
        <f t="shared" si="3078"/>
        <v>1.6178757996573222E-2</v>
      </c>
      <c r="FT262" s="123" t="s">
        <v>218</v>
      </c>
      <c r="FU262" s="259">
        <f>FU263+FU264+FU266+FU265+FU287</f>
        <v>4.560343217428704</v>
      </c>
      <c r="FV262" s="57">
        <f t="shared" ref="FV262:GJ262" si="3079">FV263+FV264+FV266+FV265+FV287</f>
        <v>4.560343217428704</v>
      </c>
      <c r="FW262" s="259">
        <f t="shared" si="3079"/>
        <v>6.3962366648626237</v>
      </c>
      <c r="FX262" s="57">
        <f t="shared" si="3079"/>
        <v>6.3962366648626237</v>
      </c>
      <c r="FY262" s="259">
        <f t="shared" si="3079"/>
        <v>6.5745050874436917</v>
      </c>
      <c r="FZ262" s="57">
        <f t="shared" si="3079"/>
        <v>6.5745050874436917</v>
      </c>
      <c r="GA262" s="259">
        <f t="shared" si="3079"/>
        <v>4.9549360965596856</v>
      </c>
      <c r="GB262" s="57">
        <f t="shared" si="3079"/>
        <v>4.9549360965596856</v>
      </c>
      <c r="GC262" s="259">
        <f t="shared" si="3079"/>
        <v>4.2268669152267426</v>
      </c>
      <c r="GD262" s="57">
        <f t="shared" si="3079"/>
        <v>4.2268669152267426</v>
      </c>
      <c r="GE262" s="259">
        <f t="shared" si="3079"/>
        <v>1.4391991381648364</v>
      </c>
      <c r="GF262" s="57">
        <f t="shared" si="3079"/>
        <v>1.4391991381648364</v>
      </c>
      <c r="GG262" s="259">
        <f t="shared" si="3079"/>
        <v>3.3054375816754806</v>
      </c>
      <c r="GH262" s="57">
        <f t="shared" si="3079"/>
        <v>3.3054375816754806</v>
      </c>
      <c r="GI262" s="259">
        <f t="shared" si="3079"/>
        <v>4.2250828833848484</v>
      </c>
      <c r="GJ262" s="57">
        <f t="shared" si="3079"/>
        <v>4.2250828833848484</v>
      </c>
      <c r="GM262" s="123" t="s">
        <v>218</v>
      </c>
      <c r="GN262" s="259">
        <f>GN263+GN264+GN266+GN265+GN287</f>
        <v>8.0466021329280846</v>
      </c>
      <c r="GO262" s="57">
        <f t="shared" ref="GO262:HC262" si="3080">GO263+GO264+GO266+GO265+GO287</f>
        <v>8.0466021329280846</v>
      </c>
      <c r="GP262" s="259">
        <f t="shared" si="3080"/>
        <v>11.678915994543949</v>
      </c>
      <c r="GQ262" s="57">
        <f t="shared" si="3080"/>
        <v>11.678915994543949</v>
      </c>
      <c r="GR262" s="259">
        <f t="shared" si="3080"/>
        <v>11.704847175689086</v>
      </c>
      <c r="GS262" s="57">
        <f t="shared" si="3080"/>
        <v>11.704847175689086</v>
      </c>
      <c r="GT262" s="259">
        <f t="shared" si="3080"/>
        <v>8.747728401546631</v>
      </c>
      <c r="GU262" s="57">
        <f t="shared" si="3080"/>
        <v>8.747728401546631</v>
      </c>
      <c r="GV262" s="259">
        <f t="shared" si="3080"/>
        <v>7.3918808004155103</v>
      </c>
      <c r="GW262" s="57">
        <f t="shared" si="3080"/>
        <v>7.3918808004155103</v>
      </c>
      <c r="GX262" s="259">
        <f t="shared" si="3080"/>
        <v>4.8730375730443463</v>
      </c>
      <c r="GY262" s="57">
        <f t="shared" si="3080"/>
        <v>4.8730375730443463</v>
      </c>
      <c r="GZ262" s="259">
        <f t="shared" si="3080"/>
        <v>7.538491158651321</v>
      </c>
      <c r="HA262" s="57">
        <f t="shared" si="3080"/>
        <v>7.538491158651321</v>
      </c>
      <c r="HB262" s="259">
        <f t="shared" si="3080"/>
        <v>7.3861532747293248</v>
      </c>
      <c r="HC262" s="57">
        <f t="shared" si="3080"/>
        <v>7.3861532747293248</v>
      </c>
      <c r="HF262" s="123" t="s">
        <v>218</v>
      </c>
      <c r="HG262" s="259">
        <f>HG263+HG264+HG266+HG265+HG287</f>
        <v>115.19354619818965</v>
      </c>
      <c r="HH262" s="57">
        <f t="shared" ref="HH262:HV262" si="3081">HH263+HH264+HH266+HH265+HH287</f>
        <v>115.19354619818967</v>
      </c>
      <c r="HI262" s="259">
        <f t="shared" si="3081"/>
        <v>165.67807798786009</v>
      </c>
      <c r="HJ262" s="57">
        <f t="shared" si="3081"/>
        <v>165.67807798786009</v>
      </c>
      <c r="HK262" s="259">
        <f t="shared" si="3081"/>
        <v>170.04560487720585</v>
      </c>
      <c r="HL262" s="57">
        <f t="shared" si="3081"/>
        <v>170.04560487720585</v>
      </c>
      <c r="HM262" s="259">
        <f t="shared" si="3081"/>
        <v>125.99007529256654</v>
      </c>
      <c r="HN262" s="57">
        <f t="shared" si="3081"/>
        <v>125.99007529256654</v>
      </c>
      <c r="HO262" s="259">
        <f t="shared" si="3081"/>
        <v>106.38432369586727</v>
      </c>
      <c r="HP262" s="57">
        <f t="shared" si="3081"/>
        <v>106.38432369586727</v>
      </c>
      <c r="HQ262" s="259">
        <f t="shared" si="3081"/>
        <v>34.979218538762595</v>
      </c>
      <c r="HR262" s="57">
        <f t="shared" si="3081"/>
        <v>34.979218538762595</v>
      </c>
      <c r="HS262" s="259">
        <f t="shared" si="3081"/>
        <v>82.575116209075162</v>
      </c>
      <c r="HT262" s="57">
        <f t="shared" si="3081"/>
        <v>82.575116209075162</v>
      </c>
      <c r="HU262" s="259">
        <f t="shared" si="3081"/>
        <v>106.34229937059219</v>
      </c>
      <c r="HV262" s="57">
        <f t="shared" si="3081"/>
        <v>106.34229937059219</v>
      </c>
      <c r="HY262" s="266" t="s">
        <v>218</v>
      </c>
      <c r="HZ262" s="259">
        <f>HZ263+HZ264+HZ266+HZ265+HZ287</f>
        <v>0.10194562571308116</v>
      </c>
      <c r="IA262" s="57">
        <f t="shared" ref="IA262:IK262" si="3082">IA263+IA264+IA266+IA265+IA287</f>
        <v>0.10194562571308116</v>
      </c>
      <c r="IB262" s="259">
        <f t="shared" si="3082"/>
        <v>0.13396386550781797</v>
      </c>
      <c r="IC262" s="57">
        <f t="shared" si="3082"/>
        <v>0.13396386550781797</v>
      </c>
      <c r="ID262" s="259">
        <f t="shared" si="3082"/>
        <v>0.13606588258755584</v>
      </c>
      <c r="IE262" s="57">
        <f t="shared" si="3082"/>
        <v>0.13606588258755584</v>
      </c>
      <c r="IF262" s="259">
        <f t="shared" si="3082"/>
        <v>0.10960459693712196</v>
      </c>
      <c r="IG262" s="57">
        <f t="shared" si="3082"/>
        <v>0.10960459693712196</v>
      </c>
      <c r="IH262" s="259">
        <f t="shared" si="3082"/>
        <v>9.683733483269738E-2</v>
      </c>
      <c r="II262" s="57">
        <f t="shared" si="3082"/>
        <v>9.683733483269738E-2</v>
      </c>
      <c r="IJ262" s="259">
        <f t="shared" si="3082"/>
        <v>6.9114531144482433E-2</v>
      </c>
      <c r="IK262" s="57">
        <f t="shared" si="3082"/>
        <v>6.9114531144482433E-2</v>
      </c>
      <c r="IL262" s="259"/>
      <c r="IM262" s="259"/>
      <c r="IN262" s="259"/>
      <c r="IO262" s="259"/>
    </row>
    <row r="263" spans="2:249" ht="12.75" customHeight="1" x14ac:dyDescent="0.2">
      <c r="B263" s="248"/>
      <c r="C263" s="248"/>
      <c r="D263" s="248"/>
      <c r="E263" s="248"/>
      <c r="F263" s="248"/>
      <c r="G263" s="248"/>
      <c r="H263" s="248"/>
      <c r="I263" s="248"/>
      <c r="J263" s="248"/>
      <c r="K263" s="248"/>
      <c r="L263" s="248"/>
      <c r="M263" s="248"/>
      <c r="N263" s="248"/>
      <c r="O263" s="248"/>
      <c r="P263" s="248"/>
      <c r="Q263" s="248"/>
      <c r="R263" s="248"/>
      <c r="S263" s="248"/>
      <c r="T263" s="248"/>
      <c r="U263" s="248"/>
      <c r="V263" s="248"/>
      <c r="W263" s="248"/>
      <c r="X263" s="248"/>
      <c r="Y263" s="248"/>
      <c r="Z263" s="248"/>
      <c r="AA263" s="248"/>
      <c r="AB263" s="248"/>
      <c r="AC263" s="248"/>
      <c r="AD263" s="248"/>
      <c r="AE263" s="248"/>
      <c r="AF263" s="248"/>
      <c r="AG263" s="248"/>
      <c r="AH263" s="248"/>
      <c r="AI263" s="248"/>
      <c r="AJ263" s="248"/>
      <c r="AK263" s="248"/>
      <c r="AL263" s="248"/>
      <c r="AM263" s="248"/>
      <c r="AN263" s="137"/>
      <c r="AO263" s="248"/>
      <c r="AP263" s="726"/>
      <c r="AQ263" s="147" t="s">
        <v>66</v>
      </c>
      <c r="AR263" s="224">
        <f>EXP(LN(AR12)+0.5*LN('Ecoinvent 3.10'!$E$21)^2)</f>
        <v>1.3627407935965559</v>
      </c>
      <c r="AS263" s="50">
        <f>EXP(LN(AS12)+0.5*LN('Ecoinvent 3.10'!$E$21)^2)</f>
        <v>1.3627407935965559</v>
      </c>
      <c r="AT263" s="224">
        <f>EXP(LN(AT12)+0.5*LN('Ecoinvent 3.10'!$E$21)^2)</f>
        <v>1.8228870355901987</v>
      </c>
      <c r="AU263" s="50">
        <f>EXP(LN(AU12)+0.5*LN('Ecoinvent 3.10'!$E$21)^2)</f>
        <v>1.8228870355901978</v>
      </c>
      <c r="AV263" s="224">
        <f>EXP(LN(AV12)+0.5*LN('Ecoinvent 3.10'!$E$21)^2)</f>
        <v>1.7767379967144974</v>
      </c>
      <c r="AW263" s="50">
        <f>EXP(LN(AW12)+0.5*LN('Ecoinvent 3.10'!$E$21)^2)</f>
        <v>1.7767379967144976</v>
      </c>
      <c r="AX263" s="224">
        <f>EXP(LN(AX12)+0.5*LN('Ecoinvent 3.10'!$E$21)^2)</f>
        <v>1.4774979130573185</v>
      </c>
      <c r="AY263" s="50">
        <f>EXP(LN(AY12)+0.5*LN('Ecoinvent 3.10'!$E$21)^2)</f>
        <v>1.4774979130573185</v>
      </c>
      <c r="AZ263" s="224">
        <f>EXP(LN(AZ12)+0.5*LN('Ecoinvent 3.10'!$E$21)^2)</f>
        <v>1.3367838260994787</v>
      </c>
      <c r="BA263" s="50">
        <f>EXP(LN(BA12)+0.5*LN('Ecoinvent 3.10'!$E$21)^2)</f>
        <v>1.3367838260994789</v>
      </c>
      <c r="BB263" s="224">
        <f>EXP(LN(BB12)+0.5*LN('Ecoinvent 3.10'!$E$21)^2)</f>
        <v>1.9738448682250118</v>
      </c>
      <c r="BC263" s="50">
        <f>EXP(LN(BC12)+0.5*LN('Ecoinvent 3.10'!$E$21)^2)</f>
        <v>1.9738448682250118</v>
      </c>
      <c r="BD263" s="224">
        <f>EXP(LN(BD12)+0.5*LN('Ecoinvent 3.10'!$E$21)^2)</f>
        <v>2.4953298087190277</v>
      </c>
      <c r="BE263" s="50">
        <f>EXP(LN(BE12)+0.5*LN('Ecoinvent 3.10'!$E$21)^2)</f>
        <v>2.4953298087190281</v>
      </c>
      <c r="BF263" s="224">
        <f>EXP(LN(BF12)+0.5*LN('Ecoinvent 3.10'!$E$21)^2)</f>
        <v>1.3006545335021955</v>
      </c>
      <c r="BG263" s="50">
        <f>EXP(LN(BG12)+0.5*LN('Ecoinvent 3.10'!$E$21)^2)</f>
        <v>1.3006545335021957</v>
      </c>
      <c r="BI263" s="156"/>
      <c r="BJ263" s="147" t="s">
        <v>66</v>
      </c>
      <c r="BK263" s="224">
        <f>EXP(LN(BK12)+0.5*LN('Ecoinvent 3.10'!$E$21)^2)</f>
        <v>0.14580879107565556</v>
      </c>
      <c r="BL263" s="50">
        <f>EXP(LN(BL12)+0.5*LN('Ecoinvent 3.10'!$E$21)^2)</f>
        <v>0.14580879107565553</v>
      </c>
      <c r="BM263" s="224">
        <f>EXP(LN(BM12)+0.5*LN('Ecoinvent 3.10'!$E$21)^2)</f>
        <v>0.19504292832198081</v>
      </c>
      <c r="BN263" s="50">
        <f>EXP(LN(BN12)+0.5*LN('Ecoinvent 3.10'!$E$21)^2)</f>
        <v>0.19504292832198072</v>
      </c>
      <c r="BO263" s="224">
        <f>EXP(LN(BO12)+0.5*LN('Ecoinvent 3.10'!$E$21)^2)</f>
        <v>0.19010513266825974</v>
      </c>
      <c r="BP263" s="50">
        <f>EXP(LN(BP12)+0.5*LN('Ecoinvent 3.10'!$E$21)^2)</f>
        <v>0.19010513266825979</v>
      </c>
      <c r="BQ263" s="224">
        <f>EXP(LN(BQ12)+0.5*LN('Ecoinvent 3.10'!$E$21)^2)</f>
        <v>0.15808742611360546</v>
      </c>
      <c r="BR263" s="50">
        <f>EXP(LN(BR12)+0.5*LN('Ecoinvent 3.10'!$E$21)^2)</f>
        <v>0.15808742611360546</v>
      </c>
      <c r="BS263" s="224">
        <f>EXP(LN(BS12)+0.5*LN('Ecoinvent 3.10'!$E$21)^2)</f>
        <v>0.14303148076945257</v>
      </c>
      <c r="BT263" s="50">
        <f>EXP(LN(BT12)+0.5*LN('Ecoinvent 3.10'!$E$21)^2)</f>
        <v>0.1430314807694526</v>
      </c>
      <c r="BU263" s="224">
        <f>EXP(LN(BU12)+0.5*LN('Ecoinvent 3.10'!$E$21)^2)</f>
        <v>0.21119492082364483</v>
      </c>
      <c r="BV263" s="50">
        <f>EXP(LN(BV12)+0.5*LN('Ecoinvent 3.10'!$E$21)^2)</f>
        <v>0.21119492082364483</v>
      </c>
      <c r="BW263" s="224">
        <f>EXP(LN(BW12)+0.5*LN('Ecoinvent 3.10'!$E$21)^2)</f>
        <v>0.26699209743631153</v>
      </c>
      <c r="BX263" s="50">
        <f>EXP(LN(BX12)+0.5*LN('Ecoinvent 3.10'!$E$21)^2)</f>
        <v>0.26699209743631153</v>
      </c>
      <c r="BY263" s="224">
        <f>EXP(LN(BY12)+0.5*LN('Ecoinvent 3.10'!$E$21)^2)</f>
        <v>0.13916576507298087</v>
      </c>
      <c r="BZ263" s="50">
        <f>EXP(LN(BZ12)+0.5*LN('Ecoinvent 3.10'!$E$21)^2)</f>
        <v>0.13916576507298092</v>
      </c>
      <c r="CA263" s="156"/>
      <c r="CB263" s="156"/>
      <c r="CC263" s="147" t="s">
        <v>66</v>
      </c>
      <c r="CD263" s="224">
        <f>EXP(LN(CD12)+0.5*LN('Ecoinvent 3.10'!$E$21)^2)</f>
        <v>0.84976698823157759</v>
      </c>
      <c r="CE263" s="50">
        <f>EXP(LN(CE12)+0.5*LN('Ecoinvent 3.10'!$E$21)^2)</f>
        <v>0.84976698823157748</v>
      </c>
      <c r="CF263" s="224">
        <f>EXP(LN(CF12)+0.5*LN('Ecoinvent 3.10'!$E$21)^2)</f>
        <v>1.1367012959461364</v>
      </c>
      <c r="CG263" s="50">
        <f>EXP(LN(CG12)+0.5*LN('Ecoinvent 3.10'!$E$21)^2)</f>
        <v>1.136701295946136</v>
      </c>
      <c r="CH263" s="224">
        <f>EXP(LN(CH12)+0.5*LN('Ecoinvent 3.10'!$E$21)^2)</f>
        <v>1.1079240479475001</v>
      </c>
      <c r="CI263" s="50">
        <f>EXP(LN(CI12)+0.5*LN('Ecoinvent 3.10'!$E$21)^2)</f>
        <v>1.1079240479475003</v>
      </c>
      <c r="CJ263" s="224">
        <f>EXP(LN(CJ12)+0.5*LN('Ecoinvent 3.10'!$E$21)^2)</f>
        <v>0.92132631355634198</v>
      </c>
      <c r="CK263" s="50">
        <f>EXP(LN(CK12)+0.5*LN('Ecoinvent 3.10'!$E$21)^2)</f>
        <v>0.92132631355634198</v>
      </c>
      <c r="CL263" s="224">
        <f>EXP(LN(CL12)+0.5*LN('Ecoinvent 3.10'!$E$21)^2)</f>
        <v>0.83358095036049995</v>
      </c>
      <c r="CM263" s="50">
        <f>EXP(LN(CM12)+0.5*LN('Ecoinvent 3.10'!$E$21)^2)</f>
        <v>0.83358095036050006</v>
      </c>
      <c r="CN263" s="224">
        <f>EXP(LN(CN12)+0.5*LN('Ecoinvent 3.10'!$E$21)^2)</f>
        <v>1.2308343720166759</v>
      </c>
      <c r="CO263" s="50">
        <f>EXP(LN(CO12)+0.5*LN('Ecoinvent 3.10'!$E$21)^2)</f>
        <v>1.2308343720166759</v>
      </c>
      <c r="CP263" s="224">
        <f>EXP(LN(CP12)+0.5*LN('Ecoinvent 3.10'!$E$21)^2)</f>
        <v>1.5560177740062668</v>
      </c>
      <c r="CQ263" s="50">
        <f>EXP(LN(CQ12)+0.5*LN('Ecoinvent 3.10'!$E$21)^2)</f>
        <v>1.5560177740062671</v>
      </c>
      <c r="CR263" s="224">
        <f>EXP(LN(CR12)+0.5*LN('Ecoinvent 3.10'!$E$21)^2)</f>
        <v>0.81105173548589182</v>
      </c>
      <c r="CS263" s="50">
        <f>EXP(LN(CS12)+0.5*LN('Ecoinvent 3.10'!$E$21)^2)</f>
        <v>0.81105173548589204</v>
      </c>
      <c r="CT263" s="55"/>
      <c r="CU263" s="55"/>
      <c r="CV263" s="147" t="s">
        <v>66</v>
      </c>
      <c r="CW263" s="224">
        <f>EXP(LN(CW12)+0.5*LN('Ecoinvent 3.10'!$E$21)^2)</f>
        <v>3.6333682375737413E-4</v>
      </c>
      <c r="CX263" s="50">
        <f>EXP(LN(CX12)+0.5*LN('Ecoinvent 3.10'!$E$21)^2)</f>
        <v>3.6333682375737413E-4</v>
      </c>
      <c r="CY263" s="224">
        <f>EXP(LN(CY12)+0.5*LN('Ecoinvent 3.10'!$E$21)^2)</f>
        <v>4.8602198502609774E-4</v>
      </c>
      <c r="CZ263" s="50">
        <f>EXP(LN(CZ12)+0.5*LN('Ecoinvent 3.10'!$E$21)^2)</f>
        <v>4.8602198502609774E-4</v>
      </c>
      <c r="DA263" s="224">
        <f>EXP(LN(DA12)+0.5*LN('Ecoinvent 3.10'!$E$21)^2)</f>
        <v>4.7371763097480427E-4</v>
      </c>
      <c r="DB263" s="50">
        <f>EXP(LN(DB12)+0.5*LN('Ecoinvent 3.10'!$E$21)^2)</f>
        <v>4.7371763097480427E-4</v>
      </c>
      <c r="DC263" s="224">
        <f>EXP(LN(DC12)+0.5*LN('Ecoinvent 3.10'!$E$21)^2)</f>
        <v>3.9393360891588989E-4</v>
      </c>
      <c r="DD263" s="50">
        <f>EXP(LN(DD12)+0.5*LN('Ecoinvent 3.10'!$E$21)^2)</f>
        <v>3.9393360891588989E-4</v>
      </c>
      <c r="DE263" s="224">
        <f>EXP(LN(DE12)+0.5*LN('Ecoinvent 3.10'!$E$21)^2)</f>
        <v>3.5641612235247155E-4</v>
      </c>
      <c r="DF263" s="50">
        <f>EXP(LN(DF12)+0.5*LN('Ecoinvent 3.10'!$E$21)^2)</f>
        <v>3.5641612235247155E-4</v>
      </c>
      <c r="DG263" s="224">
        <f>EXP(LN(DG12)+0.5*LN('Ecoinvent 3.10'!$E$21)^2)</f>
        <v>5.2627068066107157E-4</v>
      </c>
      <c r="DH263" s="50">
        <f>EXP(LN(DH12)+0.5*LN('Ecoinvent 3.10'!$E$21)^2)</f>
        <v>5.2627068066107157E-4</v>
      </c>
      <c r="DI263" s="224">
        <f>EXP(LN(DI12)+0.5*LN('Ecoinvent 3.10'!$E$21)^2)</f>
        <v>6.6531009505794742E-4</v>
      </c>
      <c r="DJ263" s="50">
        <f>EXP(LN(DJ12)+0.5*LN('Ecoinvent 3.10'!$E$21)^2)</f>
        <v>6.6531009505794742E-4</v>
      </c>
      <c r="DK263" s="224">
        <f>EXP(LN(DK12)+0.5*LN('Ecoinvent 3.10'!$E$21)^2)</f>
        <v>3.4678325418078328E-4</v>
      </c>
      <c r="DL263" s="50">
        <f>EXP(LN(DL12)+0.5*LN('Ecoinvent 3.10'!$E$21)^2)</f>
        <v>3.4678325418078328E-4</v>
      </c>
      <c r="DO263" s="147" t="s">
        <v>66</v>
      </c>
      <c r="DP263" s="224">
        <f>EXP(LN(DP12)+0.5*LN('Ecoinvent 3.10'!$E$21)^2)</f>
        <v>1.3296962348153657E-3</v>
      </c>
      <c r="DQ263" s="50">
        <f>EXP(LN(DQ12)+0.5*LN('Ecoinvent 3.10'!$E$21)^2)</f>
        <v>1.3296962348153657E-3</v>
      </c>
      <c r="DR263" s="224">
        <f>EXP(LN(DR12)+0.5*LN('Ecoinvent 3.10'!$E$21)^2)</f>
        <v>1.7786845738439305E-3</v>
      </c>
      <c r="DS263" s="50">
        <f>EXP(LN(DS12)+0.5*LN('Ecoinvent 3.10'!$E$21)^2)</f>
        <v>1.778684573843929E-3</v>
      </c>
      <c r="DT263" s="224">
        <f>EXP(LN(DT12)+0.5*LN('Ecoinvent 3.10'!$E$21)^2)</f>
        <v>1.7336545846326921E-3</v>
      </c>
      <c r="DU263" s="50">
        <f>EXP(LN(DU12)+0.5*LN('Ecoinvent 3.10'!$E$21)^2)</f>
        <v>1.7336545846326921E-3</v>
      </c>
      <c r="DV263" s="224">
        <f>EXP(LN(DV12)+0.5*LN('Ecoinvent 3.10'!$E$21)^2)</f>
        <v>1.4416706545892903E-3</v>
      </c>
      <c r="DW263" s="50">
        <f>EXP(LN(DW12)+0.5*LN('Ecoinvent 3.10'!$E$21)^2)</f>
        <v>1.4416706545892903E-3</v>
      </c>
      <c r="DX263" s="224">
        <f>EXP(LN(DX12)+0.5*LN('Ecoinvent 3.10'!$E$21)^2)</f>
        <v>1.3043686874855485E-3</v>
      </c>
      <c r="DY263" s="50">
        <f>EXP(LN(DY12)+0.5*LN('Ecoinvent 3.10'!$E$21)^2)</f>
        <v>1.3043686874855485E-3</v>
      </c>
      <c r="DZ263" s="224">
        <f>EXP(LN(DZ12)+0.5*LN('Ecoinvent 3.10'!$E$21)^2)</f>
        <v>1.9259818901153814E-3</v>
      </c>
      <c r="EA263" s="50">
        <f>EXP(LN(EA12)+0.5*LN('Ecoinvent 3.10'!$E$21)^2)</f>
        <v>1.9259818901153814E-3</v>
      </c>
      <c r="EB263" s="224">
        <f>EXP(LN(EB12)+0.5*LN('Ecoinvent 3.10'!$E$21)^2)</f>
        <v>2.4348215499730261E-3</v>
      </c>
      <c r="EC263" s="50">
        <f>EXP(LN(EC12)+0.5*LN('Ecoinvent 3.10'!$E$21)^2)</f>
        <v>2.4348215499730261E-3</v>
      </c>
      <c r="ED263" s="224">
        <f>EXP(LN(ED12)+0.5*LN('Ecoinvent 3.10'!$E$21)^2)</f>
        <v>1.2691154797156694E-3</v>
      </c>
      <c r="EE263" s="50">
        <f>EXP(LN(EE12)+0.5*LN('Ecoinvent 3.10'!$E$21)^2)</f>
        <v>1.2691154797156694E-3</v>
      </c>
      <c r="EH263" s="147" t="s">
        <v>66</v>
      </c>
      <c r="EI263" s="224">
        <f>EXP(LN(EI12)+0.5*LN('Ecoinvent 3.10'!$E$21)^2)</f>
        <v>2.1193921855251356E-4</v>
      </c>
      <c r="EJ263" s="50">
        <f>EXP(LN(EJ12)+0.5*LN('Ecoinvent 3.10'!$E$21)^2)</f>
        <v>2.1193921855251356E-4</v>
      </c>
      <c r="EK263" s="224">
        <f>EXP(LN(EK12)+0.5*LN('Ecoinvent 3.10'!$E$21)^2)</f>
        <v>2.8350311053128481E-4</v>
      </c>
      <c r="EL263" s="50">
        <f>EXP(LN(EL12)+0.5*LN('Ecoinvent 3.10'!$E$21)^2)</f>
        <v>2.8350311053128432E-4</v>
      </c>
      <c r="EM263" s="224">
        <f>EXP(LN(EM12)+0.5*LN('Ecoinvent 3.10'!$E$21)^2)</f>
        <v>2.7632581659378376E-4</v>
      </c>
      <c r="EN263" s="50">
        <f>EXP(LN(EN12)+0.5*LN('Ecoinvent 3.10'!$E$21)^2)</f>
        <v>2.7632581659378376E-4</v>
      </c>
      <c r="EO263" s="224">
        <f>EXP(LN(EO12)+0.5*LN('Ecoinvent 3.10'!$E$21)^2)</f>
        <v>2.297867316937781E-4</v>
      </c>
      <c r="EP263" s="50">
        <f>EXP(LN(EP12)+0.5*LN('Ecoinvent 3.10'!$E$21)^2)</f>
        <v>2.297867316937781E-4</v>
      </c>
      <c r="EQ263" s="224">
        <f>EXP(LN(EQ12)+0.5*LN('Ecoinvent 3.10'!$E$21)^2)</f>
        <v>2.0790228105627546E-4</v>
      </c>
      <c r="ER263" s="50">
        <f>EXP(LN(ER12)+0.5*LN('Ecoinvent 3.10'!$E$21)^2)</f>
        <v>2.0790228105627546E-4</v>
      </c>
      <c r="ES263" s="224">
        <f>EXP(LN(ES12)+0.5*LN('Ecoinvent 3.10'!$E$21)^2)</f>
        <v>3.0698071187215665E-4</v>
      </c>
      <c r="ET263" s="50">
        <f>EXP(LN(ET12)+0.5*LN('Ecoinvent 3.10'!$E$21)^2)</f>
        <v>3.0698071187215665E-4</v>
      </c>
      <c r="EU263" s="224">
        <f>EXP(LN(EU12)+0.5*LN('Ecoinvent 3.10'!$E$21)^2)</f>
        <v>3.8808425797171416E-4</v>
      </c>
      <c r="EV263" s="50">
        <f>EXP(LN(EV12)+0.5*LN('Ecoinvent 3.10'!$E$21)^2)</f>
        <v>3.8808425797171416E-4</v>
      </c>
      <c r="EW263" s="224">
        <f>EXP(LN(EW12)+0.5*LN('Ecoinvent 3.10'!$E$21)^2)</f>
        <v>2.0228330048718685E-4</v>
      </c>
      <c r="EX263" s="50">
        <f>EXP(LN(EX12)+0.5*LN('Ecoinvent 3.10'!$E$21)^2)</f>
        <v>2.0228330048718685E-4</v>
      </c>
      <c r="FA263" s="147" t="s">
        <v>66</v>
      </c>
      <c r="FB263" s="224">
        <f>EXP(LN(FB12)+0.5*LN('Ecoinvent 3.10'!$E$21)^2)</f>
        <v>6.9041026103398292E-6</v>
      </c>
      <c r="FC263" s="50">
        <f>EXP(LN(FC12)+0.5*LN('Ecoinvent 3.10'!$E$21)^2)</f>
        <v>6.9041026103398292E-6</v>
      </c>
      <c r="FD263" s="224">
        <f>EXP(LN(FD12)+0.5*LN('Ecoinvent 3.10'!$E$21)^2)</f>
        <v>9.2353580372078211E-6</v>
      </c>
      <c r="FE263" s="50">
        <f>EXP(LN(FE12)+0.5*LN('Ecoinvent 3.10'!$E$21)^2)</f>
        <v>9.2353580372078211E-6</v>
      </c>
      <c r="FF263" s="224">
        <f>EXP(LN(FF12)+0.5*LN('Ecoinvent 3.10'!$E$21)^2)</f>
        <v>9.0015515046202913E-6</v>
      </c>
      <c r="FG263" s="50">
        <f>EXP(LN(FG12)+0.5*LN('Ecoinvent 3.10'!$E$21)^2)</f>
        <v>9.0015515046202913E-6</v>
      </c>
      <c r="FH263" s="224">
        <f>EXP(LN(FH12)+0.5*LN('Ecoinvent 3.10'!$E$21)^2)</f>
        <v>7.4855007248947567E-6</v>
      </c>
      <c r="FI263" s="50">
        <f>EXP(LN(FI12)+0.5*LN('Ecoinvent 3.10'!$E$21)^2)</f>
        <v>7.4855007248947567E-6</v>
      </c>
      <c r="FJ263" s="224">
        <f>EXP(LN(FJ12)+0.5*LN('Ecoinvent 3.10'!$E$21)^2)</f>
        <v>6.7725958939524E-6</v>
      </c>
      <c r="FK263" s="50">
        <f>EXP(LN(FK12)+0.5*LN('Ecoinvent 3.10'!$E$21)^2)</f>
        <v>6.7725958939524E-6</v>
      </c>
      <c r="FL263" s="224">
        <f>EXP(LN(FL12)+0.5*LN('Ecoinvent 3.10'!$E$21)^2)</f>
        <v>1.0000161124664105E-5</v>
      </c>
      <c r="FM263" s="50">
        <f>EXP(LN(FM12)+0.5*LN('Ecoinvent 3.10'!$E$21)^2)</f>
        <v>1.0000161124664105E-5</v>
      </c>
      <c r="FN263" s="224">
        <f>EXP(LN(FN12)+0.5*LN('Ecoinvent 3.10'!$E$21)^2)</f>
        <v>1.2642179002044478E-5</v>
      </c>
      <c r="FO263" s="50">
        <f>EXP(LN(FO12)+0.5*LN('Ecoinvent 3.10'!$E$21)^2)</f>
        <v>1.2642179002044502E-5</v>
      </c>
      <c r="FP263" s="224">
        <f>EXP(LN(FP12)+0.5*LN('Ecoinvent 3.10'!$E$21)^2)</f>
        <v>6.5895527616834137E-6</v>
      </c>
      <c r="FQ263" s="50">
        <f>EXP(LN(FQ12)+0.5*LN('Ecoinvent 3.10'!$E$21)^2)</f>
        <v>6.5895527616834256E-6</v>
      </c>
      <c r="FT263" s="147" t="s">
        <v>66</v>
      </c>
      <c r="FU263" s="224">
        <f>EXP(LN(FU12)+0.5*LN('Ecoinvent 3.10'!$E$21)^2)</f>
        <v>2.5804403032940438E-3</v>
      </c>
      <c r="FV263" s="50">
        <f>EXP(LN(FV12)+0.5*LN('Ecoinvent 3.10'!$E$21)^2)</f>
        <v>2.5804403032940438E-3</v>
      </c>
      <c r="FW263" s="224">
        <f>EXP(LN(FW12)+0.5*LN('Ecoinvent 3.10'!$E$21)^2)</f>
        <v>3.4517578083024217E-3</v>
      </c>
      <c r="FX263" s="50">
        <f>EXP(LN(FX12)+0.5*LN('Ecoinvent 3.10'!$E$21)^2)</f>
        <v>3.4517578083024217E-3</v>
      </c>
      <c r="FY263" s="224">
        <f>EXP(LN(FY12)+0.5*LN('Ecoinvent 3.10'!$E$21)^2)</f>
        <v>3.3643715346745131E-3</v>
      </c>
      <c r="FZ263" s="50">
        <f>EXP(LN(FZ12)+0.5*LN('Ecoinvent 3.10'!$E$21)^2)</f>
        <v>3.3643715346745131E-3</v>
      </c>
      <c r="GA263" s="224">
        <f>EXP(LN(GA12)+0.5*LN('Ecoinvent 3.10'!$E$21)^2)</f>
        <v>2.7977405393609109E-3</v>
      </c>
      <c r="GB263" s="50">
        <f>EXP(LN(GB12)+0.5*LN('Ecoinvent 3.10'!$E$21)^2)</f>
        <v>2.7977405393609109E-3</v>
      </c>
      <c r="GC263" s="224">
        <f>EXP(LN(GC12)+0.5*LN('Ecoinvent 3.10'!$E$21)^2)</f>
        <v>2.5312890594217773E-3</v>
      </c>
      <c r="GD263" s="50">
        <f>EXP(LN(GD12)+0.5*LN('Ecoinvent 3.10'!$E$21)^2)</f>
        <v>2.5312890594217773E-3</v>
      </c>
      <c r="GE263" s="224">
        <f>EXP(LN(GE12)+0.5*LN('Ecoinvent 3.10'!$E$21)^2)</f>
        <v>3.7376065018024664E-3</v>
      </c>
      <c r="GF263" s="50">
        <f>EXP(LN(GF12)+0.5*LN('Ecoinvent 3.10'!$E$21)^2)</f>
        <v>3.7376065018024664E-3</v>
      </c>
      <c r="GG263" s="224">
        <f>EXP(LN(GG12)+0.5*LN('Ecoinvent 3.10'!$E$21)^2)</f>
        <v>4.72507291092065E-3</v>
      </c>
      <c r="GH263" s="50">
        <f>EXP(LN(GH12)+0.5*LN('Ecoinvent 3.10'!$E$21)^2)</f>
        <v>4.72507291092065E-3</v>
      </c>
      <c r="GI263" s="224">
        <f>EXP(LN(GI12)+0.5*LN('Ecoinvent 3.10'!$E$21)^2)</f>
        <v>2.4628758415995659E-3</v>
      </c>
      <c r="GJ263" s="50">
        <f>EXP(LN(GJ12)+0.5*LN('Ecoinvent 3.10'!$E$21)^2)</f>
        <v>2.4628758415995659E-3</v>
      </c>
      <c r="GM263" s="147" t="s">
        <v>66</v>
      </c>
      <c r="GN263" s="224">
        <f>EXP(LN(GN12)+0.5*LN('Ecoinvent 3.10'!$E$21)^2)</f>
        <v>1.5389572378652142E-2</v>
      </c>
      <c r="GO263" s="50">
        <f>EXP(LN(GO12)+0.5*LN('Ecoinvent 3.10'!$E$21)^2)</f>
        <v>1.5389572378652142E-2</v>
      </c>
      <c r="GP263" s="224">
        <f>EXP(LN(GP12)+0.5*LN('Ecoinvent 3.10'!$E$21)^2)</f>
        <v>2.0586051363651572E-2</v>
      </c>
      <c r="GQ263" s="50">
        <f>EXP(LN(GQ12)+0.5*LN('Ecoinvent 3.10'!$E$21)^2)</f>
        <v>2.0586051363651561E-2</v>
      </c>
      <c r="GR263" s="224">
        <f>EXP(LN(GR12)+0.5*LN('Ecoinvent 3.10'!$E$21)^2)</f>
        <v>2.0064885506343933E-2</v>
      </c>
      <c r="GS263" s="50">
        <f>EXP(LN(GS12)+0.5*LN('Ecoinvent 3.10'!$E$21)^2)</f>
        <v>2.0064885506343944E-2</v>
      </c>
      <c r="GT263" s="224">
        <f>EXP(LN(GT12)+0.5*LN('Ecoinvent 3.10'!$E$21)^2)</f>
        <v>1.6685536368433378E-2</v>
      </c>
      <c r="GU263" s="50">
        <f>EXP(LN(GU12)+0.5*LN('Ecoinvent 3.10'!$E$21)^2)</f>
        <v>1.6685536368433378E-2</v>
      </c>
      <c r="GV263" s="224">
        <f>EXP(LN(GV12)+0.5*LN('Ecoinvent 3.10'!$E$21)^2)</f>
        <v>1.5096437666677821E-2</v>
      </c>
      <c r="GW263" s="50">
        <f>EXP(LN(GW12)+0.5*LN('Ecoinvent 3.10'!$E$21)^2)</f>
        <v>1.5096437666677821E-2</v>
      </c>
      <c r="GX263" s="224">
        <f>EXP(LN(GX12)+0.5*LN('Ecoinvent 3.10'!$E$21)^2)</f>
        <v>2.2290833742203971E-2</v>
      </c>
      <c r="GY263" s="50">
        <f>EXP(LN(GY12)+0.5*LN('Ecoinvent 3.10'!$E$21)^2)</f>
        <v>2.2290833742203971E-2</v>
      </c>
      <c r="GZ263" s="224">
        <f>EXP(LN(GZ12)+0.5*LN('Ecoinvent 3.10'!$E$21)^2)</f>
        <v>2.8180016977798598E-2</v>
      </c>
      <c r="HA263" s="50">
        <f>EXP(LN(HA12)+0.5*LN('Ecoinvent 3.10'!$E$21)^2)</f>
        <v>2.8180016977798608E-2</v>
      </c>
      <c r="HB263" s="224">
        <f>EXP(LN(HB12)+0.5*LN('Ecoinvent 3.10'!$E$21)^2)</f>
        <v>1.4688425837848684E-2</v>
      </c>
      <c r="HC263" s="50">
        <f>EXP(LN(HC12)+0.5*LN('Ecoinvent 3.10'!$E$21)^2)</f>
        <v>1.4688425837848698E-2</v>
      </c>
      <c r="HF263" s="147" t="s">
        <v>66</v>
      </c>
      <c r="HG263" s="224">
        <f>EXP(LN(HG12)+0.5*LN('Ecoinvent 3.10'!$E$21)^2)</f>
        <v>4.287933401749934E-2</v>
      </c>
      <c r="HH263" s="50">
        <f>EXP(LN(HH12)+0.5*LN('Ecoinvent 3.10'!$E$21)^2)</f>
        <v>4.287933401749934E-2</v>
      </c>
      <c r="HI263" s="224">
        <f>EXP(LN(HI12)+0.5*LN('Ecoinvent 3.10'!$E$21)^2)</f>
        <v>5.7358070179252381E-2</v>
      </c>
      <c r="HJ263" s="50">
        <f>EXP(LN(HJ12)+0.5*LN('Ecoinvent 3.10'!$E$21)^2)</f>
        <v>5.7358070179252353E-2</v>
      </c>
      <c r="HK263" s="224">
        <f>EXP(LN(HK12)+0.5*LN('Ecoinvent 3.10'!$E$21)^2)</f>
        <v>5.5905967136739648E-2</v>
      </c>
      <c r="HL263" s="50">
        <f>EXP(LN(HL12)+0.5*LN('Ecoinvent 3.10'!$E$21)^2)</f>
        <v>5.5905967136739648E-2</v>
      </c>
      <c r="HM263" s="224">
        <f>EXP(LN(HM12)+0.5*LN('Ecoinvent 3.10'!$E$21)^2)</f>
        <v>4.6490225303183481E-2</v>
      </c>
      <c r="HN263" s="50">
        <f>EXP(LN(HN12)+0.5*LN('Ecoinvent 3.10'!$E$21)^2)</f>
        <v>4.6490225303183481E-2</v>
      </c>
      <c r="HO263" s="224">
        <f>EXP(LN(HO12)+0.5*LN('Ecoinvent 3.10'!$E$21)^2)</f>
        <v>4.2062584798118398E-2</v>
      </c>
      <c r="HP263" s="50">
        <f>EXP(LN(HP12)+0.5*LN('Ecoinvent 3.10'!$E$21)^2)</f>
        <v>4.2062584798118398E-2</v>
      </c>
      <c r="HQ263" s="224">
        <f>EXP(LN(HQ12)+0.5*LN('Ecoinvent 3.10'!$E$21)^2)</f>
        <v>6.2108035365971696E-2</v>
      </c>
      <c r="HR263" s="50">
        <f>EXP(LN(HR12)+0.5*LN('Ecoinvent 3.10'!$E$21)^2)</f>
        <v>6.2108035365971696E-2</v>
      </c>
      <c r="HS263" s="224">
        <f>EXP(LN(HS12)+0.5*LN('Ecoinvent 3.10'!$E$21)^2)</f>
        <v>7.8516824956487666E-2</v>
      </c>
      <c r="HT263" s="50">
        <f>EXP(LN(HT12)+0.5*LN('Ecoinvent 3.10'!$E$21)^2)</f>
        <v>7.8516824956487707E-2</v>
      </c>
      <c r="HU263" s="224">
        <f>EXP(LN(HU12)+0.5*LN('Ecoinvent 3.10'!$E$21)^2)</f>
        <v>4.0925758181953036E-2</v>
      </c>
      <c r="HV263" s="50">
        <f>EXP(LN(HV12)+0.5*LN('Ecoinvent 3.10'!$E$21)^2)</f>
        <v>4.0925758181953036E-2</v>
      </c>
      <c r="HY263" s="147" t="s">
        <v>66</v>
      </c>
      <c r="HZ263" s="224">
        <f>EXP(LN(HZ12)+0.5*LN('Ecoinvent 3.10'!$E$21)^2)</f>
        <v>1.8190369979161078E-4</v>
      </c>
      <c r="IA263" s="50">
        <f>EXP(LN(IA12)+0.5*LN('Ecoinvent 3.10'!$E$21)^2)</f>
        <v>1.8190369979161078E-4</v>
      </c>
      <c r="IB263" s="224">
        <f>EXP(LN(IB12)+0.5*LN('Ecoinvent 3.10'!$E$21)^2)</f>
        <v>2.4332572829267453E-4</v>
      </c>
      <c r="IC263" s="50">
        <f>EXP(LN(IC12)+0.5*LN('Ecoinvent 3.10'!$E$21)^2)</f>
        <v>2.433257282926741E-4</v>
      </c>
      <c r="ID263" s="224">
        <f>EXP(LN(ID12)+0.5*LN('Ecoinvent 3.10'!$E$21)^2)</f>
        <v>2.3716558327260668E-4</v>
      </c>
      <c r="IE263" s="50">
        <f>EXP(LN(IE12)+0.5*LN('Ecoinvent 3.10'!$E$21)^2)</f>
        <v>2.3716558327260668E-4</v>
      </c>
      <c r="IF263" s="224">
        <f>EXP(LN(IF12)+0.5*LN('Ecoinvent 3.10'!$E$21)^2)</f>
        <v>1.9722190608985189E-4</v>
      </c>
      <c r="IG263" s="50">
        <f>EXP(LN(IG12)+0.5*LN('Ecoinvent 3.10'!$E$21)^2)</f>
        <v>1.9722190608985189E-4</v>
      </c>
      <c r="IH263" s="224">
        <f>EXP(LN(IH12)+0.5*LN('Ecoinvent 3.10'!$E$21)^2)</f>
        <v>1.7843886741462795E-4</v>
      </c>
      <c r="II263" s="50">
        <f>EXP(LN(II12)+0.5*LN('Ecoinvent 3.10'!$E$21)^2)</f>
        <v>1.7843886741462795E-4</v>
      </c>
      <c r="IJ263" s="224">
        <f>EXP(LN(IJ12)+0.5*LN('Ecoinvent 3.10'!$E$21)^2)</f>
        <v>2.6347614016691145E-4</v>
      </c>
      <c r="IK263" s="50">
        <f>EXP(LN(IK12)+0.5*LN('Ecoinvent 3.10'!$E$21)^2)</f>
        <v>2.6347614016691145E-4</v>
      </c>
      <c r="IL263" s="224"/>
      <c r="IM263" s="224"/>
      <c r="IN263" s="224"/>
      <c r="IO263" s="224"/>
    </row>
    <row r="264" spans="2:249" ht="12.75" customHeight="1" x14ac:dyDescent="0.2">
      <c r="B264" s="248"/>
      <c r="C264" s="248"/>
      <c r="D264" s="248"/>
      <c r="E264" s="248"/>
      <c r="F264" s="248"/>
      <c r="G264" s="248"/>
      <c r="H264" s="248"/>
      <c r="I264" s="248"/>
      <c r="J264" s="248"/>
      <c r="K264" s="248"/>
      <c r="L264" s="248"/>
      <c r="M264" s="248"/>
      <c r="N264" s="248"/>
      <c r="O264" s="248"/>
      <c r="P264" s="248"/>
      <c r="Q264" s="248"/>
      <c r="R264" s="248"/>
      <c r="S264" s="248"/>
      <c r="T264" s="248"/>
      <c r="U264" s="248"/>
      <c r="V264" s="248"/>
      <c r="W264" s="248"/>
      <c r="X264" s="248"/>
      <c r="Y264" s="248"/>
      <c r="Z264" s="248"/>
      <c r="AA264" s="248"/>
      <c r="AB264" s="248"/>
      <c r="AC264" s="248"/>
      <c r="AD264" s="248"/>
      <c r="AE264" s="248"/>
      <c r="AF264" s="248"/>
      <c r="AG264" s="248"/>
      <c r="AH264" s="248"/>
      <c r="AI264" s="248"/>
      <c r="AJ264" s="248"/>
      <c r="AK264" s="248"/>
      <c r="AL264" s="248"/>
      <c r="AM264" s="248"/>
      <c r="AN264" s="137"/>
      <c r="AO264" s="248"/>
      <c r="AP264" s="726"/>
      <c r="AQ264" s="147" t="s">
        <v>628</v>
      </c>
      <c r="AR264" s="224">
        <f>EXP(LN(AR13)+0.5*LN('Ecoinvent 3.10'!$E$6)^2)</f>
        <v>2.1638172933809541</v>
      </c>
      <c r="AS264" s="50">
        <f>EXP(LN(AS13)+0.5*LN('Ecoinvent 3.10'!$E$6)^2)</f>
        <v>2.1638172933809545</v>
      </c>
      <c r="AT264" s="224">
        <f>EXP(LN(AT13)+0.5*LN('Ecoinvent 3.10'!$E$6)^2)</f>
        <v>2.8944568989381598</v>
      </c>
      <c r="AU264" s="50">
        <f>EXP(LN(AU13)+0.5*LN('Ecoinvent 3.10'!$E$6)^2)</f>
        <v>2.8944568989381585</v>
      </c>
      <c r="AV264" s="224">
        <f>EXP(LN(AV13)+0.5*LN('Ecoinvent 3.10'!$E$6)^2)</f>
        <v>2.821179509091623</v>
      </c>
      <c r="AW264" s="50">
        <f>EXP(LN(AW13)+0.5*LN('Ecoinvent 3.10'!$E$6)^2)</f>
        <v>2.821179509091623</v>
      </c>
      <c r="AX264" s="224">
        <f>EXP(LN(AX13)+0.5*LN('Ecoinvent 3.10'!$E$6)^2)</f>
        <v>2.3460334865077717</v>
      </c>
      <c r="AY264" s="50">
        <f>EXP(LN(AY13)+0.5*LN('Ecoinvent 3.10'!$E$6)^2)</f>
        <v>2.3460334865077712</v>
      </c>
      <c r="AZ264" s="224">
        <f>EXP(LN(AZ13)+0.5*LN('Ecoinvent 3.10'!$E$6)^2)</f>
        <v>2.1226017258879839</v>
      </c>
      <c r="BA264" s="50">
        <f>EXP(LN(BA13)+0.5*LN('Ecoinvent 3.10'!$E$6)^2)</f>
        <v>2.1226017258879835</v>
      </c>
      <c r="BB264" s="224">
        <f>EXP(LN(BB13)+0.5*LN('Ecoinvent 3.10'!$E$6)^2)</f>
        <v>3.134154110881477</v>
      </c>
      <c r="BC264" s="50">
        <f>EXP(LN(BC13)+0.5*LN('Ecoinvent 3.10'!$E$6)^2)</f>
        <v>3.1341541108814761</v>
      </c>
      <c r="BD264" s="224">
        <f>EXP(LN(BD13)+0.5*LN('Ecoinvent 3.10'!$E$6)^2)</f>
        <v>3.9621898883242377</v>
      </c>
      <c r="BE264" s="50">
        <f>EXP(LN(BE13)+0.5*LN('Ecoinvent 3.10'!$E$6)^2)</f>
        <v>3.9621898883242368</v>
      </c>
      <c r="BF264" s="224">
        <f>EXP(LN(BF13)+0.5*LN('Ecoinvent 3.10'!$E$6)^2)</f>
        <v>2.0652341116747954</v>
      </c>
      <c r="BG264" s="50">
        <f>EXP(LN(BG13)+0.5*LN('Ecoinvent 3.10'!$E$6)^2)</f>
        <v>2.0652341116747954</v>
      </c>
      <c r="BI264" s="156"/>
      <c r="BJ264" s="147" t="s">
        <v>628</v>
      </c>
      <c r="BK264" s="224">
        <f>EXP(LN(BK13)+0.5*LN('Ecoinvent 3.10'!$E$6)^2)</f>
        <v>0.7344604731639891</v>
      </c>
      <c r="BL264" s="50">
        <f>EXP(LN(BL13)+0.5*LN('Ecoinvent 3.10'!$E$6)^2)</f>
        <v>0.73446047316398932</v>
      </c>
      <c r="BM264" s="224">
        <f>EXP(LN(BM13)+0.5*LN('Ecoinvent 3.10'!$E$6)^2)</f>
        <v>0.98246011345312856</v>
      </c>
      <c r="BN264" s="50">
        <f>EXP(LN(BN13)+0.5*LN('Ecoinvent 3.10'!$E$6)^2)</f>
        <v>0.98246011345312823</v>
      </c>
      <c r="BO264" s="224">
        <f>EXP(LN(BO13)+0.5*LN('Ecoinvent 3.10'!$E$6)^2)</f>
        <v>0.95758770551760619</v>
      </c>
      <c r="BP264" s="50">
        <f>EXP(LN(BP13)+0.5*LN('Ecoinvent 3.10'!$E$6)^2)</f>
        <v>0.95758770551760619</v>
      </c>
      <c r="BQ264" s="224">
        <f>EXP(LN(BQ13)+0.5*LN('Ecoinvent 3.10'!$E$6)^2)</f>
        <v>0.7963097761672725</v>
      </c>
      <c r="BR264" s="50">
        <f>EXP(LN(BR13)+0.5*LN('Ecoinvent 3.10'!$E$6)^2)</f>
        <v>0.79630977616727239</v>
      </c>
      <c r="BS264" s="224">
        <f>EXP(LN(BS13)+0.5*LN('Ecoinvent 3.10'!$E$6)^2)</f>
        <v>0.72047074986562765</v>
      </c>
      <c r="BT264" s="50">
        <f>EXP(LN(BT13)+0.5*LN('Ecoinvent 3.10'!$E$6)^2)</f>
        <v>0.72047074986562754</v>
      </c>
      <c r="BU264" s="224">
        <f>EXP(LN(BU13)+0.5*LN('Ecoinvent 3.10'!$E$6)^2)</f>
        <v>1.0638200915984659</v>
      </c>
      <c r="BV264" s="50">
        <f>EXP(LN(BV13)+0.5*LN('Ecoinvent 3.10'!$E$6)^2)</f>
        <v>1.0638200915984657</v>
      </c>
      <c r="BW264" s="224">
        <f>EXP(LN(BW13)+0.5*LN('Ecoinvent 3.10'!$E$6)^2)</f>
        <v>1.3448787330825054</v>
      </c>
      <c r="BX264" s="50">
        <f>EXP(LN(BX13)+0.5*LN('Ecoinvent 3.10'!$E$6)^2)</f>
        <v>1.3448787330825052</v>
      </c>
      <c r="BY264" s="224">
        <f>EXP(LN(BY13)+0.5*LN('Ecoinvent 3.10'!$E$6)^2)</f>
        <v>0.70099856743682687</v>
      </c>
      <c r="BZ264" s="50">
        <f>EXP(LN(BZ13)+0.5*LN('Ecoinvent 3.10'!$E$6)^2)</f>
        <v>0.70099856743682687</v>
      </c>
      <c r="CA264" s="156"/>
      <c r="CB264" s="156"/>
      <c r="CC264" s="147" t="s">
        <v>628</v>
      </c>
      <c r="CD264" s="224">
        <f>EXP(LN(CD13)+0.5*LN('Ecoinvent 3.10'!$E$6)^2)</f>
        <v>3.4585457931861474</v>
      </c>
      <c r="CE264" s="50">
        <f>EXP(LN(CE13)+0.5*LN('Ecoinvent 3.10'!$E$6)^2)</f>
        <v>3.4585457931861479</v>
      </c>
      <c r="CF264" s="224">
        <f>EXP(LN(CF13)+0.5*LN('Ecoinvent 3.10'!$E$6)^2)</f>
        <v>4.6263664506256257</v>
      </c>
      <c r="CG264" s="50">
        <f>EXP(LN(CG13)+0.5*LN('Ecoinvent 3.10'!$E$6)^2)</f>
        <v>4.6263664506256248</v>
      </c>
      <c r="CH264" s="224">
        <f>EXP(LN(CH13)+0.5*LN('Ecoinvent 3.10'!$E$6)^2)</f>
        <v>4.5092432493439638</v>
      </c>
      <c r="CI264" s="50">
        <f>EXP(LN(CI13)+0.5*LN('Ecoinvent 3.10'!$E$6)^2)</f>
        <v>4.5092432493439638</v>
      </c>
      <c r="CJ264" s="224">
        <f>EXP(LN(CJ13)+0.5*LN('Ecoinvent 3.10'!$E$6)^2)</f>
        <v>3.7497917547176121</v>
      </c>
      <c r="CK264" s="50">
        <f>EXP(LN(CK13)+0.5*LN('Ecoinvent 3.10'!$E$6)^2)</f>
        <v>3.7497917547176121</v>
      </c>
      <c r="CL264" s="224">
        <f>EXP(LN(CL13)+0.5*LN('Ecoinvent 3.10'!$E$6)^2)</f>
        <v>3.3926687304587926</v>
      </c>
      <c r="CM264" s="50">
        <f>EXP(LN(CM13)+0.5*LN('Ecoinvent 3.10'!$E$6)^2)</f>
        <v>3.3926687304587917</v>
      </c>
      <c r="CN264" s="224">
        <f>EXP(LN(CN13)+0.5*LN('Ecoinvent 3.10'!$E$6)^2)</f>
        <v>5.0094874223180614</v>
      </c>
      <c r="CO264" s="50">
        <f>EXP(LN(CO13)+0.5*LN('Ecoinvent 3.10'!$E$6)^2)</f>
        <v>5.0094874223180614</v>
      </c>
      <c r="CP264" s="224">
        <f>EXP(LN(CP13)+0.5*LN('Ecoinvent 3.10'!$E$6)^2)</f>
        <v>6.3329816301897486</v>
      </c>
      <c r="CQ264" s="50">
        <f>EXP(LN(CQ13)+0.5*LN('Ecoinvent 3.10'!$E$6)^2)</f>
        <v>6.3329816301897468</v>
      </c>
      <c r="CR264" s="224">
        <f>EXP(LN(CR13)+0.5*LN('Ecoinvent 3.10'!$E$6)^2)</f>
        <v>3.3009749809869335</v>
      </c>
      <c r="CS264" s="50">
        <f>EXP(LN(CS13)+0.5*LN('Ecoinvent 3.10'!$E$6)^2)</f>
        <v>3.3009749809869335</v>
      </c>
      <c r="CV264" s="147" t="s">
        <v>628</v>
      </c>
      <c r="CW264" s="224">
        <f>EXP(LN(CW13)+0.5*LN('Ecoinvent 3.10'!$E$6)^2)</f>
        <v>2.0530852181099499E-3</v>
      </c>
      <c r="CX264" s="50">
        <f>EXP(LN(CX13)+0.5*LN('Ecoinvent 3.10'!$E$6)^2)</f>
        <v>2.0530852181099499E-3</v>
      </c>
      <c r="CY264" s="224">
        <f>EXP(LN(CY13)+0.5*LN('Ecoinvent 3.10'!$E$6)^2)</f>
        <v>2.7463347722769455E-3</v>
      </c>
      <c r="CZ264" s="50">
        <f>EXP(LN(CZ13)+0.5*LN('Ecoinvent 3.10'!$E$6)^2)</f>
        <v>2.7463347722769429E-3</v>
      </c>
      <c r="DA264" s="224">
        <f>EXP(LN(DA13)+0.5*LN('Ecoinvent 3.10'!$E$6)^2)</f>
        <v>2.6768073096876542E-3</v>
      </c>
      <c r="DB264" s="50">
        <f>EXP(LN(DB13)+0.5*LN('Ecoinvent 3.10'!$E$6)^2)</f>
        <v>2.6768073096876542E-3</v>
      </c>
      <c r="DC264" s="224">
        <f>EXP(LN(DC13)+0.5*LN('Ecoinvent 3.10'!$E$6)^2)</f>
        <v>2.2259766048981565E-3</v>
      </c>
      <c r="DD264" s="50">
        <f>EXP(LN(DD13)+0.5*LN('Ecoinvent 3.10'!$E$6)^2)</f>
        <v>2.2259766048981547E-3</v>
      </c>
      <c r="DE264" s="224">
        <f>EXP(LN(DE13)+0.5*LN('Ecoinvent 3.10'!$E$6)^2)</f>
        <v>2.0139788330030928E-3</v>
      </c>
      <c r="DF264" s="50">
        <f>EXP(LN(DF13)+0.5*LN('Ecoinvent 3.10'!$E$6)^2)</f>
        <v>2.0139788330030928E-3</v>
      </c>
      <c r="DG264" s="224">
        <f>EXP(LN(DG13)+0.5*LN('Ecoinvent 3.10'!$E$6)^2)</f>
        <v>2.9737656206061305E-3</v>
      </c>
      <c r="DH264" s="50">
        <f>EXP(LN(DH13)+0.5*LN('Ecoinvent 3.10'!$E$6)^2)</f>
        <v>2.9737656206061305E-3</v>
      </c>
      <c r="DI264" s="224">
        <f>EXP(LN(DI13)+0.5*LN('Ecoinvent 3.10'!$E$6)^2)</f>
        <v>3.7594271549391094E-3</v>
      </c>
      <c r="DJ264" s="50">
        <f>EXP(LN(DJ13)+0.5*LN('Ecoinvent 3.10'!$E$6)^2)</f>
        <v>3.7594271549391094E-3</v>
      </c>
      <c r="DK264" s="224">
        <f>EXP(LN(DK13)+0.5*LN('Ecoinvent 3.10'!$E$6)^2)</f>
        <v>1.9595469726516588E-3</v>
      </c>
      <c r="DL264" s="50">
        <f>EXP(LN(DL13)+0.5*LN('Ecoinvent 3.10'!$E$6)^2)</f>
        <v>1.9595469726516588E-3</v>
      </c>
      <c r="DO264" s="147" t="s">
        <v>628</v>
      </c>
      <c r="DP264" s="224">
        <f>EXP(LN(DP13)+0.5*LN('Ecoinvent 3.10'!$E$6)^2)</f>
        <v>0.48466303142291195</v>
      </c>
      <c r="DQ264" s="50">
        <f>EXP(LN(DQ13)+0.5*LN('Ecoinvent 3.10'!$E$6)^2)</f>
        <v>0.48466303142291206</v>
      </c>
      <c r="DR264" s="224">
        <f>EXP(LN(DR13)+0.5*LN('Ecoinvent 3.10'!$E$6)^2)</f>
        <v>0.64831548359168756</v>
      </c>
      <c r="DS264" s="50">
        <f>EXP(LN(DS13)+0.5*LN('Ecoinvent 3.10'!$E$6)^2)</f>
        <v>0.64831548359168734</v>
      </c>
      <c r="DT264" s="224">
        <f>EXP(LN(DT13)+0.5*LN('Ecoinvent 3.10'!$E$6)^2)</f>
        <v>0.63190243337417629</v>
      </c>
      <c r="DU264" s="50">
        <f>EXP(LN(DU13)+0.5*LN('Ecoinvent 3.10'!$E$6)^2)</f>
        <v>0.63190243337417629</v>
      </c>
      <c r="DV264" s="224">
        <f>EXP(LN(DV13)+0.5*LN('Ecoinvent 3.10'!$E$6)^2)</f>
        <v>0.52547676038484137</v>
      </c>
      <c r="DW264" s="50">
        <f>EXP(LN(DW13)+0.5*LN('Ecoinvent 3.10'!$E$6)^2)</f>
        <v>0.52547676038484137</v>
      </c>
      <c r="DX264" s="224">
        <f>EXP(LN(DX13)+0.5*LN('Ecoinvent 3.10'!$E$6)^2)</f>
        <v>0.47543135463390424</v>
      </c>
      <c r="DY264" s="50">
        <f>EXP(LN(DY13)+0.5*LN('Ecoinvent 3.10'!$E$6)^2)</f>
        <v>0.47543135463390412</v>
      </c>
      <c r="DZ264" s="224">
        <f>EXP(LN(DZ13)+0.5*LN('Ecoinvent 3.10'!$E$6)^2)</f>
        <v>0.70200410957662429</v>
      </c>
      <c r="EA264" s="50">
        <f>EXP(LN(EA13)+0.5*LN('Ecoinvent 3.10'!$E$6)^2)</f>
        <v>0.70200410957662418</v>
      </c>
      <c r="EB264" s="224">
        <f>EXP(LN(EB13)+0.5*LN('Ecoinvent 3.10'!$E$6)^2)</f>
        <v>0.88747186198328809</v>
      </c>
      <c r="EC264" s="50">
        <f>EXP(LN(EC13)+0.5*LN('Ecoinvent 3.10'!$E$6)^2)</f>
        <v>0.88747186198328798</v>
      </c>
      <c r="ED264" s="224">
        <f>EXP(LN(ED13)+0.5*LN('Ecoinvent 3.10'!$E$6)^2)</f>
        <v>0.46258185856271761</v>
      </c>
      <c r="EE264" s="50">
        <f>EXP(LN(EE13)+0.5*LN('Ecoinvent 3.10'!$E$6)^2)</f>
        <v>0.46258185856271761</v>
      </c>
      <c r="EH264" s="147" t="s">
        <v>628</v>
      </c>
      <c r="EI264" s="224">
        <f>EXP(LN(EI13)+0.5*LN('Ecoinvent 3.10'!$E$6)^2)</f>
        <v>5.5305624665854944E-3</v>
      </c>
      <c r="EJ264" s="50">
        <f>EXP(LN(EJ13)+0.5*LN('Ecoinvent 3.10'!$E$6)^2)</f>
        <v>5.5305624665854944E-3</v>
      </c>
      <c r="EK264" s="224">
        <f>EXP(LN(EK13)+0.5*LN('Ecoinvent 3.10'!$E$6)^2)</f>
        <v>7.3980251176403358E-3</v>
      </c>
      <c r="EL264" s="50">
        <f>EXP(LN(EL13)+0.5*LN('Ecoinvent 3.10'!$E$6)^2)</f>
        <v>7.3980251176403358E-3</v>
      </c>
      <c r="EM264" s="224">
        <f>EXP(LN(EM13)+0.5*LN('Ecoinvent 3.10'!$E$6)^2)</f>
        <v>7.210733342510202E-3</v>
      </c>
      <c r="EN264" s="50">
        <f>EXP(LN(EN13)+0.5*LN('Ecoinvent 3.10'!$E$6)^2)</f>
        <v>7.210733342510202E-3</v>
      </c>
      <c r="EO264" s="224">
        <f>EXP(LN(EO13)+0.5*LN('Ecoinvent 3.10'!$E$6)^2)</f>
        <v>5.9962940427190107E-3</v>
      </c>
      <c r="EP264" s="50">
        <f>EXP(LN(EP13)+0.5*LN('Ecoinvent 3.10'!$E$6)^2)</f>
        <v>5.9962940427190055E-3</v>
      </c>
      <c r="EQ264" s="224">
        <f>EXP(LN(EQ13)+0.5*LN('Ecoinvent 3.10'!$E$6)^2)</f>
        <v>5.4252184196029113E-3</v>
      </c>
      <c r="ER264" s="50">
        <f>EXP(LN(ER13)+0.5*LN('Ecoinvent 3.10'!$E$6)^2)</f>
        <v>5.4252184196029113E-3</v>
      </c>
      <c r="ES264" s="224">
        <f>EXP(LN(ES13)+0.5*LN('Ecoinvent 3.10'!$E$6)^2)</f>
        <v>8.0106740726949271E-3</v>
      </c>
      <c r="ET264" s="50">
        <f>EXP(LN(ET13)+0.5*LN('Ecoinvent 3.10'!$E$6)^2)</f>
        <v>8.0106740726949271E-3</v>
      </c>
      <c r="EU264" s="224">
        <f>EXP(LN(EU13)+0.5*LN('Ecoinvent 3.10'!$E$6)^2)</f>
        <v>1.0127074383258775E-2</v>
      </c>
      <c r="EV264" s="50">
        <f>EXP(LN(EV13)+0.5*LN('Ecoinvent 3.10'!$E$6)^2)</f>
        <v>1.0127074383258775E-2</v>
      </c>
      <c r="EW264" s="224">
        <f>EXP(LN(EW13)+0.5*LN('Ecoinvent 3.10'!$E$6)^2)</f>
        <v>5.2785908947487808E-3</v>
      </c>
      <c r="EX264" s="50">
        <f>EXP(LN(EX13)+0.5*LN('Ecoinvent 3.10'!$E$6)^2)</f>
        <v>5.2785908947487808E-3</v>
      </c>
      <c r="FA264" s="147" t="s">
        <v>628</v>
      </c>
      <c r="FB264" s="224">
        <f>EXP(LN(FB13)+0.5*LN('Ecoinvent 3.10'!$E$6)^2)</f>
        <v>1.8403507663016343E-4</v>
      </c>
      <c r="FC264" s="50">
        <f>EXP(LN(FC13)+0.5*LN('Ecoinvent 3.10'!$E$6)^2)</f>
        <v>1.8403507663016343E-4</v>
      </c>
      <c r="FD264" s="224">
        <f>EXP(LN(FD13)+0.5*LN('Ecoinvent 3.10'!$E$6)^2)</f>
        <v>2.4617679081697183E-4</v>
      </c>
      <c r="FE264" s="50">
        <f>EXP(LN(FE13)+0.5*LN('Ecoinvent 3.10'!$E$6)^2)</f>
        <v>2.4617679081697183E-4</v>
      </c>
      <c r="FF264" s="224">
        <f>EXP(LN(FF13)+0.5*LN('Ecoinvent 3.10'!$E$6)^2)</f>
        <v>2.399444669988209E-4</v>
      </c>
      <c r="FG264" s="50">
        <f>EXP(LN(FG13)+0.5*LN('Ecoinvent 3.10'!$E$6)^2)</f>
        <v>2.399444669988209E-4</v>
      </c>
      <c r="FH264" s="224">
        <f>EXP(LN(FH13)+0.5*LN('Ecoinvent 3.10'!$E$6)^2)</f>
        <v>1.9953276729375635E-4</v>
      </c>
      <c r="FI264" s="50">
        <f>EXP(LN(FI13)+0.5*LN('Ecoinvent 3.10'!$E$6)^2)</f>
        <v>1.99532767293756E-4</v>
      </c>
      <c r="FJ264" s="224">
        <f>EXP(LN(FJ13)+0.5*LN('Ecoinvent 3.10'!$E$6)^2)</f>
        <v>1.8052964659911292E-4</v>
      </c>
      <c r="FK264" s="50">
        <f>EXP(LN(FK13)+0.5*LN('Ecoinvent 3.10'!$E$6)^2)</f>
        <v>1.805296465991126E-4</v>
      </c>
      <c r="FL264" s="224">
        <f>EXP(LN(FL13)+0.5*LN('Ecoinvent 3.10'!$E$6)^2)</f>
        <v>2.6656330630650256E-4</v>
      </c>
      <c r="FM264" s="50">
        <f>EXP(LN(FM13)+0.5*LN('Ecoinvent 3.10'!$E$6)^2)</f>
        <v>2.6656330630650256E-4</v>
      </c>
      <c r="FN264" s="224">
        <f>EXP(LN(FN13)+0.5*LN('Ecoinvent 3.10'!$E$6)^2)</f>
        <v>3.3698867365167744E-4</v>
      </c>
      <c r="FO264" s="50">
        <f>EXP(LN(FO13)+0.5*LN('Ecoinvent 3.10'!$E$6)^2)</f>
        <v>3.3698867365167744E-4</v>
      </c>
      <c r="FP264" s="224">
        <f>EXP(LN(FP13)+0.5*LN('Ecoinvent 3.10'!$E$6)^2)</f>
        <v>1.7565046696129899E-4</v>
      </c>
      <c r="FQ264" s="50">
        <f>EXP(LN(FQ13)+0.5*LN('Ecoinvent 3.10'!$E$6)^2)</f>
        <v>1.7565046696129899E-4</v>
      </c>
      <c r="FT264" s="147" t="s">
        <v>628</v>
      </c>
      <c r="FU264" s="224">
        <f>EXP(LN(FU13)+0.5*LN('Ecoinvent 3.10'!$E$6)^2)</f>
        <v>3.3478012237467644E-2</v>
      </c>
      <c r="FV264" s="50">
        <f>EXP(LN(FV13)+0.5*LN('Ecoinvent 3.10'!$E$6)^2)</f>
        <v>3.3478012237467665E-2</v>
      </c>
      <c r="FW264" s="224">
        <f>EXP(LN(FW13)+0.5*LN('Ecoinvent 3.10'!$E$6)^2)</f>
        <v>4.4782276109859333E-2</v>
      </c>
      <c r="FX264" s="50">
        <f>EXP(LN(FX13)+0.5*LN('Ecoinvent 3.10'!$E$6)^2)</f>
        <v>4.4782276109859312E-2</v>
      </c>
      <c r="FY264" s="224">
        <f>EXP(LN(FY13)+0.5*LN('Ecoinvent 3.10'!$E$6)^2)</f>
        <v>4.364854760074896E-2</v>
      </c>
      <c r="FZ264" s="50">
        <f>EXP(LN(FZ13)+0.5*LN('Ecoinvent 3.10'!$E$6)^2)</f>
        <v>4.364854760074896E-2</v>
      </c>
      <c r="GA264" s="224">
        <f>EXP(LN(GA13)+0.5*LN('Ecoinvent 3.10'!$E$6)^2)</f>
        <v>3.6297213267991242E-2</v>
      </c>
      <c r="GB264" s="50">
        <f>EXP(LN(GB13)+0.5*LN('Ecoinvent 3.10'!$E$6)^2)</f>
        <v>3.6297213267991242E-2</v>
      </c>
      <c r="GC264" s="224">
        <f>EXP(LN(GC13)+0.5*LN('Ecoinvent 3.10'!$E$6)^2)</f>
        <v>3.2840335813896844E-2</v>
      </c>
      <c r="GD264" s="50">
        <f>EXP(LN(GD13)+0.5*LN('Ecoinvent 3.10'!$E$6)^2)</f>
        <v>3.2840335813896844E-2</v>
      </c>
      <c r="GE264" s="224">
        <f>EXP(LN(GE13)+0.5*LN('Ecoinvent 3.10'!$E$6)^2)</f>
        <v>4.8490808350207068E-2</v>
      </c>
      <c r="GF264" s="50">
        <f>EXP(LN(GF13)+0.5*LN('Ecoinvent 3.10'!$E$6)^2)</f>
        <v>4.8490808350207068E-2</v>
      </c>
      <c r="GG264" s="224">
        <f>EXP(LN(GG13)+0.5*LN('Ecoinvent 3.10'!$E$6)^2)</f>
        <v>6.13019601859408E-2</v>
      </c>
      <c r="GH264" s="50">
        <f>EXP(LN(GH13)+0.5*LN('Ecoinvent 3.10'!$E$6)^2)</f>
        <v>6.13019601859408E-2</v>
      </c>
      <c r="GI264" s="224">
        <f>EXP(LN(GI13)+0.5*LN('Ecoinvent 3.10'!$E$6)^2)</f>
        <v>3.1952759170278011E-2</v>
      </c>
      <c r="GJ264" s="50">
        <f>EXP(LN(GJ13)+0.5*LN('Ecoinvent 3.10'!$E$6)^2)</f>
        <v>3.1952759170278011E-2</v>
      </c>
      <c r="GM264" s="147" t="s">
        <v>628</v>
      </c>
      <c r="GN264" s="224">
        <f>EXP(LN(GN13)+0.5*LN('Ecoinvent 3.10'!$E$6)^2)</f>
        <v>7.5485844963777596E-2</v>
      </c>
      <c r="GO264" s="50">
        <f>EXP(LN(GO13)+0.5*LN('Ecoinvent 3.10'!$E$6)^2)</f>
        <v>7.5485844963777596E-2</v>
      </c>
      <c r="GP264" s="224">
        <f>EXP(LN(GP13)+0.5*LN('Ecoinvent 3.10'!$E$6)^2)</f>
        <v>0.10097457183466352</v>
      </c>
      <c r="GQ264" s="50">
        <f>EXP(LN(GQ13)+0.5*LN('Ecoinvent 3.10'!$E$6)^2)</f>
        <v>0.10097457183466352</v>
      </c>
      <c r="GR264" s="224">
        <f>EXP(LN(GR13)+0.5*LN('Ecoinvent 3.10'!$E$6)^2)</f>
        <v>9.8418253560368221E-2</v>
      </c>
      <c r="GS264" s="50">
        <f>EXP(LN(GS13)+0.5*LN('Ecoinvent 3.10'!$E$6)^2)</f>
        <v>9.8418253560368221E-2</v>
      </c>
      <c r="GT264" s="224">
        <f>EXP(LN(GT13)+0.5*LN('Ecoinvent 3.10'!$E$6)^2)</f>
        <v>8.1842547697569365E-2</v>
      </c>
      <c r="GU264" s="50">
        <f>EXP(LN(GU13)+0.5*LN('Ecoinvent 3.10'!$E$6)^2)</f>
        <v>8.1842547697569365E-2</v>
      </c>
      <c r="GV264" s="224">
        <f>EXP(LN(GV13)+0.5*LN('Ecoinvent 3.10'!$E$6)^2)</f>
        <v>7.4048019345419921E-2</v>
      </c>
      <c r="GW264" s="50">
        <f>EXP(LN(GW13)+0.5*LN('Ecoinvent 3.10'!$E$6)^2)</f>
        <v>7.4048019345419921E-2</v>
      </c>
      <c r="GX264" s="224">
        <f>EXP(LN(GX13)+0.5*LN('Ecoinvent 3.10'!$E$6)^2)</f>
        <v>0.10933652856472161</v>
      </c>
      <c r="GY264" s="50">
        <f>EXP(LN(GY13)+0.5*LN('Ecoinvent 3.10'!$E$6)^2)</f>
        <v>0.10933652856472161</v>
      </c>
      <c r="GZ264" s="224">
        <f>EXP(LN(GZ13)+0.5*LN('Ecoinvent 3.10'!$E$6)^2)</f>
        <v>0.13822296944478391</v>
      </c>
      <c r="HA264" s="50">
        <f>EXP(LN(HA13)+0.5*LN('Ecoinvent 3.10'!$E$6)^2)</f>
        <v>0.13822296944478391</v>
      </c>
      <c r="HB264" s="224">
        <f>EXP(LN(HB13)+0.5*LN('Ecoinvent 3.10'!$E$6)^2)</f>
        <v>7.204672152527343E-2</v>
      </c>
      <c r="HC264" s="50">
        <f>EXP(LN(HC13)+0.5*LN('Ecoinvent 3.10'!$E$6)^2)</f>
        <v>7.204672152527343E-2</v>
      </c>
      <c r="HF264" s="147" t="s">
        <v>628</v>
      </c>
      <c r="HG264" s="224">
        <f>EXP(LN(HG13)+0.5*LN('Ecoinvent 3.10'!$E$6)^2)</f>
        <v>0.76761273993837853</v>
      </c>
      <c r="HH264" s="50">
        <f>EXP(LN(HH13)+0.5*LN('Ecoinvent 3.10'!$E$6)^2)</f>
        <v>0.76761273993837886</v>
      </c>
      <c r="HI264" s="224">
        <f>EXP(LN(HI13)+0.5*LN('Ecoinvent 3.10'!$E$6)^2)</f>
        <v>1.0268066521253638</v>
      </c>
      <c r="HJ264" s="50">
        <f>EXP(LN(HJ13)+0.5*LN('Ecoinvent 3.10'!$E$6)^2)</f>
        <v>1.0268066521253636</v>
      </c>
      <c r="HK264" s="224">
        <f>EXP(LN(HK13)+0.5*LN('Ecoinvent 3.10'!$E$6)^2)</f>
        <v>1.0008115470082657</v>
      </c>
      <c r="HL264" s="50">
        <f>EXP(LN(HL13)+0.5*LN('Ecoinvent 3.10'!$E$6)^2)</f>
        <v>1.0008115470082657</v>
      </c>
      <c r="HM264" s="224">
        <f>EXP(LN(HM13)+0.5*LN('Ecoinvent 3.10'!$E$6)^2)</f>
        <v>0.83225381277529487</v>
      </c>
      <c r="HN264" s="50">
        <f>EXP(LN(HN13)+0.5*LN('Ecoinvent 3.10'!$E$6)^2)</f>
        <v>0.83225381277529475</v>
      </c>
      <c r="HO264" s="224">
        <f>EXP(LN(HO13)+0.5*LN('Ecoinvent 3.10'!$E$6)^2)</f>
        <v>0.75299154489193354</v>
      </c>
      <c r="HP264" s="50">
        <f>EXP(LN(HP13)+0.5*LN('Ecoinvent 3.10'!$E$6)^2)</f>
        <v>0.75299154489193343</v>
      </c>
      <c r="HQ264" s="224">
        <f>EXP(LN(HQ13)+0.5*LN('Ecoinvent 3.10'!$E$6)^2)</f>
        <v>1.111839078004496</v>
      </c>
      <c r="HR264" s="50">
        <f>EXP(LN(HR13)+0.5*LN('Ecoinvent 3.10'!$E$6)^2)</f>
        <v>1.1118390780044953</v>
      </c>
      <c r="HS264" s="224">
        <f>EXP(LN(HS13)+0.5*LN('Ecoinvent 3.10'!$E$6)^2)</f>
        <v>1.4055842171316095</v>
      </c>
      <c r="HT264" s="50">
        <f>EXP(LN(HT13)+0.5*LN('Ecoinvent 3.10'!$E$6)^2)</f>
        <v>1.4055842171316093</v>
      </c>
      <c r="HU264" s="224">
        <f>EXP(LN(HU13)+0.5*LN('Ecoinvent 3.10'!$E$6)^2)</f>
        <v>0.73264042205701629</v>
      </c>
      <c r="HV264" s="50">
        <f>EXP(LN(HV13)+0.5*LN('Ecoinvent 3.10'!$E$6)^2)</f>
        <v>0.73264042205701629</v>
      </c>
      <c r="HY264" s="147" t="s">
        <v>67</v>
      </c>
      <c r="HZ264" s="224">
        <f>EXP(LN(HZ13)+0.5*LN('Ecoinvent 3.10'!$E$6)^2)</f>
        <v>9.9754548563635694E-4</v>
      </c>
      <c r="IA264" s="50">
        <f>EXP(LN(IA13)+0.5*LN('Ecoinvent 3.10'!$E$6)^2)</f>
        <v>9.9754548563635694E-4</v>
      </c>
      <c r="IB264" s="224">
        <f>EXP(LN(IB13)+0.5*LN('Ecoinvent 3.10'!$E$6)^2)</f>
        <v>1.3343790262408408E-3</v>
      </c>
      <c r="IC264" s="50">
        <f>EXP(LN(IC13)+0.5*LN('Ecoinvent 3.10'!$E$6)^2)</f>
        <v>1.3343790262408397E-3</v>
      </c>
      <c r="ID264" s="224">
        <f>EXP(LN(ID13)+0.5*LN('Ecoinvent 3.10'!$E$6)^2)</f>
        <v>1.300597278741072E-3</v>
      </c>
      <c r="IE264" s="50">
        <f>EXP(LN(IE13)+0.5*LN('Ecoinvent 3.10'!$E$6)^2)</f>
        <v>1.300597278741072E-3</v>
      </c>
      <c r="IF264" s="224">
        <f>EXP(LN(IF13)+0.5*LN('Ecoinvent 3.10'!$E$6)^2)</f>
        <v>1.0815493160057335E-3</v>
      </c>
      <c r="IG264" s="50">
        <f>EXP(LN(IG13)+0.5*LN('Ecoinvent 3.10'!$E$6)^2)</f>
        <v>1.0815493160057335E-3</v>
      </c>
      <c r="IH264" s="224">
        <f>EXP(LN(IH13)+0.5*LN('Ecoinvent 3.10'!$E$6)^2)</f>
        <v>9.7854461924328298E-4</v>
      </c>
      <c r="II264" s="50">
        <f>EXP(LN(II13)+0.5*LN('Ecoinvent 3.10'!$E$6)^2)</f>
        <v>9.7854461924328298E-4</v>
      </c>
      <c r="IJ264" s="224">
        <f>EXP(LN(IJ13)+0.5*LN('Ecoinvent 3.10'!$E$6)^2)</f>
        <v>1.4448822893514107E-3</v>
      </c>
      <c r="IK264" s="50">
        <f>EXP(LN(IK13)+0.5*LN('Ecoinvent 3.10'!$E$6)^2)</f>
        <v>1.4448822893514107E-3</v>
      </c>
      <c r="IL264" s="224"/>
      <c r="IM264" s="224"/>
      <c r="IN264" s="224"/>
      <c r="IO264" s="224"/>
    </row>
    <row r="265" spans="2:249" ht="12.75" customHeight="1" x14ac:dyDescent="0.2">
      <c r="B265" s="248"/>
      <c r="C265" s="248"/>
      <c r="D265" s="248"/>
      <c r="E265" s="248"/>
      <c r="F265" s="248"/>
      <c r="G265" s="248"/>
      <c r="H265" s="248"/>
      <c r="I265" s="248"/>
      <c r="J265" s="248"/>
      <c r="K265" s="248"/>
      <c r="L265" s="248"/>
      <c r="M265" s="248"/>
      <c r="N265" s="248"/>
      <c r="O265" s="248"/>
      <c r="P265" s="248"/>
      <c r="Q265" s="248"/>
      <c r="R265" s="248"/>
      <c r="S265" s="248"/>
      <c r="T265" s="248"/>
      <c r="U265" s="248"/>
      <c r="V265" s="248"/>
      <c r="W265" s="248"/>
      <c r="X265" s="248"/>
      <c r="Y265" s="248"/>
      <c r="Z265" s="248"/>
      <c r="AA265" s="248"/>
      <c r="AB265" s="248"/>
      <c r="AC265" s="248"/>
      <c r="AD265" s="248"/>
      <c r="AE265" s="248"/>
      <c r="AF265" s="248"/>
      <c r="AG265" s="248"/>
      <c r="AH265" s="248"/>
      <c r="AI265" s="248"/>
      <c r="AJ265" s="248"/>
      <c r="AK265" s="248"/>
      <c r="AL265" s="248"/>
      <c r="AM265" s="248"/>
      <c r="AN265" s="137"/>
      <c r="AO265" s="248"/>
      <c r="AP265" s="726"/>
      <c r="AQ265" s="147" t="s">
        <v>68</v>
      </c>
      <c r="AR265" s="224">
        <f>EXP(LN(AR14)+0.5*LN('Ecoinvent 3.10'!$E$7)^2)</f>
        <v>62.048317543952898</v>
      </c>
      <c r="AS265" s="50">
        <f>EXP(LN(AS14)+0.5*LN('Ecoinvent 3.10'!$E$7)^2)</f>
        <v>62.048317543952898</v>
      </c>
      <c r="AT265" s="224">
        <f>EXP(LN(AT14)+0.5*LN('Ecoinvent 3.10'!$E$7)^2)</f>
        <v>82.99969749385906</v>
      </c>
      <c r="AU265" s="50">
        <f>EXP(LN(AU14)+0.5*LN('Ecoinvent 3.10'!$E$7)^2)</f>
        <v>82.99969749385906</v>
      </c>
      <c r="AV265" s="224">
        <f>EXP(LN(AV14)+0.5*LN('Ecoinvent 3.10'!$E$7)^2)</f>
        <v>80.898439329457588</v>
      </c>
      <c r="AW265" s="50">
        <f>EXP(LN(AW14)+0.5*LN('Ecoinvent 3.10'!$E$7)^2)</f>
        <v>80.898439329457588</v>
      </c>
      <c r="AX265" s="224">
        <f>EXP(LN(AX14)+0.5*LN('Ecoinvent 3.10'!$E$7)^2)</f>
        <v>67.273439021338419</v>
      </c>
      <c r="AY265" s="50">
        <f>EXP(LN(AY14)+0.5*LN('Ecoinvent 3.10'!$E$7)^2)</f>
        <v>67.273439021338419</v>
      </c>
      <c r="AZ265" s="224">
        <f>EXP(LN(AZ14)+0.5*LN('Ecoinvent 3.10'!$E$7)^2)</f>
        <v>60.866444828830005</v>
      </c>
      <c r="BA265" s="50">
        <f>EXP(LN(BA14)+0.5*LN('Ecoinvent 3.10'!$E$7)^2)</f>
        <v>60.866444828830005</v>
      </c>
      <c r="BB265" s="224">
        <f>EXP(LN(BB14)+0.5*LN('Ecoinvent 3.10'!$E$7)^2)</f>
        <v>89.873109942569272</v>
      </c>
      <c r="BC265" s="50">
        <f>EXP(LN(BC14)+0.5*LN('Ecoinvent 3.10'!$E$7)^2)</f>
        <v>89.873109942569272</v>
      </c>
      <c r="BD265" s="224">
        <f>EXP(LN(BD14)+0.5*LN('Ecoinvent 3.10'!$E$7)^2)</f>
        <v>113.61736368048267</v>
      </c>
      <c r="BE265" s="50">
        <f>EXP(LN(BE14)+0.5*LN('Ecoinvent 3.10'!$E$7)^2)</f>
        <v>113.61736368048267</v>
      </c>
      <c r="BF265" s="224">
        <f>EXP(LN(BF14)+0.5*LN('Ecoinvent 3.10'!$E$7)^2)</f>
        <v>60.751292095370054</v>
      </c>
      <c r="BG265" s="50">
        <f>EXP(LN(BG14)+0.5*LN('Ecoinvent 3.10'!$E$7)^2)</f>
        <v>60.751292095370054</v>
      </c>
      <c r="BI265" s="156"/>
      <c r="BJ265" s="147" t="s">
        <v>68</v>
      </c>
      <c r="BK265" s="224">
        <f>EXP(LN(BK14)+0.5*LN('Ecoinvent 3.10'!$E$7)^2)</f>
        <v>13.460442470904622</v>
      </c>
      <c r="BL265" s="50">
        <f>EXP(LN(BL14)+0.5*LN('Ecoinvent 3.10'!$E$7)^2)</f>
        <v>13.460442470904622</v>
      </c>
      <c r="BM265" s="224">
        <f>EXP(LN(BM14)+0.5*LN('Ecoinvent 3.10'!$E$7)^2)</f>
        <v>18.005526941599687</v>
      </c>
      <c r="BN265" s="50">
        <f>EXP(LN(BN14)+0.5*LN('Ecoinvent 3.10'!$E$7)^2)</f>
        <v>18.005526941599687</v>
      </c>
      <c r="BO265" s="224">
        <f>EXP(LN(BO14)+0.5*LN('Ecoinvent 3.10'!$E$7)^2)</f>
        <v>17.549690816495904</v>
      </c>
      <c r="BP265" s="50">
        <f>EXP(LN(BP14)+0.5*LN('Ecoinvent 3.10'!$E$7)^2)</f>
        <v>17.549690816495904</v>
      </c>
      <c r="BQ265" s="224">
        <f>EXP(LN(BQ14)+0.5*LN('Ecoinvent 3.10'!$E$7)^2)</f>
        <v>14.593953415822902</v>
      </c>
      <c r="BR265" s="50">
        <f>EXP(LN(BR14)+0.5*LN('Ecoinvent 3.10'!$E$7)^2)</f>
        <v>14.593953415822902</v>
      </c>
      <c r="BS265" s="224">
        <f>EXP(LN(BS14)+0.5*LN('Ecoinvent 3.10'!$E$7)^2)</f>
        <v>13.20405309050644</v>
      </c>
      <c r="BT265" s="50">
        <f>EXP(LN(BT14)+0.5*LN('Ecoinvent 3.10'!$E$7)^2)</f>
        <v>13.20405309050644</v>
      </c>
      <c r="BU265" s="224">
        <f>EXP(LN(BU14)+0.5*LN('Ecoinvent 3.10'!$E$7)^2)</f>
        <v>19.496609641450913</v>
      </c>
      <c r="BV265" s="50">
        <f>EXP(LN(BV14)+0.5*LN('Ecoinvent 3.10'!$E$7)^2)</f>
        <v>19.496609641450913</v>
      </c>
      <c r="BW265" s="224">
        <f>EXP(LN(BW14)+0.5*LN('Ecoinvent 3.10'!$E$7)^2)</f>
        <v>24.647565768945348</v>
      </c>
      <c r="BX265" s="50">
        <f>EXP(LN(BX14)+0.5*LN('Ecoinvent 3.10'!$E$7)^2)</f>
        <v>24.647565768945348</v>
      </c>
      <c r="BY265" s="224">
        <f>EXP(LN(BY14)+0.5*LN('Ecoinvent 3.10'!$E$7)^2)</f>
        <v>13.179072449524398</v>
      </c>
      <c r="BZ265" s="50">
        <f>EXP(LN(BZ14)+0.5*LN('Ecoinvent 3.10'!$E$7)^2)</f>
        <v>13.179072449524398</v>
      </c>
      <c r="CA265" s="156"/>
      <c r="CB265" s="156"/>
      <c r="CC265" s="147" t="s">
        <v>68</v>
      </c>
      <c r="CD265" s="224">
        <f>EXP(LN(CD14)+0.5*LN('Ecoinvent 3.10'!$E$7)^2)</f>
        <v>114.53826716990943</v>
      </c>
      <c r="CE265" s="50">
        <f>EXP(LN(CE14)+0.5*LN('Ecoinvent 3.10'!$E$7)^2)</f>
        <v>114.53826716990943</v>
      </c>
      <c r="CF265" s="224">
        <f>EXP(LN(CF14)+0.5*LN('Ecoinvent 3.10'!$E$7)^2)</f>
        <v>153.2135262142944</v>
      </c>
      <c r="CG265" s="50">
        <f>EXP(LN(CG14)+0.5*LN('Ecoinvent 3.10'!$E$7)^2)</f>
        <v>153.2135262142944</v>
      </c>
      <c r="CH265" s="224">
        <f>EXP(LN(CH14)+0.5*LN('Ecoinvent 3.10'!$E$7)^2)</f>
        <v>149.33470276583128</v>
      </c>
      <c r="CI265" s="50">
        <f>EXP(LN(CI14)+0.5*LN('Ecoinvent 3.10'!$E$7)^2)</f>
        <v>149.33470276583128</v>
      </c>
      <c r="CJ265" s="224">
        <f>EXP(LN(CJ14)+0.5*LN('Ecoinvent 3.10'!$E$7)^2)</f>
        <v>124.18359493158603</v>
      </c>
      <c r="CK265" s="50">
        <f>EXP(LN(CK14)+0.5*LN('Ecoinvent 3.10'!$E$7)^2)</f>
        <v>124.18359493158603</v>
      </c>
      <c r="CL265" s="224">
        <f>EXP(LN(CL14)+0.5*LN('Ecoinvent 3.10'!$E$7)^2)</f>
        <v>112.35658589048262</v>
      </c>
      <c r="CM265" s="50">
        <f>EXP(LN(CM14)+0.5*LN('Ecoinvent 3.10'!$E$7)^2)</f>
        <v>112.35658589048262</v>
      </c>
      <c r="CN265" s="224">
        <f>EXP(LN(CN14)+0.5*LN('Ecoinvent 3.10'!$E$7)^2)</f>
        <v>165.90152135391568</v>
      </c>
      <c r="CO265" s="50">
        <f>EXP(LN(CO14)+0.5*LN('Ecoinvent 3.10'!$E$7)^2)</f>
        <v>165.90152135391568</v>
      </c>
      <c r="CP265" s="224">
        <f>EXP(LN(CP14)+0.5*LN('Ecoinvent 3.10'!$E$7)^2)</f>
        <v>209.73229366223421</v>
      </c>
      <c r="CQ265" s="50">
        <f>EXP(LN(CQ14)+0.5*LN('Ecoinvent 3.10'!$E$7)^2)</f>
        <v>209.73229366223421</v>
      </c>
      <c r="CR265" s="224">
        <f>EXP(LN(CR14)+0.5*LN('Ecoinvent 3.10'!$E$7)^2)</f>
        <v>112.14401937663575</v>
      </c>
      <c r="CS265" s="50">
        <f>EXP(LN(CS14)+0.5*LN('Ecoinvent 3.10'!$E$7)^2)</f>
        <v>112.14401937663575</v>
      </c>
      <c r="CV265" s="147" t="s">
        <v>68</v>
      </c>
      <c r="CW265" s="224">
        <f>EXP(LN(CW14)+0.5*LN('Ecoinvent 3.10'!$E$7)^2)</f>
        <v>3.8612465850814917E-2</v>
      </c>
      <c r="CX265" s="50">
        <f>EXP(LN(CX14)+0.5*LN('Ecoinvent 3.10'!$E$7)^2)</f>
        <v>3.8612465850814917E-2</v>
      </c>
      <c r="CY265" s="224">
        <f>EXP(LN(CY14)+0.5*LN('Ecoinvent 3.10'!$E$7)^2)</f>
        <v>5.1650441332908255E-2</v>
      </c>
      <c r="CZ265" s="50">
        <f>EXP(LN(CZ14)+0.5*LN('Ecoinvent 3.10'!$E$7)^2)</f>
        <v>5.1650441332908255E-2</v>
      </c>
      <c r="DA265" s="224">
        <f>EXP(LN(DA14)+0.5*LN('Ecoinvent 3.10'!$E$7)^2)</f>
        <v>5.0342835223214366E-2</v>
      </c>
      <c r="DB265" s="50">
        <f>EXP(LN(DB14)+0.5*LN('Ecoinvent 3.10'!$E$7)^2)</f>
        <v>5.0342835223214366E-2</v>
      </c>
      <c r="DC265" s="224">
        <f>EXP(LN(DC14)+0.5*LN('Ecoinvent 3.10'!$E$7)^2)</f>
        <v>4.1864041922462479E-2</v>
      </c>
      <c r="DD265" s="50">
        <f>EXP(LN(DD14)+0.5*LN('Ecoinvent 3.10'!$E$7)^2)</f>
        <v>4.1864041922462479E-2</v>
      </c>
      <c r="DE265" s="224">
        <f>EXP(LN(DE14)+0.5*LN('Ecoinvent 3.10'!$E$7)^2)</f>
        <v>3.7876990310799392E-2</v>
      </c>
      <c r="DF265" s="50">
        <f>EXP(LN(DF14)+0.5*LN('Ecoinvent 3.10'!$E$7)^2)</f>
        <v>3.7876990310799392E-2</v>
      </c>
      <c r="DG265" s="224">
        <f>EXP(LN(DG14)+0.5*LN('Ecoinvent 3.10'!$E$7)^2)</f>
        <v>5.5927743505789732E-2</v>
      </c>
      <c r="DH265" s="50">
        <f>EXP(LN(DH14)+0.5*LN('Ecoinvent 3.10'!$E$7)^2)</f>
        <v>5.5927743505789732E-2</v>
      </c>
      <c r="DI265" s="224">
        <f>EXP(LN(DI14)+0.5*LN('Ecoinvent 3.10'!$E$7)^2)</f>
        <v>7.0703715246825519E-2</v>
      </c>
      <c r="DJ265" s="50">
        <f>EXP(LN(DJ14)+0.5*LN('Ecoinvent 3.10'!$E$7)^2)</f>
        <v>7.0703715246825519E-2</v>
      </c>
      <c r="DK265" s="224">
        <f>EXP(LN(DK14)+0.5*LN('Ecoinvent 3.10'!$E$7)^2)</f>
        <v>3.7805331139941119E-2</v>
      </c>
      <c r="DL265" s="50">
        <f>EXP(LN(DL14)+0.5*LN('Ecoinvent 3.10'!$E$7)^2)</f>
        <v>3.7805331139941119E-2</v>
      </c>
      <c r="DO265" s="147" t="s">
        <v>68</v>
      </c>
      <c r="DP265" s="224">
        <f>EXP(LN(DP14)+0.5*LN('Ecoinvent 3.10'!$E$7)^2)</f>
        <v>0.10050410383565718</v>
      </c>
      <c r="DQ265" s="50">
        <f>EXP(LN(DQ14)+0.5*LN('Ecoinvent 3.10'!$E$7)^2)</f>
        <v>0.10050410383565718</v>
      </c>
      <c r="DR265" s="224">
        <f>EXP(LN(DR14)+0.5*LN('Ecoinvent 3.10'!$E$7)^2)</f>
        <v>0.13444055448146347</v>
      </c>
      <c r="DS265" s="50">
        <f>EXP(LN(DS14)+0.5*LN('Ecoinvent 3.10'!$E$7)^2)</f>
        <v>0.13444055448146347</v>
      </c>
      <c r="DT265" s="224">
        <f>EXP(LN(DT14)+0.5*LN('Ecoinvent 3.10'!$E$7)^2)</f>
        <v>0.13103699614016059</v>
      </c>
      <c r="DU265" s="50">
        <f>EXP(LN(DU14)+0.5*LN('Ecoinvent 3.10'!$E$7)^2)</f>
        <v>0.13103699614016059</v>
      </c>
      <c r="DV265" s="224">
        <f>EXP(LN(DV14)+0.5*LN('Ecoinvent 3.10'!$E$7)^2)</f>
        <v>0.1089676073165546</v>
      </c>
      <c r="DW265" s="50">
        <f>EXP(LN(DW14)+0.5*LN('Ecoinvent 3.10'!$E$7)^2)</f>
        <v>0.1089676073165546</v>
      </c>
      <c r="DX265" s="224">
        <f>EXP(LN(DX14)+0.5*LN('Ecoinvent 3.10'!$E$7)^2)</f>
        <v>9.8589739953073185E-2</v>
      </c>
      <c r="DY265" s="50">
        <f>EXP(LN(DY14)+0.5*LN('Ecoinvent 3.10'!$E$7)^2)</f>
        <v>9.8589739953073185E-2</v>
      </c>
      <c r="DZ265" s="224">
        <f>EXP(LN(DZ14)+0.5*LN('Ecoinvent 3.10'!$E$7)^2)</f>
        <v>0.14557391289945967</v>
      </c>
      <c r="EA265" s="50">
        <f>EXP(LN(EA14)+0.5*LN('Ecoinvent 3.10'!$E$7)^2)</f>
        <v>0.14557391289945967</v>
      </c>
      <c r="EB265" s="224">
        <f>EXP(LN(EB14)+0.5*LN('Ecoinvent 3.10'!$E$7)^2)</f>
        <v>0.18403418124573667</v>
      </c>
      <c r="EC265" s="50">
        <f>EXP(LN(EC14)+0.5*LN('Ecoinvent 3.10'!$E$7)^2)</f>
        <v>0.18403418124573667</v>
      </c>
      <c r="ED265" s="224">
        <f>EXP(LN(ED14)+0.5*LN('Ecoinvent 3.10'!$E$7)^2)</f>
        <v>9.8403218823432267E-2</v>
      </c>
      <c r="EE265" s="50">
        <f>EXP(LN(EE14)+0.5*LN('Ecoinvent 3.10'!$E$7)^2)</f>
        <v>9.8403218823432267E-2</v>
      </c>
      <c r="EH265" s="147" t="s">
        <v>68</v>
      </c>
      <c r="EI265" s="224">
        <f>EXP(LN(EI14)+0.5*LN('Ecoinvent 3.10'!$E$7)^2)</f>
        <v>0.41529213539768139</v>
      </c>
      <c r="EJ265" s="50">
        <f>EXP(LN(EJ14)+0.5*LN('Ecoinvent 3.10'!$E$7)^2)</f>
        <v>0.41529213539768139</v>
      </c>
      <c r="EK265" s="224">
        <f>EXP(LN(EK14)+0.5*LN('Ecoinvent 3.10'!$E$7)^2)</f>
        <v>0.55552064864884654</v>
      </c>
      <c r="EL265" s="50">
        <f>EXP(LN(EL14)+0.5*LN('Ecoinvent 3.10'!$E$7)^2)</f>
        <v>0.55552064864884654</v>
      </c>
      <c r="EM265" s="224">
        <f>EXP(LN(EM14)+0.5*LN('Ecoinvent 3.10'!$E$7)^2)</f>
        <v>0.54145683475900219</v>
      </c>
      <c r="EN265" s="50">
        <f>EXP(LN(EN14)+0.5*LN('Ecoinvent 3.10'!$E$7)^2)</f>
        <v>0.54145683475900219</v>
      </c>
      <c r="EO265" s="224">
        <f>EXP(LN(EO14)+0.5*LN('Ecoinvent 3.10'!$E$7)^2)</f>
        <v>0.45026410469432809</v>
      </c>
      <c r="EP265" s="50">
        <f>EXP(LN(EP14)+0.5*LN('Ecoinvent 3.10'!$E$7)^2)</f>
        <v>0.45026410469432809</v>
      </c>
      <c r="EQ265" s="224">
        <f>EXP(LN(EQ14)+0.5*LN('Ecoinvent 3.10'!$E$7)^2)</f>
        <v>0.40738180900915405</v>
      </c>
      <c r="ER265" s="50">
        <f>EXP(LN(ER14)+0.5*LN('Ecoinvent 3.10'!$E$7)^2)</f>
        <v>0.40738180900915405</v>
      </c>
      <c r="ES265" s="224">
        <f>EXP(LN(ES14)+0.5*LN('Ecoinvent 3.10'!$E$7)^2)</f>
        <v>0.60152470236507904</v>
      </c>
      <c r="ET265" s="50">
        <f>EXP(LN(ET14)+0.5*LN('Ecoinvent 3.10'!$E$7)^2)</f>
        <v>0.60152470236507904</v>
      </c>
      <c r="EU265" s="224">
        <f>EXP(LN(EU14)+0.5*LN('Ecoinvent 3.10'!$E$7)^2)</f>
        <v>0.76044604348375433</v>
      </c>
      <c r="EV265" s="50">
        <f>EXP(LN(EV14)+0.5*LN('Ecoinvent 3.10'!$E$7)^2)</f>
        <v>0.76044604348375433</v>
      </c>
      <c r="EW265" s="224">
        <f>EXP(LN(EW14)+0.5*LN('Ecoinvent 3.10'!$E$7)^2)</f>
        <v>0.40661108666778539</v>
      </c>
      <c r="EX265" s="50">
        <f>EXP(LN(EX14)+0.5*LN('Ecoinvent 3.10'!$E$7)^2)</f>
        <v>0.40661108666778539</v>
      </c>
      <c r="FA265" s="147" t="s">
        <v>68</v>
      </c>
      <c r="FB265" s="224">
        <f>EXP(LN(FB14)+0.5*LN('Ecoinvent 3.10'!$E$7)^2)</f>
        <v>3.6055682452575586E-3</v>
      </c>
      <c r="FC265" s="50">
        <f>EXP(LN(FC14)+0.5*LN('Ecoinvent 3.10'!$E$7)^2)</f>
        <v>3.6055682452575586E-3</v>
      </c>
      <c r="FD265" s="224">
        <f>EXP(LN(FD14)+0.5*LN('Ecoinvent 3.10'!$E$7)^2)</f>
        <v>4.8230328475523179E-3</v>
      </c>
      <c r="FE265" s="50">
        <f>EXP(LN(FE14)+0.5*LN('Ecoinvent 3.10'!$E$7)^2)</f>
        <v>4.8230328475523179E-3</v>
      </c>
      <c r="FF265" s="224">
        <f>EXP(LN(FF14)+0.5*LN('Ecoinvent 3.10'!$E$7)^2)</f>
        <v>4.7009307501459313E-3</v>
      </c>
      <c r="FG265" s="50">
        <f>EXP(LN(FG14)+0.5*LN('Ecoinvent 3.10'!$E$7)^2)</f>
        <v>4.7009307501459313E-3</v>
      </c>
      <c r="FH265" s="224">
        <f>EXP(LN(FH14)+0.5*LN('Ecoinvent 3.10'!$E$7)^2)</f>
        <v>3.9091950448581925E-3</v>
      </c>
      <c r="FI265" s="50">
        <f>EXP(LN(FI14)+0.5*LN('Ecoinvent 3.10'!$E$7)^2)</f>
        <v>3.9091950448581925E-3</v>
      </c>
      <c r="FJ265" s="224">
        <f>EXP(LN(FJ14)+0.5*LN('Ecoinvent 3.10'!$E$7)^2)</f>
        <v>3.5368907548716986E-3</v>
      </c>
      <c r="FK265" s="50">
        <f>EXP(LN(FK14)+0.5*LN('Ecoinvent 3.10'!$E$7)^2)</f>
        <v>3.5368907548716986E-3</v>
      </c>
      <c r="FL265" s="224">
        <f>EXP(LN(FL14)+0.5*LN('Ecoinvent 3.10'!$E$7)^2)</f>
        <v>5.2224402552402448E-3</v>
      </c>
      <c r="FM265" s="50">
        <f>EXP(LN(FM14)+0.5*LN('Ecoinvent 3.10'!$E$7)^2)</f>
        <v>5.2224402552402448E-3</v>
      </c>
      <c r="FN265" s="224">
        <f>EXP(LN(FN14)+0.5*LN('Ecoinvent 3.10'!$E$7)^2)</f>
        <v>6.6021960757605093E-3</v>
      </c>
      <c r="FO265" s="50">
        <f>EXP(LN(FO14)+0.5*LN('Ecoinvent 3.10'!$E$7)^2)</f>
        <v>6.6021960757605093E-3</v>
      </c>
      <c r="FP265" s="224">
        <f>EXP(LN(FP14)+0.5*LN('Ecoinvent 3.10'!$E$7)^2)</f>
        <v>3.5301993399300489E-3</v>
      </c>
      <c r="FQ265" s="50">
        <f>EXP(LN(FQ14)+0.5*LN('Ecoinvent 3.10'!$E$7)^2)</f>
        <v>3.5301993399300489E-3</v>
      </c>
      <c r="FT265" s="147" t="s">
        <v>68</v>
      </c>
      <c r="FU265" s="224">
        <f>EXP(LN(FU14)+0.5*LN('Ecoinvent 3.10'!$E$7)^2)</f>
        <v>0.44617796034165025</v>
      </c>
      <c r="FV265" s="50">
        <f>EXP(LN(FV14)+0.5*LN('Ecoinvent 3.10'!$E$7)^2)</f>
        <v>0.44617796034165025</v>
      </c>
      <c r="FW265" s="224">
        <f>EXP(LN(FW14)+0.5*LN('Ecoinvent 3.10'!$E$7)^2)</f>
        <v>0.59683545344402555</v>
      </c>
      <c r="FX265" s="50">
        <f>EXP(LN(FX14)+0.5*LN('Ecoinvent 3.10'!$E$7)^2)</f>
        <v>0.59683545344402555</v>
      </c>
      <c r="FY265" s="224">
        <f>EXP(LN(FY14)+0.5*LN('Ecoinvent 3.10'!$E$7)^2)</f>
        <v>0.58172569512898697</v>
      </c>
      <c r="FZ265" s="50">
        <f>EXP(LN(FZ14)+0.5*LN('Ecoinvent 3.10'!$E$7)^2)</f>
        <v>0.58172569512898697</v>
      </c>
      <c r="GA265" s="224">
        <f>EXP(LN(GA14)+0.5*LN('Ecoinvent 3.10'!$E$7)^2)</f>
        <v>0.48375084121252587</v>
      </c>
      <c r="GB265" s="50">
        <f>EXP(LN(GB14)+0.5*LN('Ecoinvent 3.10'!$E$7)^2)</f>
        <v>0.48375084121252587</v>
      </c>
      <c r="GC265" s="224">
        <f>EXP(LN(GC14)+0.5*LN('Ecoinvent 3.10'!$E$7)^2)</f>
        <v>0.43767933252561869</v>
      </c>
      <c r="GD265" s="50">
        <f>EXP(LN(GD14)+0.5*LN('Ecoinvent 3.10'!$E$7)^2)</f>
        <v>0.43767933252561869</v>
      </c>
      <c r="GE265" s="224">
        <f>EXP(LN(GE14)+0.5*LN('Ecoinvent 3.10'!$E$7)^2)</f>
        <v>0.64626088943235893</v>
      </c>
      <c r="GF265" s="50">
        <f>EXP(LN(GF14)+0.5*LN('Ecoinvent 3.10'!$E$7)^2)</f>
        <v>0.64626088943235893</v>
      </c>
      <c r="GG265" s="224">
        <f>EXP(LN(GG14)+0.5*LN('Ecoinvent 3.10'!$E$7)^2)</f>
        <v>0.81700142071448845</v>
      </c>
      <c r="GH265" s="50">
        <f>EXP(LN(GH14)+0.5*LN('Ecoinvent 3.10'!$E$7)^2)</f>
        <v>0.81700142071448845</v>
      </c>
      <c r="GI265" s="224">
        <f>EXP(LN(GI14)+0.5*LN('Ecoinvent 3.10'!$E$7)^2)</f>
        <v>0.43685129054516486</v>
      </c>
      <c r="GJ265" s="50">
        <f>EXP(LN(GJ14)+0.5*LN('Ecoinvent 3.10'!$E$7)^2)</f>
        <v>0.43685129054516486</v>
      </c>
      <c r="GM265" s="147" t="s">
        <v>68</v>
      </c>
      <c r="GN265" s="224">
        <f>EXP(LN(GN14)+0.5*LN('Ecoinvent 3.10'!$E$7)^2)</f>
        <v>1.7879707773319116</v>
      </c>
      <c r="GO265" s="50">
        <f>EXP(LN(GO14)+0.5*LN('Ecoinvent 3.10'!$E$7)^2)</f>
        <v>1.7879707773319116</v>
      </c>
      <c r="GP265" s="224">
        <f>EXP(LN(GP14)+0.5*LN('Ecoinvent 3.10'!$E$7)^2)</f>
        <v>2.3917011696777517</v>
      </c>
      <c r="GQ265" s="50">
        <f>EXP(LN(GQ14)+0.5*LN('Ecoinvent 3.10'!$E$7)^2)</f>
        <v>2.3917011696777517</v>
      </c>
      <c r="GR265" s="224">
        <f>EXP(LN(GR14)+0.5*LN('Ecoinvent 3.10'!$E$7)^2)</f>
        <v>2.3311517729770492</v>
      </c>
      <c r="GS265" s="50">
        <f>EXP(LN(GS14)+0.5*LN('Ecoinvent 3.10'!$E$7)^2)</f>
        <v>2.3311517729770492</v>
      </c>
      <c r="GT265" s="224">
        <f>EXP(LN(GT14)+0.5*LN('Ecoinvent 3.10'!$E$7)^2)</f>
        <v>1.9385367375282827</v>
      </c>
      <c r="GU265" s="50">
        <f>EXP(LN(GU14)+0.5*LN('Ecoinvent 3.10'!$E$7)^2)</f>
        <v>1.9385367375282827</v>
      </c>
      <c r="GV265" s="224">
        <f>EXP(LN(GV14)+0.5*LN('Ecoinvent 3.10'!$E$7)^2)</f>
        <v>1.7539141910970177</v>
      </c>
      <c r="GW265" s="50">
        <f>EXP(LN(GW14)+0.5*LN('Ecoinvent 3.10'!$E$7)^2)</f>
        <v>1.7539141910970177</v>
      </c>
      <c r="GX265" s="224">
        <f>EXP(LN(GX14)+0.5*LN('Ecoinvent 3.10'!$E$7)^2)</f>
        <v>2.5897639227916911</v>
      </c>
      <c r="GY265" s="50">
        <f>EXP(LN(GY14)+0.5*LN('Ecoinvent 3.10'!$E$7)^2)</f>
        <v>2.5897639227916911</v>
      </c>
      <c r="GZ265" s="224">
        <f>EXP(LN(GZ14)+0.5*LN('Ecoinvent 3.10'!$E$7)^2)</f>
        <v>3.2739731567144332</v>
      </c>
      <c r="HA265" s="50">
        <f>EXP(LN(HA14)+0.5*LN('Ecoinvent 3.10'!$E$7)^2)</f>
        <v>3.2739731567144332</v>
      </c>
      <c r="HB265" s="224">
        <f>EXP(LN(HB14)+0.5*LN('Ecoinvent 3.10'!$E$7)^2)</f>
        <v>1.7505959750598075</v>
      </c>
      <c r="HC265" s="50">
        <f>EXP(LN(HC14)+0.5*LN('Ecoinvent 3.10'!$E$7)^2)</f>
        <v>1.7505959750598075</v>
      </c>
      <c r="HF265" s="147" t="s">
        <v>68</v>
      </c>
      <c r="HG265" s="224">
        <f>EXP(LN(HG14)+0.5*LN('Ecoinvent 3.10'!$E$7)^2)</f>
        <v>11.065717070213017</v>
      </c>
      <c r="HH265" s="50">
        <f>EXP(LN(HH14)+0.5*LN('Ecoinvent 3.10'!$E$7)^2)</f>
        <v>11.065717070213017</v>
      </c>
      <c r="HI265" s="224">
        <f>EXP(LN(HI14)+0.5*LN('Ecoinvent 3.10'!$E$7)^2)</f>
        <v>14.802192964051176</v>
      </c>
      <c r="HJ265" s="50">
        <f>EXP(LN(HJ14)+0.5*LN('Ecoinvent 3.10'!$E$7)^2)</f>
        <v>14.802192964051176</v>
      </c>
      <c r="HK265" s="224">
        <f>EXP(LN(HK14)+0.5*LN('Ecoinvent 3.10'!$E$7)^2)</f>
        <v>14.427453901670138</v>
      </c>
      <c r="HL265" s="50">
        <f>EXP(LN(HL14)+0.5*LN('Ecoinvent 3.10'!$E$7)^2)</f>
        <v>14.427453901670138</v>
      </c>
      <c r="HM265" s="224">
        <f>EXP(LN(HM14)+0.5*LN('Ecoinvent 3.10'!$E$7)^2)</f>
        <v>11.997566928757269</v>
      </c>
      <c r="HN265" s="50">
        <f>EXP(LN(HN14)+0.5*LN('Ecoinvent 3.10'!$E$7)^2)</f>
        <v>11.997566928757269</v>
      </c>
      <c r="HO265" s="224">
        <f>EXP(LN(HO14)+0.5*LN('Ecoinvent 3.10'!$E$7)^2)</f>
        <v>10.854941506970864</v>
      </c>
      <c r="HP265" s="50">
        <f>EXP(LN(HP14)+0.5*LN('Ecoinvent 3.10'!$E$7)^2)</f>
        <v>10.854941506970864</v>
      </c>
      <c r="HQ265" s="224">
        <f>EXP(LN(HQ14)+0.5*LN('Ecoinvent 3.10'!$E$7)^2)</f>
        <v>16.027999568886667</v>
      </c>
      <c r="HR265" s="50">
        <f>EXP(LN(HR14)+0.5*LN('Ecoinvent 3.10'!$E$7)^2)</f>
        <v>16.027999568886667</v>
      </c>
      <c r="HS265" s="224">
        <f>EXP(LN(HS14)+0.5*LN('Ecoinvent 3.10'!$E$7)^2)</f>
        <v>20.262557479678943</v>
      </c>
      <c r="HT265" s="50">
        <f>EXP(LN(HT14)+0.5*LN('Ecoinvent 3.10'!$E$7)^2)</f>
        <v>20.262557479678943</v>
      </c>
      <c r="HU265" s="224">
        <f>EXP(LN(HU14)+0.5*LN('Ecoinvent 3.10'!$E$7)^2)</f>
        <v>10.834405131146864</v>
      </c>
      <c r="HV265" s="50">
        <f>EXP(LN(HV14)+0.5*LN('Ecoinvent 3.10'!$E$7)^2)</f>
        <v>10.834405131146864</v>
      </c>
      <c r="HY265" s="147" t="s">
        <v>68</v>
      </c>
      <c r="HZ265" s="224">
        <f>EXP(LN(HZ14)+0.5*LN('Ecoinvent 3.10'!$E$7)^2)</f>
        <v>1.7290136630503793E-2</v>
      </c>
      <c r="IA265" s="50">
        <f>EXP(LN(IA14)+0.5*LN('Ecoinvent 3.10'!$E$7)^2)</f>
        <v>1.7290136630503793E-2</v>
      </c>
      <c r="IB265" s="224">
        <f>EXP(LN(IB14)+0.5*LN('Ecoinvent 3.10'!$E$7)^2)</f>
        <v>2.3128364583660903E-2</v>
      </c>
      <c r="IC265" s="50">
        <f>EXP(LN(IC14)+0.5*LN('Ecoinvent 3.10'!$E$7)^2)</f>
        <v>2.3128364583660903E-2</v>
      </c>
      <c r="ID265" s="224">
        <f>EXP(LN(ID14)+0.5*LN('Ecoinvent 3.10'!$E$7)^2)</f>
        <v>2.2542836366353035E-2</v>
      </c>
      <c r="IE265" s="50">
        <f>EXP(LN(IE14)+0.5*LN('Ecoinvent 3.10'!$E$7)^2)</f>
        <v>2.2542836366353035E-2</v>
      </c>
      <c r="IF265" s="224">
        <f>EXP(LN(IF14)+0.5*LN('Ecoinvent 3.10'!$E$7)^2)</f>
        <v>1.8746148136230413E-2</v>
      </c>
      <c r="IG265" s="50">
        <f>EXP(LN(IG14)+0.5*LN('Ecoinvent 3.10'!$E$7)^2)</f>
        <v>1.8746148136230413E-2</v>
      </c>
      <c r="IH265" s="224">
        <f>EXP(LN(IH14)+0.5*LN('Ecoinvent 3.10'!$E$7)^2)</f>
        <v>1.6960800694684662E-2</v>
      </c>
      <c r="II265" s="50">
        <f>EXP(LN(II14)+0.5*LN('Ecoinvent 3.10'!$E$7)^2)</f>
        <v>1.6960800694684662E-2</v>
      </c>
      <c r="IJ265" s="224">
        <f>EXP(LN(IJ14)+0.5*LN('Ecoinvent 3.10'!$E$7)^2)</f>
        <v>2.5043682275745324E-2</v>
      </c>
      <c r="IK265" s="50">
        <f>EXP(LN(IK14)+0.5*LN('Ecoinvent 3.10'!$E$7)^2)</f>
        <v>2.5043682275745324E-2</v>
      </c>
      <c r="IL265" s="224"/>
      <c r="IM265" s="224"/>
      <c r="IN265" s="224"/>
      <c r="IO265" s="224"/>
    </row>
    <row r="266" spans="2:249" ht="12.75" customHeight="1" x14ac:dyDescent="0.2">
      <c r="B266" s="248"/>
      <c r="C266" s="248"/>
      <c r="D266" s="248"/>
      <c r="E266" s="248"/>
      <c r="F266" s="248"/>
      <c r="G266" s="248"/>
      <c r="H266" s="248"/>
      <c r="I266" s="248"/>
      <c r="J266" s="248"/>
      <c r="K266" s="248"/>
      <c r="L266" s="248"/>
      <c r="M266" s="248"/>
      <c r="N266" s="248"/>
      <c r="O266" s="248"/>
      <c r="P266" s="248"/>
      <c r="Q266" s="248"/>
      <c r="R266" s="248"/>
      <c r="S266" s="248"/>
      <c r="T266" s="248"/>
      <c r="U266" s="248"/>
      <c r="V266" s="248"/>
      <c r="W266" s="248"/>
      <c r="X266" s="248"/>
      <c r="Y266" s="248"/>
      <c r="Z266" s="248"/>
      <c r="AA266" s="248"/>
      <c r="AB266" s="248"/>
      <c r="AC266" s="248"/>
      <c r="AD266" s="248"/>
      <c r="AE266" s="248"/>
      <c r="AF266" s="248"/>
      <c r="AG266" s="248"/>
      <c r="AH266" s="248"/>
      <c r="AI266" s="248"/>
      <c r="AJ266" s="248"/>
      <c r="AK266" s="248"/>
      <c r="AL266" s="248"/>
      <c r="AM266" s="248"/>
      <c r="AN266" s="137"/>
      <c r="AO266" s="248"/>
      <c r="AP266" s="726"/>
      <c r="AQ266" s="147" t="s">
        <v>223</v>
      </c>
      <c r="AR266" s="259">
        <f>SUM(AR267:AR283)</f>
        <v>262.5923040390781</v>
      </c>
      <c r="AS266" s="57">
        <f t="shared" ref="AS266:BC266" si="3083">SUM(AS267:AS283)</f>
        <v>262.5923040390781</v>
      </c>
      <c r="AT266" s="259">
        <f t="shared" si="3083"/>
        <v>384.45923505199642</v>
      </c>
      <c r="AU266" s="57">
        <f t="shared" si="3083"/>
        <v>384.45923505199642</v>
      </c>
      <c r="AV266" s="259">
        <f t="shared" si="3083"/>
        <v>393.15148905056185</v>
      </c>
      <c r="AW266" s="57">
        <f t="shared" si="3083"/>
        <v>393.15148905056185</v>
      </c>
      <c r="AX266" s="259">
        <f t="shared" si="3083"/>
        <v>289.30888563860839</v>
      </c>
      <c r="AY266" s="57">
        <f t="shared" si="3083"/>
        <v>289.30888563860839</v>
      </c>
      <c r="AZ266" s="259">
        <f t="shared" si="3083"/>
        <v>242.01877039353087</v>
      </c>
      <c r="BA266" s="57">
        <f t="shared" si="3083"/>
        <v>242.01877039353087</v>
      </c>
      <c r="BB266" s="259">
        <f t="shared" si="3083"/>
        <v>0</v>
      </c>
      <c r="BC266" s="57">
        <f t="shared" si="3083"/>
        <v>0</v>
      </c>
      <c r="BD266" s="259">
        <f t="shared" ref="BD266:BG266" si="3084">SUM(BD267:BD283)</f>
        <v>197.39599043009156</v>
      </c>
      <c r="BE266" s="57">
        <f t="shared" si="3084"/>
        <v>197.39599043009156</v>
      </c>
      <c r="BF266" s="259">
        <f t="shared" si="3084"/>
        <v>242.01877039353087</v>
      </c>
      <c r="BG266" s="57">
        <f t="shared" si="3084"/>
        <v>242.01877039353087</v>
      </c>
      <c r="BI266" s="156"/>
      <c r="BJ266" s="147" t="s">
        <v>223</v>
      </c>
      <c r="BK266" s="259">
        <f>SUM(BK267:BK283)</f>
        <v>28.920983339179312</v>
      </c>
      <c r="BL266" s="57">
        <f t="shared" ref="BL266:BZ266" si="3085">SUM(BL267:BL283)</f>
        <v>28.920983339179312</v>
      </c>
      <c r="BM266" s="259">
        <f t="shared" si="3085"/>
        <v>43.051678867067679</v>
      </c>
      <c r="BN266" s="57">
        <f t="shared" si="3085"/>
        <v>43.051678867067679</v>
      </c>
      <c r="BO266" s="259">
        <f t="shared" si="3085"/>
        <v>43.128997196846612</v>
      </c>
      <c r="BP266" s="57">
        <f t="shared" si="3085"/>
        <v>43.128997196846612</v>
      </c>
      <c r="BQ266" s="259">
        <f t="shared" si="3085"/>
        <v>32.223932096576434</v>
      </c>
      <c r="BR266" s="57">
        <f t="shared" si="3085"/>
        <v>32.223932096576434</v>
      </c>
      <c r="BS266" s="259">
        <f t="shared" si="3085"/>
        <v>26.867706973240633</v>
      </c>
      <c r="BT266" s="57">
        <f t="shared" si="3085"/>
        <v>26.867706973240633</v>
      </c>
      <c r="BU266" s="259">
        <f t="shared" si="3085"/>
        <v>0</v>
      </c>
      <c r="BV266" s="57">
        <f t="shared" si="3085"/>
        <v>0</v>
      </c>
      <c r="BW266" s="259">
        <f t="shared" si="3085"/>
        <v>23.120293881404692</v>
      </c>
      <c r="BX266" s="57">
        <f t="shared" si="3085"/>
        <v>23.120293881404692</v>
      </c>
      <c r="BY266" s="259">
        <f t="shared" si="3085"/>
        <v>26.867706973240633</v>
      </c>
      <c r="BZ266" s="57">
        <f t="shared" si="3085"/>
        <v>26.867706973240633</v>
      </c>
      <c r="CA266" s="156"/>
      <c r="CB266" s="156"/>
      <c r="CC266" s="147" t="s">
        <v>223</v>
      </c>
      <c r="CD266" s="259">
        <f>SUM(CD267:CD283)</f>
        <v>981.10389314106044</v>
      </c>
      <c r="CE266" s="57">
        <f t="shared" ref="CE266:CS266" si="3086">SUM(CE267:CE283)</f>
        <v>981.10389314106044</v>
      </c>
      <c r="CF266" s="259">
        <f t="shared" si="3086"/>
        <v>1363.4611434316446</v>
      </c>
      <c r="CG266" s="57">
        <f t="shared" si="3086"/>
        <v>1363.4611434316446</v>
      </c>
      <c r="CH266" s="259">
        <f t="shared" si="3086"/>
        <v>1421.6023129629132</v>
      </c>
      <c r="CI266" s="57">
        <f t="shared" si="3086"/>
        <v>1421.6023129629132</v>
      </c>
      <c r="CJ266" s="259">
        <f t="shared" si="3086"/>
        <v>1061.5664454322146</v>
      </c>
      <c r="CK266" s="57">
        <f t="shared" si="3086"/>
        <v>1061.5664454322146</v>
      </c>
      <c r="CL266" s="259">
        <f t="shared" si="3086"/>
        <v>902.49925203182499</v>
      </c>
      <c r="CM266" s="57">
        <f t="shared" si="3086"/>
        <v>902.49925203182499</v>
      </c>
      <c r="CN266" s="259">
        <f t="shared" si="3086"/>
        <v>0</v>
      </c>
      <c r="CO266" s="57">
        <f t="shared" si="3086"/>
        <v>0</v>
      </c>
      <c r="CP266" s="259">
        <f t="shared" si="3086"/>
        <v>585.40617427366806</v>
      </c>
      <c r="CQ266" s="57">
        <f t="shared" si="3086"/>
        <v>585.40617427366806</v>
      </c>
      <c r="CR266" s="259">
        <f t="shared" si="3086"/>
        <v>902.49925203182499</v>
      </c>
      <c r="CS266" s="57">
        <f t="shared" si="3086"/>
        <v>902.49925203182499</v>
      </c>
      <c r="CV266" s="147" t="s">
        <v>223</v>
      </c>
      <c r="CW266" s="259">
        <f>SUM(CW267:CW283)</f>
        <v>0.24513898385834396</v>
      </c>
      <c r="CX266" s="57">
        <f t="shared" ref="CX266:DL266" si="3087">SUM(CX267:CX283)</f>
        <v>0.24513898385834396</v>
      </c>
      <c r="CY266" s="259">
        <f t="shared" si="3087"/>
        <v>0.31238006310599931</v>
      </c>
      <c r="CZ266" s="57">
        <f t="shared" si="3087"/>
        <v>0.31238006310599931</v>
      </c>
      <c r="DA266" s="259">
        <f t="shared" si="3087"/>
        <v>0.32156908817233443</v>
      </c>
      <c r="DB266" s="57">
        <f t="shared" si="3087"/>
        <v>0.32156908817233443</v>
      </c>
      <c r="DC266" s="259">
        <f t="shared" si="3087"/>
        <v>0.26122337966369374</v>
      </c>
      <c r="DD266" s="57">
        <f t="shared" si="3087"/>
        <v>0.26122337966369374</v>
      </c>
      <c r="DE266" s="259">
        <f t="shared" si="3087"/>
        <v>0.23187859012224274</v>
      </c>
      <c r="DF266" s="57">
        <f t="shared" si="3087"/>
        <v>0.23187859012224274</v>
      </c>
      <c r="DG266" s="259">
        <f t="shared" si="3087"/>
        <v>0</v>
      </c>
      <c r="DH266" s="57">
        <f t="shared" si="3087"/>
        <v>0</v>
      </c>
      <c r="DI266" s="259">
        <f t="shared" si="3087"/>
        <v>0.16925012166358047</v>
      </c>
      <c r="DJ266" s="57">
        <f t="shared" si="3087"/>
        <v>0.16925012166358047</v>
      </c>
      <c r="DK266" s="259">
        <f t="shared" si="3087"/>
        <v>0.23187859012224274</v>
      </c>
      <c r="DL266" s="57">
        <f t="shared" si="3087"/>
        <v>0.23187859012224274</v>
      </c>
      <c r="DO266" s="147" t="s">
        <v>223</v>
      </c>
      <c r="DP266" s="259">
        <f>SUM(DP267:DP283)</f>
        <v>20.644437326293559</v>
      </c>
      <c r="DQ266" s="57">
        <f t="shared" ref="DQ266:EE266" si="3088">SUM(DQ267:DQ283)</f>
        <v>20.644437326293559</v>
      </c>
      <c r="DR266" s="259">
        <f t="shared" si="3088"/>
        <v>28.078527393287949</v>
      </c>
      <c r="DS266" s="57">
        <f t="shared" si="3088"/>
        <v>28.078527393287949</v>
      </c>
      <c r="DT266" s="259">
        <f t="shared" si="3088"/>
        <v>27.847937935418088</v>
      </c>
      <c r="DU266" s="57">
        <f t="shared" si="3088"/>
        <v>27.847937935418088</v>
      </c>
      <c r="DV266" s="259">
        <f t="shared" si="3088"/>
        <v>22.378911552686709</v>
      </c>
      <c r="DW266" s="57">
        <f t="shared" si="3088"/>
        <v>22.378911552686709</v>
      </c>
      <c r="DX266" s="259">
        <f t="shared" si="3088"/>
        <v>19.71668764927281</v>
      </c>
      <c r="DY266" s="57">
        <f t="shared" si="3088"/>
        <v>19.71668764927281</v>
      </c>
      <c r="DZ266" s="259">
        <f t="shared" si="3088"/>
        <v>0</v>
      </c>
      <c r="EA266" s="57">
        <f t="shared" si="3088"/>
        <v>0</v>
      </c>
      <c r="EB266" s="259">
        <f t="shared" si="3088"/>
        <v>3.4145339066193894</v>
      </c>
      <c r="EC266" s="57">
        <f t="shared" si="3088"/>
        <v>3.4145339066193894</v>
      </c>
      <c r="ED266" s="259">
        <f t="shared" si="3088"/>
        <v>19.71668764927281</v>
      </c>
      <c r="EE266" s="57">
        <f t="shared" si="3088"/>
        <v>19.71668764927281</v>
      </c>
      <c r="EH266" s="147" t="s">
        <v>223</v>
      </c>
      <c r="EI266" s="259">
        <f>SUM(EI267:EI283)</f>
        <v>3.2631264019372663</v>
      </c>
      <c r="EJ266" s="57">
        <f t="shared" ref="EJ266:EX266" si="3089">SUM(EJ267:EJ283)</f>
        <v>3.2631264019372663</v>
      </c>
      <c r="EK266" s="259">
        <f t="shared" si="3089"/>
        <v>4.890671499164073</v>
      </c>
      <c r="EL266" s="57">
        <f t="shared" si="3089"/>
        <v>4.890671499164073</v>
      </c>
      <c r="EM266" s="259">
        <f t="shared" si="3089"/>
        <v>5.0877511105829907</v>
      </c>
      <c r="EN266" s="57">
        <f t="shared" si="3089"/>
        <v>5.0877511105829907</v>
      </c>
      <c r="EO266" s="259">
        <f t="shared" si="3089"/>
        <v>3.5927652238808747</v>
      </c>
      <c r="EP266" s="57">
        <f t="shared" si="3089"/>
        <v>3.5927652238808747</v>
      </c>
      <c r="EQ266" s="259">
        <f t="shared" si="3089"/>
        <v>2.9589047516652651</v>
      </c>
      <c r="ER266" s="57">
        <f t="shared" si="3089"/>
        <v>2.9589047516652651</v>
      </c>
      <c r="ES266" s="259">
        <f t="shared" si="3089"/>
        <v>0</v>
      </c>
      <c r="ET266" s="57">
        <f t="shared" si="3089"/>
        <v>0</v>
      </c>
      <c r="EU266" s="259">
        <f t="shared" si="3089"/>
        <v>1.8144770150921019</v>
      </c>
      <c r="EV266" s="57">
        <f t="shared" si="3089"/>
        <v>1.8144770150921019</v>
      </c>
      <c r="EW266" s="259">
        <f t="shared" si="3089"/>
        <v>2.9589047516652651</v>
      </c>
      <c r="EX266" s="57">
        <f t="shared" si="3089"/>
        <v>2.9589047516652651</v>
      </c>
      <c r="FA266" s="147" t="s">
        <v>223</v>
      </c>
      <c r="FB266" s="259">
        <f>SUM(FB267:FB283)</f>
        <v>1.3337992512244405E-2</v>
      </c>
      <c r="FC266" s="57">
        <f t="shared" ref="FC266:FQ266" si="3090">SUM(FC267:FC283)</f>
        <v>1.3337992512244405E-2</v>
      </c>
      <c r="FD266" s="259">
        <f t="shared" si="3090"/>
        <v>1.8912199413381785E-2</v>
      </c>
      <c r="FE266" s="57">
        <f t="shared" si="3090"/>
        <v>1.8912199413381785E-2</v>
      </c>
      <c r="FF266" s="259">
        <f t="shared" si="3090"/>
        <v>1.9015396380164969E-2</v>
      </c>
      <c r="FG266" s="57">
        <f t="shared" si="3090"/>
        <v>1.9015396380164969E-2</v>
      </c>
      <c r="FH266" s="259">
        <f t="shared" si="3090"/>
        <v>1.4648060222777794E-2</v>
      </c>
      <c r="FI266" s="57">
        <f t="shared" si="3090"/>
        <v>1.4648060222777794E-2</v>
      </c>
      <c r="FJ266" s="259">
        <f t="shared" si="3090"/>
        <v>1.2466318636920192E-2</v>
      </c>
      <c r="FK266" s="57">
        <f t="shared" si="3090"/>
        <v>1.2466318636920192E-2</v>
      </c>
      <c r="FL266" s="259">
        <f t="shared" si="3090"/>
        <v>0</v>
      </c>
      <c r="FM266" s="57">
        <f t="shared" si="3090"/>
        <v>0</v>
      </c>
      <c r="FN266" s="259">
        <f t="shared" si="3090"/>
        <v>1.0705690926819044E-2</v>
      </c>
      <c r="FO266" s="57">
        <f t="shared" si="3090"/>
        <v>1.0705690926819044E-2</v>
      </c>
      <c r="FP266" s="259">
        <f t="shared" si="3090"/>
        <v>1.2466318636920192E-2</v>
      </c>
      <c r="FQ266" s="57">
        <f t="shared" si="3090"/>
        <v>1.2466318636920192E-2</v>
      </c>
      <c r="FT266" s="147" t="s">
        <v>223</v>
      </c>
      <c r="FU266" s="259">
        <f>SUM(FU267:FU283)</f>
        <v>4.0781068045462918</v>
      </c>
      <c r="FV266" s="57">
        <f t="shared" ref="FV266:GJ266" si="3091">SUM(FV267:FV283)</f>
        <v>4.0781068045462918</v>
      </c>
      <c r="FW266" s="259">
        <f t="shared" si="3091"/>
        <v>5.7511671775004363</v>
      </c>
      <c r="FX266" s="57">
        <f t="shared" si="3091"/>
        <v>5.7511671775004363</v>
      </c>
      <c r="FY266" s="259">
        <f t="shared" si="3091"/>
        <v>5.9457664731792814</v>
      </c>
      <c r="FZ266" s="57">
        <f t="shared" si="3091"/>
        <v>5.9457664731792814</v>
      </c>
      <c r="GA266" s="259">
        <f t="shared" si="3091"/>
        <v>4.4320903015398079</v>
      </c>
      <c r="GB266" s="57">
        <f t="shared" si="3091"/>
        <v>4.4320903015398079</v>
      </c>
      <c r="GC266" s="259">
        <f t="shared" si="3091"/>
        <v>3.7538159578278059</v>
      </c>
      <c r="GD266" s="57">
        <f t="shared" si="3091"/>
        <v>3.7538159578278059</v>
      </c>
      <c r="GE266" s="259">
        <f t="shared" si="3091"/>
        <v>0</v>
      </c>
      <c r="GF266" s="57">
        <f t="shared" si="3091"/>
        <v>0</v>
      </c>
      <c r="GG266" s="259">
        <f t="shared" si="3091"/>
        <v>2.4224091278641309</v>
      </c>
      <c r="GH266" s="57">
        <f t="shared" si="3091"/>
        <v>2.4224091278641309</v>
      </c>
      <c r="GI266" s="259">
        <f t="shared" si="3091"/>
        <v>3.7538159578278059</v>
      </c>
      <c r="GJ266" s="57">
        <f t="shared" si="3091"/>
        <v>3.7538159578278059</v>
      </c>
      <c r="GM266" s="147" t="s">
        <v>223</v>
      </c>
      <c r="GN266" s="259">
        <f>SUM(GN267:GN283)</f>
        <v>6.1677559382537437</v>
      </c>
      <c r="GO266" s="57">
        <f t="shared" ref="GO266:HC266" si="3092">SUM(GO267:GO283)</f>
        <v>6.1677559382537437</v>
      </c>
      <c r="GP266" s="259">
        <f t="shared" si="3092"/>
        <v>9.1656542016678824</v>
      </c>
      <c r="GQ266" s="57">
        <f t="shared" si="3092"/>
        <v>9.1656542016678824</v>
      </c>
      <c r="GR266" s="259">
        <f t="shared" si="3092"/>
        <v>9.2552122636453245</v>
      </c>
      <c r="GS266" s="57">
        <f t="shared" si="3092"/>
        <v>9.2552122636453245</v>
      </c>
      <c r="GT266" s="259">
        <f t="shared" si="3092"/>
        <v>6.7106635799523451</v>
      </c>
      <c r="GU266" s="57">
        <f t="shared" si="3092"/>
        <v>6.7106635799523451</v>
      </c>
      <c r="GV266" s="259">
        <f t="shared" si="3092"/>
        <v>5.5488221523063954</v>
      </c>
      <c r="GW266" s="57">
        <f t="shared" si="3092"/>
        <v>5.5488221523063954</v>
      </c>
      <c r="GX266" s="259">
        <f t="shared" si="3092"/>
        <v>0</v>
      </c>
      <c r="GY266" s="57">
        <f t="shared" si="3092"/>
        <v>0</v>
      </c>
      <c r="GZ266" s="259">
        <f t="shared" si="3092"/>
        <v>4.0981150155143053</v>
      </c>
      <c r="HA266" s="57">
        <f t="shared" si="3092"/>
        <v>4.0981150155143053</v>
      </c>
      <c r="HB266" s="259">
        <f t="shared" si="3092"/>
        <v>5.5488221523063954</v>
      </c>
      <c r="HC266" s="57">
        <f t="shared" si="3092"/>
        <v>5.5488221523063954</v>
      </c>
      <c r="HF266" s="147" t="s">
        <v>223</v>
      </c>
      <c r="HG266" s="259">
        <f>SUM(HG267:HG283)</f>
        <v>103.31733705402077</v>
      </c>
      <c r="HH266" s="57">
        <f t="shared" ref="HH266:HV266" si="3093">SUM(HH267:HH283)</f>
        <v>103.31733705402077</v>
      </c>
      <c r="HI266" s="259">
        <f t="shared" si="3093"/>
        <v>149.79172030150428</v>
      </c>
      <c r="HJ266" s="57">
        <f t="shared" si="3093"/>
        <v>149.79172030150428</v>
      </c>
      <c r="HK266" s="259">
        <f t="shared" si="3093"/>
        <v>154.56143346139072</v>
      </c>
      <c r="HL266" s="57">
        <f t="shared" si="3093"/>
        <v>154.56143346139072</v>
      </c>
      <c r="HM266" s="259">
        <f t="shared" si="3093"/>
        <v>113.1137643257308</v>
      </c>
      <c r="HN266" s="57">
        <f t="shared" si="3093"/>
        <v>113.1137643257308</v>
      </c>
      <c r="HO266" s="259">
        <f t="shared" si="3093"/>
        <v>94.734328059206348</v>
      </c>
      <c r="HP266" s="57">
        <f t="shared" si="3093"/>
        <v>94.734328059206348</v>
      </c>
      <c r="HQ266" s="259">
        <f t="shared" si="3093"/>
        <v>0</v>
      </c>
      <c r="HR266" s="57">
        <f t="shared" si="3093"/>
        <v>0</v>
      </c>
      <c r="HS266" s="259">
        <f t="shared" si="3093"/>
        <v>60.828457687308124</v>
      </c>
      <c r="HT266" s="57">
        <f t="shared" si="3093"/>
        <v>60.828457687308124</v>
      </c>
      <c r="HU266" s="259">
        <f t="shared" si="3093"/>
        <v>94.734328059206348</v>
      </c>
      <c r="HV266" s="57">
        <f t="shared" si="3093"/>
        <v>94.734328059206348</v>
      </c>
      <c r="HY266" s="267" t="s">
        <v>223</v>
      </c>
      <c r="HZ266" s="259">
        <f>SUM(HZ267:HZ283)</f>
        <v>8.3476039897149398E-2</v>
      </c>
      <c r="IA266" s="57">
        <f t="shared" ref="IA266:IK266" si="3094">SUM(IA267:IA283)</f>
        <v>8.3476039897149398E-2</v>
      </c>
      <c r="IB266" s="259">
        <f t="shared" si="3094"/>
        <v>0.10925779616962354</v>
      </c>
      <c r="IC266" s="57">
        <f t="shared" si="3094"/>
        <v>0.10925779616962354</v>
      </c>
      <c r="ID266" s="259">
        <f t="shared" si="3094"/>
        <v>0.11198528335918913</v>
      </c>
      <c r="IE266" s="57">
        <f t="shared" si="3094"/>
        <v>0.11198528335918913</v>
      </c>
      <c r="IF266" s="259">
        <f t="shared" si="3094"/>
        <v>8.9579677578795952E-2</v>
      </c>
      <c r="IG266" s="57">
        <f t="shared" si="3094"/>
        <v>8.9579677578795952E-2</v>
      </c>
      <c r="IH266" s="259">
        <f t="shared" si="3094"/>
        <v>7.8719550651354817E-2</v>
      </c>
      <c r="II266" s="57">
        <f t="shared" si="3094"/>
        <v>7.8719550651354817E-2</v>
      </c>
      <c r="IJ266" s="259">
        <f t="shared" si="3094"/>
        <v>0</v>
      </c>
      <c r="IK266" s="57">
        <f t="shared" si="3094"/>
        <v>0</v>
      </c>
      <c r="IL266" s="259"/>
      <c r="IM266" s="259"/>
      <c r="IN266" s="259"/>
      <c r="IO266" s="259"/>
    </row>
    <row r="267" spans="2:249" ht="14.25" customHeight="1" x14ac:dyDescent="0.25">
      <c r="B267" s="248"/>
      <c r="C267" s="248"/>
      <c r="D267" s="248"/>
      <c r="E267" s="248"/>
      <c r="F267" s="248"/>
      <c r="G267" s="248"/>
      <c r="H267" s="248"/>
      <c r="I267" s="248"/>
      <c r="J267" s="248"/>
      <c r="K267" s="248"/>
      <c r="L267" s="248"/>
      <c r="M267" s="248"/>
      <c r="N267" s="248"/>
      <c r="O267" s="248"/>
      <c r="P267" s="248"/>
      <c r="Q267" s="248"/>
      <c r="R267" s="248"/>
      <c r="S267" s="248"/>
      <c r="T267" s="248"/>
      <c r="U267" s="248"/>
      <c r="V267" s="248"/>
      <c r="W267" s="248"/>
      <c r="X267" s="248"/>
      <c r="Y267" s="248"/>
      <c r="Z267" s="248"/>
      <c r="AA267" s="248"/>
      <c r="AB267" s="248"/>
      <c r="AC267" s="248"/>
      <c r="AD267" s="248"/>
      <c r="AE267" s="248"/>
      <c r="AF267" s="248"/>
      <c r="AG267" s="248"/>
      <c r="AH267" s="248"/>
      <c r="AI267" s="248"/>
      <c r="AJ267" s="248"/>
      <c r="AK267" s="248"/>
      <c r="AL267" s="248"/>
      <c r="AM267" s="248"/>
      <c r="AN267" s="138"/>
      <c r="AO267" s="248"/>
      <c r="AP267" s="726"/>
      <c r="AQ267" s="148" t="s">
        <v>430</v>
      </c>
      <c r="AR267" s="264"/>
      <c r="AS267" s="265"/>
      <c r="AT267" s="224">
        <f>EXP(LN(AT16)+0.5*LN('Ecoinvent 3.10'!$E$9)^2)</f>
        <v>21.582894621293384</v>
      </c>
      <c r="AU267" s="50">
        <f>EXP(LN(AU16)+0.5*LN('Ecoinvent 3.10'!$E$9)^2)</f>
        <v>21.582894621293384</v>
      </c>
      <c r="AV267" s="224">
        <f>EXP(LN(AV16)+0.5*LN('Ecoinvent 3.10'!$E$9)^2)</f>
        <v>20.954989147144953</v>
      </c>
      <c r="AW267" s="50">
        <f>EXP(LN(AW16)+0.5*LN('Ecoinvent 3.10'!$E$9)^2)</f>
        <v>20.954989147144953</v>
      </c>
      <c r="AX267" s="264"/>
      <c r="AY267" s="265"/>
      <c r="AZ267" s="264"/>
      <c r="BA267" s="265"/>
      <c r="BB267" s="264"/>
      <c r="BC267" s="265"/>
      <c r="BD267" s="264"/>
      <c r="BE267" s="265"/>
      <c r="BF267" s="264"/>
      <c r="BG267" s="265"/>
      <c r="BI267" s="156"/>
      <c r="BJ267" s="148" t="s">
        <v>430</v>
      </c>
      <c r="BK267" s="264"/>
      <c r="BL267" s="265"/>
      <c r="BM267" s="224">
        <f>EXP(LN(BM16)+0.5*LN('Ecoinvent 3.10'!$E$9)^2)</f>
        <v>5.8670046568490086</v>
      </c>
      <c r="BN267" s="50">
        <f>EXP(LN(BN16)+0.5*LN('Ecoinvent 3.10'!$E$9)^2)</f>
        <v>5.8670046568490086</v>
      </c>
      <c r="BO267" s="224">
        <f>EXP(LN(BO16)+0.5*LN('Ecoinvent 3.10'!$E$9)^2)</f>
        <v>5.696317434141851</v>
      </c>
      <c r="BP267" s="50">
        <f>EXP(LN(BP16)+0.5*LN('Ecoinvent 3.10'!$E$9)^2)</f>
        <v>5.696317434141851</v>
      </c>
      <c r="BQ267" s="264"/>
      <c r="BR267" s="265"/>
      <c r="BS267" s="264"/>
      <c r="BT267" s="265"/>
      <c r="BU267" s="264"/>
      <c r="BV267" s="265"/>
      <c r="BW267" s="264"/>
      <c r="BX267" s="265"/>
      <c r="BY267" s="264"/>
      <c r="BZ267" s="265"/>
      <c r="CA267" s="156"/>
      <c r="CB267" s="156"/>
      <c r="CC267" s="148" t="s">
        <v>430</v>
      </c>
      <c r="CD267" s="264"/>
      <c r="CE267" s="265"/>
      <c r="CF267" s="224">
        <f>EXP(LN(CF16)+0.5*LN('Ecoinvent 3.10'!$E$9)^2)</f>
        <v>57.373391000112804</v>
      </c>
      <c r="CG267" s="50">
        <f>EXP(LN(CG16)+0.5*LN('Ecoinvent 3.10'!$E$9)^2)</f>
        <v>57.373391000112804</v>
      </c>
      <c r="CH267" s="224">
        <f>EXP(LN(CH16)+0.5*LN('Ecoinvent 3.10'!$E$9)^2)</f>
        <v>55.704242032305345</v>
      </c>
      <c r="CI267" s="50">
        <f>EXP(LN(CI16)+0.5*LN('Ecoinvent 3.10'!$E$9)^2)</f>
        <v>55.704242032305345</v>
      </c>
      <c r="CJ267" s="264"/>
      <c r="CK267" s="265"/>
      <c r="CL267" s="264"/>
      <c r="CM267" s="265"/>
      <c r="CN267" s="264"/>
      <c r="CO267" s="265"/>
      <c r="CP267" s="264"/>
      <c r="CQ267" s="265"/>
      <c r="CR267" s="264"/>
      <c r="CS267" s="265"/>
      <c r="CV267" s="148" t="s">
        <v>430</v>
      </c>
      <c r="CW267" s="264"/>
      <c r="CX267" s="265"/>
      <c r="CY267" s="224">
        <f>EXP(LN(CY16)+0.5*LN('Ecoinvent 3.10'!$E$9)^2)</f>
        <v>3.5410563730606512E-2</v>
      </c>
      <c r="CZ267" s="50">
        <f>EXP(LN(CZ16)+0.5*LN('Ecoinvent 3.10'!$E$9)^2)</f>
        <v>3.5410563730606512E-2</v>
      </c>
      <c r="DA267" s="224">
        <f>EXP(LN(DA16)+0.5*LN('Ecoinvent 3.10'!$E$9)^2)</f>
        <v>3.4380373517510922E-2</v>
      </c>
      <c r="DB267" s="50">
        <f>EXP(LN(DB16)+0.5*LN('Ecoinvent 3.10'!$E$9)^2)</f>
        <v>3.4380373517510922E-2</v>
      </c>
      <c r="DC267" s="264"/>
      <c r="DD267" s="265"/>
      <c r="DE267" s="264"/>
      <c r="DF267" s="265"/>
      <c r="DG267" s="264"/>
      <c r="DH267" s="265"/>
      <c r="DI267" s="264"/>
      <c r="DJ267" s="265"/>
      <c r="DK267" s="264"/>
      <c r="DL267" s="265"/>
      <c r="DO267" s="148" t="s">
        <v>430</v>
      </c>
      <c r="DP267" s="264"/>
      <c r="DQ267" s="265"/>
      <c r="DR267" s="224">
        <f>EXP(LN(DR16)+0.5*LN('Ecoinvent 3.10'!$E$9)^2)</f>
        <v>19.408589459030988</v>
      </c>
      <c r="DS267" s="50">
        <f>EXP(LN(DS16)+0.5*LN('Ecoinvent 3.10'!$E$9)^2)</f>
        <v>19.408589459030988</v>
      </c>
      <c r="DT267" s="224">
        <f>EXP(LN(DT16)+0.5*LN('Ecoinvent 3.10'!$E$9)^2)</f>
        <v>18.843940472847191</v>
      </c>
      <c r="DU267" s="50">
        <f>EXP(LN(DU16)+0.5*LN('Ecoinvent 3.10'!$E$9)^2)</f>
        <v>18.843940472847191</v>
      </c>
      <c r="DV267" s="264"/>
      <c r="DW267" s="265"/>
      <c r="DX267" s="264"/>
      <c r="DY267" s="265"/>
      <c r="DZ267" s="264"/>
      <c r="EA267" s="265"/>
      <c r="EB267" s="264"/>
      <c r="EC267" s="265"/>
      <c r="ED267" s="264"/>
      <c r="EE267" s="265"/>
      <c r="EH267" s="148" t="s">
        <v>430</v>
      </c>
      <c r="EI267" s="264"/>
      <c r="EJ267" s="265"/>
      <c r="EK267" s="224">
        <f>EXP(LN(EK16)+0.5*LN('Ecoinvent 3.10'!$E$9)^2)</f>
        <v>6.3498496684439604E-2</v>
      </c>
      <c r="EL267" s="50">
        <f>EXP(LN(EL16)+0.5*LN('Ecoinvent 3.10'!$E$9)^2)</f>
        <v>6.3498496684439604E-2</v>
      </c>
      <c r="EM267" s="224">
        <f>EXP(LN(EM16)+0.5*LN('Ecoinvent 3.10'!$E$9)^2)</f>
        <v>6.165115162864622E-2</v>
      </c>
      <c r="EN267" s="50">
        <f>EXP(LN(EN16)+0.5*LN('Ecoinvent 3.10'!$E$9)^2)</f>
        <v>6.165115162864622E-2</v>
      </c>
      <c r="EO267" s="264"/>
      <c r="EP267" s="265"/>
      <c r="EQ267" s="264"/>
      <c r="ER267" s="265"/>
      <c r="ES267" s="264"/>
      <c r="ET267" s="265"/>
      <c r="EU267" s="264"/>
      <c r="EV267" s="265"/>
      <c r="EW267" s="264"/>
      <c r="EX267" s="265"/>
      <c r="FA267" s="148" t="s">
        <v>430</v>
      </c>
      <c r="FB267" s="264"/>
      <c r="FC267" s="265"/>
      <c r="FD267" s="224">
        <f>EXP(LN(FD16)+0.5*LN('Ecoinvent 3.10'!$E$9)^2)</f>
        <v>3.3835329817460688E-3</v>
      </c>
      <c r="FE267" s="50">
        <f>EXP(LN(FE16)+0.5*LN('Ecoinvent 3.10'!$E$9)^2)</f>
        <v>3.3835329817460688E-3</v>
      </c>
      <c r="FF267" s="224">
        <f>EXP(LN(FF16)+0.5*LN('Ecoinvent 3.10'!$E$9)^2)</f>
        <v>3.2850967470111751E-3</v>
      </c>
      <c r="FG267" s="50">
        <f>EXP(LN(FG16)+0.5*LN('Ecoinvent 3.10'!$E$9)^2)</f>
        <v>3.2850967470111751E-3</v>
      </c>
      <c r="FH267" s="264"/>
      <c r="FI267" s="265"/>
      <c r="FJ267" s="264"/>
      <c r="FK267" s="265"/>
      <c r="FL267" s="264"/>
      <c r="FM267" s="265"/>
      <c r="FN267" s="264"/>
      <c r="FO267" s="265"/>
      <c r="FP267" s="264"/>
      <c r="FQ267" s="265"/>
      <c r="FT267" s="148" t="s">
        <v>430</v>
      </c>
      <c r="FU267" s="264"/>
      <c r="FV267" s="265"/>
      <c r="FW267" s="224">
        <f>EXP(LN(FW16)+0.5*LN('Ecoinvent 3.10'!$E$9)^2)</f>
        <v>0.50921227103226585</v>
      </c>
      <c r="FX267" s="50">
        <f>EXP(LN(FX16)+0.5*LN('Ecoinvent 3.10'!$E$9)^2)</f>
        <v>0.50921227103226585</v>
      </c>
      <c r="FY267" s="224">
        <f>EXP(LN(FY16)+0.5*LN('Ecoinvent 3.10'!$E$9)^2)</f>
        <v>0.49439789241924759</v>
      </c>
      <c r="FZ267" s="50">
        <f>EXP(LN(FZ16)+0.5*LN('Ecoinvent 3.10'!$E$9)^2)</f>
        <v>0.49439789241924759</v>
      </c>
      <c r="GA267" s="264"/>
      <c r="GB267" s="265"/>
      <c r="GC267" s="264"/>
      <c r="GD267" s="265"/>
      <c r="GE267" s="264"/>
      <c r="GF267" s="265"/>
      <c r="GG267" s="264"/>
      <c r="GH267" s="265"/>
      <c r="GI267" s="264"/>
      <c r="GJ267" s="265"/>
      <c r="GM267" s="148" t="s">
        <v>430</v>
      </c>
      <c r="GN267" s="264"/>
      <c r="GO267" s="265"/>
      <c r="GP267" s="224">
        <f>EXP(LN(GP16)+0.5*LN('Ecoinvent 3.10'!$E$9)^2)</f>
        <v>1.2311715678537534</v>
      </c>
      <c r="GQ267" s="50">
        <f>EXP(LN(GQ16)+0.5*LN('Ecoinvent 3.10'!$E$9)^2)</f>
        <v>1.2311715678537534</v>
      </c>
      <c r="GR267" s="224">
        <f>EXP(LN(GR16)+0.5*LN('Ecoinvent 3.10'!$E$9)^2)</f>
        <v>1.1953534173861793</v>
      </c>
      <c r="GS267" s="50">
        <f>EXP(LN(GS16)+0.5*LN('Ecoinvent 3.10'!$E$9)^2)</f>
        <v>1.1953534173861793</v>
      </c>
      <c r="GT267" s="264"/>
      <c r="GU267" s="265"/>
      <c r="GV267" s="264"/>
      <c r="GW267" s="265"/>
      <c r="GX267" s="264"/>
      <c r="GY267" s="265"/>
      <c r="GZ267" s="264"/>
      <c r="HA267" s="265"/>
      <c r="HB267" s="264"/>
      <c r="HC267" s="265"/>
      <c r="HF267" s="148" t="s">
        <v>430</v>
      </c>
      <c r="HG267" s="264"/>
      <c r="HH267" s="265"/>
      <c r="HI267" s="224">
        <f>EXP(LN(HI16)+0.5*LN('Ecoinvent 3.10'!$E$9)^2)</f>
        <v>11.394216091092011</v>
      </c>
      <c r="HJ267" s="50">
        <f>EXP(LN(HJ16)+0.5*LN('Ecoinvent 3.10'!$E$9)^2)</f>
        <v>11.394216091092011</v>
      </c>
      <c r="HK267" s="224">
        <f>EXP(LN(HK16)+0.5*LN('Ecoinvent 3.10'!$E$9)^2)</f>
        <v>11.062727160493782</v>
      </c>
      <c r="HL267" s="50">
        <f>EXP(LN(HL16)+0.5*LN('Ecoinvent 3.10'!$E$9)^2)</f>
        <v>11.062727160493782</v>
      </c>
      <c r="HM267" s="264"/>
      <c r="HN267" s="265"/>
      <c r="HO267" s="264"/>
      <c r="HP267" s="265"/>
      <c r="HQ267" s="264"/>
      <c r="HR267" s="265"/>
      <c r="HS267" s="264"/>
      <c r="HT267" s="265"/>
      <c r="HU267" s="264"/>
      <c r="HV267" s="265"/>
      <c r="HY267" s="148" t="s">
        <v>430</v>
      </c>
      <c r="HZ267" s="264"/>
      <c r="IA267" s="265"/>
      <c r="IB267" s="224">
        <f>EXP(LN(IB16)+0.5*LN('Ecoinvent 3.10'!$E$9)^2)</f>
        <v>1.3605476926449681E-2</v>
      </c>
      <c r="IC267" s="50">
        <f>EXP(LN(IC16)+0.5*LN('Ecoinvent 3.10'!$E$9)^2)</f>
        <v>1.3605476926449681E-2</v>
      </c>
      <c r="ID267" s="224">
        <f>EXP(LN(ID16)+0.5*LN('Ecoinvent 3.10'!$E$9)^2)</f>
        <v>1.3209656366213532E-2</v>
      </c>
      <c r="IE267" s="50">
        <f>EXP(LN(IE16)+0.5*LN('Ecoinvent 3.10'!$E$9)^2)</f>
        <v>1.3209656366213532E-2</v>
      </c>
      <c r="IF267" s="264"/>
      <c r="IG267" s="265"/>
      <c r="IH267" s="264"/>
      <c r="II267" s="265"/>
      <c r="IJ267" s="224"/>
      <c r="IK267" s="50"/>
      <c r="IL267" s="224"/>
      <c r="IM267" s="224"/>
      <c r="IN267" s="224"/>
      <c r="IO267" s="224"/>
    </row>
    <row r="268" spans="2:249" ht="12.75" customHeight="1" x14ac:dyDescent="0.2">
      <c r="B268" s="248"/>
      <c r="C268" s="248"/>
      <c r="D268" s="248"/>
      <c r="E268" s="248"/>
      <c r="F268" s="248"/>
      <c r="G268" s="248"/>
      <c r="H268" s="248"/>
      <c r="I268" s="248"/>
      <c r="J268" s="248"/>
      <c r="K268" s="248"/>
      <c r="L268" s="248"/>
      <c r="M268" s="248"/>
      <c r="N268" s="248"/>
      <c r="O268" s="248"/>
      <c r="P268" s="248"/>
      <c r="Q268" s="248"/>
      <c r="R268" s="248"/>
      <c r="S268" s="248"/>
      <c r="T268" s="248"/>
      <c r="U268" s="248"/>
      <c r="V268" s="248"/>
      <c r="W268" s="248"/>
      <c r="X268" s="248"/>
      <c r="Y268" s="248"/>
      <c r="Z268" s="248"/>
      <c r="AA268" s="248"/>
      <c r="AB268" s="248"/>
      <c r="AC268" s="248"/>
      <c r="AD268" s="248"/>
      <c r="AE268" s="248"/>
      <c r="AF268" s="248"/>
      <c r="AG268" s="248"/>
      <c r="AH268" s="248"/>
      <c r="AI268" s="248"/>
      <c r="AJ268" s="248"/>
      <c r="AK268" s="248"/>
      <c r="AL268" s="248"/>
      <c r="AM268" s="248"/>
      <c r="AN268" s="138"/>
      <c r="AO268" s="248"/>
      <c r="AP268" s="726"/>
      <c r="AQ268" s="148" t="s">
        <v>131</v>
      </c>
      <c r="AR268" s="224">
        <f>EXP(LN(AR17)+0.5*LN('Ecoinvent 3.10'!$E$10)^2)</f>
        <v>18.484155357861795</v>
      </c>
      <c r="AS268" s="50">
        <f>EXP(LN(AS17)+0.5*LN('Ecoinvent 3.10'!$E$10)^2)</f>
        <v>18.484155357861795</v>
      </c>
      <c r="AT268" s="264"/>
      <c r="AU268" s="265"/>
      <c r="AV268" s="264"/>
      <c r="AW268" s="265"/>
      <c r="AX268" s="224">
        <f>EXP(LN(AX17)+0.5*LN('Ecoinvent 3.10'!$E$10)^2)</f>
        <v>19.920608530902932</v>
      </c>
      <c r="AY268" s="50">
        <f>EXP(LN(AY17)+0.5*LN('Ecoinvent 3.10'!$E$10)^2)</f>
        <v>19.920608530902932</v>
      </c>
      <c r="AZ268" s="224">
        <f>EXP(LN(AZ17)+0.5*LN('Ecoinvent 3.10'!$E$10)^2)</f>
        <v>17.99089937047923</v>
      </c>
      <c r="BA268" s="50">
        <f>EXP(LN(BA17)+0.5*LN('Ecoinvent 3.10'!$E$10)^2)</f>
        <v>17.99089937047923</v>
      </c>
      <c r="BB268" s="264"/>
      <c r="BC268" s="265"/>
      <c r="BD268" s="264"/>
      <c r="BE268" s="265"/>
      <c r="BF268" s="224">
        <f>EXP(LN(BF17)+0.5*LN('Ecoinvent 3.10'!$E$10)^2)</f>
        <v>17.99089937047923</v>
      </c>
      <c r="BG268" s="50">
        <f>EXP(LN(BG17)+0.5*LN('Ecoinvent 3.10'!$E$10)^2)</f>
        <v>17.99089937047923</v>
      </c>
      <c r="BI268" s="156"/>
      <c r="BJ268" s="148" t="s">
        <v>131</v>
      </c>
      <c r="BK268" s="224">
        <f>EXP(LN(BK17)+0.5*LN('Ecoinvent 3.10'!$E$10)^2)</f>
        <v>5.3079734330373514</v>
      </c>
      <c r="BL268" s="50">
        <f>EXP(LN(BL17)+0.5*LN('Ecoinvent 3.10'!$E$10)^2)</f>
        <v>5.3079734330373514</v>
      </c>
      <c r="BM268" s="264"/>
      <c r="BN268" s="265"/>
      <c r="BO268" s="264"/>
      <c r="BP268" s="265"/>
      <c r="BQ268" s="224">
        <f>EXP(LN(BQ17)+0.5*LN('Ecoinvent 3.10'!$E$10)^2)</f>
        <v>5.7204702516740538</v>
      </c>
      <c r="BR268" s="50">
        <f>EXP(LN(BR17)+0.5*LN('Ecoinvent 3.10'!$E$10)^2)</f>
        <v>5.7204702516740538</v>
      </c>
      <c r="BS268" s="224">
        <f>EXP(LN(BS17)+0.5*LN('Ecoinvent 3.10'!$E$10)^2)</f>
        <v>5.1663283523710222</v>
      </c>
      <c r="BT268" s="50">
        <f>EXP(LN(BT17)+0.5*LN('Ecoinvent 3.10'!$E$10)^2)</f>
        <v>5.1663283523710222</v>
      </c>
      <c r="BU268" s="264"/>
      <c r="BV268" s="265"/>
      <c r="BW268" s="264"/>
      <c r="BX268" s="265"/>
      <c r="BY268" s="224">
        <f>EXP(LN(BY17)+0.5*LN('Ecoinvent 3.10'!$E$10)^2)</f>
        <v>5.1663283523710222</v>
      </c>
      <c r="BZ268" s="50">
        <f>EXP(LN(BZ17)+0.5*LN('Ecoinvent 3.10'!$E$10)^2)</f>
        <v>5.1663283523710222</v>
      </c>
      <c r="CA268" s="156"/>
      <c r="CB268" s="156"/>
      <c r="CC268" s="148" t="s">
        <v>131</v>
      </c>
      <c r="CD268" s="224">
        <f>EXP(LN(CD17)+0.5*LN('Ecoinvent 3.10'!$E$10)^2)</f>
        <v>48.552365294738756</v>
      </c>
      <c r="CE268" s="50">
        <f>EXP(LN(CE17)+0.5*LN('Ecoinvent 3.10'!$E$10)^2)</f>
        <v>48.552365294738756</v>
      </c>
      <c r="CF268" s="264"/>
      <c r="CG268" s="265"/>
      <c r="CH268" s="264"/>
      <c r="CI268" s="265"/>
      <c r="CJ268" s="224">
        <f>EXP(LN(CJ17)+0.5*LN('Ecoinvent 3.10'!$E$10)^2)</f>
        <v>52.325499518944234</v>
      </c>
      <c r="CK268" s="50">
        <f>EXP(LN(CK17)+0.5*LN('Ecoinvent 3.10'!$E$10)^2)</f>
        <v>52.325499518944234</v>
      </c>
      <c r="CL268" s="224">
        <f>EXP(LN(CL17)+0.5*LN('Ecoinvent 3.10'!$E$10)^2)</f>
        <v>47.256728874271765</v>
      </c>
      <c r="CM268" s="50">
        <f>EXP(LN(CM17)+0.5*LN('Ecoinvent 3.10'!$E$10)^2)</f>
        <v>47.256728874271765</v>
      </c>
      <c r="CN268" s="264"/>
      <c r="CO268" s="265"/>
      <c r="CP268" s="264"/>
      <c r="CQ268" s="265"/>
      <c r="CR268" s="224">
        <f>EXP(LN(CR17)+0.5*LN('Ecoinvent 3.10'!$E$10)^2)</f>
        <v>47.256728874271765</v>
      </c>
      <c r="CS268" s="50">
        <f>EXP(LN(CS17)+0.5*LN('Ecoinvent 3.10'!$E$10)^2)</f>
        <v>47.256728874271765</v>
      </c>
      <c r="CV268" s="148" t="s">
        <v>131</v>
      </c>
      <c r="CW268" s="224">
        <f>EXP(LN(CW17)+0.5*LN('Ecoinvent 3.10'!$E$10)^2)</f>
        <v>2.8506048608469593E-2</v>
      </c>
      <c r="CX268" s="50">
        <f>EXP(LN(CX17)+0.5*LN('Ecoinvent 3.10'!$E$10)^2)</f>
        <v>2.8506048608469593E-2</v>
      </c>
      <c r="CY268" s="264"/>
      <c r="CZ268" s="265"/>
      <c r="DA268" s="264"/>
      <c r="DB268" s="265"/>
      <c r="DC268" s="224">
        <f>EXP(LN(DC17)+0.5*LN('Ecoinvent 3.10'!$E$10)^2)</f>
        <v>3.0721329922748564E-2</v>
      </c>
      <c r="DD268" s="50">
        <f>EXP(LN(DD17)+0.5*LN('Ecoinvent 3.10'!$E$10)^2)</f>
        <v>3.0721329922748564E-2</v>
      </c>
      <c r="DE268" s="224">
        <f>EXP(LN(DE17)+0.5*LN('Ecoinvent 3.10'!$E$10)^2)</f>
        <v>2.7745354983009132E-2</v>
      </c>
      <c r="DF268" s="50">
        <f>EXP(LN(DF17)+0.5*LN('Ecoinvent 3.10'!$E$10)^2)</f>
        <v>2.7745354983009132E-2</v>
      </c>
      <c r="DG268" s="264"/>
      <c r="DH268" s="265"/>
      <c r="DI268" s="264"/>
      <c r="DJ268" s="265"/>
      <c r="DK268" s="224">
        <f>EXP(LN(DK17)+0.5*LN('Ecoinvent 3.10'!$E$10)^2)</f>
        <v>2.7745354983009132E-2</v>
      </c>
      <c r="DL268" s="50">
        <f>EXP(LN(DL17)+0.5*LN('Ecoinvent 3.10'!$E$10)^2)</f>
        <v>2.7745354983009132E-2</v>
      </c>
      <c r="DO268" s="148" t="s">
        <v>131</v>
      </c>
      <c r="DP268" s="224">
        <f>EXP(LN(DP17)+0.5*LN('Ecoinvent 3.10'!$E$10)^2)</f>
        <v>14.856048024693303</v>
      </c>
      <c r="DQ268" s="50">
        <f>EXP(LN(DQ17)+0.5*LN('Ecoinvent 3.10'!$E$10)^2)</f>
        <v>14.856048024693303</v>
      </c>
      <c r="DR268" s="264"/>
      <c r="DS268" s="265"/>
      <c r="DT268" s="264"/>
      <c r="DU268" s="265"/>
      <c r="DV268" s="224">
        <f>EXP(LN(DV17)+0.5*LN('Ecoinvent 3.10'!$E$10)^2)</f>
        <v>16.010551268729586</v>
      </c>
      <c r="DW268" s="50">
        <f>EXP(LN(DW17)+0.5*LN('Ecoinvent 3.10'!$E$10)^2)</f>
        <v>16.010551268729586</v>
      </c>
      <c r="DX268" s="224">
        <f>EXP(LN(DX17)+0.5*LN('Ecoinvent 3.10'!$E$10)^2)</f>
        <v>14.459609318398492</v>
      </c>
      <c r="DY268" s="50">
        <f>EXP(LN(DY17)+0.5*LN('Ecoinvent 3.10'!$E$10)^2)</f>
        <v>14.459609318398492</v>
      </c>
      <c r="DZ268" s="264"/>
      <c r="EA268" s="265"/>
      <c r="EB268" s="264"/>
      <c r="EC268" s="265"/>
      <c r="ED268" s="224">
        <f>EXP(LN(ED17)+0.5*LN('Ecoinvent 3.10'!$E$10)^2)</f>
        <v>14.459609318398492</v>
      </c>
      <c r="EE268" s="50">
        <f>EXP(LN(EE17)+0.5*LN('Ecoinvent 3.10'!$E$10)^2)</f>
        <v>14.459609318398492</v>
      </c>
      <c r="EH268" s="148" t="s">
        <v>131</v>
      </c>
      <c r="EI268" s="224">
        <f>EXP(LN(EI17)+0.5*LN('Ecoinvent 3.10'!$E$10)^2)</f>
        <v>5.087575513141341E-2</v>
      </c>
      <c r="EJ268" s="50">
        <f>EXP(LN(EJ17)+0.5*LN('Ecoinvent 3.10'!$E$10)^2)</f>
        <v>5.087575513141341E-2</v>
      </c>
      <c r="EK268" s="264"/>
      <c r="EL268" s="265"/>
      <c r="EM268" s="264"/>
      <c r="EN268" s="265"/>
      <c r="EO268" s="224">
        <f>EXP(LN(EO17)+0.5*LN('Ecoinvent 3.10'!$E$10)^2)</f>
        <v>5.4829446196788444E-2</v>
      </c>
      <c r="EP268" s="50">
        <f>EXP(LN(EP17)+0.5*LN('Ecoinvent 3.10'!$E$10)^2)</f>
        <v>5.4829446196788444E-2</v>
      </c>
      <c r="EQ268" s="224">
        <f>EXP(LN(EQ17)+0.5*LN('Ecoinvent 3.10'!$E$10)^2)</f>
        <v>4.9518118261059695E-2</v>
      </c>
      <c r="ER268" s="50">
        <f>EXP(LN(ER17)+0.5*LN('Ecoinvent 3.10'!$E$10)^2)</f>
        <v>4.9518118261059695E-2</v>
      </c>
      <c r="ES268" s="264"/>
      <c r="ET268" s="265"/>
      <c r="EU268" s="264"/>
      <c r="EV268" s="265"/>
      <c r="EW268" s="224">
        <f>EXP(LN(EW17)+0.5*LN('Ecoinvent 3.10'!$E$10)^2)</f>
        <v>4.9518118261059695E-2</v>
      </c>
      <c r="EX268" s="50">
        <f>EXP(LN(EX17)+0.5*LN('Ecoinvent 3.10'!$E$10)^2)</f>
        <v>4.9518118261059695E-2</v>
      </c>
      <c r="FA268" s="148" t="s">
        <v>131</v>
      </c>
      <c r="FB268" s="224">
        <f>EXP(LN(FB17)+0.5*LN('Ecoinvent 3.10'!$E$10)^2)</f>
        <v>2.7106897107705588E-3</v>
      </c>
      <c r="FC268" s="50">
        <f>EXP(LN(FC17)+0.5*LN('Ecoinvent 3.10'!$E$10)^2)</f>
        <v>2.7106897107705588E-3</v>
      </c>
      <c r="FD268" s="264"/>
      <c r="FE268" s="265"/>
      <c r="FF268" s="264"/>
      <c r="FG268" s="265"/>
      <c r="FH268" s="224">
        <f>EXP(LN(FH17)+0.5*LN('Ecoinvent 3.10'!$E$10)^2)</f>
        <v>2.9213446614989513E-3</v>
      </c>
      <c r="FI268" s="50">
        <f>EXP(LN(FI17)+0.5*LN('Ecoinvent 3.10'!$E$10)^2)</f>
        <v>2.9213446614989513E-3</v>
      </c>
      <c r="FJ268" s="224">
        <f>EXP(LN(FJ17)+0.5*LN('Ecoinvent 3.10'!$E$10)^2)</f>
        <v>2.6383540317044766E-3</v>
      </c>
      <c r="FK268" s="50">
        <f>EXP(LN(FK17)+0.5*LN('Ecoinvent 3.10'!$E$10)^2)</f>
        <v>2.6383540317044766E-3</v>
      </c>
      <c r="FL268" s="264"/>
      <c r="FM268" s="265"/>
      <c r="FN268" s="264"/>
      <c r="FO268" s="265"/>
      <c r="FP268" s="224">
        <f>EXP(LN(FP17)+0.5*LN('Ecoinvent 3.10'!$E$10)^2)</f>
        <v>2.6383540317044766E-3</v>
      </c>
      <c r="FQ268" s="50">
        <f>EXP(LN(FQ17)+0.5*LN('Ecoinvent 3.10'!$E$10)^2)</f>
        <v>2.6383540317044766E-3</v>
      </c>
      <c r="FT268" s="148" t="s">
        <v>131</v>
      </c>
      <c r="FU268" s="224">
        <f>EXP(LN(FU17)+0.5*LN('Ecoinvent 3.10'!$E$10)^2)</f>
        <v>0.41940427697858446</v>
      </c>
      <c r="FV268" s="50">
        <f>EXP(LN(FV17)+0.5*LN('Ecoinvent 3.10'!$E$10)^2)</f>
        <v>0.41940427697858446</v>
      </c>
      <c r="FW268" s="264"/>
      <c r="FX268" s="265"/>
      <c r="FY268" s="264"/>
      <c r="FZ268" s="265"/>
      <c r="GA268" s="224">
        <f>EXP(LN(GA17)+0.5*LN('Ecoinvent 3.10'!$E$10)^2)</f>
        <v>0.45199730559088025</v>
      </c>
      <c r="GB268" s="50">
        <f>EXP(LN(GB17)+0.5*LN('Ecoinvent 3.10'!$E$10)^2)</f>
        <v>0.45199730559088025</v>
      </c>
      <c r="GC268" s="224">
        <f>EXP(LN(GC17)+0.5*LN('Ecoinvent 3.10'!$E$10)^2)</f>
        <v>0.40821233086320208</v>
      </c>
      <c r="GD268" s="50">
        <f>EXP(LN(GD17)+0.5*LN('Ecoinvent 3.10'!$E$10)^2)</f>
        <v>0.40821233086320208</v>
      </c>
      <c r="GE268" s="264"/>
      <c r="GF268" s="265"/>
      <c r="GG268" s="264"/>
      <c r="GH268" s="265"/>
      <c r="GI268" s="224">
        <f>EXP(LN(GI17)+0.5*LN('Ecoinvent 3.10'!$E$10)^2)</f>
        <v>0.40821233086320208</v>
      </c>
      <c r="GJ268" s="50">
        <f>EXP(LN(GJ17)+0.5*LN('Ecoinvent 3.10'!$E$10)^2)</f>
        <v>0.40821233086320208</v>
      </c>
      <c r="GM268" s="148" t="s">
        <v>131</v>
      </c>
      <c r="GN268" s="224">
        <f>EXP(LN(GN17)+0.5*LN('Ecoinvent 3.10'!$E$10)^2)</f>
        <v>1.0301043955758888</v>
      </c>
      <c r="GO268" s="50">
        <f>EXP(LN(GO17)+0.5*LN('Ecoinvent 3.10'!$E$10)^2)</f>
        <v>1.0301043955758888</v>
      </c>
      <c r="GP268" s="264"/>
      <c r="GQ268" s="265"/>
      <c r="GR268" s="264"/>
      <c r="GS268" s="265"/>
      <c r="GT268" s="224">
        <f>EXP(LN(GT17)+0.5*LN('Ecoinvent 3.10'!$E$10)^2)</f>
        <v>1.1101565645249691</v>
      </c>
      <c r="GU268" s="50">
        <f>EXP(LN(GU17)+0.5*LN('Ecoinvent 3.10'!$E$10)^2)</f>
        <v>1.1101565645249691</v>
      </c>
      <c r="GV268" s="224">
        <f>EXP(LN(GV17)+0.5*LN('Ecoinvent 3.10'!$E$10)^2)</f>
        <v>1.0026157085945384</v>
      </c>
      <c r="GW268" s="50">
        <f>EXP(LN(GW17)+0.5*LN('Ecoinvent 3.10'!$E$10)^2)</f>
        <v>1.0026157085945384</v>
      </c>
      <c r="GX268" s="264"/>
      <c r="GY268" s="265"/>
      <c r="GZ268" s="264"/>
      <c r="HA268" s="265"/>
      <c r="HB268" s="224">
        <f>EXP(LN(HB17)+0.5*LN('Ecoinvent 3.10'!$E$10)^2)</f>
        <v>1.0026157085945384</v>
      </c>
      <c r="HC268" s="50">
        <f>EXP(LN(HC17)+0.5*LN('Ecoinvent 3.10'!$E$10)^2)</f>
        <v>1.0026157085945384</v>
      </c>
      <c r="HF268" s="148" t="s">
        <v>131</v>
      </c>
      <c r="HG268" s="224">
        <f>EXP(LN(HG17)+0.5*LN('Ecoinvent 3.10'!$E$10)^2)</f>
        <v>9.4071700391527777</v>
      </c>
      <c r="HH268" s="50">
        <f>EXP(LN(HH17)+0.5*LN('Ecoinvent 3.10'!$E$10)^2)</f>
        <v>9.4071700391527777</v>
      </c>
      <c r="HI268" s="264"/>
      <c r="HJ268" s="265"/>
      <c r="HK268" s="264"/>
      <c r="HL268" s="265"/>
      <c r="HM268" s="224">
        <f>EXP(LN(HM17)+0.5*LN('Ecoinvent 3.10'!$E$10)^2)</f>
        <v>10.13822639474281</v>
      </c>
      <c r="HN268" s="50">
        <f>EXP(LN(HN17)+0.5*LN('Ecoinvent 3.10'!$E$10)^2)</f>
        <v>10.13822639474281</v>
      </c>
      <c r="HO268" s="224">
        <f>EXP(LN(HO17)+0.5*LN('Ecoinvent 3.10'!$E$10)^2)</f>
        <v>9.156136499545326</v>
      </c>
      <c r="HP268" s="50">
        <f>EXP(LN(HP17)+0.5*LN('Ecoinvent 3.10'!$E$10)^2)</f>
        <v>9.156136499545326</v>
      </c>
      <c r="HQ268" s="264"/>
      <c r="HR268" s="265"/>
      <c r="HS268" s="264"/>
      <c r="HT268" s="265"/>
      <c r="HU268" s="224">
        <f>EXP(LN(HU17)+0.5*LN('Ecoinvent 3.10'!$E$10)^2)</f>
        <v>9.156136499545326</v>
      </c>
      <c r="HV268" s="50">
        <f>EXP(LN(HV17)+0.5*LN('Ecoinvent 3.10'!$E$10)^2)</f>
        <v>9.156136499545326</v>
      </c>
      <c r="HY268" s="148" t="s">
        <v>131</v>
      </c>
      <c r="HZ268" s="224">
        <f>EXP(LN(HZ17)+0.5*LN('Ecoinvent 3.10'!$E$10)^2)</f>
        <v>1.1094612936684765E-2</v>
      </c>
      <c r="IA268" s="50">
        <f>EXP(LN(IA17)+0.5*LN('Ecoinvent 3.10'!$E$10)^2)</f>
        <v>1.1094612936684765E-2</v>
      </c>
      <c r="IB268" s="264"/>
      <c r="IC268" s="265"/>
      <c r="ID268" s="264"/>
      <c r="IE268" s="265"/>
      <c r="IF268" s="224">
        <f>EXP(LN(IF17)+0.5*LN('Ecoinvent 3.10'!$E$10)^2)</f>
        <v>1.195680499512717E-2</v>
      </c>
      <c r="IG268" s="50">
        <f>EXP(LN(IG17)+0.5*LN('Ecoinvent 3.10'!$E$10)^2)</f>
        <v>1.195680499512717E-2</v>
      </c>
      <c r="IH268" s="224">
        <f>EXP(LN(IH17)+0.5*LN('Ecoinvent 3.10'!$E$10)^2)</f>
        <v>1.0798549408070013E-2</v>
      </c>
      <c r="II268" s="50">
        <f>EXP(LN(II17)+0.5*LN('Ecoinvent 3.10'!$E$10)^2)</f>
        <v>1.0798549408070013E-2</v>
      </c>
      <c r="IJ268" s="224"/>
      <c r="IK268" s="50"/>
      <c r="IL268" s="224"/>
      <c r="IM268" s="224"/>
      <c r="IN268" s="224"/>
      <c r="IO268" s="224"/>
    </row>
    <row r="269" spans="2:249" ht="12.75" customHeight="1" x14ac:dyDescent="0.25">
      <c r="B269" s="248"/>
      <c r="C269" s="248"/>
      <c r="D269" s="248"/>
      <c r="E269" s="248"/>
      <c r="F269" s="248"/>
      <c r="G269" s="248"/>
      <c r="H269" s="248"/>
      <c r="I269" s="248"/>
      <c r="J269" s="248"/>
      <c r="K269" s="248"/>
      <c r="L269" s="248"/>
      <c r="M269" s="248"/>
      <c r="N269" s="248"/>
      <c r="O269" s="248"/>
      <c r="P269" s="248"/>
      <c r="Q269" s="248"/>
      <c r="R269" s="248"/>
      <c r="S269" s="248"/>
      <c r="T269" s="248"/>
      <c r="U269" s="248"/>
      <c r="V269" s="248"/>
      <c r="W269" s="248"/>
      <c r="X269" s="248"/>
      <c r="Y269" s="248"/>
      <c r="Z269" s="248"/>
      <c r="AA269" s="248"/>
      <c r="AB269" s="248"/>
      <c r="AC269" s="248"/>
      <c r="AD269" s="248"/>
      <c r="AE269" s="248"/>
      <c r="AF269" s="248"/>
      <c r="AG269" s="248"/>
      <c r="AH269" s="248"/>
      <c r="AI269" s="248"/>
      <c r="AJ269" s="248"/>
      <c r="AK269" s="248"/>
      <c r="AL269" s="248"/>
      <c r="AM269" s="248"/>
      <c r="AN269" s="138"/>
      <c r="AO269" s="248"/>
      <c r="AP269" s="726"/>
      <c r="AQ269" s="148" t="s">
        <v>577</v>
      </c>
      <c r="AR269" s="264"/>
      <c r="AS269" s="265"/>
      <c r="AT269" s="264"/>
      <c r="AU269" s="265"/>
      <c r="AV269" s="264"/>
      <c r="AW269" s="265"/>
      <c r="AX269" s="264"/>
      <c r="AY269" s="265"/>
      <c r="AZ269" s="264"/>
      <c r="BA269" s="265"/>
      <c r="BB269" s="264"/>
      <c r="BC269" s="265"/>
      <c r="BD269" s="224">
        <f>EXP(LN(BD18)+0.5*LN('Ecoinvent 3.10'!$E$11)^2)</f>
        <v>1.6805189450738927</v>
      </c>
      <c r="BE269" s="50">
        <f>EXP(LN(BE18)+0.5*LN('Ecoinvent 3.10'!$E$11)^2)</f>
        <v>1.6805189450738927</v>
      </c>
      <c r="BF269" s="264"/>
      <c r="BG269" s="265"/>
      <c r="BI269" s="156"/>
      <c r="BJ269" s="148" t="s">
        <v>577</v>
      </c>
      <c r="BK269" s="264"/>
      <c r="BL269" s="265"/>
      <c r="BM269" s="264"/>
      <c r="BN269" s="265"/>
      <c r="BO269" s="264"/>
      <c r="BP269" s="265"/>
      <c r="BQ269" s="264"/>
      <c r="BR269" s="265"/>
      <c r="BS269" s="264"/>
      <c r="BT269" s="265"/>
      <c r="BU269" s="264"/>
      <c r="BV269" s="265"/>
      <c r="BW269" s="224">
        <f>EXP(LN(BW18)+0.5*LN('Ecoinvent 3.10'!$E$11)^2)</f>
        <v>0.43098317339737147</v>
      </c>
      <c r="BX269" s="50">
        <f>EXP(LN(BX18)+0.5*LN('Ecoinvent 3.10'!$E$11)^2)</f>
        <v>0.43098317339737147</v>
      </c>
      <c r="BY269" s="264"/>
      <c r="BZ269" s="265"/>
      <c r="CA269" s="156"/>
      <c r="CB269" s="156"/>
      <c r="CC269" s="148" t="s">
        <v>577</v>
      </c>
      <c r="CD269" s="264"/>
      <c r="CE269" s="265"/>
      <c r="CF269" s="264"/>
      <c r="CG269" s="265"/>
      <c r="CH269" s="264"/>
      <c r="CI269" s="265"/>
      <c r="CJ269" s="264"/>
      <c r="CK269" s="265"/>
      <c r="CL269" s="264"/>
      <c r="CM269" s="265"/>
      <c r="CN269" s="264"/>
      <c r="CO269" s="265"/>
      <c r="CP269" s="224">
        <f>EXP(LN(CP18)+0.5*LN('Ecoinvent 3.10'!$E$11)^2)</f>
        <v>6.7417986544513582</v>
      </c>
      <c r="CQ269" s="50">
        <f>EXP(LN(CQ18)+0.5*LN('Ecoinvent 3.10'!$E$11)^2)</f>
        <v>6.7417986544513582</v>
      </c>
      <c r="CR269" s="264"/>
      <c r="CS269" s="265"/>
      <c r="CV269" s="148" t="s">
        <v>577</v>
      </c>
      <c r="CW269" s="264"/>
      <c r="CX269" s="265"/>
      <c r="CY269" s="264"/>
      <c r="CZ269" s="265"/>
      <c r="DA269" s="264"/>
      <c r="DB269" s="265"/>
      <c r="DC269" s="264"/>
      <c r="DD269" s="265"/>
      <c r="DE269" s="264"/>
      <c r="DF269" s="265"/>
      <c r="DG269" s="264"/>
      <c r="DH269" s="265"/>
      <c r="DI269" s="224">
        <f>EXP(LN(DI18)+0.5*LN('Ecoinvent 3.10'!$E$11)^2)</f>
        <v>3.9920897573686911E-3</v>
      </c>
      <c r="DJ269" s="50">
        <f>EXP(LN(DJ18)+0.5*LN('Ecoinvent 3.10'!$E$11)^2)</f>
        <v>3.9920897573686911E-3</v>
      </c>
      <c r="DK269" s="264"/>
      <c r="DL269" s="265"/>
      <c r="DO269" s="148" t="s">
        <v>577</v>
      </c>
      <c r="DP269" s="264"/>
      <c r="DQ269" s="265"/>
      <c r="DR269" s="264"/>
      <c r="DS269" s="265"/>
      <c r="DT269" s="264"/>
      <c r="DU269" s="265"/>
      <c r="DV269" s="264"/>
      <c r="DW269" s="265"/>
      <c r="DX269" s="264"/>
      <c r="DY269" s="265"/>
      <c r="DZ269" s="264"/>
      <c r="EA269" s="265"/>
      <c r="EB269" s="224">
        <f>EXP(LN(EB18)+0.5*LN('Ecoinvent 3.10'!$E$11)^2)</f>
        <v>9.5505063488745528E-3</v>
      </c>
      <c r="EC269" s="50">
        <f>EXP(LN(EC18)+0.5*LN('Ecoinvent 3.10'!$E$11)^2)</f>
        <v>9.5505063488745528E-3</v>
      </c>
      <c r="ED269" s="264"/>
      <c r="EE269" s="265"/>
      <c r="EH269" s="148" t="s">
        <v>577</v>
      </c>
      <c r="EI269" s="264"/>
      <c r="EJ269" s="265"/>
      <c r="EK269" s="264"/>
      <c r="EL269" s="265"/>
      <c r="EM269" s="264"/>
      <c r="EN269" s="265"/>
      <c r="EO269" s="264"/>
      <c r="EP269" s="265"/>
      <c r="EQ269" s="264"/>
      <c r="ER269" s="265"/>
      <c r="ES269" s="264"/>
      <c r="ET269" s="265"/>
      <c r="EU269" s="224">
        <f>EXP(LN(EU18)+0.5*LN('Ecoinvent 3.10'!$E$11)^2)</f>
        <v>2.0624033198168273E-2</v>
      </c>
      <c r="EV269" s="50">
        <f>EXP(LN(EV18)+0.5*LN('Ecoinvent 3.10'!$E$11)^2)</f>
        <v>2.0624033198168273E-2</v>
      </c>
      <c r="EW269" s="264"/>
      <c r="EX269" s="265"/>
      <c r="FA269" s="148" t="s">
        <v>577</v>
      </c>
      <c r="FB269" s="264"/>
      <c r="FC269" s="265"/>
      <c r="FD269" s="264"/>
      <c r="FE269" s="265"/>
      <c r="FF269" s="264"/>
      <c r="FG269" s="265"/>
      <c r="FH269" s="264"/>
      <c r="FI269" s="265"/>
      <c r="FJ269" s="264"/>
      <c r="FK269" s="265"/>
      <c r="FL269" s="264"/>
      <c r="FM269" s="265"/>
      <c r="FN269" s="224">
        <f>EXP(LN(FN18)+0.5*LN('Ecoinvent 3.10'!$E$11)^2)</f>
        <v>2.3808751784508067E-4</v>
      </c>
      <c r="FO269" s="50">
        <f>EXP(LN(FO18)+0.5*LN('Ecoinvent 3.10'!$E$11)^2)</f>
        <v>2.3808751784508067E-4</v>
      </c>
      <c r="FP269" s="264"/>
      <c r="FQ269" s="265"/>
      <c r="FT269" s="148" t="s">
        <v>577</v>
      </c>
      <c r="FU269" s="264"/>
      <c r="FV269" s="265"/>
      <c r="FW269" s="264"/>
      <c r="FX269" s="265"/>
      <c r="FY269" s="264"/>
      <c r="FZ269" s="265"/>
      <c r="GA269" s="264"/>
      <c r="GB269" s="265"/>
      <c r="GC269" s="264"/>
      <c r="GD269" s="265"/>
      <c r="GE269" s="264"/>
      <c r="GF269" s="265"/>
      <c r="GG269" s="224">
        <f>EXP(LN(GG18)+0.5*LN('Ecoinvent 3.10'!$E$11)^2)</f>
        <v>5.8661835137151626E-2</v>
      </c>
      <c r="GH269" s="50">
        <f>EXP(LN(GH18)+0.5*LN('Ecoinvent 3.10'!$E$11)^2)</f>
        <v>5.8661835137151626E-2</v>
      </c>
      <c r="GI269" s="264"/>
      <c r="GJ269" s="265"/>
      <c r="GM269" s="148" t="s">
        <v>577</v>
      </c>
      <c r="GN269" s="264"/>
      <c r="GO269" s="265"/>
      <c r="GP269" s="264"/>
      <c r="GQ269" s="265"/>
      <c r="GR269" s="264"/>
      <c r="GS269" s="265"/>
      <c r="GT269" s="264"/>
      <c r="GU269" s="265"/>
      <c r="GV269" s="264"/>
      <c r="GW269" s="265"/>
      <c r="GX269" s="264"/>
      <c r="GY269" s="265"/>
      <c r="GZ269" s="224">
        <f>EXP(LN(GZ18)+0.5*LN('Ecoinvent 3.10'!$E$11)^2)</f>
        <v>0.16509931494959285</v>
      </c>
      <c r="HA269" s="50">
        <f>EXP(LN(HA18)+0.5*LN('Ecoinvent 3.10'!$E$11)^2)</f>
        <v>0.16509931494959285</v>
      </c>
      <c r="HB269" s="264"/>
      <c r="HC269" s="265"/>
      <c r="HF269" s="148" t="s">
        <v>577</v>
      </c>
      <c r="HG269" s="264"/>
      <c r="HH269" s="265"/>
      <c r="HI269" s="264"/>
      <c r="HJ269" s="265"/>
      <c r="HK269" s="264"/>
      <c r="HL269" s="265"/>
      <c r="HM269" s="264"/>
      <c r="HN269" s="265"/>
      <c r="HO269" s="264"/>
      <c r="HP269" s="265"/>
      <c r="HQ269" s="264"/>
      <c r="HR269" s="265"/>
      <c r="HS269" s="224">
        <f>EXP(LN(HS18)+0.5*LN('Ecoinvent 3.10'!$E$11)^2)</f>
        <v>1.075748793075626</v>
      </c>
      <c r="HT269" s="50">
        <f>EXP(LN(HT18)+0.5*LN('Ecoinvent 3.10'!$E$11)^2)</f>
        <v>1.075748793075626</v>
      </c>
      <c r="HU269" s="264"/>
      <c r="HV269" s="265"/>
      <c r="HY269" s="148"/>
      <c r="HZ269" s="224"/>
      <c r="IA269" s="50"/>
      <c r="IB269" s="264"/>
      <c r="IC269" s="265"/>
      <c r="ID269" s="264"/>
      <c r="IE269" s="265"/>
      <c r="IF269" s="224"/>
      <c r="IG269" s="50"/>
      <c r="IH269" s="224"/>
      <c r="II269" s="50"/>
      <c r="IJ269" s="224"/>
      <c r="IK269" s="50"/>
      <c r="IL269" s="224"/>
      <c r="IM269" s="224"/>
      <c r="IN269" s="224"/>
      <c r="IO269" s="224"/>
    </row>
    <row r="270" spans="2:249" ht="14.25" customHeight="1" x14ac:dyDescent="0.25">
      <c r="B270" s="248"/>
      <c r="C270" s="248"/>
      <c r="D270" s="248"/>
      <c r="E270" s="248"/>
      <c r="F270" s="248"/>
      <c r="G270" s="248"/>
      <c r="H270" s="248"/>
      <c r="I270" s="248"/>
      <c r="J270" s="248"/>
      <c r="K270" s="248"/>
      <c r="L270" s="248"/>
      <c r="M270" s="248"/>
      <c r="N270" s="248"/>
      <c r="O270" s="248"/>
      <c r="P270" s="248"/>
      <c r="Q270" s="248"/>
      <c r="R270" s="248"/>
      <c r="S270" s="248"/>
      <c r="T270" s="248"/>
      <c r="U270" s="248"/>
      <c r="V270" s="248"/>
      <c r="W270" s="248"/>
      <c r="X270" s="248"/>
      <c r="Y270" s="248"/>
      <c r="Z270" s="248"/>
      <c r="AA270" s="248"/>
      <c r="AB270" s="248"/>
      <c r="AC270" s="248"/>
      <c r="AD270" s="248"/>
      <c r="AE270" s="248"/>
      <c r="AF270" s="248"/>
      <c r="AG270" s="248"/>
      <c r="AH270" s="248"/>
      <c r="AI270" s="248"/>
      <c r="AJ270" s="248"/>
      <c r="AK270" s="248"/>
      <c r="AL270" s="248"/>
      <c r="AM270" s="248"/>
      <c r="AN270" s="138"/>
      <c r="AO270" s="248"/>
      <c r="AP270" s="726"/>
      <c r="AQ270" s="148" t="s">
        <v>376</v>
      </c>
      <c r="AR270" s="224"/>
      <c r="AS270" s="50"/>
      <c r="AT270" s="224"/>
      <c r="AU270" s="50"/>
      <c r="AV270" s="224"/>
      <c r="AW270" s="50"/>
      <c r="AX270" s="224"/>
      <c r="AY270" s="50"/>
      <c r="AZ270" s="224"/>
      <c r="BA270" s="50"/>
      <c r="BB270" s="224"/>
      <c r="BC270" s="50"/>
      <c r="BD270" s="224"/>
      <c r="BE270" s="50"/>
      <c r="BF270" s="224"/>
      <c r="BG270" s="50"/>
      <c r="BI270" s="156"/>
      <c r="BJ270" s="148" t="s">
        <v>376</v>
      </c>
      <c r="BK270" s="224"/>
      <c r="BL270" s="50"/>
      <c r="BM270" s="224"/>
      <c r="BN270" s="50"/>
      <c r="BO270" s="224"/>
      <c r="BP270" s="50"/>
      <c r="BQ270" s="224"/>
      <c r="BR270" s="50"/>
      <c r="BS270" s="224"/>
      <c r="BT270" s="50"/>
      <c r="BU270" s="224"/>
      <c r="BV270" s="50"/>
      <c r="BW270" s="224"/>
      <c r="BX270" s="50"/>
      <c r="BY270" s="224"/>
      <c r="BZ270" s="50"/>
      <c r="CA270" s="156"/>
      <c r="CB270" s="156"/>
      <c r="CC270" s="148" t="s">
        <v>376</v>
      </c>
      <c r="CD270" s="224"/>
      <c r="CE270" s="50"/>
      <c r="CF270" s="224"/>
      <c r="CG270" s="50"/>
      <c r="CH270" s="224"/>
      <c r="CI270" s="50"/>
      <c r="CJ270" s="224"/>
      <c r="CK270" s="50"/>
      <c r="CL270" s="224"/>
      <c r="CM270" s="50"/>
      <c r="CN270" s="224"/>
      <c r="CO270" s="50"/>
      <c r="CP270" s="224"/>
      <c r="CQ270" s="50"/>
      <c r="CR270" s="224"/>
      <c r="CS270" s="50"/>
      <c r="CV270" s="148" t="s">
        <v>376</v>
      </c>
      <c r="CW270" s="224"/>
      <c r="CX270" s="50"/>
      <c r="CY270" s="224"/>
      <c r="CZ270" s="50"/>
      <c r="DA270" s="224"/>
      <c r="DB270" s="50"/>
      <c r="DC270" s="224"/>
      <c r="DD270" s="50"/>
      <c r="DE270" s="224"/>
      <c r="DF270" s="50"/>
      <c r="DG270" s="224"/>
      <c r="DH270" s="50"/>
      <c r="DI270" s="224"/>
      <c r="DJ270" s="50"/>
      <c r="DK270" s="224"/>
      <c r="DL270" s="50"/>
      <c r="DO270" s="148" t="s">
        <v>376</v>
      </c>
      <c r="DP270" s="224"/>
      <c r="DQ270" s="50"/>
      <c r="DR270" s="224"/>
      <c r="DS270" s="50"/>
      <c r="DT270" s="224"/>
      <c r="DU270" s="50"/>
      <c r="DV270" s="224"/>
      <c r="DW270" s="50"/>
      <c r="DX270" s="224"/>
      <c r="DY270" s="50"/>
      <c r="DZ270" s="224"/>
      <c r="EA270" s="50"/>
      <c r="EB270" s="224"/>
      <c r="EC270" s="50"/>
      <c r="ED270" s="224"/>
      <c r="EE270" s="50"/>
      <c r="EH270" s="148" t="s">
        <v>376</v>
      </c>
      <c r="EI270" s="224"/>
      <c r="EJ270" s="50"/>
      <c r="EK270" s="224"/>
      <c r="EL270" s="50"/>
      <c r="EM270" s="224"/>
      <c r="EN270" s="50"/>
      <c r="EO270" s="224"/>
      <c r="EP270" s="50"/>
      <c r="EQ270" s="224"/>
      <c r="ER270" s="50"/>
      <c r="ES270" s="224"/>
      <c r="ET270" s="50"/>
      <c r="EU270" s="224"/>
      <c r="EV270" s="50"/>
      <c r="EW270" s="224"/>
      <c r="EX270" s="50"/>
      <c r="FA270" s="148" t="s">
        <v>376</v>
      </c>
      <c r="FB270" s="224"/>
      <c r="FC270" s="50"/>
      <c r="FD270" s="224"/>
      <c r="FE270" s="50"/>
      <c r="FF270" s="224"/>
      <c r="FG270" s="50"/>
      <c r="FH270" s="224"/>
      <c r="FI270" s="50"/>
      <c r="FJ270" s="224"/>
      <c r="FK270" s="50"/>
      <c r="FL270" s="224"/>
      <c r="FM270" s="50"/>
      <c r="FN270" s="224"/>
      <c r="FO270" s="50"/>
      <c r="FP270" s="224"/>
      <c r="FQ270" s="50"/>
      <c r="FT270" s="148" t="s">
        <v>376</v>
      </c>
      <c r="FU270" s="224"/>
      <c r="FV270" s="50"/>
      <c r="FW270" s="224"/>
      <c r="FX270" s="50"/>
      <c r="FY270" s="224"/>
      <c r="FZ270" s="50"/>
      <c r="GA270" s="224"/>
      <c r="GB270" s="50"/>
      <c r="GC270" s="224"/>
      <c r="GD270" s="50"/>
      <c r="GE270" s="224"/>
      <c r="GF270" s="50"/>
      <c r="GG270" s="224"/>
      <c r="GH270" s="50"/>
      <c r="GI270" s="224"/>
      <c r="GJ270" s="50"/>
      <c r="GM270" s="148" t="s">
        <v>376</v>
      </c>
      <c r="GN270" s="224"/>
      <c r="GO270" s="50"/>
      <c r="GP270" s="224"/>
      <c r="GQ270" s="50"/>
      <c r="GR270" s="224"/>
      <c r="GS270" s="50"/>
      <c r="GT270" s="224"/>
      <c r="GU270" s="50"/>
      <c r="GV270" s="224"/>
      <c r="GW270" s="50"/>
      <c r="GX270" s="224"/>
      <c r="GY270" s="50"/>
      <c r="GZ270" s="224"/>
      <c r="HA270" s="50"/>
      <c r="HB270" s="224"/>
      <c r="HC270" s="50"/>
      <c r="HF270" s="148" t="s">
        <v>376</v>
      </c>
      <c r="HG270" s="224"/>
      <c r="HH270" s="50"/>
      <c r="HI270" s="224"/>
      <c r="HJ270" s="50"/>
      <c r="HK270" s="224"/>
      <c r="HL270" s="50"/>
      <c r="HM270" s="224"/>
      <c r="HN270" s="50"/>
      <c r="HO270" s="224"/>
      <c r="HP270" s="50"/>
      <c r="HQ270" s="224"/>
      <c r="HR270" s="50"/>
      <c r="HS270" s="224"/>
      <c r="HT270" s="50"/>
      <c r="HU270" s="224"/>
      <c r="HV270" s="50"/>
      <c r="HY270" s="148" t="s">
        <v>376</v>
      </c>
      <c r="HZ270" s="224"/>
      <c r="IA270" s="50"/>
      <c r="IB270" s="224"/>
      <c r="IC270" s="50"/>
      <c r="ID270" s="224"/>
      <c r="IE270" s="50"/>
      <c r="IF270" s="224"/>
      <c r="IG270" s="50"/>
      <c r="IH270" s="224"/>
      <c r="II270" s="50"/>
      <c r="IJ270" s="224"/>
      <c r="IK270" s="50"/>
      <c r="IL270" s="224"/>
      <c r="IM270" s="224"/>
      <c r="IN270" s="224"/>
      <c r="IO270" s="224"/>
    </row>
    <row r="271" spans="2:249" ht="12.75" customHeight="1" x14ac:dyDescent="0.2">
      <c r="B271" s="248"/>
      <c r="C271" s="248"/>
      <c r="D271" s="248"/>
      <c r="E271" s="248"/>
      <c r="F271" s="248"/>
      <c r="G271" s="248"/>
      <c r="H271" s="248"/>
      <c r="I271" s="248"/>
      <c r="J271" s="248"/>
      <c r="K271" s="248"/>
      <c r="L271" s="248"/>
      <c r="M271" s="248"/>
      <c r="N271" s="248"/>
      <c r="O271" s="248"/>
      <c r="P271" s="248"/>
      <c r="Q271" s="248"/>
      <c r="R271" s="248"/>
      <c r="S271" s="248"/>
      <c r="T271" s="248"/>
      <c r="U271" s="248"/>
      <c r="V271" s="248"/>
      <c r="W271" s="248"/>
      <c r="X271" s="248"/>
      <c r="Y271" s="248"/>
      <c r="Z271" s="248"/>
      <c r="AA271" s="248"/>
      <c r="AB271" s="248"/>
      <c r="AC271" s="248"/>
      <c r="AD271" s="248"/>
      <c r="AE271" s="248"/>
      <c r="AF271" s="248"/>
      <c r="AG271" s="248"/>
      <c r="AH271" s="248"/>
      <c r="AI271" s="248"/>
      <c r="AJ271" s="248"/>
      <c r="AK271" s="248"/>
      <c r="AL271" s="248"/>
      <c r="AM271" s="248"/>
      <c r="AN271" s="138"/>
      <c r="AO271" s="248"/>
      <c r="AP271" s="726"/>
      <c r="AQ271" s="148" t="s">
        <v>333</v>
      </c>
      <c r="AR271" s="224">
        <f>EXP(LN(AR20)+0.5*LN('Ecoinvent 3.10'!$E$34)^2)</f>
        <v>27.096325401514378</v>
      </c>
      <c r="AS271" s="50">
        <f>EXP(LN(AS20)+0.5*LN('Ecoinvent 3.10'!$E$34)^2)</f>
        <v>27.096325401514378</v>
      </c>
      <c r="AT271" s="224">
        <f>EXP(LN(AT20)+0.5*LN('Ecoinvent 3.10'!$E$34)^2)</f>
        <v>31.715931973241521</v>
      </c>
      <c r="AU271" s="50">
        <f>EXP(LN(AU20)+0.5*LN('Ecoinvent 3.10'!$E$34)^2)</f>
        <v>31.715931973241521</v>
      </c>
      <c r="AV271" s="224">
        <f>EXP(LN(AV20)+0.5*LN('Ecoinvent 3.10'!$E$34)^2)</f>
        <v>30.91299698657717</v>
      </c>
      <c r="AW271" s="50">
        <f>EXP(LN(AW20)+0.5*LN('Ecoinvent 3.10'!$E$34)^2)</f>
        <v>30.91299698657717</v>
      </c>
      <c r="AX271" s="224">
        <f>EXP(LN(AX20)+0.5*LN('Ecoinvent 3.10'!$E$34)^2)</f>
        <v>29.378121224799802</v>
      </c>
      <c r="AY271" s="50">
        <f>EXP(LN(AY20)+0.5*LN('Ecoinvent 3.10'!$E$34)^2)</f>
        <v>29.378121224799802</v>
      </c>
      <c r="AZ271" s="224">
        <f>EXP(LN(AZ20)+0.5*LN('Ecoinvent 3.10'!$E$34)^2)</f>
        <v>26.580204917676017</v>
      </c>
      <c r="BA271" s="50">
        <f>EXP(LN(BA20)+0.5*LN('Ecoinvent 3.10'!$E$34)^2)</f>
        <v>26.580204917676017</v>
      </c>
      <c r="BB271" s="224"/>
      <c r="BC271" s="50"/>
      <c r="BD271" s="224">
        <f>EXP(LN(BD20)+0.5*LN('Ecoinvent 3.10'!$E$34)^2)</f>
        <v>49.61638251299523</v>
      </c>
      <c r="BE271" s="50">
        <f>EXP(LN(BE20)+0.5*LN('Ecoinvent 3.10'!$E$34)^2)</f>
        <v>49.61638251299523</v>
      </c>
      <c r="BF271" s="224">
        <f>EXP(LN(BF20)+0.5*LN('Ecoinvent 3.10'!$E$34)^2)</f>
        <v>26.580204917676017</v>
      </c>
      <c r="BG271" s="50">
        <f>EXP(LN(BG20)+0.5*LN('Ecoinvent 3.10'!$E$34)^2)</f>
        <v>26.580204917676017</v>
      </c>
      <c r="BI271" s="156"/>
      <c r="BJ271" s="148" t="s">
        <v>333</v>
      </c>
      <c r="BK271" s="224">
        <f>EXP(LN(BK20)+0.5*LN('Ecoinvent 3.10'!$E$34)^2)</f>
        <v>3.233115464710608</v>
      </c>
      <c r="BL271" s="50">
        <f>EXP(LN(BL20)+0.5*LN('Ecoinvent 3.10'!$E$34)^2)</f>
        <v>3.233115464710608</v>
      </c>
      <c r="BM271" s="224">
        <f>EXP(LN(BM20)+0.5*LN('Ecoinvent 3.10'!$E$34)^2)</f>
        <v>3.7843238380457986</v>
      </c>
      <c r="BN271" s="50">
        <f>EXP(LN(BN20)+0.5*LN('Ecoinvent 3.10'!$E$34)^2)</f>
        <v>3.7843238380457986</v>
      </c>
      <c r="BO271" s="224">
        <f>EXP(LN(BO20)+0.5*LN('Ecoinvent 3.10'!$E$34)^2)</f>
        <v>3.6885181712598287</v>
      </c>
      <c r="BP271" s="50">
        <f>EXP(LN(BP20)+0.5*LN('Ecoinvent 3.10'!$E$34)^2)</f>
        <v>3.6885181712598287</v>
      </c>
      <c r="BQ271" s="224">
        <f>EXP(LN(BQ20)+0.5*LN('Ecoinvent 3.10'!$E$34)^2)</f>
        <v>3.5053778196336061</v>
      </c>
      <c r="BR271" s="50">
        <f>EXP(LN(BR20)+0.5*LN('Ecoinvent 3.10'!$E$34)^2)</f>
        <v>3.5053778196336061</v>
      </c>
      <c r="BS271" s="224">
        <f>EXP(LN(BS20)+0.5*LN('Ecoinvent 3.10'!$E$34)^2)</f>
        <v>3.1715323130018342</v>
      </c>
      <c r="BT271" s="50">
        <f>EXP(LN(BT20)+0.5*LN('Ecoinvent 3.10'!$E$34)^2)</f>
        <v>3.1715323130018342</v>
      </c>
      <c r="BU271" s="224"/>
      <c r="BV271" s="50"/>
      <c r="BW271" s="224">
        <f>EXP(LN(BW20)+0.5*LN('Ecoinvent 3.10'!$E$34)^2)</f>
        <v>5.9201936509367563</v>
      </c>
      <c r="BX271" s="50">
        <f>EXP(LN(BX20)+0.5*LN('Ecoinvent 3.10'!$E$34)^2)</f>
        <v>5.9201936509367563</v>
      </c>
      <c r="BY271" s="224">
        <f>EXP(LN(BY20)+0.5*LN('Ecoinvent 3.10'!$E$34)^2)</f>
        <v>3.1715323130018342</v>
      </c>
      <c r="BZ271" s="50">
        <f>EXP(LN(BZ20)+0.5*LN('Ecoinvent 3.10'!$E$34)^2)</f>
        <v>3.1715323130018342</v>
      </c>
      <c r="CA271" s="156"/>
      <c r="CB271" s="156"/>
      <c r="CC271" s="148" t="s">
        <v>333</v>
      </c>
      <c r="CD271" s="224">
        <f>EXP(LN(CD20)+0.5*LN('Ecoinvent 3.10'!$E$34)^2)</f>
        <v>14.987110570718821</v>
      </c>
      <c r="CE271" s="50">
        <f>EXP(LN(CE20)+0.5*LN('Ecoinvent 3.10'!$E$34)^2)</f>
        <v>14.987110570718821</v>
      </c>
      <c r="CF271" s="224">
        <f>EXP(LN(CF20)+0.5*LN('Ecoinvent 3.10'!$E$34)^2)</f>
        <v>17.542237638975255</v>
      </c>
      <c r="CG271" s="50">
        <f>EXP(LN(CG20)+0.5*LN('Ecoinvent 3.10'!$E$34)^2)</f>
        <v>17.542237638975255</v>
      </c>
      <c r="CH271" s="224">
        <f>EXP(LN(CH20)+0.5*LN('Ecoinvent 3.10'!$E$34)^2)</f>
        <v>17.098130356975879</v>
      </c>
      <c r="CI271" s="50">
        <f>EXP(LN(CI20)+0.5*LN('Ecoinvent 3.10'!$E$34)^2)</f>
        <v>17.098130356975879</v>
      </c>
      <c r="CJ271" s="224">
        <f>EXP(LN(CJ20)+0.5*LN('Ecoinvent 3.10'!$E$34)^2)</f>
        <v>16.24918303983198</v>
      </c>
      <c r="CK271" s="50">
        <f>EXP(LN(CK20)+0.5*LN('Ecoinvent 3.10'!$E$34)^2)</f>
        <v>16.24918303983198</v>
      </c>
      <c r="CL271" s="224">
        <f>EXP(LN(CL20)+0.5*LN('Ecoinvent 3.10'!$E$34)^2)</f>
        <v>14.701641797943223</v>
      </c>
      <c r="CM271" s="50">
        <f>EXP(LN(CM20)+0.5*LN('Ecoinvent 3.10'!$E$34)^2)</f>
        <v>14.701641797943223</v>
      </c>
      <c r="CN271" s="224"/>
      <c r="CO271" s="50"/>
      <c r="CP271" s="224">
        <f>EXP(LN(CP20)+0.5*LN('Ecoinvent 3.10'!$E$34)^2)</f>
        <v>27.443064689494015</v>
      </c>
      <c r="CQ271" s="50">
        <f>EXP(LN(CQ20)+0.5*LN('Ecoinvent 3.10'!$E$34)^2)</f>
        <v>27.443064689494015</v>
      </c>
      <c r="CR271" s="224">
        <f>EXP(LN(CR20)+0.5*LN('Ecoinvent 3.10'!$E$34)^2)</f>
        <v>14.701641797943223</v>
      </c>
      <c r="CS271" s="50">
        <f>EXP(LN(CS20)+0.5*LN('Ecoinvent 3.10'!$E$34)^2)</f>
        <v>14.701641797943223</v>
      </c>
      <c r="CV271" s="148" t="s">
        <v>333</v>
      </c>
      <c r="CW271" s="224">
        <f>EXP(LN(CW20)+0.5*LN('Ecoinvent 3.10'!$E$34)^2)</f>
        <v>1.1050143730342837E-2</v>
      </c>
      <c r="CX271" s="50">
        <f>EXP(LN(CX20)+0.5*LN('Ecoinvent 3.10'!$E$34)^2)</f>
        <v>1.1050143730342837E-2</v>
      </c>
      <c r="CY271" s="224">
        <f>EXP(LN(CY20)+0.5*LN('Ecoinvent 3.10'!$E$34)^2)</f>
        <v>1.2934063997714896E-2</v>
      </c>
      <c r="CZ271" s="50">
        <f>EXP(LN(CZ20)+0.5*LN('Ecoinvent 3.10'!$E$34)^2)</f>
        <v>1.2934063997714896E-2</v>
      </c>
      <c r="DA271" s="224">
        <f>EXP(LN(DA20)+0.5*LN('Ecoinvent 3.10'!$E$34)^2)</f>
        <v>1.260661933954489E-2</v>
      </c>
      <c r="DB271" s="50">
        <f>EXP(LN(DB20)+0.5*LN('Ecoinvent 3.10'!$E$34)^2)</f>
        <v>1.260661933954489E-2</v>
      </c>
      <c r="DC271" s="224">
        <f>EXP(LN(DC20)+0.5*LN('Ecoinvent 3.10'!$E$34)^2)</f>
        <v>1.1980682149740131E-2</v>
      </c>
      <c r="DD271" s="50">
        <f>EXP(LN(DD20)+0.5*LN('Ecoinvent 3.10'!$E$34)^2)</f>
        <v>1.1980682149740131E-2</v>
      </c>
      <c r="DE271" s="224">
        <f>EXP(LN(DE20)+0.5*LN('Ecoinvent 3.10'!$E$34)^2)</f>
        <v>1.0839664802145826E-2</v>
      </c>
      <c r="DF271" s="50">
        <f>EXP(LN(DF20)+0.5*LN('Ecoinvent 3.10'!$E$34)^2)</f>
        <v>1.0839664802145826E-2</v>
      </c>
      <c r="DG271" s="224"/>
      <c r="DH271" s="50"/>
      <c r="DI271" s="224">
        <f>EXP(LN(DI20)+0.5*LN('Ecoinvent 3.10'!$E$34)^2)</f>
        <v>2.0234040964005547E-2</v>
      </c>
      <c r="DJ271" s="50">
        <f>EXP(LN(DJ20)+0.5*LN('Ecoinvent 3.10'!$E$34)^2)</f>
        <v>2.0234040964005547E-2</v>
      </c>
      <c r="DK271" s="224">
        <f>EXP(LN(DK20)+0.5*LN('Ecoinvent 3.10'!$E$34)^2)</f>
        <v>1.0839664802145826E-2</v>
      </c>
      <c r="DL271" s="50">
        <f>EXP(LN(DL20)+0.5*LN('Ecoinvent 3.10'!$E$34)^2)</f>
        <v>1.0839664802145826E-2</v>
      </c>
      <c r="DO271" s="148" t="s">
        <v>333</v>
      </c>
      <c r="DP271" s="224">
        <f>EXP(LN(DP20)+0.5*LN('Ecoinvent 3.10'!$E$34)^2)</f>
        <v>1.997541504504451E-2</v>
      </c>
      <c r="DQ271" s="50">
        <f>EXP(LN(DQ20)+0.5*LN('Ecoinvent 3.10'!$E$34)^2)</f>
        <v>1.997541504504451E-2</v>
      </c>
      <c r="DR271" s="224">
        <f>EXP(LN(DR20)+0.5*LN('Ecoinvent 3.10'!$E$34)^2)</f>
        <v>2.3380989684693158E-2</v>
      </c>
      <c r="DS271" s="50">
        <f>EXP(LN(DS20)+0.5*LN('Ecoinvent 3.10'!$E$34)^2)</f>
        <v>2.3380989684693158E-2</v>
      </c>
      <c r="DT271" s="224">
        <f>EXP(LN(DT20)+0.5*LN('Ecoinvent 3.10'!$E$34)^2)</f>
        <v>2.2789065895207249E-2</v>
      </c>
      <c r="DU271" s="50">
        <f>EXP(LN(DU20)+0.5*LN('Ecoinvent 3.10'!$E$34)^2)</f>
        <v>2.2789065895207249E-2</v>
      </c>
      <c r="DV271" s="224">
        <f>EXP(LN(DV20)+0.5*LN('Ecoinvent 3.10'!$E$34)^2)</f>
        <v>2.165755525936405E-2</v>
      </c>
      <c r="DW271" s="50">
        <f>EXP(LN(DW20)+0.5*LN('Ecoinvent 3.10'!$E$34)^2)</f>
        <v>2.165755525936405E-2</v>
      </c>
      <c r="DX271" s="224">
        <f>EXP(LN(DX20)+0.5*LN('Ecoinvent 3.10'!$E$34)^2)</f>
        <v>1.959493094894842E-2</v>
      </c>
      <c r="DY271" s="50">
        <f>EXP(LN(DY20)+0.5*LN('Ecoinvent 3.10'!$E$34)^2)</f>
        <v>1.959493094894842E-2</v>
      </c>
      <c r="DZ271" s="224"/>
      <c r="EA271" s="50"/>
      <c r="EB271" s="224">
        <f>EXP(LN(EB20)+0.5*LN('Ecoinvent 3.10'!$E$34)^2)</f>
        <v>3.6577204438037046E-2</v>
      </c>
      <c r="EC271" s="50">
        <f>EXP(LN(EC20)+0.5*LN('Ecoinvent 3.10'!$E$34)^2)</f>
        <v>3.6577204438037046E-2</v>
      </c>
      <c r="ED271" s="224">
        <f>EXP(LN(ED20)+0.5*LN('Ecoinvent 3.10'!$E$34)^2)</f>
        <v>1.959493094894842E-2</v>
      </c>
      <c r="EE271" s="50">
        <f>EXP(LN(EE20)+0.5*LN('Ecoinvent 3.10'!$E$34)^2)</f>
        <v>1.959493094894842E-2</v>
      </c>
      <c r="EH271" s="148" t="s">
        <v>333</v>
      </c>
      <c r="EI271" s="224">
        <f>EXP(LN(EI20)+0.5*LN('Ecoinvent 3.10'!$E$34)^2)</f>
        <v>4.7525102276327474E-2</v>
      </c>
      <c r="EJ271" s="50">
        <f>EXP(LN(EJ20)+0.5*LN('Ecoinvent 3.10'!$E$34)^2)</f>
        <v>4.7525102276327474E-2</v>
      </c>
      <c r="EK271" s="224">
        <f>EXP(LN(EK20)+0.5*LN('Ecoinvent 3.10'!$E$34)^2)</f>
        <v>5.5627576377315968E-2</v>
      </c>
      <c r="EL271" s="50">
        <f>EXP(LN(EL20)+0.5*LN('Ecoinvent 3.10'!$E$34)^2)</f>
        <v>5.5627576377315968E-2</v>
      </c>
      <c r="EM271" s="224">
        <f>EXP(LN(EM20)+0.5*LN('Ecoinvent 3.10'!$E$34)^2)</f>
        <v>5.4219283304472517E-2</v>
      </c>
      <c r="EN271" s="50">
        <f>EXP(LN(EN20)+0.5*LN('Ecoinvent 3.10'!$E$34)^2)</f>
        <v>5.4219283304472517E-2</v>
      </c>
      <c r="EO271" s="224">
        <f>EXP(LN(EO20)+0.5*LN('Ecoinvent 3.10'!$E$34)^2)</f>
        <v>5.1527216152228744E-2</v>
      </c>
      <c r="EP271" s="50">
        <f>EXP(LN(EP20)+0.5*LN('Ecoinvent 3.10'!$E$34)^2)</f>
        <v>5.1527216152228744E-2</v>
      </c>
      <c r="EQ271" s="224">
        <f>EXP(LN(EQ20)+0.5*LN('Ecoinvent 3.10'!$E$34)^2)</f>
        <v>4.6619862232968871E-2</v>
      </c>
      <c r="ER271" s="50">
        <f>EXP(LN(ER20)+0.5*LN('Ecoinvent 3.10'!$E$34)^2)</f>
        <v>4.6619862232968871E-2</v>
      </c>
      <c r="ES271" s="224"/>
      <c r="ET271" s="50"/>
      <c r="EU271" s="224">
        <f>EXP(LN(EU20)+0.5*LN('Ecoinvent 3.10'!$E$34)^2)</f>
        <v>8.7023742834875184E-2</v>
      </c>
      <c r="EV271" s="50">
        <f>EXP(LN(EV20)+0.5*LN('Ecoinvent 3.10'!$E$34)^2)</f>
        <v>8.7023742834875184E-2</v>
      </c>
      <c r="EW271" s="224">
        <f>EXP(LN(EW20)+0.5*LN('Ecoinvent 3.10'!$E$34)^2)</f>
        <v>4.6619862232968871E-2</v>
      </c>
      <c r="EX271" s="50">
        <f>EXP(LN(EX20)+0.5*LN('Ecoinvent 3.10'!$E$34)^2)</f>
        <v>4.6619862232968871E-2</v>
      </c>
      <c r="FA271" s="148" t="s">
        <v>333</v>
      </c>
      <c r="FB271" s="224">
        <f>EXP(LN(FB20)+0.5*LN('Ecoinvent 3.10'!$E$34)^2)</f>
        <v>2.8309435060807102E-3</v>
      </c>
      <c r="FC271" s="50">
        <f>EXP(LN(FC20)+0.5*LN('Ecoinvent 3.10'!$E$34)^2)</f>
        <v>2.8309435060807102E-3</v>
      </c>
      <c r="FD271" s="224">
        <f>EXP(LN(FD20)+0.5*LN('Ecoinvent 3.10'!$E$34)^2)</f>
        <v>3.3135862641333505E-3</v>
      </c>
      <c r="FE271" s="50">
        <f>EXP(LN(FE20)+0.5*LN('Ecoinvent 3.10'!$E$34)^2)</f>
        <v>3.3135862641333505E-3</v>
      </c>
      <c r="FF271" s="224">
        <f>EXP(LN(FF20)+0.5*LN('Ecoinvent 3.10'!$E$34)^2)</f>
        <v>3.2296980042818713E-3</v>
      </c>
      <c r="FG271" s="50">
        <f>EXP(LN(FG20)+0.5*LN('Ecoinvent 3.10'!$E$34)^2)</f>
        <v>3.2296980042818713E-3</v>
      </c>
      <c r="FH271" s="224">
        <f>EXP(LN(FH20)+0.5*LN('Ecoinvent 3.10'!$E$34)^2)</f>
        <v>3.0693387486980333E-3</v>
      </c>
      <c r="FI271" s="50">
        <f>EXP(LN(FI20)+0.5*LN('Ecoinvent 3.10'!$E$34)^2)</f>
        <v>3.0693387486980333E-3</v>
      </c>
      <c r="FJ271" s="224">
        <f>EXP(LN(FJ20)+0.5*LN('Ecoinvent 3.10'!$E$34)^2)</f>
        <v>2.7770207726315523E-3</v>
      </c>
      <c r="FK271" s="50">
        <f>EXP(LN(FK20)+0.5*LN('Ecoinvent 3.10'!$E$34)^2)</f>
        <v>2.7770207726315523E-3</v>
      </c>
      <c r="FL271" s="224"/>
      <c r="FM271" s="50"/>
      <c r="FN271" s="224">
        <f>EXP(LN(FN20)+0.5*LN('Ecoinvent 3.10'!$E$34)^2)</f>
        <v>5.1837721089122305E-3</v>
      </c>
      <c r="FO271" s="50">
        <f>EXP(LN(FO20)+0.5*LN('Ecoinvent 3.10'!$E$34)^2)</f>
        <v>5.1837721089122305E-3</v>
      </c>
      <c r="FP271" s="224">
        <f>EXP(LN(FP20)+0.5*LN('Ecoinvent 3.10'!$E$34)^2)</f>
        <v>2.7770207726315523E-3</v>
      </c>
      <c r="FQ271" s="50">
        <f>EXP(LN(FQ20)+0.5*LN('Ecoinvent 3.10'!$E$34)^2)</f>
        <v>2.7770207726315523E-3</v>
      </c>
      <c r="FT271" s="148" t="s">
        <v>333</v>
      </c>
      <c r="FU271" s="224">
        <f>EXP(LN(FU20)+0.5*LN('Ecoinvent 3.10'!$E$34)^2)</f>
        <v>0.10747455352046374</v>
      </c>
      <c r="FV271" s="50">
        <f>EXP(LN(FV20)+0.5*LN('Ecoinvent 3.10'!$E$34)^2)</f>
        <v>0.10747455352046374</v>
      </c>
      <c r="FW271" s="224">
        <f>EXP(LN(FW20)+0.5*LN('Ecoinvent 3.10'!$E$34)^2)</f>
        <v>0.12579770791057254</v>
      </c>
      <c r="FX271" s="50">
        <f>EXP(LN(FX20)+0.5*LN('Ecoinvent 3.10'!$E$34)^2)</f>
        <v>0.12579770791057254</v>
      </c>
      <c r="FY271" s="224">
        <f>EXP(LN(FY20)+0.5*LN('Ecoinvent 3.10'!$E$34)^2)</f>
        <v>0.12261295581157068</v>
      </c>
      <c r="FZ271" s="50">
        <f>EXP(LN(FZ20)+0.5*LN('Ecoinvent 3.10'!$E$34)^2)</f>
        <v>0.12261295581157068</v>
      </c>
      <c r="GA271" s="224">
        <f>EXP(LN(GA20)+0.5*LN('Ecoinvent 3.10'!$E$34)^2)</f>
        <v>0.11652504223797649</v>
      </c>
      <c r="GB271" s="50">
        <f>EXP(LN(GB20)+0.5*LN('Ecoinvent 3.10'!$E$34)^2)</f>
        <v>0.11652504223797649</v>
      </c>
      <c r="GC271" s="224">
        <f>EXP(LN(GC20)+0.5*LN('Ecoinvent 3.10'!$E$34)^2)</f>
        <v>0.10542741916769301</v>
      </c>
      <c r="GD271" s="50">
        <f>EXP(LN(GD20)+0.5*LN('Ecoinvent 3.10'!$E$34)^2)</f>
        <v>0.10542741916769301</v>
      </c>
      <c r="GE271" s="224"/>
      <c r="GF271" s="50"/>
      <c r="GG271" s="224">
        <f>EXP(LN(GG20)+0.5*LN('Ecoinvent 3.10'!$E$34)^2)</f>
        <v>0.19679784911302686</v>
      </c>
      <c r="GH271" s="50">
        <f>EXP(LN(GH20)+0.5*LN('Ecoinvent 3.10'!$E$34)^2)</f>
        <v>0.19679784911302686</v>
      </c>
      <c r="GI271" s="224">
        <f>EXP(LN(GI20)+0.5*LN('Ecoinvent 3.10'!$E$34)^2)</f>
        <v>0.10542741916769301</v>
      </c>
      <c r="GJ271" s="50">
        <f>EXP(LN(GJ20)+0.5*LN('Ecoinvent 3.10'!$E$34)^2)</f>
        <v>0.10542741916769301</v>
      </c>
      <c r="GM271" s="148" t="s">
        <v>333</v>
      </c>
      <c r="GN271" s="224">
        <f>EXP(LN(GN20)+0.5*LN('Ecoinvent 3.10'!$E$34)^2)</f>
        <v>0.41231201930283046</v>
      </c>
      <c r="GO271" s="50">
        <f>EXP(LN(GO20)+0.5*LN('Ecoinvent 3.10'!$E$34)^2)</f>
        <v>0.41231201930283046</v>
      </c>
      <c r="GP271" s="224">
        <f>EXP(LN(GP20)+0.5*LN('Ecoinvent 3.10'!$E$34)^2)</f>
        <v>0.48260639633548108</v>
      </c>
      <c r="GQ271" s="50">
        <f>EXP(LN(GQ20)+0.5*LN('Ecoinvent 3.10'!$E$34)^2)</f>
        <v>0.48260639633548108</v>
      </c>
      <c r="GR271" s="224">
        <f>EXP(LN(GR20)+0.5*LN('Ecoinvent 3.10'!$E$34)^2)</f>
        <v>0.47038851288394989</v>
      </c>
      <c r="GS271" s="50">
        <f>EXP(LN(GS20)+0.5*LN('Ecoinvent 3.10'!$E$34)^2)</f>
        <v>0.47038851288394989</v>
      </c>
      <c r="GT271" s="224">
        <f>EXP(LN(GT20)+0.5*LN('Ecoinvent 3.10'!$E$34)^2)</f>
        <v>0.44703303145464773</v>
      </c>
      <c r="GU271" s="50">
        <f>EXP(LN(GU20)+0.5*LN('Ecoinvent 3.10'!$E$34)^2)</f>
        <v>0.44703303145464773</v>
      </c>
      <c r="GV271" s="224">
        <f>EXP(LN(GV20)+0.5*LN('Ecoinvent 3.10'!$E$34)^2)</f>
        <v>0.40445845703039557</v>
      </c>
      <c r="GW271" s="50">
        <f>EXP(LN(GW20)+0.5*LN('Ecoinvent 3.10'!$E$34)^2)</f>
        <v>0.40445845703039557</v>
      </c>
      <c r="GX271" s="224"/>
      <c r="GY271" s="50"/>
      <c r="GZ271" s="224">
        <f>EXP(LN(GZ20)+0.5*LN('Ecoinvent 3.10'!$E$34)^2)</f>
        <v>0.75498911979007166</v>
      </c>
      <c r="HA271" s="50">
        <f>EXP(LN(HA20)+0.5*LN('Ecoinvent 3.10'!$E$34)^2)</f>
        <v>0.75498911979007166</v>
      </c>
      <c r="HB271" s="224">
        <f>EXP(LN(HB20)+0.5*LN('Ecoinvent 3.10'!$E$34)^2)</f>
        <v>0.40445845703039557</v>
      </c>
      <c r="HC271" s="50">
        <f>EXP(LN(HC20)+0.5*LN('Ecoinvent 3.10'!$E$34)^2)</f>
        <v>0.40445845703039557</v>
      </c>
      <c r="HF271" s="148" t="s">
        <v>333</v>
      </c>
      <c r="HG271" s="224">
        <f>EXP(LN(HG20)+0.5*LN('Ecoinvent 3.10'!$E$34)^2)</f>
        <v>3.7974274979813112</v>
      </c>
      <c r="HH271" s="50">
        <f>EXP(LN(HH20)+0.5*LN('Ecoinvent 3.10'!$E$34)^2)</f>
        <v>3.7974274979813112</v>
      </c>
      <c r="HI271" s="224">
        <f>EXP(LN(HI20)+0.5*LN('Ecoinvent 3.10'!$E$34)^2)</f>
        <v>4.4448444729911909</v>
      </c>
      <c r="HJ271" s="50">
        <f>EXP(LN(HJ20)+0.5*LN('Ecoinvent 3.10'!$E$34)^2)</f>
        <v>4.4448444729911909</v>
      </c>
      <c r="HK271" s="224">
        <f>EXP(LN(HK20)+0.5*LN('Ecoinvent 3.10'!$E$34)^2)</f>
        <v>4.3323167648141974</v>
      </c>
      <c r="HL271" s="50">
        <f>EXP(LN(HL20)+0.5*LN('Ecoinvent 3.10'!$E$34)^2)</f>
        <v>4.3323167648141974</v>
      </c>
      <c r="HM271" s="224">
        <f>EXP(LN(HM20)+0.5*LN('Ecoinvent 3.10'!$E$34)^2)</f>
        <v>4.1172108662323685</v>
      </c>
      <c r="HN271" s="50">
        <f>EXP(LN(HN20)+0.5*LN('Ecoinvent 3.10'!$E$34)^2)</f>
        <v>4.1172108662323685</v>
      </c>
      <c r="HO271" s="224">
        <f>EXP(LN(HO20)+0.5*LN('Ecoinvent 3.10'!$E$34)^2)</f>
        <v>3.7250955456388097</v>
      </c>
      <c r="HP271" s="50">
        <f>EXP(LN(HP20)+0.5*LN('Ecoinvent 3.10'!$E$34)^2)</f>
        <v>3.7250955456388097</v>
      </c>
      <c r="HQ271" s="224"/>
      <c r="HR271" s="50"/>
      <c r="HS271" s="224">
        <f>EXP(LN(HS20)+0.5*LN('Ecoinvent 3.10'!$E$34)^2)</f>
        <v>6.9535116851924439</v>
      </c>
      <c r="HT271" s="50">
        <f>EXP(LN(HT20)+0.5*LN('Ecoinvent 3.10'!$E$34)^2)</f>
        <v>6.9535116851924439</v>
      </c>
      <c r="HU271" s="224">
        <f>EXP(LN(HU20)+0.5*LN('Ecoinvent 3.10'!$E$34)^2)</f>
        <v>3.7250955456388097</v>
      </c>
      <c r="HV271" s="50">
        <f>EXP(LN(HV20)+0.5*LN('Ecoinvent 3.10'!$E$34)^2)</f>
        <v>3.7250955456388097</v>
      </c>
      <c r="HY271" s="148" t="s">
        <v>333</v>
      </c>
      <c r="HZ271" s="224">
        <f>EXP(LN(HZ20)+0.5*LN('Ecoinvent 3.10'!$E$34)^2)</f>
        <v>4.542444493095002E-3</v>
      </c>
      <c r="IA271" s="50">
        <f>EXP(LN(IA20)+0.5*LN('Ecoinvent 3.10'!$E$34)^2)</f>
        <v>4.542444493095002E-3</v>
      </c>
      <c r="IB271" s="224">
        <f>EXP(LN(IB20)+0.5*LN('Ecoinvent 3.10'!$E$34)^2)</f>
        <v>5.3168781523111937E-3</v>
      </c>
      <c r="IC271" s="50">
        <f>EXP(LN(IC20)+0.5*LN('Ecoinvent 3.10'!$E$34)^2)</f>
        <v>5.3168781523111937E-3</v>
      </c>
      <c r="ID271" s="224">
        <f>EXP(LN(ID20)+0.5*LN('Ecoinvent 3.10'!$E$34)^2)</f>
        <v>5.1822736421261017E-3</v>
      </c>
      <c r="IE271" s="50">
        <f>EXP(LN(IE20)+0.5*LN('Ecoinvent 3.10'!$E$34)^2)</f>
        <v>5.1822736421261017E-3</v>
      </c>
      <c r="IF271" s="224">
        <f>EXP(LN(IF20)+0.5*LN('Ecoinvent 3.10'!$E$34)^2)</f>
        <v>4.924966134618792E-3</v>
      </c>
      <c r="IG271" s="50">
        <f>EXP(LN(IG20)+0.5*LN('Ecoinvent 3.10'!$E$34)^2)</f>
        <v>4.924966134618792E-3</v>
      </c>
      <c r="IH271" s="224">
        <f>EXP(LN(IH20)+0.5*LN('Ecoinvent 3.10'!$E$34)^2)</f>
        <v>4.4559217408455748E-3</v>
      </c>
      <c r="II271" s="50">
        <f>EXP(LN(II20)+0.5*LN('Ecoinvent 3.10'!$E$34)^2)</f>
        <v>4.4559217408455748E-3</v>
      </c>
      <c r="IJ271" s="224"/>
      <c r="IK271" s="50"/>
      <c r="IL271" s="224"/>
      <c r="IM271" s="224"/>
      <c r="IN271" s="224"/>
      <c r="IO271" s="224"/>
    </row>
    <row r="272" spans="2:249" ht="14.25" customHeight="1" x14ac:dyDescent="0.25">
      <c r="B272" s="248"/>
      <c r="C272" s="248"/>
      <c r="D272" s="248"/>
      <c r="E272" s="248"/>
      <c r="F272" s="248"/>
      <c r="G272" s="248"/>
      <c r="H272" s="248"/>
      <c r="I272" s="248"/>
      <c r="J272" s="248"/>
      <c r="K272" s="248"/>
      <c r="L272" s="248"/>
      <c r="M272" s="248"/>
      <c r="N272" s="248"/>
      <c r="O272" s="248"/>
      <c r="P272" s="248"/>
      <c r="Q272" s="248"/>
      <c r="R272" s="248"/>
      <c r="S272" s="248"/>
      <c r="T272" s="248"/>
      <c r="U272" s="248"/>
      <c r="V272" s="248"/>
      <c r="W272" s="248"/>
      <c r="X272" s="248"/>
      <c r="Y272" s="248"/>
      <c r="Z272" s="248"/>
      <c r="AA272" s="248"/>
      <c r="AB272" s="248"/>
      <c r="AC272" s="248"/>
      <c r="AD272" s="248"/>
      <c r="AE272" s="248"/>
      <c r="AF272" s="248"/>
      <c r="AG272" s="248"/>
      <c r="AH272" s="248"/>
      <c r="AI272" s="248"/>
      <c r="AJ272" s="248"/>
      <c r="AK272" s="248"/>
      <c r="AL272" s="248"/>
      <c r="AM272" s="248"/>
      <c r="AN272" s="138"/>
      <c r="AO272" s="248"/>
      <c r="AP272" s="726"/>
      <c r="AQ272" s="148" t="s">
        <v>374</v>
      </c>
      <c r="AR272" s="224"/>
      <c r="AS272" s="50"/>
      <c r="AT272" s="224"/>
      <c r="AU272" s="50"/>
      <c r="AV272" s="224"/>
      <c r="AW272" s="50"/>
      <c r="AX272" s="224"/>
      <c r="AY272" s="50"/>
      <c r="AZ272" s="224"/>
      <c r="BA272" s="50"/>
      <c r="BB272" s="224"/>
      <c r="BC272" s="50"/>
      <c r="BD272" s="224"/>
      <c r="BE272" s="50"/>
      <c r="BF272" s="224"/>
      <c r="BG272" s="50"/>
      <c r="BI272" s="156"/>
      <c r="BJ272" s="148" t="s">
        <v>374</v>
      </c>
      <c r="BK272" s="224"/>
      <c r="BL272" s="50"/>
      <c r="BM272" s="224"/>
      <c r="BN272" s="50"/>
      <c r="BO272" s="224"/>
      <c r="BP272" s="50"/>
      <c r="BQ272" s="224"/>
      <c r="BR272" s="50"/>
      <c r="BS272" s="224"/>
      <c r="BT272" s="50"/>
      <c r="BU272" s="224"/>
      <c r="BV272" s="50"/>
      <c r="BW272" s="224"/>
      <c r="BX272" s="50"/>
      <c r="BY272" s="224"/>
      <c r="BZ272" s="50"/>
      <c r="CA272" s="156"/>
      <c r="CB272" s="156"/>
      <c r="CC272" s="148" t="s">
        <v>374</v>
      </c>
      <c r="CD272" s="224"/>
      <c r="CE272" s="50"/>
      <c r="CF272" s="224"/>
      <c r="CG272" s="50"/>
      <c r="CH272" s="224"/>
      <c r="CI272" s="50"/>
      <c r="CJ272" s="224"/>
      <c r="CK272" s="50"/>
      <c r="CL272" s="224"/>
      <c r="CM272" s="50"/>
      <c r="CN272" s="224"/>
      <c r="CO272" s="50"/>
      <c r="CP272" s="224"/>
      <c r="CQ272" s="50"/>
      <c r="CR272" s="224"/>
      <c r="CS272" s="50"/>
      <c r="CV272" s="148" t="s">
        <v>374</v>
      </c>
      <c r="CW272" s="224"/>
      <c r="CX272" s="50"/>
      <c r="CY272" s="224"/>
      <c r="CZ272" s="50"/>
      <c r="DA272" s="224"/>
      <c r="DB272" s="50"/>
      <c r="DC272" s="224"/>
      <c r="DD272" s="50"/>
      <c r="DE272" s="224"/>
      <c r="DF272" s="50"/>
      <c r="DG272" s="224"/>
      <c r="DH272" s="50"/>
      <c r="DI272" s="224"/>
      <c r="DJ272" s="50"/>
      <c r="DK272" s="224"/>
      <c r="DL272" s="50"/>
      <c r="DO272" s="148" t="s">
        <v>374</v>
      </c>
      <c r="DP272" s="224"/>
      <c r="DQ272" s="50"/>
      <c r="DR272" s="224"/>
      <c r="DS272" s="50"/>
      <c r="DT272" s="224"/>
      <c r="DU272" s="50"/>
      <c r="DV272" s="224"/>
      <c r="DW272" s="50"/>
      <c r="DX272" s="224"/>
      <c r="DY272" s="50"/>
      <c r="DZ272" s="224"/>
      <c r="EA272" s="50"/>
      <c r="EB272" s="224"/>
      <c r="EC272" s="50"/>
      <c r="ED272" s="224"/>
      <c r="EE272" s="50"/>
      <c r="EH272" s="148" t="s">
        <v>374</v>
      </c>
      <c r="EI272" s="224"/>
      <c r="EJ272" s="50"/>
      <c r="EK272" s="224"/>
      <c r="EL272" s="50"/>
      <c r="EM272" s="224"/>
      <c r="EN272" s="50"/>
      <c r="EO272" s="224"/>
      <c r="EP272" s="50"/>
      <c r="EQ272" s="224"/>
      <c r="ER272" s="50"/>
      <c r="ES272" s="224"/>
      <c r="ET272" s="50"/>
      <c r="EU272" s="224"/>
      <c r="EV272" s="50"/>
      <c r="EW272" s="224"/>
      <c r="EX272" s="50"/>
      <c r="FA272" s="148" t="s">
        <v>374</v>
      </c>
      <c r="FB272" s="224"/>
      <c r="FC272" s="50"/>
      <c r="FD272" s="224"/>
      <c r="FE272" s="50"/>
      <c r="FF272" s="224"/>
      <c r="FG272" s="50"/>
      <c r="FH272" s="224"/>
      <c r="FI272" s="50"/>
      <c r="FJ272" s="224"/>
      <c r="FK272" s="50"/>
      <c r="FL272" s="224"/>
      <c r="FM272" s="50"/>
      <c r="FN272" s="224"/>
      <c r="FO272" s="50"/>
      <c r="FP272" s="224"/>
      <c r="FQ272" s="50"/>
      <c r="FT272" s="148" t="s">
        <v>374</v>
      </c>
      <c r="FU272" s="224"/>
      <c r="FV272" s="50"/>
      <c r="FW272" s="224"/>
      <c r="FX272" s="50"/>
      <c r="FY272" s="224"/>
      <c r="FZ272" s="50"/>
      <c r="GA272" s="224"/>
      <c r="GB272" s="50"/>
      <c r="GC272" s="224"/>
      <c r="GD272" s="50"/>
      <c r="GE272" s="224"/>
      <c r="GF272" s="50"/>
      <c r="GG272" s="224"/>
      <c r="GH272" s="50"/>
      <c r="GI272" s="224"/>
      <c r="GJ272" s="50"/>
      <c r="GM272" s="148" t="s">
        <v>374</v>
      </c>
      <c r="GN272" s="224"/>
      <c r="GO272" s="50"/>
      <c r="GP272" s="224"/>
      <c r="GQ272" s="50"/>
      <c r="GR272" s="224"/>
      <c r="GS272" s="50"/>
      <c r="GT272" s="224"/>
      <c r="GU272" s="50"/>
      <c r="GV272" s="224"/>
      <c r="GW272" s="50"/>
      <c r="GX272" s="224"/>
      <c r="GY272" s="50"/>
      <c r="GZ272" s="224"/>
      <c r="HA272" s="50"/>
      <c r="HB272" s="224"/>
      <c r="HC272" s="50"/>
      <c r="HF272" s="148" t="s">
        <v>374</v>
      </c>
      <c r="HG272" s="224"/>
      <c r="HH272" s="50"/>
      <c r="HI272" s="224"/>
      <c r="HJ272" s="50"/>
      <c r="HK272" s="224"/>
      <c r="HL272" s="50"/>
      <c r="HM272" s="224"/>
      <c r="HN272" s="50"/>
      <c r="HO272" s="224"/>
      <c r="HP272" s="50"/>
      <c r="HQ272" s="224"/>
      <c r="HR272" s="50"/>
      <c r="HS272" s="224"/>
      <c r="HT272" s="50"/>
      <c r="HU272" s="224"/>
      <c r="HV272" s="50"/>
      <c r="HY272" s="148" t="s">
        <v>374</v>
      </c>
      <c r="HZ272" s="224"/>
      <c r="IA272" s="50"/>
      <c r="IB272" s="224"/>
      <c r="IC272" s="50"/>
      <c r="ID272" s="224"/>
      <c r="IE272" s="50"/>
      <c r="IF272" s="224"/>
      <c r="IG272" s="50"/>
      <c r="IH272" s="224"/>
      <c r="II272" s="50"/>
      <c r="IJ272" s="224"/>
      <c r="IK272" s="50"/>
      <c r="IL272" s="224"/>
      <c r="IM272" s="224"/>
      <c r="IN272" s="224"/>
      <c r="IO272" s="224"/>
    </row>
    <row r="273" spans="2:249" ht="14.25" customHeight="1" x14ac:dyDescent="0.25">
      <c r="B273" s="248"/>
      <c r="C273" s="248"/>
      <c r="D273" s="248"/>
      <c r="E273" s="248"/>
      <c r="F273" s="248"/>
      <c r="G273" s="248"/>
      <c r="H273" s="248"/>
      <c r="I273" s="248"/>
      <c r="J273" s="248"/>
      <c r="K273" s="248"/>
      <c r="L273" s="248"/>
      <c r="M273" s="248"/>
      <c r="N273" s="248"/>
      <c r="O273" s="248"/>
      <c r="P273" s="248"/>
      <c r="Q273" s="248"/>
      <c r="R273" s="248"/>
      <c r="S273" s="248"/>
      <c r="T273" s="248"/>
      <c r="U273" s="248"/>
      <c r="V273" s="248"/>
      <c r="W273" s="248"/>
      <c r="X273" s="248"/>
      <c r="Y273" s="248"/>
      <c r="Z273" s="248"/>
      <c r="AA273" s="248"/>
      <c r="AB273" s="248"/>
      <c r="AC273" s="248"/>
      <c r="AD273" s="248"/>
      <c r="AE273" s="248"/>
      <c r="AF273" s="248"/>
      <c r="AG273" s="248"/>
      <c r="AH273" s="248"/>
      <c r="AI273" s="248"/>
      <c r="AJ273" s="248"/>
      <c r="AK273" s="248"/>
      <c r="AL273" s="248"/>
      <c r="AM273" s="248"/>
      <c r="AN273" s="138"/>
      <c r="AO273" s="248"/>
      <c r="AP273" s="726"/>
      <c r="AQ273" s="148" t="s">
        <v>375</v>
      </c>
      <c r="AR273" s="224"/>
      <c r="AS273" s="50"/>
      <c r="AT273" s="224"/>
      <c r="AU273" s="50"/>
      <c r="AV273" s="224"/>
      <c r="AW273" s="50"/>
      <c r="AX273" s="224"/>
      <c r="AY273" s="50"/>
      <c r="AZ273" s="224"/>
      <c r="BA273" s="50"/>
      <c r="BB273" s="224"/>
      <c r="BC273" s="50"/>
      <c r="BD273" s="224"/>
      <c r="BE273" s="50"/>
      <c r="BF273" s="224"/>
      <c r="BG273" s="50"/>
      <c r="BI273" s="156"/>
      <c r="BJ273" s="148" t="s">
        <v>375</v>
      </c>
      <c r="BK273" s="224"/>
      <c r="BL273" s="50"/>
      <c r="BM273" s="224"/>
      <c r="BN273" s="50"/>
      <c r="BO273" s="224"/>
      <c r="BP273" s="50"/>
      <c r="BQ273" s="224"/>
      <c r="BR273" s="50"/>
      <c r="BS273" s="224"/>
      <c r="BT273" s="50"/>
      <c r="BU273" s="224"/>
      <c r="BV273" s="50"/>
      <c r="BW273" s="224"/>
      <c r="BX273" s="50"/>
      <c r="BY273" s="224"/>
      <c r="BZ273" s="50"/>
      <c r="CA273" s="156"/>
      <c r="CB273" s="156"/>
      <c r="CC273" s="148" t="s">
        <v>375</v>
      </c>
      <c r="CD273" s="224"/>
      <c r="CE273" s="50"/>
      <c r="CF273" s="224"/>
      <c r="CG273" s="50"/>
      <c r="CH273" s="224"/>
      <c r="CI273" s="50"/>
      <c r="CJ273" s="224"/>
      <c r="CK273" s="50"/>
      <c r="CL273" s="224"/>
      <c r="CM273" s="50"/>
      <c r="CN273" s="224"/>
      <c r="CO273" s="50"/>
      <c r="CP273" s="224"/>
      <c r="CQ273" s="50"/>
      <c r="CR273" s="224"/>
      <c r="CS273" s="50"/>
      <c r="CV273" s="148" t="s">
        <v>375</v>
      </c>
      <c r="CW273" s="224"/>
      <c r="CX273" s="50"/>
      <c r="CY273" s="224"/>
      <c r="CZ273" s="50"/>
      <c r="DA273" s="224"/>
      <c r="DB273" s="50"/>
      <c r="DC273" s="224"/>
      <c r="DD273" s="50"/>
      <c r="DE273" s="224"/>
      <c r="DF273" s="50"/>
      <c r="DG273" s="224"/>
      <c r="DH273" s="50"/>
      <c r="DI273" s="224"/>
      <c r="DJ273" s="50"/>
      <c r="DK273" s="224"/>
      <c r="DL273" s="50"/>
      <c r="DO273" s="148" t="s">
        <v>375</v>
      </c>
      <c r="DP273" s="224"/>
      <c r="DQ273" s="50"/>
      <c r="DR273" s="224"/>
      <c r="DS273" s="50"/>
      <c r="DT273" s="224"/>
      <c r="DU273" s="50"/>
      <c r="DV273" s="224"/>
      <c r="DW273" s="50"/>
      <c r="DX273" s="224"/>
      <c r="DY273" s="50"/>
      <c r="DZ273" s="224"/>
      <c r="EA273" s="50"/>
      <c r="EB273" s="224"/>
      <c r="EC273" s="50"/>
      <c r="ED273" s="224"/>
      <c r="EE273" s="50"/>
      <c r="EH273" s="148" t="s">
        <v>375</v>
      </c>
      <c r="EI273" s="224"/>
      <c r="EJ273" s="50"/>
      <c r="EK273" s="224"/>
      <c r="EL273" s="50"/>
      <c r="EM273" s="224"/>
      <c r="EN273" s="50"/>
      <c r="EO273" s="224"/>
      <c r="EP273" s="50"/>
      <c r="EQ273" s="224"/>
      <c r="ER273" s="50"/>
      <c r="ES273" s="224"/>
      <c r="ET273" s="50"/>
      <c r="EU273" s="224"/>
      <c r="EV273" s="50"/>
      <c r="EW273" s="224"/>
      <c r="EX273" s="50"/>
      <c r="FA273" s="148" t="s">
        <v>375</v>
      </c>
      <c r="FB273" s="224"/>
      <c r="FC273" s="50"/>
      <c r="FD273" s="224"/>
      <c r="FE273" s="50"/>
      <c r="FF273" s="224"/>
      <c r="FG273" s="50"/>
      <c r="FH273" s="224"/>
      <c r="FI273" s="50"/>
      <c r="FJ273" s="224"/>
      <c r="FK273" s="50"/>
      <c r="FL273" s="224"/>
      <c r="FM273" s="50"/>
      <c r="FN273" s="224"/>
      <c r="FO273" s="50"/>
      <c r="FP273" s="224"/>
      <c r="FQ273" s="50"/>
      <c r="FT273" s="148" t="s">
        <v>375</v>
      </c>
      <c r="FU273" s="224"/>
      <c r="FV273" s="50"/>
      <c r="FW273" s="224"/>
      <c r="FX273" s="50"/>
      <c r="FY273" s="224"/>
      <c r="FZ273" s="50"/>
      <c r="GA273" s="224"/>
      <c r="GB273" s="50"/>
      <c r="GC273" s="224"/>
      <c r="GD273" s="50"/>
      <c r="GE273" s="224"/>
      <c r="GF273" s="50"/>
      <c r="GG273" s="224"/>
      <c r="GH273" s="50"/>
      <c r="GI273" s="224"/>
      <c r="GJ273" s="50"/>
      <c r="GM273" s="148" t="s">
        <v>375</v>
      </c>
      <c r="GN273" s="224"/>
      <c r="GO273" s="50"/>
      <c r="GP273" s="224"/>
      <c r="GQ273" s="50"/>
      <c r="GR273" s="224"/>
      <c r="GS273" s="50"/>
      <c r="GT273" s="224"/>
      <c r="GU273" s="50"/>
      <c r="GV273" s="224"/>
      <c r="GW273" s="50"/>
      <c r="GX273" s="224"/>
      <c r="GY273" s="50"/>
      <c r="GZ273" s="224"/>
      <c r="HA273" s="50"/>
      <c r="HB273" s="224"/>
      <c r="HC273" s="50"/>
      <c r="HF273" s="148" t="s">
        <v>375</v>
      </c>
      <c r="HG273" s="224"/>
      <c r="HH273" s="50"/>
      <c r="HI273" s="224"/>
      <c r="HJ273" s="50"/>
      <c r="HK273" s="224"/>
      <c r="HL273" s="50"/>
      <c r="HM273" s="224"/>
      <c r="HN273" s="50"/>
      <c r="HO273" s="224"/>
      <c r="HP273" s="50"/>
      <c r="HQ273" s="224"/>
      <c r="HR273" s="50"/>
      <c r="HS273" s="224"/>
      <c r="HT273" s="50"/>
      <c r="HU273" s="224"/>
      <c r="HV273" s="50"/>
      <c r="HY273" s="148" t="s">
        <v>375</v>
      </c>
      <c r="HZ273" s="224"/>
      <c r="IA273" s="50"/>
      <c r="IB273" s="224"/>
      <c r="IC273" s="50"/>
      <c r="ID273" s="224"/>
      <c r="IE273" s="50"/>
      <c r="IF273" s="224"/>
      <c r="IG273" s="50"/>
      <c r="IH273" s="224"/>
      <c r="II273" s="50"/>
      <c r="IJ273" s="224"/>
      <c r="IK273" s="50"/>
      <c r="IL273" s="224"/>
      <c r="IM273" s="224"/>
      <c r="IN273" s="224"/>
      <c r="IO273" s="224"/>
    </row>
    <row r="274" spans="2:249" ht="14.25" customHeight="1" x14ac:dyDescent="0.25">
      <c r="B274" s="248"/>
      <c r="C274" s="248"/>
      <c r="D274" s="248"/>
      <c r="E274" s="248"/>
      <c r="F274" s="248"/>
      <c r="G274" s="248"/>
      <c r="H274" s="248"/>
      <c r="I274" s="248"/>
      <c r="J274" s="248"/>
      <c r="K274" s="248"/>
      <c r="L274" s="248"/>
      <c r="M274" s="248"/>
      <c r="N274" s="248"/>
      <c r="O274" s="248"/>
      <c r="P274" s="248"/>
      <c r="Q274" s="248"/>
      <c r="R274" s="248"/>
      <c r="S274" s="248"/>
      <c r="T274" s="248"/>
      <c r="U274" s="248"/>
      <c r="V274" s="248"/>
      <c r="W274" s="248"/>
      <c r="X274" s="248"/>
      <c r="Y274" s="248"/>
      <c r="Z274" s="248"/>
      <c r="AA274" s="248"/>
      <c r="AB274" s="248"/>
      <c r="AC274" s="248"/>
      <c r="AD274" s="248"/>
      <c r="AE274" s="248"/>
      <c r="AF274" s="248"/>
      <c r="AG274" s="248"/>
      <c r="AH274" s="248"/>
      <c r="AI274" s="248"/>
      <c r="AJ274" s="248"/>
      <c r="AK274" s="248"/>
      <c r="AL274" s="248"/>
      <c r="AM274" s="248"/>
      <c r="AN274" s="138"/>
      <c r="AO274" s="248"/>
      <c r="AP274" s="726"/>
      <c r="AQ274" s="148" t="s">
        <v>332</v>
      </c>
      <c r="AR274" s="224"/>
      <c r="AS274" s="50"/>
      <c r="AT274" s="224"/>
      <c r="AU274" s="50"/>
      <c r="AV274" s="224"/>
      <c r="AW274" s="50"/>
      <c r="AX274" s="224"/>
      <c r="AY274" s="50"/>
      <c r="AZ274" s="224"/>
      <c r="BA274" s="50"/>
      <c r="BB274" s="224"/>
      <c r="BC274" s="50"/>
      <c r="BD274" s="224"/>
      <c r="BE274" s="50"/>
      <c r="BF274" s="224"/>
      <c r="BG274" s="50"/>
      <c r="BI274" s="156"/>
      <c r="BJ274" s="148" t="s">
        <v>332</v>
      </c>
      <c r="BK274" s="224"/>
      <c r="BL274" s="50"/>
      <c r="BM274" s="224"/>
      <c r="BN274" s="50"/>
      <c r="BO274" s="224"/>
      <c r="BP274" s="50"/>
      <c r="BQ274" s="224"/>
      <c r="BR274" s="50"/>
      <c r="BS274" s="224"/>
      <c r="BT274" s="50"/>
      <c r="BU274" s="224"/>
      <c r="BV274" s="50"/>
      <c r="BW274" s="224"/>
      <c r="BX274" s="50"/>
      <c r="BY274" s="224"/>
      <c r="BZ274" s="50"/>
      <c r="CA274" s="156"/>
      <c r="CB274" s="156"/>
      <c r="CC274" s="148" t="s">
        <v>332</v>
      </c>
      <c r="CD274" s="224"/>
      <c r="CE274" s="50"/>
      <c r="CF274" s="224"/>
      <c r="CG274" s="50"/>
      <c r="CH274" s="224"/>
      <c r="CI274" s="50"/>
      <c r="CJ274" s="224"/>
      <c r="CK274" s="50"/>
      <c r="CL274" s="224"/>
      <c r="CM274" s="50"/>
      <c r="CN274" s="224"/>
      <c r="CO274" s="50"/>
      <c r="CP274" s="224"/>
      <c r="CQ274" s="50"/>
      <c r="CR274" s="224"/>
      <c r="CS274" s="50"/>
      <c r="CV274" s="148" t="s">
        <v>332</v>
      </c>
      <c r="CW274" s="224"/>
      <c r="CX274" s="50"/>
      <c r="CY274" s="224"/>
      <c r="CZ274" s="50"/>
      <c r="DA274" s="224"/>
      <c r="DB274" s="50"/>
      <c r="DC274" s="224"/>
      <c r="DD274" s="50"/>
      <c r="DE274" s="224"/>
      <c r="DF274" s="50"/>
      <c r="DG274" s="224"/>
      <c r="DH274" s="50"/>
      <c r="DI274" s="224"/>
      <c r="DJ274" s="50"/>
      <c r="DK274" s="224"/>
      <c r="DL274" s="50"/>
      <c r="DO274" s="148" t="s">
        <v>332</v>
      </c>
      <c r="DP274" s="224"/>
      <c r="DQ274" s="50"/>
      <c r="DR274" s="224"/>
      <c r="DS274" s="50"/>
      <c r="DT274" s="224"/>
      <c r="DU274" s="50"/>
      <c r="DV274" s="224"/>
      <c r="DW274" s="50"/>
      <c r="DX274" s="224"/>
      <c r="DY274" s="50"/>
      <c r="DZ274" s="224"/>
      <c r="EA274" s="50"/>
      <c r="EB274" s="224"/>
      <c r="EC274" s="50"/>
      <c r="ED274" s="224"/>
      <c r="EE274" s="50"/>
      <c r="EH274" s="148" t="s">
        <v>332</v>
      </c>
      <c r="EI274" s="224"/>
      <c r="EJ274" s="50"/>
      <c r="EK274" s="224"/>
      <c r="EL274" s="50"/>
      <c r="EM274" s="224"/>
      <c r="EN274" s="50"/>
      <c r="EO274" s="224"/>
      <c r="EP274" s="50"/>
      <c r="EQ274" s="224"/>
      <c r="ER274" s="50"/>
      <c r="ES274" s="224"/>
      <c r="ET274" s="50"/>
      <c r="EU274" s="224"/>
      <c r="EV274" s="50"/>
      <c r="EW274" s="224"/>
      <c r="EX274" s="50"/>
      <c r="FA274" s="148" t="s">
        <v>332</v>
      </c>
      <c r="FB274" s="224"/>
      <c r="FC274" s="50"/>
      <c r="FD274" s="224"/>
      <c r="FE274" s="50"/>
      <c r="FF274" s="224"/>
      <c r="FG274" s="50"/>
      <c r="FH274" s="224"/>
      <c r="FI274" s="50"/>
      <c r="FJ274" s="224"/>
      <c r="FK274" s="50"/>
      <c r="FL274" s="224"/>
      <c r="FM274" s="50"/>
      <c r="FN274" s="224"/>
      <c r="FO274" s="50"/>
      <c r="FP274" s="224"/>
      <c r="FQ274" s="50"/>
      <c r="FT274" s="148" t="s">
        <v>332</v>
      </c>
      <c r="FU274" s="224"/>
      <c r="FV274" s="50"/>
      <c r="FW274" s="224"/>
      <c r="FX274" s="50"/>
      <c r="FY274" s="224"/>
      <c r="FZ274" s="50"/>
      <c r="GA274" s="224"/>
      <c r="GB274" s="50"/>
      <c r="GC274" s="224"/>
      <c r="GD274" s="50"/>
      <c r="GE274" s="224"/>
      <c r="GF274" s="50"/>
      <c r="GG274" s="224"/>
      <c r="GH274" s="50"/>
      <c r="GI274" s="224"/>
      <c r="GJ274" s="50"/>
      <c r="GM274" s="148" t="s">
        <v>332</v>
      </c>
      <c r="GN274" s="224"/>
      <c r="GO274" s="50"/>
      <c r="GP274" s="224"/>
      <c r="GQ274" s="50"/>
      <c r="GR274" s="224"/>
      <c r="GS274" s="50"/>
      <c r="GT274" s="224"/>
      <c r="GU274" s="50"/>
      <c r="GV274" s="224"/>
      <c r="GW274" s="50"/>
      <c r="GX274" s="224"/>
      <c r="GY274" s="50"/>
      <c r="GZ274" s="224"/>
      <c r="HA274" s="50"/>
      <c r="HB274" s="224"/>
      <c r="HC274" s="50"/>
      <c r="HF274" s="148" t="s">
        <v>332</v>
      </c>
      <c r="HG274" s="224"/>
      <c r="HH274" s="50"/>
      <c r="HI274" s="224"/>
      <c r="HJ274" s="50"/>
      <c r="HK274" s="224"/>
      <c r="HL274" s="50"/>
      <c r="HM274" s="224"/>
      <c r="HN274" s="50"/>
      <c r="HO274" s="224"/>
      <c r="HP274" s="50"/>
      <c r="HQ274" s="224"/>
      <c r="HR274" s="50"/>
      <c r="HS274" s="224"/>
      <c r="HT274" s="50"/>
      <c r="HU274" s="224"/>
      <c r="HV274" s="50"/>
      <c r="HY274" s="148" t="s">
        <v>332</v>
      </c>
      <c r="HZ274" s="224"/>
      <c r="IA274" s="50"/>
      <c r="IB274" s="224"/>
      <c r="IC274" s="50"/>
      <c r="ID274" s="224"/>
      <c r="IE274" s="50"/>
      <c r="IF274" s="224"/>
      <c r="IG274" s="50"/>
      <c r="IH274" s="224"/>
      <c r="II274" s="50"/>
      <c r="IJ274" s="224"/>
      <c r="IK274" s="50"/>
      <c r="IL274" s="224"/>
      <c r="IM274" s="224"/>
      <c r="IN274" s="224"/>
      <c r="IO274" s="224"/>
    </row>
    <row r="275" spans="2:249" ht="14.25" customHeight="1" x14ac:dyDescent="0.25">
      <c r="B275" s="248"/>
      <c r="C275" s="248"/>
      <c r="D275" s="248"/>
      <c r="E275" s="248"/>
      <c r="F275" s="248"/>
      <c r="G275" s="248"/>
      <c r="H275" s="248"/>
      <c r="I275" s="248"/>
      <c r="J275" s="248"/>
      <c r="K275" s="248"/>
      <c r="L275" s="248"/>
      <c r="M275" s="248"/>
      <c r="N275" s="248"/>
      <c r="O275" s="248"/>
      <c r="P275" s="248"/>
      <c r="Q275" s="248"/>
      <c r="R275" s="248"/>
      <c r="S275" s="248"/>
      <c r="T275" s="248"/>
      <c r="U275" s="248"/>
      <c r="V275" s="248"/>
      <c r="W275" s="248"/>
      <c r="X275" s="248"/>
      <c r="Y275" s="248"/>
      <c r="Z275" s="248"/>
      <c r="AA275" s="248"/>
      <c r="AB275" s="248"/>
      <c r="AC275" s="248"/>
      <c r="AD275" s="248"/>
      <c r="AE275" s="248"/>
      <c r="AF275" s="248"/>
      <c r="AG275" s="248"/>
      <c r="AH275" s="248"/>
      <c r="AI275" s="248"/>
      <c r="AJ275" s="248"/>
      <c r="AK275" s="248"/>
      <c r="AL275" s="248"/>
      <c r="AM275" s="248"/>
      <c r="AN275" s="139"/>
      <c r="AO275" s="248"/>
      <c r="AP275" s="726"/>
      <c r="AQ275" s="149" t="s">
        <v>209</v>
      </c>
      <c r="AR275" s="224">
        <f>EXP(LN(AR24)+0.5*LN('Ecoinvent 3.10'!$E$12)^2)</f>
        <v>143.23767910027402</v>
      </c>
      <c r="AS275" s="50">
        <f>EXP(LN(AS24)+0.5*LN('Ecoinvent 3.10'!$E$12)^2)</f>
        <v>143.23767910027402</v>
      </c>
      <c r="AT275" s="224">
        <f>EXP(LN(AT24)+0.5*LN('Ecoinvent 3.10'!$E$12)^2)</f>
        <v>106.60531312867226</v>
      </c>
      <c r="AU275" s="50">
        <f>EXP(LN(AU24)+0.5*LN('Ecoinvent 3.10'!$E$12)^2)</f>
        <v>106.60531312867226</v>
      </c>
      <c r="AV275" s="224">
        <f>EXP(LN(AV24)+0.5*LN('Ecoinvent 3.10'!$E$12)^2)</f>
        <v>124.20464736562461</v>
      </c>
      <c r="AW275" s="50">
        <f>EXP(LN(AW24)+0.5*LN('Ecoinvent 3.10'!$E$12)^2)</f>
        <v>124.20464736562461</v>
      </c>
      <c r="AX275" s="224">
        <f>EXP(LN(AX24)+0.5*LN('Ecoinvent 3.10'!$E$12)^2)</f>
        <v>137.21694437395414</v>
      </c>
      <c r="AY275" s="50">
        <f>EXP(LN(AY24)+0.5*LN('Ecoinvent 3.10'!$E$12)^2)</f>
        <v>137.21694437395414</v>
      </c>
      <c r="AZ275" s="224">
        <f>EXP(LN(AZ24)+0.5*LN('Ecoinvent 3.10'!$E$12)^2)</f>
        <v>139.41533280058542</v>
      </c>
      <c r="BA275" s="50">
        <f>EXP(LN(BA24)+0.5*LN('Ecoinvent 3.10'!$E$12)^2)</f>
        <v>139.41533280058542</v>
      </c>
      <c r="BB275" s="224"/>
      <c r="BC275" s="50"/>
      <c r="BD275" s="224">
        <f>EXP(LN(BD24)+0.5*LN('Ecoinvent 3.10'!$E$12)^2)</f>
        <v>100.83138877637062</v>
      </c>
      <c r="BE275" s="50">
        <f>EXP(LN(BE24)+0.5*LN('Ecoinvent 3.10'!$E$12)^2)</f>
        <v>100.83138877637062</v>
      </c>
      <c r="BF275" s="224">
        <f>EXP(LN(BF24)+0.5*LN('Ecoinvent 3.10'!$E$12)^2)</f>
        <v>139.41533280058542</v>
      </c>
      <c r="BG275" s="50">
        <f>EXP(LN(BG24)+0.5*LN('Ecoinvent 3.10'!$E$12)^2)</f>
        <v>139.41533280058542</v>
      </c>
      <c r="BI275" s="156"/>
      <c r="BJ275" s="149" t="s">
        <v>209</v>
      </c>
      <c r="BK275" s="224">
        <f>EXP(LN(BK24)+0.5*LN('Ecoinvent 3.10'!$E$12)^2)</f>
        <v>10.718508597025048</v>
      </c>
      <c r="BL275" s="50">
        <f>EXP(LN(BL24)+0.5*LN('Ecoinvent 3.10'!$E$12)^2)</f>
        <v>10.718508597025048</v>
      </c>
      <c r="BM275" s="224">
        <f>EXP(LN(BM24)+0.5*LN('Ecoinvent 3.10'!$E$12)^2)</f>
        <v>7.9773001938847727</v>
      </c>
      <c r="BN275" s="50">
        <f>EXP(LN(BN24)+0.5*LN('Ecoinvent 3.10'!$E$12)^2)</f>
        <v>7.9773001938847727</v>
      </c>
      <c r="BO275" s="224">
        <f>EXP(LN(BO24)+0.5*LN('Ecoinvent 3.10'!$E$12)^2)</f>
        <v>9.2942624380763537</v>
      </c>
      <c r="BP275" s="50">
        <f>EXP(LN(BP24)+0.5*LN('Ecoinvent 3.10'!$E$12)^2)</f>
        <v>9.2942624380763537</v>
      </c>
      <c r="BQ275" s="224">
        <f>EXP(LN(BQ24)+0.5*LN('Ecoinvent 3.10'!$E$12)^2)</f>
        <v>10.267975627419402</v>
      </c>
      <c r="BR275" s="50">
        <f>EXP(LN(BR24)+0.5*LN('Ecoinvent 3.10'!$E$12)^2)</f>
        <v>10.267975627419402</v>
      </c>
      <c r="BS275" s="224">
        <f>EXP(LN(BS24)+0.5*LN('Ecoinvent 3.10'!$E$12)^2)</f>
        <v>10.432481540936411</v>
      </c>
      <c r="BT275" s="50">
        <f>EXP(LN(BT24)+0.5*LN('Ecoinvent 3.10'!$E$12)^2)</f>
        <v>10.432481540936411</v>
      </c>
      <c r="BU275" s="224"/>
      <c r="BV275" s="50"/>
      <c r="BW275" s="224">
        <f>EXP(LN(BW24)+0.5*LN('Ecoinvent 3.10'!$E$12)^2)</f>
        <v>7.5452361015491709</v>
      </c>
      <c r="BX275" s="50">
        <f>EXP(LN(BX24)+0.5*LN('Ecoinvent 3.10'!$E$12)^2)</f>
        <v>7.5452361015491709</v>
      </c>
      <c r="BY275" s="224">
        <f>EXP(LN(BY24)+0.5*LN('Ecoinvent 3.10'!$E$12)^2)</f>
        <v>10.432481540936411</v>
      </c>
      <c r="BZ275" s="50">
        <f>EXP(LN(BZ24)+0.5*LN('Ecoinvent 3.10'!$E$12)^2)</f>
        <v>10.432481540936411</v>
      </c>
      <c r="CA275" s="156"/>
      <c r="CB275" s="156"/>
      <c r="CC275" s="149" t="s">
        <v>209</v>
      </c>
      <c r="CD275" s="224">
        <f>EXP(LN(CD24)+0.5*LN('Ecoinvent 3.10'!$E$12)^2)</f>
        <v>703.49060864463263</v>
      </c>
      <c r="CE275" s="50">
        <f>EXP(LN(CE24)+0.5*LN('Ecoinvent 3.10'!$E$12)^2)</f>
        <v>703.49060864463263</v>
      </c>
      <c r="CF275" s="224">
        <f>EXP(LN(CF24)+0.5*LN('Ecoinvent 3.10'!$E$12)^2)</f>
        <v>523.57617834019914</v>
      </c>
      <c r="CG275" s="50">
        <f>EXP(LN(CG24)+0.5*LN('Ecoinvent 3.10'!$E$12)^2)</f>
        <v>523.57617834019914</v>
      </c>
      <c r="CH275" s="224">
        <f>EXP(LN(CH24)+0.5*LN('Ecoinvent 3.10'!$E$12)^2)</f>
        <v>610.01269722170457</v>
      </c>
      <c r="CI275" s="50">
        <f>EXP(LN(CI24)+0.5*LN('Ecoinvent 3.10'!$E$12)^2)</f>
        <v>610.01269722170457</v>
      </c>
      <c r="CJ275" s="224">
        <f>EXP(LN(CJ24)+0.5*LN('Ecoinvent 3.10'!$E$12)^2)</f>
        <v>673.9206633361664</v>
      </c>
      <c r="CK275" s="50">
        <f>EXP(LN(CK24)+0.5*LN('Ecoinvent 3.10'!$E$12)^2)</f>
        <v>673.9206633361664</v>
      </c>
      <c r="CL275" s="224">
        <f>EXP(LN(CL24)+0.5*LN('Ecoinvent 3.10'!$E$12)^2)</f>
        <v>684.71772191741775</v>
      </c>
      <c r="CM275" s="50">
        <f>EXP(LN(CM24)+0.5*LN('Ecoinvent 3.10'!$E$12)^2)</f>
        <v>684.71772191741775</v>
      </c>
      <c r="CN275" s="224"/>
      <c r="CO275" s="50"/>
      <c r="CP275" s="224">
        <f>EXP(LN(CP24)+0.5*LN('Ecoinvent 3.10'!$E$12)^2)</f>
        <v>495.21840556432733</v>
      </c>
      <c r="CQ275" s="50">
        <f>EXP(LN(CQ24)+0.5*LN('Ecoinvent 3.10'!$E$12)^2)</f>
        <v>495.21840556432733</v>
      </c>
      <c r="CR275" s="224">
        <f>EXP(LN(CR24)+0.5*LN('Ecoinvent 3.10'!$E$12)^2)</f>
        <v>684.71772191741775</v>
      </c>
      <c r="CS275" s="50">
        <f>EXP(LN(CS24)+0.5*LN('Ecoinvent 3.10'!$E$12)^2)</f>
        <v>684.71772191741775</v>
      </c>
      <c r="CV275" s="149" t="s">
        <v>209</v>
      </c>
      <c r="CW275" s="224">
        <f>EXP(LN(CW24)+0.5*LN('Ecoinvent 3.10'!$E$12)^2)</f>
        <v>0.17043396072085679</v>
      </c>
      <c r="CX275" s="50">
        <f>EXP(LN(CX24)+0.5*LN('Ecoinvent 3.10'!$E$12)^2)</f>
        <v>0.17043396072085679</v>
      </c>
      <c r="CY275" s="224">
        <f>EXP(LN(CY24)+0.5*LN('Ecoinvent 3.10'!$E$12)^2)</f>
        <v>0.1268462730235064</v>
      </c>
      <c r="CZ275" s="50">
        <f>EXP(LN(CZ24)+0.5*LN('Ecoinvent 3.10'!$E$12)^2)</f>
        <v>0.1268462730235064</v>
      </c>
      <c r="DA275" s="224">
        <f>EXP(LN(DA24)+0.5*LN('Ecoinvent 3.10'!$E$12)^2)</f>
        <v>0.14778716133512265</v>
      </c>
      <c r="DB275" s="50">
        <f>EXP(LN(DB24)+0.5*LN('Ecoinvent 3.10'!$E$12)^2)</f>
        <v>0.14778716133512265</v>
      </c>
      <c r="DC275" s="224">
        <f>EXP(LN(DC24)+0.5*LN('Ecoinvent 3.10'!$E$12)^2)</f>
        <v>0.16327007987398856</v>
      </c>
      <c r="DD275" s="50">
        <f>EXP(LN(DD24)+0.5*LN('Ecoinvent 3.10'!$E$12)^2)</f>
        <v>0.16327007987398856</v>
      </c>
      <c r="DE275" s="224">
        <f>EXP(LN(DE24)+0.5*LN('Ecoinvent 3.10'!$E$12)^2)</f>
        <v>0.16588587237430794</v>
      </c>
      <c r="DF275" s="50">
        <f>EXP(LN(DF24)+0.5*LN('Ecoinvent 3.10'!$E$12)^2)</f>
        <v>0.16588587237430794</v>
      </c>
      <c r="DG275" s="224"/>
      <c r="DH275" s="50"/>
      <c r="DI275" s="224">
        <f>EXP(LN(DI24)+0.5*LN('Ecoinvent 3.10'!$E$12)^2)</f>
        <v>0.119976063994383</v>
      </c>
      <c r="DJ275" s="50">
        <f>EXP(LN(DJ24)+0.5*LN('Ecoinvent 3.10'!$E$12)^2)</f>
        <v>0.119976063994383</v>
      </c>
      <c r="DK275" s="224">
        <f>EXP(LN(DK24)+0.5*LN('Ecoinvent 3.10'!$E$12)^2)</f>
        <v>0.16588587237430794</v>
      </c>
      <c r="DL275" s="50">
        <f>EXP(LN(DL24)+0.5*LN('Ecoinvent 3.10'!$E$12)^2)</f>
        <v>0.16588587237430794</v>
      </c>
      <c r="DO275" s="149" t="s">
        <v>209</v>
      </c>
      <c r="DP275" s="224">
        <f>EXP(LN(DP24)+0.5*LN('Ecoinvent 3.10'!$E$12)^2)</f>
        <v>4.1696634375644486</v>
      </c>
      <c r="DQ275" s="50">
        <f>EXP(LN(DQ24)+0.5*LN('Ecoinvent 3.10'!$E$12)^2)</f>
        <v>4.1696634375644486</v>
      </c>
      <c r="DR275" s="224">
        <f>EXP(LN(DR24)+0.5*LN('Ecoinvent 3.10'!$E$12)^2)</f>
        <v>3.1032915305165929</v>
      </c>
      <c r="DS275" s="50">
        <f>EXP(LN(DS24)+0.5*LN('Ecoinvent 3.10'!$E$12)^2)</f>
        <v>3.1032915305165929</v>
      </c>
      <c r="DT275" s="224">
        <f>EXP(LN(DT24)+0.5*LN('Ecoinvent 3.10'!$E$12)^2)</f>
        <v>3.6156099438994569</v>
      </c>
      <c r="DU275" s="50">
        <f>EXP(LN(DU24)+0.5*LN('Ecoinvent 3.10'!$E$12)^2)</f>
        <v>3.6156099438994569</v>
      </c>
      <c r="DV275" s="224">
        <f>EXP(LN(DV24)+0.5*LN('Ecoinvent 3.10'!$E$12)^2)</f>
        <v>3.9943992360407954</v>
      </c>
      <c r="DW275" s="50">
        <f>EXP(LN(DW24)+0.5*LN('Ecoinvent 3.10'!$E$12)^2)</f>
        <v>3.9943992360407954</v>
      </c>
      <c r="DX275" s="224">
        <f>EXP(LN(DX24)+0.5*LN('Ecoinvent 3.10'!$E$12)^2)</f>
        <v>4.0583945472024059</v>
      </c>
      <c r="DY275" s="50">
        <f>EXP(LN(DY24)+0.5*LN('Ecoinvent 3.10'!$E$12)^2)</f>
        <v>4.0583945472024059</v>
      </c>
      <c r="DZ275" s="224"/>
      <c r="EA275" s="50"/>
      <c r="EB275" s="224">
        <f>EXP(LN(EB24)+0.5*LN('Ecoinvent 3.10'!$E$12)^2)</f>
        <v>2.9352120041358174</v>
      </c>
      <c r="EC275" s="50">
        <f>EXP(LN(EC24)+0.5*LN('Ecoinvent 3.10'!$E$12)^2)</f>
        <v>2.9352120041358174</v>
      </c>
      <c r="ED275" s="224">
        <f>EXP(LN(ED24)+0.5*LN('Ecoinvent 3.10'!$E$12)^2)</f>
        <v>4.0583945472024059</v>
      </c>
      <c r="EE275" s="50">
        <f>EXP(LN(EE24)+0.5*LN('Ecoinvent 3.10'!$E$12)^2)</f>
        <v>4.0583945472024059</v>
      </c>
      <c r="EH275" s="149" t="s">
        <v>209</v>
      </c>
      <c r="EI275" s="224">
        <f>EXP(LN(EI24)+0.5*LN('Ecoinvent 3.10'!$E$12)^2)</f>
        <v>2.362861715043477</v>
      </c>
      <c r="EJ275" s="50">
        <f>EXP(LN(EJ24)+0.5*LN('Ecoinvent 3.10'!$E$12)^2)</f>
        <v>2.362861715043477</v>
      </c>
      <c r="EK275" s="224">
        <f>EXP(LN(EK24)+0.5*LN('Ecoinvent 3.10'!$E$12)^2)</f>
        <v>1.758570891361779</v>
      </c>
      <c r="EL275" s="50">
        <f>EXP(LN(EL24)+0.5*LN('Ecoinvent 3.10'!$E$12)^2)</f>
        <v>1.758570891361779</v>
      </c>
      <c r="EM275" s="224">
        <f>EXP(LN(EM24)+0.5*LN('Ecoinvent 3.10'!$E$12)^2)</f>
        <v>2.0488911013788447</v>
      </c>
      <c r="EN275" s="50">
        <f>EXP(LN(EN24)+0.5*LN('Ecoinvent 3.10'!$E$12)^2)</f>
        <v>2.0488911013788447</v>
      </c>
      <c r="EO275" s="224">
        <f>EXP(LN(EO24)+0.5*LN('Ecoinvent 3.10'!$E$12)^2)</f>
        <v>2.2635431302226841</v>
      </c>
      <c r="EP275" s="50">
        <f>EXP(LN(EP24)+0.5*LN('Ecoinvent 3.10'!$E$12)^2)</f>
        <v>2.2635431302226841</v>
      </c>
      <c r="EQ275" s="224">
        <f>EXP(LN(EQ24)+0.5*LN('Ecoinvent 3.10'!$E$12)^2)</f>
        <v>2.299807944625639</v>
      </c>
      <c r="ER275" s="50">
        <f>EXP(LN(ER24)+0.5*LN('Ecoinvent 3.10'!$E$12)^2)</f>
        <v>2.299807944625639</v>
      </c>
      <c r="ES275" s="224"/>
      <c r="ET275" s="50"/>
      <c r="EU275" s="224">
        <f>EXP(LN(EU24)+0.5*LN('Ecoinvent 3.10'!$E$12)^2)</f>
        <v>1.6633237128029859</v>
      </c>
      <c r="EV275" s="50">
        <f>EXP(LN(EV24)+0.5*LN('Ecoinvent 3.10'!$E$12)^2)</f>
        <v>1.6633237128029859</v>
      </c>
      <c r="EW275" s="224">
        <f>EXP(LN(EW24)+0.5*LN('Ecoinvent 3.10'!$E$12)^2)</f>
        <v>2.299807944625639</v>
      </c>
      <c r="EX275" s="50">
        <f>EXP(LN(EX24)+0.5*LN('Ecoinvent 3.10'!$E$12)^2)</f>
        <v>2.299807944625639</v>
      </c>
      <c r="FA275" s="149" t="s">
        <v>209</v>
      </c>
      <c r="FB275" s="224">
        <f>EXP(LN(FB24)+0.5*LN('Ecoinvent 3.10'!$E$12)^2)</f>
        <v>5.0639211624556625E-3</v>
      </c>
      <c r="FC275" s="50">
        <f>EXP(LN(FC24)+0.5*LN('Ecoinvent 3.10'!$E$12)^2)</f>
        <v>5.0639211624556625E-3</v>
      </c>
      <c r="FD275" s="224">
        <f>EXP(LN(FD24)+0.5*LN('Ecoinvent 3.10'!$E$12)^2)</f>
        <v>3.7688470280545275E-3</v>
      </c>
      <c r="FE275" s="50">
        <f>EXP(LN(FE24)+0.5*LN('Ecoinvent 3.10'!$E$12)^2)</f>
        <v>3.7688470280545275E-3</v>
      </c>
      <c r="FF275" s="224">
        <f>EXP(LN(FF24)+0.5*LN('Ecoinvent 3.10'!$E$12)^2)</f>
        <v>4.3910411437888593E-3</v>
      </c>
      <c r="FG275" s="50">
        <f>EXP(LN(FG24)+0.5*LN('Ecoinvent 3.10'!$E$12)^2)</f>
        <v>4.3910411437888593E-3</v>
      </c>
      <c r="FH275" s="224">
        <f>EXP(LN(FH24)+0.5*LN('Ecoinvent 3.10'!$E$12)^2)</f>
        <v>4.851068467650408E-3</v>
      </c>
      <c r="FI275" s="50">
        <f>EXP(LN(FI24)+0.5*LN('Ecoinvent 3.10'!$E$12)^2)</f>
        <v>4.851068467650408E-3</v>
      </c>
      <c r="FJ275" s="224">
        <f>EXP(LN(FJ24)+0.5*LN('Ecoinvent 3.10'!$E$12)^2)</f>
        <v>4.9287886998326284E-3</v>
      </c>
      <c r="FK275" s="50">
        <f>EXP(LN(FK24)+0.5*LN('Ecoinvent 3.10'!$E$12)^2)</f>
        <v>4.9287886998326284E-3</v>
      </c>
      <c r="FL275" s="224"/>
      <c r="FM275" s="50"/>
      <c r="FN275" s="224">
        <f>EXP(LN(FN24)+0.5*LN('Ecoinvent 3.10'!$E$12)^2)</f>
        <v>3.5647198884520338E-3</v>
      </c>
      <c r="FO275" s="50">
        <f>EXP(LN(FO24)+0.5*LN('Ecoinvent 3.10'!$E$12)^2)</f>
        <v>3.5647198884520338E-3</v>
      </c>
      <c r="FP275" s="224">
        <f>EXP(LN(FP24)+0.5*LN('Ecoinvent 3.10'!$E$12)^2)</f>
        <v>4.9287886998326284E-3</v>
      </c>
      <c r="FQ275" s="50">
        <f>EXP(LN(FQ24)+0.5*LN('Ecoinvent 3.10'!$E$12)^2)</f>
        <v>4.9287886998326284E-3</v>
      </c>
      <c r="FT275" s="149" t="s">
        <v>209</v>
      </c>
      <c r="FU275" s="224">
        <f>EXP(LN(FU24)+0.5*LN('Ecoinvent 3.10'!$E$12)^2)</f>
        <v>2.6638970221693454</v>
      </c>
      <c r="FV275" s="50">
        <f>EXP(LN(FV24)+0.5*LN('Ecoinvent 3.10'!$E$12)^2)</f>
        <v>2.6638970221693454</v>
      </c>
      <c r="FW275" s="224">
        <f>EXP(LN(FW24)+0.5*LN('Ecoinvent 3.10'!$E$12)^2)</f>
        <v>1.9826178277581248</v>
      </c>
      <c r="FX275" s="50">
        <f>EXP(LN(FX24)+0.5*LN('Ecoinvent 3.10'!$E$12)^2)</f>
        <v>1.9826178277581248</v>
      </c>
      <c r="FY275" s="224">
        <f>EXP(LN(FY24)+0.5*LN('Ecoinvent 3.10'!$E$12)^2)</f>
        <v>2.3099256587734529</v>
      </c>
      <c r="FZ275" s="50">
        <f>EXP(LN(FZ24)+0.5*LN('Ecoinvent 3.10'!$E$12)^2)</f>
        <v>2.3099256587734529</v>
      </c>
      <c r="GA275" s="224">
        <f>EXP(LN(GA24)+0.5*LN('Ecoinvent 3.10'!$E$12)^2)</f>
        <v>2.5519249669848478</v>
      </c>
      <c r="GB275" s="50">
        <f>EXP(LN(GB24)+0.5*LN('Ecoinvent 3.10'!$E$12)^2)</f>
        <v>2.5519249669848478</v>
      </c>
      <c r="GC275" s="224">
        <f>EXP(LN(GC24)+0.5*LN('Ecoinvent 3.10'!$E$12)^2)</f>
        <v>2.5928100219512493</v>
      </c>
      <c r="GD275" s="50">
        <f>EXP(LN(GD24)+0.5*LN('Ecoinvent 3.10'!$E$12)^2)</f>
        <v>2.5928100219512493</v>
      </c>
      <c r="GE275" s="224"/>
      <c r="GF275" s="50"/>
      <c r="GG275" s="224">
        <f>EXP(LN(GG24)+0.5*LN('Ecoinvent 3.10'!$E$12)^2)</f>
        <v>1.8752358875804986</v>
      </c>
      <c r="GH275" s="50">
        <f>EXP(LN(GH24)+0.5*LN('Ecoinvent 3.10'!$E$12)^2)</f>
        <v>1.8752358875804986</v>
      </c>
      <c r="GI275" s="224">
        <f>EXP(LN(GI24)+0.5*LN('Ecoinvent 3.10'!$E$12)^2)</f>
        <v>2.5928100219512493</v>
      </c>
      <c r="GJ275" s="50">
        <f>EXP(LN(GJ24)+0.5*LN('Ecoinvent 3.10'!$E$12)^2)</f>
        <v>2.5928100219512493</v>
      </c>
      <c r="GM275" s="149" t="s">
        <v>209</v>
      </c>
      <c r="GN275" s="224">
        <f>EXP(LN(GN24)+0.5*LN('Ecoinvent 3.10'!$E$12)^2)</f>
        <v>2.907320738839382</v>
      </c>
      <c r="GO275" s="50">
        <f>EXP(LN(GO24)+0.5*LN('Ecoinvent 3.10'!$E$12)^2)</f>
        <v>2.907320738839382</v>
      </c>
      <c r="GP275" s="224">
        <f>EXP(LN(GP24)+0.5*LN('Ecoinvent 3.10'!$E$12)^2)</f>
        <v>2.1637870682928573</v>
      </c>
      <c r="GQ275" s="50">
        <f>EXP(LN(GQ24)+0.5*LN('Ecoinvent 3.10'!$E$12)^2)</f>
        <v>2.1637870682928573</v>
      </c>
      <c r="GR275" s="224">
        <f>EXP(LN(GR24)+0.5*LN('Ecoinvent 3.10'!$E$12)^2)</f>
        <v>2.5210038965621693</v>
      </c>
      <c r="GS275" s="50">
        <f>EXP(LN(GS24)+0.5*LN('Ecoinvent 3.10'!$E$12)^2)</f>
        <v>2.5210038965621693</v>
      </c>
      <c r="GT275" s="224">
        <f>EXP(LN(GT24)+0.5*LN('Ecoinvent 3.10'!$E$12)^2)</f>
        <v>2.7851168114731304</v>
      </c>
      <c r="GU275" s="50">
        <f>EXP(LN(GU24)+0.5*LN('Ecoinvent 3.10'!$E$12)^2)</f>
        <v>2.7851168114731304</v>
      </c>
      <c r="GV275" s="224">
        <f>EXP(LN(GV24)+0.5*LN('Ecoinvent 3.10'!$E$12)^2)</f>
        <v>2.8297378937534079</v>
      </c>
      <c r="GW275" s="50">
        <f>EXP(LN(GW24)+0.5*LN('Ecoinvent 3.10'!$E$12)^2)</f>
        <v>2.8297378937534079</v>
      </c>
      <c r="GX275" s="224"/>
      <c r="GY275" s="50"/>
      <c r="GZ275" s="224">
        <f>EXP(LN(GZ24)+0.5*LN('Ecoinvent 3.10'!$E$12)^2)</f>
        <v>2.0465926951406299</v>
      </c>
      <c r="HA275" s="50">
        <f>EXP(LN(HA24)+0.5*LN('Ecoinvent 3.10'!$E$12)^2)</f>
        <v>2.0465926951406299</v>
      </c>
      <c r="HB275" s="224">
        <f>EXP(LN(HB24)+0.5*LN('Ecoinvent 3.10'!$E$12)^2)</f>
        <v>2.8297378937534079</v>
      </c>
      <c r="HC275" s="50">
        <f>EXP(LN(HC24)+0.5*LN('Ecoinvent 3.10'!$E$12)^2)</f>
        <v>2.8297378937534079</v>
      </c>
      <c r="HF275" s="149" t="s">
        <v>209</v>
      </c>
      <c r="HG275" s="224">
        <f>EXP(LN(HG24)+0.5*LN('Ecoinvent 3.10'!$E$12)^2)</f>
        <v>66.829444928765653</v>
      </c>
      <c r="HH275" s="50">
        <f>EXP(LN(HH24)+0.5*LN('Ecoinvent 3.10'!$E$12)^2)</f>
        <v>66.829444928765653</v>
      </c>
      <c r="HI275" s="224">
        <f>EXP(LN(HI24)+0.5*LN('Ecoinvent 3.10'!$E$12)^2)</f>
        <v>49.738127199470881</v>
      </c>
      <c r="HJ275" s="50">
        <f>EXP(LN(HJ24)+0.5*LN('Ecoinvent 3.10'!$E$12)^2)</f>
        <v>49.738127199470881</v>
      </c>
      <c r="HK275" s="224">
        <f>EXP(LN(HK24)+0.5*LN('Ecoinvent 3.10'!$E$12)^2)</f>
        <v>57.94933074283442</v>
      </c>
      <c r="HL275" s="50">
        <f>EXP(LN(HL24)+0.5*LN('Ecoinvent 3.10'!$E$12)^2)</f>
        <v>57.94933074283442</v>
      </c>
      <c r="HM275" s="224">
        <f>EXP(LN(HM24)+0.5*LN('Ecoinvent 3.10'!$E$12)^2)</f>
        <v>64.020391037703689</v>
      </c>
      <c r="HN275" s="50">
        <f>EXP(LN(HN24)+0.5*LN('Ecoinvent 3.10'!$E$12)^2)</f>
        <v>64.020391037703689</v>
      </c>
      <c r="HO275" s="224">
        <f>EXP(LN(HO24)+0.5*LN('Ecoinvent 3.10'!$E$12)^2)</f>
        <v>65.046078407203296</v>
      </c>
      <c r="HP275" s="50">
        <f>EXP(LN(HP24)+0.5*LN('Ecoinvent 3.10'!$E$12)^2)</f>
        <v>65.046078407203296</v>
      </c>
      <c r="HQ275" s="224"/>
      <c r="HR275" s="50"/>
      <c r="HS275" s="224">
        <f>EXP(LN(HS24)+0.5*LN('Ecoinvent 3.10'!$E$12)^2)</f>
        <v>47.044225972162685</v>
      </c>
      <c r="HT275" s="50">
        <f>EXP(LN(HT24)+0.5*LN('Ecoinvent 3.10'!$E$12)^2)</f>
        <v>47.044225972162685</v>
      </c>
      <c r="HU275" s="224">
        <f>EXP(LN(HU24)+0.5*LN('Ecoinvent 3.10'!$E$12)^2)</f>
        <v>65.046078407203296</v>
      </c>
      <c r="HV275" s="50">
        <f>EXP(LN(HV24)+0.5*LN('Ecoinvent 3.10'!$E$12)^2)</f>
        <v>65.046078407203296</v>
      </c>
      <c r="HY275" s="149" t="s">
        <v>209</v>
      </c>
      <c r="HZ275" s="224">
        <f>EXP(LN(HZ24)+0.5*LN('Ecoinvent 3.10'!$E$12)^2)</f>
        <v>5.4801796504931971E-2</v>
      </c>
      <c r="IA275" s="50">
        <f>EXP(LN(IA24)+0.5*LN('Ecoinvent 3.10'!$E$12)^2)</f>
        <v>5.4801796504931971E-2</v>
      </c>
      <c r="IB275" s="224">
        <f>EXP(LN(IB24)+0.5*LN('Ecoinvent 3.10'!$E$12)^2)</f>
        <v>4.078649356174098E-2</v>
      </c>
      <c r="IC275" s="50">
        <f>EXP(LN(IC24)+0.5*LN('Ecoinvent 3.10'!$E$12)^2)</f>
        <v>4.078649356174098E-2</v>
      </c>
      <c r="ID275" s="224">
        <f>EXP(LN(ID24)+0.5*LN('Ecoinvent 3.10'!$E$12)^2)</f>
        <v>4.7519883403952544E-2</v>
      </c>
      <c r="IE275" s="50">
        <f>EXP(LN(IE24)+0.5*LN('Ecoinvent 3.10'!$E$12)^2)</f>
        <v>4.7519883403952544E-2</v>
      </c>
      <c r="IF275" s="224">
        <f>EXP(LN(IF24)+0.5*LN('Ecoinvent 3.10'!$E$12)^2)</f>
        <v>5.2498302889603408E-2</v>
      </c>
      <c r="IG275" s="50">
        <f>EXP(LN(IG24)+0.5*LN('Ecoinvent 3.10'!$E$12)^2)</f>
        <v>5.2498302889603408E-2</v>
      </c>
      <c r="IH275" s="224">
        <f>EXP(LN(IH24)+0.5*LN('Ecoinvent 3.10'!$E$12)^2)</f>
        <v>5.3339391882051418E-2</v>
      </c>
      <c r="II275" s="50">
        <f>EXP(LN(II24)+0.5*LN('Ecoinvent 3.10'!$E$12)^2)</f>
        <v>5.3339391882051418E-2</v>
      </c>
      <c r="IJ275" s="224"/>
      <c r="IK275" s="50"/>
      <c r="IL275" s="224"/>
      <c r="IM275" s="224"/>
      <c r="IN275" s="224"/>
      <c r="IO275" s="224"/>
    </row>
    <row r="276" spans="2:249" ht="14.25" customHeight="1" x14ac:dyDescent="0.25">
      <c r="B276" s="248"/>
      <c r="C276" s="248"/>
      <c r="D276" s="248"/>
      <c r="E276" s="248"/>
      <c r="F276" s="248"/>
      <c r="G276" s="248"/>
      <c r="H276" s="248"/>
      <c r="I276" s="248"/>
      <c r="J276" s="248"/>
      <c r="K276" s="248"/>
      <c r="L276" s="248"/>
      <c r="M276" s="248"/>
      <c r="N276" s="248"/>
      <c r="O276" s="248"/>
      <c r="P276" s="248"/>
      <c r="Q276" s="248"/>
      <c r="R276" s="248"/>
      <c r="S276" s="248"/>
      <c r="T276" s="248"/>
      <c r="U276" s="248"/>
      <c r="V276" s="248"/>
      <c r="W276" s="248"/>
      <c r="X276" s="248"/>
      <c r="Y276" s="248"/>
      <c r="Z276" s="248"/>
      <c r="AA276" s="248"/>
      <c r="AB276" s="248"/>
      <c r="AC276" s="248"/>
      <c r="AD276" s="248"/>
      <c r="AE276" s="248"/>
      <c r="AF276" s="248"/>
      <c r="AG276" s="248"/>
      <c r="AH276" s="248"/>
      <c r="AI276" s="248"/>
      <c r="AJ276" s="248"/>
      <c r="AK276" s="248"/>
      <c r="AL276" s="248"/>
      <c r="AM276" s="248"/>
      <c r="AN276" s="139"/>
      <c r="AO276" s="248"/>
      <c r="AP276" s="726"/>
      <c r="AQ276" s="149" t="s">
        <v>210</v>
      </c>
      <c r="AR276" s="264"/>
      <c r="AS276" s="265"/>
      <c r="AT276" s="224">
        <f>EXP(LN(AT25)+0.5*LN('Ecoinvent 3.10'!$E$13)^2)</f>
        <v>3.157719778849541</v>
      </c>
      <c r="AU276" s="50">
        <f>EXP(LN(AU25)+0.5*LN('Ecoinvent 3.10'!$E$13)^2)</f>
        <v>3.157719778849541</v>
      </c>
      <c r="AV276" s="224">
        <f>EXP(LN(AV25)+0.5*LN('Ecoinvent 3.10'!$E$13)^2)</f>
        <v>2.0439020454724588</v>
      </c>
      <c r="AW276" s="50">
        <f>EXP(LN(AW25)+0.5*LN('Ecoinvent 3.10'!$E$13)^2)</f>
        <v>2.0439020454724588</v>
      </c>
      <c r="AX276" s="224">
        <f>EXP(LN(AX25)+0.5*LN('Ecoinvent 3.10'!$E$13)^2)</f>
        <v>0.8467617734961248</v>
      </c>
      <c r="AY276" s="50">
        <f>EXP(LN(AY25)+0.5*LN('Ecoinvent 3.10'!$E$13)^2)</f>
        <v>0.8467617734961248</v>
      </c>
      <c r="AZ276" s="224">
        <f>EXP(LN(AZ25)+0.5*LN('Ecoinvent 3.10'!$E$13)^2)</f>
        <v>0.38236798424367219</v>
      </c>
      <c r="BA276" s="50">
        <f>EXP(LN(BA25)+0.5*LN('Ecoinvent 3.10'!$E$13)^2)</f>
        <v>0.38236798424367219</v>
      </c>
      <c r="BB276" s="224"/>
      <c r="BC276" s="50"/>
      <c r="BD276" s="224">
        <f>EXP(LN(BD25)+0.5*LN('Ecoinvent 3.10'!$E$13)^2)</f>
        <v>2.4889102719463629</v>
      </c>
      <c r="BE276" s="50">
        <f>EXP(LN(BE25)+0.5*LN('Ecoinvent 3.10'!$E$13)^2)</f>
        <v>2.4889102719463629</v>
      </c>
      <c r="BF276" s="224">
        <f>EXP(LN(BF25)+0.5*LN('Ecoinvent 3.10'!$E$13)^2)</f>
        <v>0.38236798424367219</v>
      </c>
      <c r="BG276" s="50">
        <f>EXP(LN(BG25)+0.5*LN('Ecoinvent 3.10'!$E$13)^2)</f>
        <v>0.38236798424367219</v>
      </c>
      <c r="BI276" s="156"/>
      <c r="BJ276" s="149" t="s">
        <v>210</v>
      </c>
      <c r="BK276" s="264"/>
      <c r="BL276" s="265"/>
      <c r="BM276" s="224">
        <f>EXP(LN(BM25)+0.5*LN('Ecoinvent 3.10'!$E$13)^2)</f>
        <v>0.77206192213614533</v>
      </c>
      <c r="BN276" s="50">
        <f>EXP(LN(BN25)+0.5*LN('Ecoinvent 3.10'!$E$13)^2)</f>
        <v>0.77206192213614533</v>
      </c>
      <c r="BO276" s="224">
        <f>EXP(LN(BO25)+0.5*LN('Ecoinvent 3.10'!$E$13)^2)</f>
        <v>0.49973368519115041</v>
      </c>
      <c r="BP276" s="50">
        <f>EXP(LN(BP25)+0.5*LN('Ecoinvent 3.10'!$E$13)^2)</f>
        <v>0.49973368519115041</v>
      </c>
      <c r="BQ276" s="224">
        <f>EXP(LN(BQ25)+0.5*LN('Ecoinvent 3.10'!$E$13)^2)</f>
        <v>0.20703310243539483</v>
      </c>
      <c r="BR276" s="50">
        <f>EXP(LN(BR25)+0.5*LN('Ecoinvent 3.10'!$E$13)^2)</f>
        <v>0.20703310243539483</v>
      </c>
      <c r="BS276" s="224">
        <f>EXP(LN(BS25)+0.5*LN('Ecoinvent 3.10'!$E$13)^2)</f>
        <v>9.3488903877990095E-2</v>
      </c>
      <c r="BT276" s="50">
        <f>EXP(LN(BT25)+0.5*LN('Ecoinvent 3.10'!$E$13)^2)</f>
        <v>9.3488903877990095E-2</v>
      </c>
      <c r="BU276" s="224"/>
      <c r="BV276" s="50"/>
      <c r="BW276" s="224">
        <f>EXP(LN(BW25)+0.5*LN('Ecoinvent 3.10'!$E$13)^2)</f>
        <v>0.60853811711037986</v>
      </c>
      <c r="BX276" s="50">
        <f>EXP(LN(BX25)+0.5*LN('Ecoinvent 3.10'!$E$13)^2)</f>
        <v>0.60853811711037986</v>
      </c>
      <c r="BY276" s="224">
        <f>EXP(LN(BY25)+0.5*LN('Ecoinvent 3.10'!$E$13)^2)</f>
        <v>9.3488903877990095E-2</v>
      </c>
      <c r="BZ276" s="50">
        <f>EXP(LN(BZ25)+0.5*LN('Ecoinvent 3.10'!$E$13)^2)</f>
        <v>9.3488903877990095E-2</v>
      </c>
      <c r="CA276" s="156"/>
      <c r="CB276" s="156"/>
      <c r="CC276" s="149" t="s">
        <v>210</v>
      </c>
      <c r="CD276" s="264"/>
      <c r="CE276" s="265"/>
      <c r="CF276" s="224">
        <f>EXP(LN(CF25)+0.5*LN('Ecoinvent 3.10'!$E$13)^2)</f>
        <v>12.298331503053641</v>
      </c>
      <c r="CG276" s="50">
        <f>EXP(LN(CG25)+0.5*LN('Ecoinvent 3.10'!$E$13)^2)</f>
        <v>12.298331503053641</v>
      </c>
      <c r="CH276" s="224">
        <f>EXP(LN(CH25)+0.5*LN('Ecoinvent 3.10'!$E$13)^2)</f>
        <v>7.9603595871156694</v>
      </c>
      <c r="CI276" s="50">
        <f>EXP(LN(CI25)+0.5*LN('Ecoinvent 3.10'!$E$13)^2)</f>
        <v>7.9603595871156694</v>
      </c>
      <c r="CJ276" s="224">
        <f>EXP(LN(CJ25)+0.5*LN('Ecoinvent 3.10'!$E$13)^2)</f>
        <v>3.2978724281744309</v>
      </c>
      <c r="CK276" s="50">
        <f>EXP(LN(CK25)+0.5*LN('Ecoinvent 3.10'!$E$13)^2)</f>
        <v>3.2978724281744309</v>
      </c>
      <c r="CL276" s="224">
        <f>EXP(LN(CL25)+0.5*LN('Ecoinvent 3.10'!$E$13)^2)</f>
        <v>1.4892037785874528</v>
      </c>
      <c r="CM276" s="50">
        <f>EXP(LN(CM25)+0.5*LN('Ecoinvent 3.10'!$E$13)^2)</f>
        <v>1.4892037785874528</v>
      </c>
      <c r="CN276" s="224"/>
      <c r="CO276" s="50"/>
      <c r="CP276" s="224">
        <f>EXP(LN(CP25)+0.5*LN('Ecoinvent 3.10'!$E$13)^2)</f>
        <v>9.6935275291918916</v>
      </c>
      <c r="CQ276" s="50">
        <f>EXP(LN(CQ25)+0.5*LN('Ecoinvent 3.10'!$E$13)^2)</f>
        <v>9.6935275291918916</v>
      </c>
      <c r="CR276" s="224">
        <f>EXP(LN(CR25)+0.5*LN('Ecoinvent 3.10'!$E$13)^2)</f>
        <v>1.4892037785874528</v>
      </c>
      <c r="CS276" s="50">
        <f>EXP(LN(CS25)+0.5*LN('Ecoinvent 3.10'!$E$13)^2)</f>
        <v>1.4892037785874528</v>
      </c>
      <c r="CV276" s="149" t="s">
        <v>210</v>
      </c>
      <c r="CW276" s="264"/>
      <c r="CX276" s="265"/>
      <c r="CY276" s="224">
        <f>EXP(LN(CY25)+0.5*LN('Ecoinvent 3.10'!$E$13)^2)</f>
        <v>1.9806320792035606E-2</v>
      </c>
      <c r="CZ276" s="50">
        <f>EXP(LN(CZ25)+0.5*LN('Ecoinvent 3.10'!$E$13)^2)</f>
        <v>1.9806320792035606E-2</v>
      </c>
      <c r="DA276" s="224">
        <f>EXP(LN(DA25)+0.5*LN('Ecoinvent 3.10'!$E$13)^2)</f>
        <v>1.2820067141890028E-2</v>
      </c>
      <c r="DB276" s="50">
        <f>EXP(LN(DB25)+0.5*LN('Ecoinvent 3.10'!$E$13)^2)</f>
        <v>1.2820067141890028E-2</v>
      </c>
      <c r="DC276" s="224">
        <f>EXP(LN(DC25)+0.5*LN('Ecoinvent 3.10'!$E$13)^2)</f>
        <v>5.3111854423027825E-3</v>
      </c>
      <c r="DD276" s="50">
        <f>EXP(LN(DD25)+0.5*LN('Ecoinvent 3.10'!$E$13)^2)</f>
        <v>5.3111854423027825E-3</v>
      </c>
      <c r="DE276" s="224">
        <f>EXP(LN(DE25)+0.5*LN('Ecoinvent 3.10'!$E$13)^2)</f>
        <v>2.3983454793108294E-3</v>
      </c>
      <c r="DF276" s="50">
        <f>EXP(LN(DF25)+0.5*LN('Ecoinvent 3.10'!$E$13)^2)</f>
        <v>2.3983454793108294E-3</v>
      </c>
      <c r="DG276" s="224"/>
      <c r="DH276" s="50"/>
      <c r="DI276" s="224">
        <f>EXP(LN(DI25)+0.5*LN('Ecoinvent 3.10'!$E$13)^2)</f>
        <v>1.5611314087763171E-2</v>
      </c>
      <c r="DJ276" s="50">
        <f>EXP(LN(DJ25)+0.5*LN('Ecoinvent 3.10'!$E$13)^2)</f>
        <v>1.5611314087763171E-2</v>
      </c>
      <c r="DK276" s="224">
        <f>EXP(LN(DK25)+0.5*LN('Ecoinvent 3.10'!$E$13)^2)</f>
        <v>2.3983454793108294E-3</v>
      </c>
      <c r="DL276" s="50">
        <f>EXP(LN(DL25)+0.5*LN('Ecoinvent 3.10'!$E$13)^2)</f>
        <v>2.3983454793108294E-3</v>
      </c>
      <c r="DO276" s="149" t="s">
        <v>210</v>
      </c>
      <c r="DP276" s="264"/>
      <c r="DQ276" s="265"/>
      <c r="DR276" s="224">
        <f>EXP(LN(DR25)+0.5*LN('Ecoinvent 3.10'!$E$13)^2)</f>
        <v>5.0962264105119531E-2</v>
      </c>
      <c r="DS276" s="50">
        <f>EXP(LN(DS25)+0.5*LN('Ecoinvent 3.10'!$E$13)^2)</f>
        <v>5.0962264105119531E-2</v>
      </c>
      <c r="DT276" s="224">
        <f>EXP(LN(DT25)+0.5*LN('Ecoinvent 3.10'!$E$13)^2)</f>
        <v>3.2986421576746437E-2</v>
      </c>
      <c r="DU276" s="50">
        <f>EXP(LN(DU25)+0.5*LN('Ecoinvent 3.10'!$E$13)^2)</f>
        <v>3.2986421576746437E-2</v>
      </c>
      <c r="DV276" s="224">
        <f>EXP(LN(DV25)+0.5*LN('Ecoinvent 3.10'!$E$13)^2)</f>
        <v>1.3665841226339253E-2</v>
      </c>
      <c r="DW276" s="50">
        <f>EXP(LN(DW25)+0.5*LN('Ecoinvent 3.10'!$E$13)^2)</f>
        <v>1.3665841226339253E-2</v>
      </c>
      <c r="DX276" s="224">
        <f>EXP(LN(DX25)+0.5*LN('Ecoinvent 3.10'!$E$13)^2)</f>
        <v>6.1710156578452654E-3</v>
      </c>
      <c r="DY276" s="50">
        <f>EXP(LN(DY25)+0.5*LN('Ecoinvent 3.10'!$E$13)^2)</f>
        <v>6.1710156578452654E-3</v>
      </c>
      <c r="DZ276" s="224"/>
      <c r="EA276" s="50"/>
      <c r="EB276" s="224">
        <f>EXP(LN(EB25)+0.5*LN('Ecoinvent 3.10'!$E$13)^2)</f>
        <v>4.0168384624391054E-2</v>
      </c>
      <c r="EC276" s="50">
        <f>EXP(LN(EC25)+0.5*LN('Ecoinvent 3.10'!$E$13)^2)</f>
        <v>4.0168384624391054E-2</v>
      </c>
      <c r="ED276" s="224">
        <f>EXP(LN(ED25)+0.5*LN('Ecoinvent 3.10'!$E$13)^2)</f>
        <v>6.1710156578452654E-3</v>
      </c>
      <c r="EE276" s="50">
        <f>EXP(LN(EE25)+0.5*LN('Ecoinvent 3.10'!$E$13)^2)</f>
        <v>6.1710156578452654E-3</v>
      </c>
      <c r="EH276" s="149" t="s">
        <v>210</v>
      </c>
      <c r="EI276" s="264"/>
      <c r="EJ276" s="265"/>
      <c r="EK276" s="224">
        <f>EXP(LN(EK25)+0.5*LN('Ecoinvent 3.10'!$E$13)^2)</f>
        <v>7.2355438934321005E-3</v>
      </c>
      <c r="EL276" s="50">
        <f>EXP(LN(EL25)+0.5*LN('Ecoinvent 3.10'!$E$13)^2)</f>
        <v>7.2355438934321005E-3</v>
      </c>
      <c r="EM276" s="224">
        <f>EXP(LN(EM25)+0.5*LN('Ecoinvent 3.10'!$E$13)^2)</f>
        <v>4.6833614125442241E-3</v>
      </c>
      <c r="EN276" s="50">
        <f>EXP(LN(EN25)+0.5*LN('Ecoinvent 3.10'!$E$13)^2)</f>
        <v>4.6833614125442241E-3</v>
      </c>
      <c r="EO276" s="224">
        <f>EXP(LN(EO25)+0.5*LN('Ecoinvent 3.10'!$E$13)^2)</f>
        <v>1.9402551234751428E-3</v>
      </c>
      <c r="EP276" s="50">
        <f>EXP(LN(EP25)+0.5*LN('Ecoinvent 3.10'!$E$13)^2)</f>
        <v>1.9402551234751428E-3</v>
      </c>
      <c r="EQ276" s="224">
        <f>EXP(LN(EQ25)+0.5*LN('Ecoinvent 3.10'!$E$13)^2)</f>
        <v>8.7615131398588518E-4</v>
      </c>
      <c r="ER276" s="50">
        <f>EXP(LN(ER25)+0.5*LN('Ecoinvent 3.10'!$E$13)^2)</f>
        <v>8.7615131398588518E-4</v>
      </c>
      <c r="ES276" s="224"/>
      <c r="ET276" s="50"/>
      <c r="EU276" s="224">
        <f>EXP(LN(EU25)+0.5*LN('Ecoinvent 3.10'!$E$13)^2)</f>
        <v>5.7030454824091624E-3</v>
      </c>
      <c r="EV276" s="50">
        <f>EXP(LN(EV25)+0.5*LN('Ecoinvent 3.10'!$E$13)^2)</f>
        <v>5.7030454824091624E-3</v>
      </c>
      <c r="EW276" s="224">
        <f>EXP(LN(EW25)+0.5*LN('Ecoinvent 3.10'!$E$13)^2)</f>
        <v>8.7615131398588518E-4</v>
      </c>
      <c r="EX276" s="50">
        <f>EXP(LN(EX25)+0.5*LN('Ecoinvent 3.10'!$E$13)^2)</f>
        <v>8.7615131398588518E-4</v>
      </c>
      <c r="FA276" s="149" t="s">
        <v>210</v>
      </c>
      <c r="FB276" s="264"/>
      <c r="FC276" s="265"/>
      <c r="FD276" s="224">
        <f>EXP(LN(FD25)+0.5*LN('Ecoinvent 3.10'!$E$13)^2)</f>
        <v>2.8185590796330103E-4</v>
      </c>
      <c r="FE276" s="50">
        <f>EXP(LN(FE25)+0.5*LN('Ecoinvent 3.10'!$E$13)^2)</f>
        <v>2.8185590796330103E-4</v>
      </c>
      <c r="FF276" s="224">
        <f>EXP(LN(FF25)+0.5*LN('Ecoinvent 3.10'!$E$13)^2)</f>
        <v>1.8243729879811388E-4</v>
      </c>
      <c r="FG276" s="50">
        <f>EXP(LN(FG25)+0.5*LN('Ecoinvent 3.10'!$E$13)^2)</f>
        <v>1.8243729879811388E-4</v>
      </c>
      <c r="FH276" s="224">
        <f>EXP(LN(FH25)+0.5*LN('Ecoinvent 3.10'!$E$13)^2)</f>
        <v>7.5581376820054117E-5</v>
      </c>
      <c r="FI276" s="50">
        <f>EXP(LN(FI25)+0.5*LN('Ecoinvent 3.10'!$E$13)^2)</f>
        <v>7.5581376820054117E-5</v>
      </c>
      <c r="FJ276" s="224">
        <f>EXP(LN(FJ25)+0.5*LN('Ecoinvent 3.10'!$E$13)^2)</f>
        <v>3.4129904780329324E-5</v>
      </c>
      <c r="FK276" s="50">
        <f>EXP(LN(FK25)+0.5*LN('Ecoinvent 3.10'!$E$13)^2)</f>
        <v>3.4129904780329324E-5</v>
      </c>
      <c r="FL276" s="224"/>
      <c r="FM276" s="50"/>
      <c r="FN276" s="224">
        <f>EXP(LN(FN25)+0.5*LN('Ecoinvent 3.10'!$E$13)^2)</f>
        <v>2.2215842876159583E-4</v>
      </c>
      <c r="FO276" s="50">
        <f>EXP(LN(FO25)+0.5*LN('Ecoinvent 3.10'!$E$13)^2)</f>
        <v>2.2215842876159583E-4</v>
      </c>
      <c r="FP276" s="224">
        <f>EXP(LN(FP25)+0.5*LN('Ecoinvent 3.10'!$E$13)^2)</f>
        <v>3.4129904780329324E-5</v>
      </c>
      <c r="FQ276" s="50">
        <f>EXP(LN(FQ25)+0.5*LN('Ecoinvent 3.10'!$E$13)^2)</f>
        <v>3.4129904780329324E-5</v>
      </c>
      <c r="FT276" s="149" t="s">
        <v>210</v>
      </c>
      <c r="FU276" s="264"/>
      <c r="FV276" s="265"/>
      <c r="FW276" s="224">
        <f>EXP(LN(FW25)+0.5*LN('Ecoinvent 3.10'!$E$13)^2)</f>
        <v>7.2937427224627399E-2</v>
      </c>
      <c r="FX276" s="50">
        <f>EXP(LN(FX25)+0.5*LN('Ecoinvent 3.10'!$E$13)^2)</f>
        <v>7.2937427224627399E-2</v>
      </c>
      <c r="FY276" s="224">
        <f>EXP(LN(FY25)+0.5*LN('Ecoinvent 3.10'!$E$13)^2)</f>
        <v>4.7210318564184971E-2</v>
      </c>
      <c r="FZ276" s="50">
        <f>EXP(LN(FZ25)+0.5*LN('Ecoinvent 3.10'!$E$13)^2)</f>
        <v>4.7210318564184971E-2</v>
      </c>
      <c r="GA276" s="224">
        <f>EXP(LN(GA25)+0.5*LN('Ecoinvent 3.10'!$E$13)^2)</f>
        <v>1.9558614936209254E-2</v>
      </c>
      <c r="GB276" s="50">
        <f>EXP(LN(GB25)+0.5*LN('Ecoinvent 3.10'!$E$13)^2)</f>
        <v>1.9558614936209254E-2</v>
      </c>
      <c r="GC276" s="224">
        <f>EXP(LN(GC25)+0.5*LN('Ecoinvent 3.10'!$E$13)^2)</f>
        <v>8.8319860459439362E-3</v>
      </c>
      <c r="GD276" s="50">
        <f>EXP(LN(GD25)+0.5*LN('Ecoinvent 3.10'!$E$13)^2)</f>
        <v>8.8319860459439362E-3</v>
      </c>
      <c r="GE276" s="224"/>
      <c r="GF276" s="50"/>
      <c r="GG276" s="224">
        <f>EXP(LN(GG25)+0.5*LN('Ecoinvent 3.10'!$E$13)^2)</f>
        <v>5.7489177172920132E-2</v>
      </c>
      <c r="GH276" s="50">
        <f>EXP(LN(GH25)+0.5*LN('Ecoinvent 3.10'!$E$13)^2)</f>
        <v>5.7489177172920132E-2</v>
      </c>
      <c r="GI276" s="224">
        <f>EXP(LN(GI25)+0.5*LN('Ecoinvent 3.10'!$E$13)^2)</f>
        <v>8.8319860459439362E-3</v>
      </c>
      <c r="GJ276" s="50">
        <f>EXP(LN(GJ25)+0.5*LN('Ecoinvent 3.10'!$E$13)^2)</f>
        <v>8.8319860459439362E-3</v>
      </c>
      <c r="GM276" s="149" t="s">
        <v>210</v>
      </c>
      <c r="GN276" s="264"/>
      <c r="GO276" s="265"/>
      <c r="GP276" s="224">
        <f>EXP(LN(GP25)+0.5*LN('Ecoinvent 3.10'!$E$13)^2)</f>
        <v>0.20591664639919827</v>
      </c>
      <c r="GQ276" s="50">
        <f>EXP(LN(GQ25)+0.5*LN('Ecoinvent 3.10'!$E$13)^2)</f>
        <v>0.20591664639919827</v>
      </c>
      <c r="GR276" s="224">
        <f>EXP(LN(GR25)+0.5*LN('Ecoinvent 3.10'!$E$13)^2)</f>
        <v>0.13328397839199277</v>
      </c>
      <c r="GS276" s="50">
        <f>EXP(LN(GS25)+0.5*LN('Ecoinvent 3.10'!$E$13)^2)</f>
        <v>0.13328397839199277</v>
      </c>
      <c r="GT276" s="224">
        <f>EXP(LN(GT25)+0.5*LN('Ecoinvent 3.10'!$E$13)^2)</f>
        <v>5.5217801739483464E-2</v>
      </c>
      <c r="GU276" s="50">
        <f>EXP(LN(GU25)+0.5*LN('Ecoinvent 3.10'!$E$13)^2)</f>
        <v>5.5217801739483464E-2</v>
      </c>
      <c r="GV276" s="224">
        <f>EXP(LN(GV25)+0.5*LN('Ecoinvent 3.10'!$E$13)^2)</f>
        <v>2.4934426902999126E-2</v>
      </c>
      <c r="GW276" s="50">
        <f>EXP(LN(GW25)+0.5*LN('Ecoinvent 3.10'!$E$13)^2)</f>
        <v>2.4934426902999126E-2</v>
      </c>
      <c r="GX276" s="224"/>
      <c r="GY276" s="50"/>
      <c r="GZ276" s="224">
        <f>EXP(LN(GZ25)+0.5*LN('Ecoinvent 3.10'!$E$13)^2)</f>
        <v>0.1623032099999813</v>
      </c>
      <c r="HA276" s="50">
        <f>EXP(LN(HA25)+0.5*LN('Ecoinvent 3.10'!$E$13)^2)</f>
        <v>0.1623032099999813</v>
      </c>
      <c r="HB276" s="224">
        <f>EXP(LN(HB25)+0.5*LN('Ecoinvent 3.10'!$E$13)^2)</f>
        <v>2.4934426902999126E-2</v>
      </c>
      <c r="HC276" s="50">
        <f>EXP(LN(HC25)+0.5*LN('Ecoinvent 3.10'!$E$13)^2)</f>
        <v>2.4934426902999126E-2</v>
      </c>
      <c r="HF276" s="149" t="s">
        <v>210</v>
      </c>
      <c r="HG276" s="264"/>
      <c r="HH276" s="265"/>
      <c r="HI276" s="224">
        <f>EXP(LN(HI25)+0.5*LN('Ecoinvent 3.10'!$E$13)^2)</f>
        <v>1.6942325784475172</v>
      </c>
      <c r="HJ276" s="50">
        <f>EXP(LN(HJ25)+0.5*LN('Ecoinvent 3.10'!$E$13)^2)</f>
        <v>1.6942325784475172</v>
      </c>
      <c r="HK276" s="224">
        <f>EXP(LN(HK25)+0.5*LN('Ecoinvent 3.10'!$E$13)^2)</f>
        <v>1.0966284772287755</v>
      </c>
      <c r="HL276" s="50">
        <f>EXP(LN(HL25)+0.5*LN('Ecoinvent 3.10'!$E$13)^2)</f>
        <v>1.0966284772287755</v>
      </c>
      <c r="HM276" s="224">
        <f>EXP(LN(HM25)+0.5*LN('Ecoinvent 3.10'!$E$13)^2)</f>
        <v>0.45431877535498322</v>
      </c>
      <c r="HN276" s="50">
        <f>EXP(LN(HN25)+0.5*LN('Ecoinvent 3.10'!$E$13)^2)</f>
        <v>0.45431877535498322</v>
      </c>
      <c r="HO276" s="224">
        <f>EXP(LN(HO25)+0.5*LN('Ecoinvent 3.10'!$E$13)^2)</f>
        <v>0.2051544599365806</v>
      </c>
      <c r="HP276" s="50">
        <f>EXP(LN(HP25)+0.5*LN('Ecoinvent 3.10'!$E$13)^2)</f>
        <v>0.2051544599365806</v>
      </c>
      <c r="HQ276" s="224"/>
      <c r="HR276" s="50"/>
      <c r="HS276" s="224">
        <f>EXP(LN(HS25)+0.5*LN('Ecoinvent 3.10'!$E$13)^2)</f>
        <v>1.3353917265896564</v>
      </c>
      <c r="HT276" s="50">
        <f>EXP(LN(HT25)+0.5*LN('Ecoinvent 3.10'!$E$13)^2)</f>
        <v>1.3353917265896564</v>
      </c>
      <c r="HU276" s="224">
        <f>EXP(LN(HU25)+0.5*LN('Ecoinvent 3.10'!$E$13)^2)</f>
        <v>0.2051544599365806</v>
      </c>
      <c r="HV276" s="50">
        <f>EXP(LN(HV25)+0.5*LN('Ecoinvent 3.10'!$E$13)^2)</f>
        <v>0.2051544599365806</v>
      </c>
      <c r="HY276" s="149" t="s">
        <v>210</v>
      </c>
      <c r="HZ276" s="264"/>
      <c r="IA276" s="265"/>
      <c r="IB276" s="224">
        <f>EXP(LN(IB25)+0.5*LN('Ecoinvent 3.10'!$E$13)^2)</f>
        <v>6.2933865339930995E-3</v>
      </c>
      <c r="IC276" s="50">
        <f>EXP(LN(IC25)+0.5*LN('Ecoinvent 3.10'!$E$13)^2)</f>
        <v>6.2933865339930995E-3</v>
      </c>
      <c r="ID276" s="224">
        <f>EXP(LN(ID25)+0.5*LN('Ecoinvent 3.10'!$E$13)^2)</f>
        <v>4.0735297970181973E-3</v>
      </c>
      <c r="IE276" s="50">
        <f>EXP(LN(IE25)+0.5*LN('Ecoinvent 3.10'!$E$13)^2)</f>
        <v>4.0735297970181973E-3</v>
      </c>
      <c r="IF276" s="224">
        <f>EXP(LN(IF25)+0.5*LN('Ecoinvent 3.10'!$E$13)^2)</f>
        <v>1.6876098944923334E-3</v>
      </c>
      <c r="IG276" s="50">
        <f>EXP(LN(IG25)+0.5*LN('Ecoinvent 3.10'!$E$13)^2)</f>
        <v>1.6876098944923334E-3</v>
      </c>
      <c r="IH276" s="224">
        <f>EXP(LN(IH25)+0.5*LN('Ecoinvent 3.10'!$E$13)^2)</f>
        <v>7.6206556996831986E-4</v>
      </c>
      <c r="II276" s="50">
        <f>EXP(LN(II25)+0.5*LN('Ecoinvent 3.10'!$E$13)^2)</f>
        <v>7.6206556996831986E-4</v>
      </c>
      <c r="IJ276" s="224"/>
      <c r="IK276" s="50"/>
      <c r="IL276" s="224"/>
      <c r="IM276" s="224"/>
      <c r="IN276" s="224"/>
      <c r="IO276" s="224"/>
    </row>
    <row r="277" spans="2:249" ht="14.25" customHeight="1" x14ac:dyDescent="0.25">
      <c r="B277" s="248"/>
      <c r="C277" s="248"/>
      <c r="D277" s="248"/>
      <c r="E277" s="248"/>
      <c r="F277" s="248"/>
      <c r="G277" s="248"/>
      <c r="H277" s="248"/>
      <c r="I277" s="248"/>
      <c r="J277" s="248"/>
      <c r="K277" s="248"/>
      <c r="L277" s="248"/>
      <c r="M277" s="248"/>
      <c r="N277" s="248"/>
      <c r="O277" s="248"/>
      <c r="P277" s="248"/>
      <c r="Q277" s="248"/>
      <c r="R277" s="248"/>
      <c r="S277" s="248"/>
      <c r="T277" s="248"/>
      <c r="U277" s="248"/>
      <c r="V277" s="248"/>
      <c r="W277" s="248"/>
      <c r="X277" s="248"/>
      <c r="Y277" s="248"/>
      <c r="Z277" s="248"/>
      <c r="AA277" s="248"/>
      <c r="AB277" s="248"/>
      <c r="AC277" s="248"/>
      <c r="AD277" s="248"/>
      <c r="AE277" s="248"/>
      <c r="AF277" s="248"/>
      <c r="AG277" s="248"/>
      <c r="AH277" s="248"/>
      <c r="AI277" s="248"/>
      <c r="AJ277" s="248"/>
      <c r="AK277" s="248"/>
      <c r="AL277" s="248"/>
      <c r="AM277" s="248"/>
      <c r="AN277" s="139"/>
      <c r="AO277" s="248"/>
      <c r="AP277" s="726"/>
      <c r="AQ277" s="149" t="s">
        <v>424</v>
      </c>
      <c r="AR277" s="224">
        <f>EXP(LN(AR26)+0.5*LN('Ecoinvent 3.10'!$E$14)^2)</f>
        <v>49.550127414798368</v>
      </c>
      <c r="AS277" s="50">
        <f>EXP(LN(AS26)+0.5*LN('Ecoinvent 3.10'!$E$14)^2)</f>
        <v>49.550127414798368</v>
      </c>
      <c r="AT277" s="224">
        <f>EXP(LN(AT26)+0.5*LN('Ecoinvent 3.10'!$E$14)^2)</f>
        <v>189.65784476423823</v>
      </c>
      <c r="AU277" s="50">
        <f>EXP(LN(AU26)+0.5*LN('Ecoinvent 3.10'!$E$14)^2)</f>
        <v>189.65784476423823</v>
      </c>
      <c r="AV277" s="224">
        <f>EXP(LN(AV26)+0.5*LN('Ecoinvent 3.10'!$E$14)^2)</f>
        <v>184.14017899084527</v>
      </c>
      <c r="AW277" s="50">
        <f>EXP(LN(AW26)+0.5*LN('Ecoinvent 3.10'!$E$14)^2)</f>
        <v>184.14017899084527</v>
      </c>
      <c r="AX277" s="224">
        <f>EXP(LN(AX26)+0.5*LN('Ecoinvent 3.10'!$E$14)^2)</f>
        <v>76.286857718829452</v>
      </c>
      <c r="AY277" s="50">
        <f>EXP(LN(AY26)+0.5*LN('Ecoinvent 3.10'!$E$14)^2)</f>
        <v>76.286857718829452</v>
      </c>
      <c r="AZ277" s="224">
        <f>EXP(LN(AZ26)+0.5*LN('Ecoinvent 3.10'!$E$14)^2)</f>
        <v>34.448475265713128</v>
      </c>
      <c r="BA277" s="50">
        <f>EXP(LN(BA26)+0.5*LN('Ecoinvent 3.10'!$E$14)^2)</f>
        <v>34.448475265713128</v>
      </c>
      <c r="BB277" s="224"/>
      <c r="BC277" s="50"/>
      <c r="BD277" s="264"/>
      <c r="BE277" s="265"/>
      <c r="BF277" s="224">
        <f>EXP(LN(BF26)+0.5*LN('Ecoinvent 3.10'!$E$14)^2)</f>
        <v>34.448475265713128</v>
      </c>
      <c r="BG277" s="50">
        <f>EXP(LN(BG26)+0.5*LN('Ecoinvent 3.10'!$E$14)^2)</f>
        <v>34.448475265713128</v>
      </c>
      <c r="BI277" s="156"/>
      <c r="BJ277" s="149" t="s">
        <v>424</v>
      </c>
      <c r="BK277" s="224">
        <f>EXP(LN(BK26)+0.5*LN('Ecoinvent 3.10'!$E$14)^2)</f>
        <v>4.763658369620817</v>
      </c>
      <c r="BL277" s="50">
        <f>EXP(LN(BL26)+0.5*LN('Ecoinvent 3.10'!$E$14)^2)</f>
        <v>4.763658369620817</v>
      </c>
      <c r="BM277" s="224">
        <f>EXP(LN(BM26)+0.5*LN('Ecoinvent 3.10'!$E$14)^2)</f>
        <v>18.233357343609669</v>
      </c>
      <c r="BN277" s="50">
        <f>EXP(LN(BN26)+0.5*LN('Ecoinvent 3.10'!$E$14)^2)</f>
        <v>18.233357343609669</v>
      </c>
      <c r="BO277" s="224">
        <f>EXP(LN(BO26)+0.5*LN('Ecoinvent 3.10'!$E$14)^2)</f>
        <v>17.702899076123078</v>
      </c>
      <c r="BP277" s="50">
        <f>EXP(LN(BP26)+0.5*LN('Ecoinvent 3.10'!$E$14)^2)</f>
        <v>17.702899076123078</v>
      </c>
      <c r="BQ277" s="224">
        <f>EXP(LN(BQ26)+0.5*LN('Ecoinvent 3.10'!$E$14)^2)</f>
        <v>7.3340785831328024</v>
      </c>
      <c r="BR277" s="50">
        <f>EXP(LN(BR26)+0.5*LN('Ecoinvent 3.10'!$E$14)^2)</f>
        <v>7.3340785831328024</v>
      </c>
      <c r="BS277" s="224">
        <f>EXP(LN(BS26)+0.5*LN('Ecoinvent 3.10'!$E$14)^2)</f>
        <v>3.3118132299934429</v>
      </c>
      <c r="BT277" s="50">
        <f>EXP(LN(BT26)+0.5*LN('Ecoinvent 3.10'!$E$14)^2)</f>
        <v>3.3118132299934429</v>
      </c>
      <c r="BU277" s="224"/>
      <c r="BV277" s="50"/>
      <c r="BW277" s="264"/>
      <c r="BX277" s="265"/>
      <c r="BY277" s="224">
        <f>EXP(LN(BY26)+0.5*LN('Ecoinvent 3.10'!$E$14)^2)</f>
        <v>3.3118132299934429</v>
      </c>
      <c r="BZ277" s="50">
        <f>EXP(LN(BZ26)+0.5*LN('Ecoinvent 3.10'!$E$14)^2)</f>
        <v>3.3118132299934429</v>
      </c>
      <c r="CA277" s="156"/>
      <c r="CB277" s="156"/>
      <c r="CC277" s="149" t="s">
        <v>424</v>
      </c>
      <c r="CD277" s="224">
        <f>EXP(LN(CD26)+0.5*LN('Ecoinvent 3.10'!$E$14)^2)</f>
        <v>188.23974997314971</v>
      </c>
      <c r="CE277" s="50">
        <f>EXP(LN(CE26)+0.5*LN('Ecoinvent 3.10'!$E$14)^2)</f>
        <v>188.23974997314971</v>
      </c>
      <c r="CF277" s="224">
        <f>EXP(LN(CF26)+0.5*LN('Ecoinvent 3.10'!$E$14)^2)</f>
        <v>720.50562009663679</v>
      </c>
      <c r="CG277" s="50">
        <f>EXP(LN(CG26)+0.5*LN('Ecoinvent 3.10'!$E$14)^2)</f>
        <v>720.50562009663679</v>
      </c>
      <c r="CH277" s="224">
        <f>EXP(LN(CH26)+0.5*LN('Ecoinvent 3.10'!$E$14)^2)</f>
        <v>699.54413967653318</v>
      </c>
      <c r="CI277" s="50">
        <f>EXP(LN(CI26)+0.5*LN('Ecoinvent 3.10'!$E$14)^2)</f>
        <v>699.54413967653318</v>
      </c>
      <c r="CJ277" s="224">
        <f>EXP(LN(CJ26)+0.5*LN('Ecoinvent 3.10'!$E$14)^2)</f>
        <v>289.81194948332188</v>
      </c>
      <c r="CK277" s="50">
        <f>EXP(LN(CK26)+0.5*LN('Ecoinvent 3.10'!$E$14)^2)</f>
        <v>289.81194948332188</v>
      </c>
      <c r="CL277" s="224">
        <f>EXP(LN(CL26)+0.5*LN('Ecoinvent 3.10'!$E$14)^2)</f>
        <v>130.86893433572538</v>
      </c>
      <c r="CM277" s="50">
        <f>EXP(LN(CM26)+0.5*LN('Ecoinvent 3.10'!$E$14)^2)</f>
        <v>130.86893433572538</v>
      </c>
      <c r="CN277" s="224"/>
      <c r="CO277" s="50"/>
      <c r="CP277" s="264"/>
      <c r="CQ277" s="265"/>
      <c r="CR277" s="224">
        <f>EXP(LN(CR26)+0.5*LN('Ecoinvent 3.10'!$E$14)^2)</f>
        <v>130.86893433572538</v>
      </c>
      <c r="CS277" s="50">
        <f>EXP(LN(CS26)+0.5*LN('Ecoinvent 3.10'!$E$14)^2)</f>
        <v>130.86893433572538</v>
      </c>
      <c r="CV277" s="149" t="s">
        <v>424</v>
      </c>
      <c r="CW277" s="224">
        <f>EXP(LN(CW26)+0.5*LN('Ecoinvent 3.10'!$E$14)^2)</f>
        <v>2.8905053950872592E-2</v>
      </c>
      <c r="CX277" s="50">
        <f>EXP(LN(CX26)+0.5*LN('Ecoinvent 3.10'!$E$14)^2)</f>
        <v>2.8905053950872592E-2</v>
      </c>
      <c r="CY277" s="224">
        <f>EXP(LN(CY26)+0.5*LN('Ecoinvent 3.10'!$E$14)^2)</f>
        <v>0.11063685445699339</v>
      </c>
      <c r="CZ277" s="50">
        <f>EXP(LN(CZ26)+0.5*LN('Ecoinvent 3.10'!$E$14)^2)</f>
        <v>0.11063685445699339</v>
      </c>
      <c r="DA277" s="224">
        <f>EXP(LN(DA26)+0.5*LN('Ecoinvent 3.10'!$E$14)^2)</f>
        <v>0.10741812556195578</v>
      </c>
      <c r="DB277" s="50">
        <f>EXP(LN(DB26)+0.5*LN('Ecoinvent 3.10'!$E$14)^2)</f>
        <v>0.10741812556195578</v>
      </c>
      <c r="DC277" s="224">
        <f>EXP(LN(DC26)+0.5*LN('Ecoinvent 3.10'!$E$14)^2)</f>
        <v>4.4501918625677456E-2</v>
      </c>
      <c r="DD277" s="50">
        <f>EXP(LN(DD26)+0.5*LN('Ecoinvent 3.10'!$E$14)^2)</f>
        <v>4.4501918625677456E-2</v>
      </c>
      <c r="DE277" s="224">
        <f>EXP(LN(DE26)+0.5*LN('Ecoinvent 3.10'!$E$14)^2)</f>
        <v>2.0095509094157391E-2</v>
      </c>
      <c r="DF277" s="50">
        <f>EXP(LN(DF26)+0.5*LN('Ecoinvent 3.10'!$E$14)^2)</f>
        <v>2.0095509094157391E-2</v>
      </c>
      <c r="DG277" s="224"/>
      <c r="DH277" s="50"/>
      <c r="DI277" s="264"/>
      <c r="DJ277" s="265"/>
      <c r="DK277" s="224">
        <f>EXP(LN(DK26)+0.5*LN('Ecoinvent 3.10'!$E$14)^2)</f>
        <v>2.0095509094157391E-2</v>
      </c>
      <c r="DL277" s="50">
        <f>EXP(LN(DL26)+0.5*LN('Ecoinvent 3.10'!$E$14)^2)</f>
        <v>2.0095509094157391E-2</v>
      </c>
      <c r="DO277" s="149" t="s">
        <v>424</v>
      </c>
      <c r="DP277" s="224">
        <f>EXP(LN(DP26)+0.5*LN('Ecoinvent 3.10'!$E$14)^2)</f>
        <v>1.3509433855652939</v>
      </c>
      <c r="DQ277" s="50">
        <f>EXP(LN(DQ26)+0.5*LN('Ecoinvent 3.10'!$E$14)^2)</f>
        <v>1.3509433855652939</v>
      </c>
      <c r="DR277" s="224">
        <f>EXP(LN(DR26)+0.5*LN('Ecoinvent 3.10'!$E$14)^2)</f>
        <v>5.1708648246239735</v>
      </c>
      <c r="DS277" s="50">
        <f>EXP(LN(DS26)+0.5*LN('Ecoinvent 3.10'!$E$14)^2)</f>
        <v>5.1708648246239735</v>
      </c>
      <c r="DT277" s="224">
        <f>EXP(LN(DT26)+0.5*LN('Ecoinvent 3.10'!$E$14)^2)</f>
        <v>5.0204302148816957</v>
      </c>
      <c r="DU277" s="50">
        <f>EXP(LN(DU26)+0.5*LN('Ecoinvent 3.10'!$E$14)^2)</f>
        <v>5.0204302148816957</v>
      </c>
      <c r="DV277" s="224">
        <f>EXP(LN(DV26)+0.5*LN('Ecoinvent 3.10'!$E$14)^2)</f>
        <v>2.0798983013317986</v>
      </c>
      <c r="DW277" s="50">
        <f>EXP(LN(DW26)+0.5*LN('Ecoinvent 3.10'!$E$14)^2)</f>
        <v>2.0798983013317986</v>
      </c>
      <c r="DX277" s="224">
        <f>EXP(LN(DX26)+0.5*LN('Ecoinvent 3.10'!$E$14)^2)</f>
        <v>0.93920928625354061</v>
      </c>
      <c r="DY277" s="50">
        <f>EXP(LN(DY26)+0.5*LN('Ecoinvent 3.10'!$E$14)^2)</f>
        <v>0.93920928625354061</v>
      </c>
      <c r="DZ277" s="224"/>
      <c r="EA277" s="50"/>
      <c r="EB277" s="264"/>
      <c r="EC277" s="265"/>
      <c r="ED277" s="224">
        <f>EXP(LN(ED26)+0.5*LN('Ecoinvent 3.10'!$E$14)^2)</f>
        <v>0.93920928625354061</v>
      </c>
      <c r="EE277" s="50">
        <f>EXP(LN(EE26)+0.5*LN('Ecoinvent 3.10'!$E$14)^2)</f>
        <v>0.93920928625354061</v>
      </c>
      <c r="EH277" s="149" t="s">
        <v>424</v>
      </c>
      <c r="EI277" s="224">
        <f>EXP(LN(EI26)+0.5*LN('Ecoinvent 3.10'!$E$14)^2)</f>
        <v>0.77755549890285758</v>
      </c>
      <c r="EJ277" s="50">
        <f>EXP(LN(EJ26)+0.5*LN('Ecoinvent 3.10'!$E$14)^2)</f>
        <v>0.77755549890285758</v>
      </c>
      <c r="EK277" s="224">
        <f>EXP(LN(EK26)+0.5*LN('Ecoinvent 3.10'!$E$14)^2)</f>
        <v>2.9761679293372625</v>
      </c>
      <c r="EL277" s="50">
        <f>EXP(LN(EL26)+0.5*LN('Ecoinvent 3.10'!$E$14)^2)</f>
        <v>2.9761679293372625</v>
      </c>
      <c r="EM277" s="224">
        <f>EXP(LN(EM26)+0.5*LN('Ecoinvent 3.10'!$E$14)^2)</f>
        <v>2.8895830588828519</v>
      </c>
      <c r="EN277" s="50">
        <f>EXP(LN(EN26)+0.5*LN('Ecoinvent 3.10'!$E$14)^2)</f>
        <v>2.8895830588828519</v>
      </c>
      <c r="EO277" s="224">
        <f>EXP(LN(EO26)+0.5*LN('Ecoinvent 3.10'!$E$14)^2)</f>
        <v>1.1971163104533284</v>
      </c>
      <c r="EP277" s="50">
        <f>EXP(LN(EP26)+0.5*LN('Ecoinvent 3.10'!$E$14)^2)</f>
        <v>1.1971163104533284</v>
      </c>
      <c r="EQ277" s="224">
        <f>EXP(LN(EQ26)+0.5*LN('Ecoinvent 3.10'!$E$14)^2)</f>
        <v>0.54057583237767171</v>
      </c>
      <c r="ER277" s="50">
        <f>EXP(LN(ER26)+0.5*LN('Ecoinvent 3.10'!$E$14)^2)</f>
        <v>0.54057583237767171</v>
      </c>
      <c r="ES277" s="224"/>
      <c r="ET277" s="50"/>
      <c r="EU277" s="264"/>
      <c r="EV277" s="265"/>
      <c r="EW277" s="224">
        <f>EXP(LN(EW26)+0.5*LN('Ecoinvent 3.10'!$E$14)^2)</f>
        <v>0.54057583237767171</v>
      </c>
      <c r="EX277" s="50">
        <f>EXP(LN(EX26)+0.5*LN('Ecoinvent 3.10'!$E$14)^2)</f>
        <v>0.54057583237767171</v>
      </c>
      <c r="FA277" s="149" t="s">
        <v>424</v>
      </c>
      <c r="FB277" s="224">
        <f>EXP(LN(FB26)+0.5*LN('Ecoinvent 3.10'!$E$14)^2)</f>
        <v>1.8431461550386028E-3</v>
      </c>
      <c r="FC277" s="50">
        <f>EXP(LN(FC26)+0.5*LN('Ecoinvent 3.10'!$E$14)^2)</f>
        <v>1.8431461550386028E-3</v>
      </c>
      <c r="FD277" s="224">
        <f>EXP(LN(FD26)+0.5*LN('Ecoinvent 3.10'!$E$14)^2)</f>
        <v>7.0548179306137151E-3</v>
      </c>
      <c r="FE277" s="50">
        <f>EXP(LN(FE26)+0.5*LN('Ecoinvent 3.10'!$E$14)^2)</f>
        <v>7.0548179306137151E-3</v>
      </c>
      <c r="FF277" s="224">
        <f>EXP(LN(FF26)+0.5*LN('Ecoinvent 3.10'!$E$14)^2)</f>
        <v>6.8495739688801249E-3</v>
      </c>
      <c r="FG277" s="50">
        <f>EXP(LN(FG26)+0.5*LN('Ecoinvent 3.10'!$E$14)^2)</f>
        <v>6.8495739688801249E-3</v>
      </c>
      <c r="FH277" s="224">
        <f>EXP(LN(FH26)+0.5*LN('Ecoinvent 3.10'!$E$14)^2)</f>
        <v>2.8376885352356172E-3</v>
      </c>
      <c r="FI277" s="50">
        <f>EXP(LN(FI26)+0.5*LN('Ecoinvent 3.10'!$E$14)^2)</f>
        <v>2.8376885352356172E-3</v>
      </c>
      <c r="FJ277" s="224">
        <f>EXP(LN(FJ26)+0.5*LN('Ecoinvent 3.10'!$E$14)^2)</f>
        <v>1.2814008368014587E-3</v>
      </c>
      <c r="FK277" s="50">
        <f>EXP(LN(FK26)+0.5*LN('Ecoinvent 3.10'!$E$14)^2)</f>
        <v>1.2814008368014587E-3</v>
      </c>
      <c r="FL277" s="224"/>
      <c r="FM277" s="50"/>
      <c r="FN277" s="264"/>
      <c r="FO277" s="265"/>
      <c r="FP277" s="224">
        <f>EXP(LN(FP26)+0.5*LN('Ecoinvent 3.10'!$E$14)^2)</f>
        <v>1.2814008368014587E-3</v>
      </c>
      <c r="FQ277" s="50">
        <f>EXP(LN(FQ26)+0.5*LN('Ecoinvent 3.10'!$E$14)^2)</f>
        <v>1.2814008368014587E-3</v>
      </c>
      <c r="FT277" s="149" t="s">
        <v>424</v>
      </c>
      <c r="FU277" s="224">
        <f>EXP(LN(FU26)+0.5*LN('Ecoinvent 3.10'!$E$14)^2)</f>
        <v>0.76005152086413386</v>
      </c>
      <c r="FV277" s="50">
        <f>EXP(LN(FV26)+0.5*LN('Ecoinvent 3.10'!$E$14)^2)</f>
        <v>0.76005152086413386</v>
      </c>
      <c r="FW277" s="224">
        <f>EXP(LN(FW26)+0.5*LN('Ecoinvent 3.10'!$E$14)^2)</f>
        <v>2.9091697817475661</v>
      </c>
      <c r="FX277" s="50">
        <f>EXP(LN(FX26)+0.5*LN('Ecoinvent 3.10'!$E$14)^2)</f>
        <v>2.9091697817475661</v>
      </c>
      <c r="FY277" s="224">
        <f>EXP(LN(FY26)+0.5*LN('Ecoinvent 3.10'!$E$14)^2)</f>
        <v>2.8245340707718789</v>
      </c>
      <c r="FZ277" s="50">
        <f>EXP(LN(FZ26)+0.5*LN('Ecoinvent 3.10'!$E$14)^2)</f>
        <v>2.8245340707718789</v>
      </c>
      <c r="GA277" s="224">
        <f>EXP(LN(GA26)+0.5*LN('Ecoinvent 3.10'!$E$14)^2)</f>
        <v>1.1701673690111549</v>
      </c>
      <c r="GB277" s="50">
        <f>EXP(LN(GB26)+0.5*LN('Ecoinvent 3.10'!$E$14)^2)</f>
        <v>1.1701673690111549</v>
      </c>
      <c r="GC277" s="224">
        <f>EXP(LN(GC26)+0.5*LN('Ecoinvent 3.10'!$E$14)^2)</f>
        <v>0.52840663350819572</v>
      </c>
      <c r="GD277" s="50">
        <f>EXP(LN(GD26)+0.5*LN('Ecoinvent 3.10'!$E$14)^2)</f>
        <v>0.52840663350819572</v>
      </c>
      <c r="GE277" s="224"/>
      <c r="GF277" s="50"/>
      <c r="GG277" s="264"/>
      <c r="GH277" s="265"/>
      <c r="GI277" s="224">
        <f>EXP(LN(GI26)+0.5*LN('Ecoinvent 3.10'!$E$14)^2)</f>
        <v>0.52840663350819572</v>
      </c>
      <c r="GJ277" s="50">
        <f>EXP(LN(GJ26)+0.5*LN('Ecoinvent 3.10'!$E$14)^2)</f>
        <v>0.52840663350819572</v>
      </c>
      <c r="GM277" s="149" t="s">
        <v>424</v>
      </c>
      <c r="GN277" s="224">
        <f>EXP(LN(GN26)+0.5*LN('Ecoinvent 3.10'!$E$14)^2)</f>
        <v>1.1540046889304754</v>
      </c>
      <c r="GO277" s="50">
        <f>EXP(LN(GO26)+0.5*LN('Ecoinvent 3.10'!$E$14)^2)</f>
        <v>1.1540046889304754</v>
      </c>
      <c r="GP277" s="224">
        <f>EXP(LN(GP26)+0.5*LN('Ecoinvent 3.10'!$E$14)^2)</f>
        <v>4.417063155422154</v>
      </c>
      <c r="GQ277" s="50">
        <f>EXP(LN(GQ26)+0.5*LN('Ecoinvent 3.10'!$E$14)^2)</f>
        <v>4.417063155422154</v>
      </c>
      <c r="GR277" s="224">
        <f>EXP(LN(GR26)+0.5*LN('Ecoinvent 3.10'!$E$14)^2)</f>
        <v>4.2885586992954678</v>
      </c>
      <c r="GS277" s="50">
        <f>EXP(LN(GS26)+0.5*LN('Ecoinvent 3.10'!$E$14)^2)</f>
        <v>4.2885586992954678</v>
      </c>
      <c r="GT277" s="224">
        <f>EXP(LN(GT26)+0.5*LN('Ecoinvent 3.10'!$E$14)^2)</f>
        <v>1.7766935445863061</v>
      </c>
      <c r="GU277" s="50">
        <f>EXP(LN(GU26)+0.5*LN('Ecoinvent 3.10'!$E$14)^2)</f>
        <v>1.7766935445863061</v>
      </c>
      <c r="GV277" s="224">
        <f>EXP(LN(GV26)+0.5*LN('Ecoinvent 3.10'!$E$14)^2)</f>
        <v>0.80229262884328778</v>
      </c>
      <c r="GW277" s="50">
        <f>EXP(LN(GW26)+0.5*LN('Ecoinvent 3.10'!$E$14)^2)</f>
        <v>0.80229262884328778</v>
      </c>
      <c r="GX277" s="224"/>
      <c r="GY277" s="50"/>
      <c r="GZ277" s="264"/>
      <c r="HA277" s="265"/>
      <c r="HB277" s="224">
        <f>EXP(LN(HB26)+0.5*LN('Ecoinvent 3.10'!$E$14)^2)</f>
        <v>0.80229262884328778</v>
      </c>
      <c r="HC277" s="50">
        <f>EXP(LN(HC26)+0.5*LN('Ecoinvent 3.10'!$E$14)^2)</f>
        <v>0.80229262884328778</v>
      </c>
      <c r="HF277" s="149" t="s">
        <v>424</v>
      </c>
      <c r="HG277" s="224">
        <f>EXP(LN(HG26)+0.5*LN('Ecoinvent 3.10'!$E$14)^2)</f>
        <v>20.786542231959761</v>
      </c>
      <c r="HH277" s="50">
        <f>EXP(LN(HH26)+0.5*LN('Ecoinvent 3.10'!$E$14)^2)</f>
        <v>20.786542231959761</v>
      </c>
      <c r="HI277" s="224">
        <f>EXP(LN(HI26)+0.5*LN('Ecoinvent 3.10'!$E$14)^2)</f>
        <v>79.562475527296257</v>
      </c>
      <c r="HJ277" s="50">
        <f>EXP(LN(HJ26)+0.5*LN('Ecoinvent 3.10'!$E$14)^2)</f>
        <v>79.562475527296257</v>
      </c>
      <c r="HK277" s="224">
        <f>EXP(LN(HK26)+0.5*LN('Ecoinvent 3.10'!$E$14)^2)</f>
        <v>77.247785361913984</v>
      </c>
      <c r="HL277" s="50">
        <f>EXP(LN(HL26)+0.5*LN('Ecoinvent 3.10'!$E$14)^2)</f>
        <v>77.247785361913984</v>
      </c>
      <c r="HM277" s="224">
        <f>EXP(LN(HM26)+0.5*LN('Ecoinvent 3.10'!$E$14)^2)</f>
        <v>32.002742928212236</v>
      </c>
      <c r="HN277" s="50">
        <f>EXP(LN(HN26)+0.5*LN('Ecoinvent 3.10'!$E$14)^2)</f>
        <v>32.002742928212236</v>
      </c>
      <c r="HO277" s="224">
        <f>EXP(LN(HO26)+0.5*LN('Ecoinvent 3.10'!$E$14)^2)</f>
        <v>14.451318761362282</v>
      </c>
      <c r="HP277" s="50">
        <f>EXP(LN(HP26)+0.5*LN('Ecoinvent 3.10'!$E$14)^2)</f>
        <v>14.451318761362282</v>
      </c>
      <c r="HQ277" s="224"/>
      <c r="HR277" s="50"/>
      <c r="HS277" s="264"/>
      <c r="HT277" s="265"/>
      <c r="HU277" s="224">
        <f>EXP(LN(HU26)+0.5*LN('Ecoinvent 3.10'!$E$14)^2)</f>
        <v>14.451318761362282</v>
      </c>
      <c r="HV277" s="50">
        <f>EXP(LN(HV26)+0.5*LN('Ecoinvent 3.10'!$E$14)^2)</f>
        <v>14.451318761362282</v>
      </c>
      <c r="HY277" s="149" t="s">
        <v>424</v>
      </c>
      <c r="HZ277" s="224">
        <f>EXP(LN(HZ26)+0.5*LN('Ecoinvent 3.10'!$E$14)^2)</f>
        <v>1.0580889512620057E-2</v>
      </c>
      <c r="IA277" s="50">
        <f>EXP(LN(IA26)+0.5*LN('Ecoinvent 3.10'!$E$14)^2)</f>
        <v>1.0580889512620057E-2</v>
      </c>
      <c r="IB277" s="224">
        <f>EXP(LN(IB26)+0.5*LN('Ecoinvent 3.10'!$E$14)^2)</f>
        <v>4.0499365094522975E-2</v>
      </c>
      <c r="IC277" s="50">
        <f>EXP(LN(IC26)+0.5*LN('Ecoinvent 3.10'!$E$14)^2)</f>
        <v>4.0499365094522975E-2</v>
      </c>
      <c r="ID277" s="224">
        <f>EXP(LN(ID26)+0.5*LN('Ecoinvent 3.10'!$E$14)^2)</f>
        <v>3.9321127722354257E-2</v>
      </c>
      <c r="IE277" s="50">
        <f>EXP(LN(IE26)+0.5*LN('Ecoinvent 3.10'!$E$14)^2)</f>
        <v>3.9321127722354257E-2</v>
      </c>
      <c r="IF277" s="224">
        <f>EXP(LN(IF26)+0.5*LN('Ecoinvent 3.10'!$E$14)^2)</f>
        <v>1.6290226784499283E-2</v>
      </c>
      <c r="IG277" s="50">
        <f>EXP(LN(IG26)+0.5*LN('Ecoinvent 3.10'!$E$14)^2)</f>
        <v>1.6290226784499283E-2</v>
      </c>
      <c r="IH277" s="224">
        <f>EXP(LN(IH26)+0.5*LN('Ecoinvent 3.10'!$E$14)^2)</f>
        <v>7.3560963347972554E-3</v>
      </c>
      <c r="II277" s="50">
        <f>EXP(LN(II26)+0.5*LN('Ecoinvent 3.10'!$E$14)^2)</f>
        <v>7.3560963347972554E-3</v>
      </c>
      <c r="IJ277" s="224"/>
      <c r="IK277" s="50"/>
      <c r="IL277" s="224"/>
      <c r="IM277" s="224"/>
      <c r="IN277" s="224"/>
      <c r="IO277" s="224"/>
    </row>
    <row r="278" spans="2:249" ht="14.25" customHeight="1" x14ac:dyDescent="0.25">
      <c r="B278" s="248"/>
      <c r="C278" s="248"/>
      <c r="D278" s="248"/>
      <c r="E278" s="248"/>
      <c r="F278" s="248"/>
      <c r="G278" s="248"/>
      <c r="H278" s="248"/>
      <c r="I278" s="248"/>
      <c r="J278" s="248"/>
      <c r="K278" s="248"/>
      <c r="L278" s="248"/>
      <c r="M278" s="248"/>
      <c r="N278" s="248"/>
      <c r="O278" s="248"/>
      <c r="P278" s="248"/>
      <c r="Q278" s="248"/>
      <c r="R278" s="248"/>
      <c r="S278" s="248"/>
      <c r="T278" s="248"/>
      <c r="U278" s="248"/>
      <c r="V278" s="248"/>
      <c r="W278" s="248"/>
      <c r="X278" s="248"/>
      <c r="Y278" s="248"/>
      <c r="Z278" s="248"/>
      <c r="AA278" s="248"/>
      <c r="AB278" s="248"/>
      <c r="AC278" s="248"/>
      <c r="AD278" s="248"/>
      <c r="AE278" s="248"/>
      <c r="AF278" s="248"/>
      <c r="AG278" s="248"/>
      <c r="AH278" s="248"/>
      <c r="AI278" s="248"/>
      <c r="AJ278" s="248"/>
      <c r="AK278" s="248"/>
      <c r="AL278" s="248"/>
      <c r="AM278" s="248"/>
      <c r="AN278" s="202"/>
      <c r="AO278" s="248"/>
      <c r="AP278" s="726"/>
      <c r="AQ278" s="181" t="s">
        <v>563</v>
      </c>
      <c r="AR278" s="224">
        <f>EXP(LN(AR27)+0.5*LN('Ecoinvent 3.10'!$E$15)^2)</f>
        <v>0.4202340496755958</v>
      </c>
      <c r="AS278" s="50">
        <f>EXP(LN(AS27)+0.5*LN('Ecoinvent 3.10'!$E$15)^2)</f>
        <v>0.4202340496755958</v>
      </c>
      <c r="AT278" s="264"/>
      <c r="AU278" s="265"/>
      <c r="AV278" s="264"/>
      <c r="AW278" s="265"/>
      <c r="AX278" s="264"/>
      <c r="AY278" s="265"/>
      <c r="AZ278" s="264"/>
      <c r="BA278" s="265"/>
      <c r="BB278" s="224"/>
      <c r="BC278" s="50"/>
      <c r="BD278" s="264"/>
      <c r="BE278" s="265"/>
      <c r="BF278" s="264"/>
      <c r="BG278" s="265"/>
      <c r="BI278" s="156"/>
      <c r="BJ278" s="181" t="s">
        <v>563</v>
      </c>
      <c r="BK278" s="224">
        <f>EXP(LN(BK27)+0.5*LN('Ecoinvent 3.10'!$E$15)^2)</f>
        <v>8.6509085161424942E-2</v>
      </c>
      <c r="BL278" s="50">
        <f>EXP(LN(BL27)+0.5*LN('Ecoinvent 3.10'!$E$15)^2)</f>
        <v>8.6509085161424942E-2</v>
      </c>
      <c r="BM278" s="264"/>
      <c r="BN278" s="265"/>
      <c r="BO278" s="264"/>
      <c r="BP278" s="265"/>
      <c r="BQ278" s="264"/>
      <c r="BR278" s="265"/>
      <c r="BS278" s="264"/>
      <c r="BT278" s="265"/>
      <c r="BU278" s="224"/>
      <c r="BV278" s="50"/>
      <c r="BW278" s="264"/>
      <c r="BX278" s="265"/>
      <c r="BY278" s="264"/>
      <c r="BZ278" s="265"/>
      <c r="CA278" s="156"/>
      <c r="CB278" s="156"/>
      <c r="CC278" s="181" t="s">
        <v>563</v>
      </c>
      <c r="CD278" s="224">
        <f>EXP(LN(CD27)+0.5*LN('Ecoinvent 3.10'!$E$15)^2)</f>
        <v>1.6396960512730097</v>
      </c>
      <c r="CE278" s="50">
        <f>EXP(LN(CE27)+0.5*LN('Ecoinvent 3.10'!$E$15)^2)</f>
        <v>1.6396960512730097</v>
      </c>
      <c r="CF278" s="264"/>
      <c r="CG278" s="265"/>
      <c r="CH278" s="264"/>
      <c r="CI278" s="265"/>
      <c r="CJ278" s="264"/>
      <c r="CK278" s="265"/>
      <c r="CL278" s="264"/>
      <c r="CM278" s="265"/>
      <c r="CN278" s="224"/>
      <c r="CO278" s="50"/>
      <c r="CP278" s="264"/>
      <c r="CQ278" s="265"/>
      <c r="CR278" s="264"/>
      <c r="CS278" s="265"/>
      <c r="CV278" s="181" t="s">
        <v>563</v>
      </c>
      <c r="CW278" s="224">
        <f>EXP(LN(CW27)+0.5*LN('Ecoinvent 3.10'!$E$15)^2)</f>
        <v>1.1572109488974167E-3</v>
      </c>
      <c r="CX278" s="50">
        <f>EXP(LN(CX27)+0.5*LN('Ecoinvent 3.10'!$E$15)^2)</f>
        <v>1.1572109488974167E-3</v>
      </c>
      <c r="CY278" s="264"/>
      <c r="CZ278" s="265"/>
      <c r="DA278" s="264"/>
      <c r="DB278" s="265"/>
      <c r="DC278" s="264"/>
      <c r="DD278" s="265"/>
      <c r="DE278" s="264"/>
      <c r="DF278" s="265"/>
      <c r="DG278" s="224"/>
      <c r="DH278" s="50"/>
      <c r="DI278" s="264"/>
      <c r="DJ278" s="265"/>
      <c r="DK278" s="264"/>
      <c r="DL278" s="265"/>
      <c r="DO278" s="181" t="s">
        <v>563</v>
      </c>
      <c r="DP278" s="224">
        <f>EXP(LN(DP27)+0.5*LN('Ecoinvent 3.10'!$E$15)^2)</f>
        <v>4.577703646026764E-3</v>
      </c>
      <c r="DQ278" s="50">
        <f>EXP(LN(DQ27)+0.5*LN('Ecoinvent 3.10'!$E$15)^2)</f>
        <v>4.577703646026764E-3</v>
      </c>
      <c r="DR278" s="264"/>
      <c r="DS278" s="265"/>
      <c r="DT278" s="264"/>
      <c r="DU278" s="265"/>
      <c r="DV278" s="264"/>
      <c r="DW278" s="265"/>
      <c r="DX278" s="264"/>
      <c r="DY278" s="265"/>
      <c r="DZ278" s="224"/>
      <c r="EA278" s="50"/>
      <c r="EB278" s="264"/>
      <c r="EC278" s="265"/>
      <c r="ED278" s="264"/>
      <c r="EE278" s="265"/>
      <c r="EH278" s="181" t="s">
        <v>563</v>
      </c>
      <c r="EI278" s="224">
        <f>EXP(LN(EI27)+0.5*LN('Ecoinvent 3.10'!$E$15)^2)</f>
        <v>2.081470113224849E-3</v>
      </c>
      <c r="EJ278" s="50">
        <f>EXP(LN(EJ27)+0.5*LN('Ecoinvent 3.10'!$E$15)^2)</f>
        <v>2.081470113224849E-3</v>
      </c>
      <c r="EK278" s="264"/>
      <c r="EL278" s="265"/>
      <c r="EM278" s="264"/>
      <c r="EN278" s="265"/>
      <c r="EO278" s="264"/>
      <c r="EP278" s="265"/>
      <c r="EQ278" s="264"/>
      <c r="ER278" s="265"/>
      <c r="ES278" s="224"/>
      <c r="ET278" s="50"/>
      <c r="EU278" s="264"/>
      <c r="EV278" s="265"/>
      <c r="EW278" s="264"/>
      <c r="EX278" s="265"/>
      <c r="FA278" s="181" t="s">
        <v>563</v>
      </c>
      <c r="FB278" s="224">
        <f>EXP(LN(FB27)+0.5*LN('Ecoinvent 3.10'!$E$15)^2)</f>
        <v>4.9701082560824819E-5</v>
      </c>
      <c r="FC278" s="50">
        <f>EXP(LN(FC27)+0.5*LN('Ecoinvent 3.10'!$E$15)^2)</f>
        <v>4.9701082560824819E-5</v>
      </c>
      <c r="FD278" s="264"/>
      <c r="FE278" s="265"/>
      <c r="FF278" s="264"/>
      <c r="FG278" s="265"/>
      <c r="FH278" s="264"/>
      <c r="FI278" s="265"/>
      <c r="FJ278" s="264"/>
      <c r="FK278" s="265"/>
      <c r="FL278" s="224"/>
      <c r="FM278" s="50"/>
      <c r="FN278" s="264"/>
      <c r="FO278" s="265"/>
      <c r="FP278" s="264"/>
      <c r="FQ278" s="265"/>
      <c r="FT278" s="181" t="s">
        <v>563</v>
      </c>
      <c r="FU278" s="224">
        <f>EXP(LN(FU27)+0.5*LN('Ecoinvent 3.10'!$E$15)^2)</f>
        <v>1.2832606133130224E-2</v>
      </c>
      <c r="FV278" s="50">
        <f>EXP(LN(FV27)+0.5*LN('Ecoinvent 3.10'!$E$15)^2)</f>
        <v>1.2832606133130224E-2</v>
      </c>
      <c r="FW278" s="264"/>
      <c r="FX278" s="265"/>
      <c r="FY278" s="264"/>
      <c r="FZ278" s="265"/>
      <c r="GA278" s="264"/>
      <c r="GB278" s="265"/>
      <c r="GC278" s="264"/>
      <c r="GD278" s="265"/>
      <c r="GE278" s="224"/>
      <c r="GF278" s="50"/>
      <c r="GG278" s="264"/>
      <c r="GH278" s="265"/>
      <c r="GI278" s="264"/>
      <c r="GJ278" s="265"/>
      <c r="GM278" s="181" t="s">
        <v>563</v>
      </c>
      <c r="GN278" s="224">
        <f>EXP(LN(GN27)+0.5*LN('Ecoinvent 3.10'!$E$15)^2)</f>
        <v>0.16299422081932308</v>
      </c>
      <c r="GO278" s="50">
        <f>EXP(LN(GO27)+0.5*LN('Ecoinvent 3.10'!$E$15)^2)</f>
        <v>0.16299422081932308</v>
      </c>
      <c r="GP278" s="264"/>
      <c r="GQ278" s="265"/>
      <c r="GR278" s="264"/>
      <c r="GS278" s="265"/>
      <c r="GT278" s="264"/>
      <c r="GU278" s="265"/>
      <c r="GV278" s="264"/>
      <c r="GW278" s="265"/>
      <c r="GX278" s="224"/>
      <c r="GY278" s="50"/>
      <c r="GZ278" s="264"/>
      <c r="HA278" s="265"/>
      <c r="HB278" s="264"/>
      <c r="HC278" s="265"/>
      <c r="HF278" s="181" t="s">
        <v>563</v>
      </c>
      <c r="HG278" s="224">
        <f>EXP(LN(HG27)+0.5*LN('Ecoinvent 3.10'!$E$15)^2)</f>
        <v>0.26009748015663109</v>
      </c>
      <c r="HH278" s="50">
        <f>EXP(LN(HH27)+0.5*LN('Ecoinvent 3.10'!$E$15)^2)</f>
        <v>0.26009748015663109</v>
      </c>
      <c r="HI278" s="264"/>
      <c r="HJ278" s="265"/>
      <c r="HK278" s="264"/>
      <c r="HL278" s="265"/>
      <c r="HM278" s="264"/>
      <c r="HN278" s="265"/>
      <c r="HO278" s="264"/>
      <c r="HP278" s="265"/>
      <c r="HQ278" s="224"/>
      <c r="HR278" s="50"/>
      <c r="HS278" s="264"/>
      <c r="HT278" s="265"/>
      <c r="HU278" s="264"/>
      <c r="HV278" s="265"/>
      <c r="HY278" s="181" t="s">
        <v>224</v>
      </c>
      <c r="HZ278" s="224">
        <f>EXP(LN(HZ27)+0.5*LN('Ecoinvent 3.10'!$E$15)^2)</f>
        <v>3.7777384543605773E-4</v>
      </c>
      <c r="IA278" s="50">
        <f>EXP(LN(IA27)+0.5*LN('Ecoinvent 3.10'!$E$15)^2)</f>
        <v>3.7777384543605773E-4</v>
      </c>
      <c r="IB278" s="264"/>
      <c r="IC278" s="265"/>
      <c r="ID278" s="264"/>
      <c r="IE278" s="265"/>
      <c r="IF278" s="264"/>
      <c r="IG278" s="265"/>
      <c r="IH278" s="264"/>
      <c r="II278" s="265"/>
      <c r="IJ278" s="224"/>
      <c r="IK278" s="50"/>
      <c r="IL278" s="224"/>
      <c r="IM278" s="224"/>
      <c r="IN278" s="224"/>
      <c r="IO278" s="224"/>
    </row>
    <row r="279" spans="2:249" ht="14.25" customHeight="1" x14ac:dyDescent="0.25">
      <c r="B279" s="248"/>
      <c r="C279" s="248"/>
      <c r="D279" s="248"/>
      <c r="E279" s="248"/>
      <c r="F279" s="248"/>
      <c r="G279" s="248"/>
      <c r="H279" s="248"/>
      <c r="I279" s="248"/>
      <c r="J279" s="248"/>
      <c r="K279" s="248"/>
      <c r="L279" s="248"/>
      <c r="M279" s="248"/>
      <c r="N279" s="248"/>
      <c r="O279" s="248"/>
      <c r="P279" s="248"/>
      <c r="Q279" s="248"/>
      <c r="R279" s="248"/>
      <c r="S279" s="248"/>
      <c r="T279" s="248"/>
      <c r="U279" s="248"/>
      <c r="V279" s="248"/>
      <c r="W279" s="248"/>
      <c r="X279" s="248"/>
      <c r="Y279" s="248"/>
      <c r="Z279" s="248"/>
      <c r="AA279" s="248"/>
      <c r="AB279" s="248"/>
      <c r="AC279" s="248"/>
      <c r="AD279" s="248"/>
      <c r="AE279" s="248"/>
      <c r="AF279" s="248"/>
      <c r="AG279" s="248"/>
      <c r="AH279" s="248"/>
      <c r="AI279" s="248"/>
      <c r="AJ279" s="248"/>
      <c r="AK279" s="248"/>
      <c r="AL279" s="248"/>
      <c r="AM279" s="248"/>
      <c r="AN279" s="202"/>
      <c r="AO279" s="248"/>
      <c r="AP279" s="726"/>
      <c r="AQ279" s="181" t="s">
        <v>620</v>
      </c>
      <c r="AR279" s="224"/>
      <c r="AS279" s="50"/>
      <c r="AT279" s="264"/>
      <c r="AU279" s="265"/>
      <c r="AV279" s="264"/>
      <c r="AW279" s="265"/>
      <c r="AX279" s="264"/>
      <c r="AY279" s="265"/>
      <c r="AZ279" s="264"/>
      <c r="BA279" s="265"/>
      <c r="BB279" s="224"/>
      <c r="BC279" s="50"/>
      <c r="BD279" s="224">
        <f>EXP(LN(BD28)+0.5*LN('Ecoinvent 3.10'!$E$16)^2)</f>
        <v>1.3678231915656458</v>
      </c>
      <c r="BE279" s="50">
        <f>EXP(LN(BE28)+0.5*LN('Ecoinvent 3.10'!$E$16)^2)</f>
        <v>1.3678231915656458</v>
      </c>
      <c r="BF279" s="264"/>
      <c r="BG279" s="265"/>
      <c r="BI279" s="156"/>
      <c r="BJ279" s="181" t="s">
        <v>620</v>
      </c>
      <c r="BK279" s="224"/>
      <c r="BL279" s="50"/>
      <c r="BM279" s="264"/>
      <c r="BN279" s="265"/>
      <c r="BO279" s="264"/>
      <c r="BP279" s="265"/>
      <c r="BQ279" s="264"/>
      <c r="BR279" s="265"/>
      <c r="BS279" s="264"/>
      <c r="BT279" s="265"/>
      <c r="BU279" s="224"/>
      <c r="BV279" s="50"/>
      <c r="BW279" s="224">
        <f>EXP(LN(BW28)+0.5*LN('Ecoinvent 3.10'!$E$16)^2)</f>
        <v>0.22031535094453203</v>
      </c>
      <c r="BX279" s="50">
        <f>EXP(LN(BX28)+0.5*LN('Ecoinvent 3.10'!$E$16)^2)</f>
        <v>0.22031535094453203</v>
      </c>
      <c r="BY279" s="264"/>
      <c r="BZ279" s="265"/>
      <c r="CA279" s="156"/>
      <c r="CB279" s="156"/>
      <c r="CC279" s="181" t="s">
        <v>620</v>
      </c>
      <c r="CD279" s="224"/>
      <c r="CE279" s="50"/>
      <c r="CF279" s="264"/>
      <c r="CG279" s="265"/>
      <c r="CH279" s="264"/>
      <c r="CI279" s="265"/>
      <c r="CJ279" s="264"/>
      <c r="CK279" s="265"/>
      <c r="CL279" s="264"/>
      <c r="CM279" s="265"/>
      <c r="CN279" s="224"/>
      <c r="CO279" s="50"/>
      <c r="CP279" s="224">
        <f>EXP(LN(CP28)+0.5*LN('Ecoinvent 3.10'!$E$16)^2)</f>
        <v>5.6546776616766952</v>
      </c>
      <c r="CQ279" s="50">
        <f>EXP(LN(CQ28)+0.5*LN('Ecoinvent 3.10'!$E$16)^2)</f>
        <v>5.6546776616766952</v>
      </c>
      <c r="CR279" s="264"/>
      <c r="CS279" s="265"/>
      <c r="CV279" s="181" t="s">
        <v>620</v>
      </c>
      <c r="CW279" s="224"/>
      <c r="CX279" s="50"/>
      <c r="CY279" s="264"/>
      <c r="CZ279" s="265"/>
      <c r="DA279" s="264"/>
      <c r="DB279" s="265"/>
      <c r="DC279" s="264"/>
      <c r="DD279" s="265"/>
      <c r="DE279" s="264"/>
      <c r="DF279" s="265"/>
      <c r="DG279" s="224"/>
      <c r="DH279" s="50"/>
      <c r="DI279" s="224">
        <f>EXP(LN(DI28)+0.5*LN('Ecoinvent 3.10'!$E$16)^2)</f>
        <v>1.1143053482210886E-3</v>
      </c>
      <c r="DJ279" s="50">
        <f>EXP(LN(DJ28)+0.5*LN('Ecoinvent 3.10'!$E$16)^2)</f>
        <v>1.1143053482210886E-3</v>
      </c>
      <c r="DK279" s="264"/>
      <c r="DL279" s="265"/>
      <c r="DO279" s="181" t="s">
        <v>620</v>
      </c>
      <c r="DP279" s="224"/>
      <c r="DQ279" s="50"/>
      <c r="DR279" s="264"/>
      <c r="DS279" s="265"/>
      <c r="DT279" s="264"/>
      <c r="DU279" s="265"/>
      <c r="DV279" s="264"/>
      <c r="DW279" s="265"/>
      <c r="DX279" s="264"/>
      <c r="DY279" s="265"/>
      <c r="DZ279" s="224"/>
      <c r="EA279" s="50"/>
      <c r="EB279" s="224">
        <f>EXP(LN(EB28)+0.5*LN('Ecoinvent 3.10'!$E$16)^2)</f>
        <v>8.2953073954919066E-3</v>
      </c>
      <c r="EC279" s="50">
        <f>EXP(LN(EC28)+0.5*LN('Ecoinvent 3.10'!$E$16)^2)</f>
        <v>8.2953073954919066E-3</v>
      </c>
      <c r="ED279" s="264"/>
      <c r="EE279" s="265"/>
      <c r="EH279" s="181" t="s">
        <v>620</v>
      </c>
      <c r="EI279" s="224"/>
      <c r="EJ279" s="50"/>
      <c r="EK279" s="264"/>
      <c r="EL279" s="265"/>
      <c r="EM279" s="264"/>
      <c r="EN279" s="265"/>
      <c r="EO279" s="264"/>
      <c r="EP279" s="265"/>
      <c r="EQ279" s="264"/>
      <c r="ER279" s="265"/>
      <c r="ES279" s="224"/>
      <c r="ET279" s="50"/>
      <c r="EU279" s="224">
        <f>EXP(LN(EU28)+0.5*LN('Ecoinvent 3.10'!$E$16)^2)</f>
        <v>2.2281956336107052E-3</v>
      </c>
      <c r="EV279" s="50">
        <f>EXP(LN(EV28)+0.5*LN('Ecoinvent 3.10'!$E$16)^2)</f>
        <v>2.2281956336107052E-3</v>
      </c>
      <c r="EW279" s="264"/>
      <c r="EX279" s="265"/>
      <c r="FA279" s="181" t="s">
        <v>620</v>
      </c>
      <c r="FB279" s="224"/>
      <c r="FC279" s="50"/>
      <c r="FD279" s="264"/>
      <c r="FE279" s="265"/>
      <c r="FF279" s="264"/>
      <c r="FG279" s="265"/>
      <c r="FH279" s="264"/>
      <c r="FI279" s="265"/>
      <c r="FJ279" s="264"/>
      <c r="FK279" s="265"/>
      <c r="FL279" s="224"/>
      <c r="FM279" s="50"/>
      <c r="FN279" s="224">
        <f>EXP(LN(FN28)+0.5*LN('Ecoinvent 3.10'!$E$16)^2)</f>
        <v>1.7178067051791689E-4</v>
      </c>
      <c r="FO279" s="50">
        <f>EXP(LN(FO28)+0.5*LN('Ecoinvent 3.10'!$E$16)^2)</f>
        <v>1.7178067051791689E-4</v>
      </c>
      <c r="FP279" s="264"/>
      <c r="FQ279" s="265"/>
      <c r="FT279" s="181" t="s">
        <v>620</v>
      </c>
      <c r="FU279" s="224"/>
      <c r="FV279" s="50"/>
      <c r="FW279" s="264"/>
      <c r="FX279" s="265"/>
      <c r="FY279" s="264"/>
      <c r="FZ279" s="265"/>
      <c r="GA279" s="264"/>
      <c r="GB279" s="265"/>
      <c r="GC279" s="264"/>
      <c r="GD279" s="265"/>
      <c r="GE279" s="224"/>
      <c r="GF279" s="50"/>
      <c r="GG279" s="224">
        <f>EXP(LN(GG28)+0.5*LN('Ecoinvent 3.10'!$E$16)^2)</f>
        <v>5.2271629452620975E-2</v>
      </c>
      <c r="GH279" s="50">
        <f>EXP(LN(GH28)+0.5*LN('Ecoinvent 3.10'!$E$16)^2)</f>
        <v>5.2271629452620975E-2</v>
      </c>
      <c r="GI279" s="264"/>
      <c r="GJ279" s="265"/>
      <c r="GM279" s="181" t="s">
        <v>620</v>
      </c>
      <c r="GN279" s="224"/>
      <c r="GO279" s="50"/>
      <c r="GP279" s="264"/>
      <c r="GQ279" s="265"/>
      <c r="GR279" s="264"/>
      <c r="GS279" s="265"/>
      <c r="GT279" s="264"/>
      <c r="GU279" s="265"/>
      <c r="GV279" s="264"/>
      <c r="GW279" s="265"/>
      <c r="GX279" s="224"/>
      <c r="GY279" s="50"/>
      <c r="GZ279" s="224">
        <f>EXP(LN(GZ28)+0.5*LN('Ecoinvent 3.10'!$E$16)^2)</f>
        <v>0.14006987019357209</v>
      </c>
      <c r="HA279" s="50">
        <f>EXP(LN(HA28)+0.5*LN('Ecoinvent 3.10'!$E$16)^2)</f>
        <v>0.14006987019357209</v>
      </c>
      <c r="HB279" s="264"/>
      <c r="HC279" s="265"/>
      <c r="HF279" s="181" t="s">
        <v>620</v>
      </c>
      <c r="HG279" s="224"/>
      <c r="HH279" s="50"/>
      <c r="HI279" s="264"/>
      <c r="HJ279" s="265"/>
      <c r="HK279" s="264"/>
      <c r="HL279" s="265"/>
      <c r="HM279" s="264"/>
      <c r="HN279" s="265"/>
      <c r="HO279" s="264"/>
      <c r="HP279" s="265"/>
      <c r="HQ279" s="224"/>
      <c r="HR279" s="50"/>
      <c r="HS279" s="224">
        <f>EXP(LN(HS28)+0.5*LN('Ecoinvent 3.10'!$E$16)^2)</f>
        <v>0.87947663360280504</v>
      </c>
      <c r="HT279" s="50">
        <f>EXP(LN(HT28)+0.5*LN('Ecoinvent 3.10'!$E$16)^2)</f>
        <v>0.87947663360280504</v>
      </c>
      <c r="HU279" s="264"/>
      <c r="HV279" s="265"/>
      <c r="HY279" s="181"/>
      <c r="HZ279" s="224"/>
      <c r="IA279" s="50"/>
      <c r="IB279" s="264"/>
      <c r="IC279" s="265"/>
      <c r="ID279" s="264"/>
      <c r="IE279" s="265"/>
      <c r="IF279" s="264"/>
      <c r="IG279" s="265"/>
      <c r="IH279" s="264"/>
      <c r="II279" s="265"/>
      <c r="IJ279" s="224"/>
      <c r="IK279" s="50"/>
      <c r="IL279" s="224"/>
      <c r="IM279" s="224"/>
      <c r="IN279" s="224"/>
      <c r="IO279" s="224"/>
    </row>
    <row r="280" spans="2:249" ht="12.75" customHeight="1" x14ac:dyDescent="0.2">
      <c r="B280" s="248"/>
      <c r="C280" s="248"/>
      <c r="D280" s="248"/>
      <c r="E280" s="248"/>
      <c r="F280" s="248"/>
      <c r="G280" s="248"/>
      <c r="H280" s="248"/>
      <c r="I280" s="248"/>
      <c r="J280" s="248"/>
      <c r="K280" s="248"/>
      <c r="L280" s="248"/>
      <c r="M280" s="248"/>
      <c r="N280" s="248"/>
      <c r="O280" s="248"/>
      <c r="P280" s="248"/>
      <c r="Q280" s="248"/>
      <c r="R280" s="248"/>
      <c r="S280" s="248"/>
      <c r="T280" s="248"/>
      <c r="U280" s="248"/>
      <c r="V280" s="248"/>
      <c r="W280" s="248"/>
      <c r="X280" s="248"/>
      <c r="Y280" s="248"/>
      <c r="Z280" s="248"/>
      <c r="AA280" s="248"/>
      <c r="AB280" s="248"/>
      <c r="AC280" s="248"/>
      <c r="AD280" s="248"/>
      <c r="AE280" s="248"/>
      <c r="AF280" s="248"/>
      <c r="AG280" s="248"/>
      <c r="AH280" s="248"/>
      <c r="AI280" s="248"/>
      <c r="AJ280" s="248"/>
      <c r="AK280" s="248"/>
      <c r="AL280" s="248"/>
      <c r="AM280" s="248"/>
      <c r="AN280" s="139"/>
      <c r="AO280" s="248"/>
      <c r="AP280" s="726"/>
      <c r="AQ280" s="149" t="s">
        <v>54</v>
      </c>
      <c r="AR280" s="224">
        <f>EXP(LN(AR29)+0.5*LN('Ecoinvent 3.10'!$E$17)^2)</f>
        <v>5.977134143064621</v>
      </c>
      <c r="AS280" s="50">
        <f>EXP(LN(AS29)+0.5*LN('Ecoinvent 3.10'!$E$17)^2)</f>
        <v>5.977134143064621</v>
      </c>
      <c r="AT280" s="224">
        <f>EXP(LN(AT29)+0.5*LN('Ecoinvent 3.10'!$E$17)^2)</f>
        <v>7.8889833636384461</v>
      </c>
      <c r="AU280" s="50">
        <f>EXP(LN(AU29)+0.5*LN('Ecoinvent 3.10'!$E$17)^2)</f>
        <v>7.8889833636384461</v>
      </c>
      <c r="AV280" s="224">
        <f>EXP(LN(AV29)+0.5*LN('Ecoinvent 3.10'!$E$17)^2)</f>
        <v>7.6594712464543386</v>
      </c>
      <c r="AW280" s="50">
        <f>EXP(LN(AW29)+0.5*LN('Ecoinvent 3.10'!$E$17)^2)</f>
        <v>7.6594712464543386</v>
      </c>
      <c r="AX280" s="224">
        <f>EXP(LN(AX29)+0.5*LN('Ecoinvent 3.10'!$E$17)^2)</f>
        <v>6.3464366808156267</v>
      </c>
      <c r="AY280" s="50">
        <f>EXP(LN(AY29)+0.5*LN('Ecoinvent 3.10'!$E$17)^2)</f>
        <v>6.3464366808156267</v>
      </c>
      <c r="AZ280" s="224">
        <f>EXP(LN(AZ29)+0.5*LN('Ecoinvent 3.10'!$E$17)^2)</f>
        <v>5.7316574194280818</v>
      </c>
      <c r="BA280" s="50">
        <f>EXP(LN(BA29)+0.5*LN('Ecoinvent 3.10'!$E$17)^2)</f>
        <v>5.7316574194280818</v>
      </c>
      <c r="BB280" s="224"/>
      <c r="BC280" s="50"/>
      <c r="BD280" s="224">
        <f>EXP(LN(BD29)+0.5*LN('Ecoinvent 3.10'!$E$17)^2)</f>
        <v>9.3271283255511097</v>
      </c>
      <c r="BE280" s="50">
        <f>EXP(LN(BE29)+0.5*LN('Ecoinvent 3.10'!$E$17)^2)</f>
        <v>9.3271283255511097</v>
      </c>
      <c r="BF280" s="224">
        <f>EXP(LN(BF29)+0.5*LN('Ecoinvent 3.10'!$E$17)^2)</f>
        <v>5.7316574194280818</v>
      </c>
      <c r="BG280" s="50">
        <f>EXP(LN(BG29)+0.5*LN('Ecoinvent 3.10'!$E$17)^2)</f>
        <v>5.7316574194280818</v>
      </c>
      <c r="BI280" s="156"/>
      <c r="BJ280" s="149" t="s">
        <v>54</v>
      </c>
      <c r="BK280" s="224">
        <f>EXP(LN(BK29)+0.5*LN('Ecoinvent 3.10'!$E$17)^2)</f>
        <v>1.0759079134575458</v>
      </c>
      <c r="BL280" s="50">
        <f>EXP(LN(BL29)+0.5*LN('Ecoinvent 3.10'!$E$17)^2)</f>
        <v>1.0759079134575458</v>
      </c>
      <c r="BM280" s="224">
        <f>EXP(LN(BM29)+0.5*LN('Ecoinvent 3.10'!$E$17)^2)</f>
        <v>1.4200483755115494</v>
      </c>
      <c r="BN280" s="50">
        <f>EXP(LN(BN29)+0.5*LN('Ecoinvent 3.10'!$E$17)^2)</f>
        <v>1.4200483755115494</v>
      </c>
      <c r="BO280" s="224">
        <f>EXP(LN(BO29)+0.5*LN('Ecoinvent 3.10'!$E$17)^2)</f>
        <v>1.3787352817776073</v>
      </c>
      <c r="BP280" s="50">
        <f>EXP(LN(BP29)+0.5*LN('Ecoinvent 3.10'!$E$17)^2)</f>
        <v>1.3787352817776073</v>
      </c>
      <c r="BQ280" s="224">
        <f>EXP(LN(BQ29)+0.5*LN('Ecoinvent 3.10'!$E$17)^2)</f>
        <v>1.1423838387615308</v>
      </c>
      <c r="BR280" s="50">
        <f>EXP(LN(BR29)+0.5*LN('Ecoinvent 3.10'!$E$17)^2)</f>
        <v>1.1423838387615308</v>
      </c>
      <c r="BS280" s="224">
        <f>EXP(LN(BS29)+0.5*LN('Ecoinvent 3.10'!$E$17)^2)</f>
        <v>1.0317211270798909</v>
      </c>
      <c r="BT280" s="50">
        <f>EXP(LN(BT29)+0.5*LN('Ecoinvent 3.10'!$E$17)^2)</f>
        <v>1.0317211270798909</v>
      </c>
      <c r="BU280" s="224"/>
      <c r="BV280" s="50"/>
      <c r="BW280" s="224">
        <f>EXP(LN(BW29)+0.5*LN('Ecoinvent 3.10'!$E$17)^2)</f>
        <v>1.6789201873507247</v>
      </c>
      <c r="BX280" s="50">
        <f>EXP(LN(BX29)+0.5*LN('Ecoinvent 3.10'!$E$17)^2)</f>
        <v>1.6789201873507247</v>
      </c>
      <c r="BY280" s="224">
        <f>EXP(LN(BY29)+0.5*LN('Ecoinvent 3.10'!$E$17)^2)</f>
        <v>1.0317211270798909</v>
      </c>
      <c r="BZ280" s="50">
        <f>EXP(LN(BZ29)+0.5*LN('Ecoinvent 3.10'!$E$17)^2)</f>
        <v>1.0317211270798909</v>
      </c>
      <c r="CA280" s="156"/>
      <c r="CB280" s="156"/>
      <c r="CC280" s="149" t="s">
        <v>54</v>
      </c>
      <c r="CD280" s="224">
        <f>EXP(LN(CD29)+0.5*LN('Ecoinvent 3.10'!$E$17)^2)</f>
        <v>11.405191293290931</v>
      </c>
      <c r="CE280" s="50">
        <f>EXP(LN(CE29)+0.5*LN('Ecoinvent 3.10'!$E$17)^2)</f>
        <v>11.405191293290931</v>
      </c>
      <c r="CF280" s="224">
        <f>EXP(LN(CF29)+0.5*LN('Ecoinvent 3.10'!$E$17)^2)</f>
        <v>15.053261683324651</v>
      </c>
      <c r="CG280" s="50">
        <f>EXP(LN(CG29)+0.5*LN('Ecoinvent 3.10'!$E$17)^2)</f>
        <v>15.053261683324651</v>
      </c>
      <c r="CH280" s="224">
        <f>EXP(LN(CH29)+0.5*LN('Ecoinvent 3.10'!$E$17)^2)</f>
        <v>14.615321102109791</v>
      </c>
      <c r="CI280" s="50">
        <f>EXP(LN(CI29)+0.5*LN('Ecoinvent 3.10'!$E$17)^2)</f>
        <v>14.615321102109791</v>
      </c>
      <c r="CJ280" s="224">
        <f>EXP(LN(CJ29)+0.5*LN('Ecoinvent 3.10'!$E$17)^2)</f>
        <v>12.109871159483202</v>
      </c>
      <c r="CK280" s="50">
        <f>EXP(LN(CK29)+0.5*LN('Ecoinvent 3.10'!$E$17)^2)</f>
        <v>12.109871159483202</v>
      </c>
      <c r="CL280" s="224">
        <f>EXP(LN(CL29)+0.5*LN('Ecoinvent 3.10'!$E$17)^2)</f>
        <v>10.936788054529158</v>
      </c>
      <c r="CM280" s="50">
        <f>EXP(LN(CM29)+0.5*LN('Ecoinvent 3.10'!$E$17)^2)</f>
        <v>10.936788054529158</v>
      </c>
      <c r="CN280" s="224"/>
      <c r="CO280" s="50"/>
      <c r="CP280" s="224">
        <f>EXP(LN(CP29)+0.5*LN('Ecoinvent 3.10'!$E$17)^2)</f>
        <v>17.797439412233153</v>
      </c>
      <c r="CQ280" s="50">
        <f>EXP(LN(CQ29)+0.5*LN('Ecoinvent 3.10'!$E$17)^2)</f>
        <v>17.797439412233153</v>
      </c>
      <c r="CR280" s="224">
        <f>EXP(LN(CR29)+0.5*LN('Ecoinvent 3.10'!$E$17)^2)</f>
        <v>10.936788054529158</v>
      </c>
      <c r="CS280" s="50">
        <f>EXP(LN(CS29)+0.5*LN('Ecoinvent 3.10'!$E$17)^2)</f>
        <v>10.936788054529158</v>
      </c>
      <c r="CV280" s="149" t="s">
        <v>54</v>
      </c>
      <c r="CW280" s="224">
        <f>EXP(LN(CW29)+0.5*LN('Ecoinvent 3.10'!$E$17)^2)</f>
        <v>3.3085500804184509E-3</v>
      </c>
      <c r="CX280" s="50">
        <f>EXP(LN(CX29)+0.5*LN('Ecoinvent 3.10'!$E$17)^2)</f>
        <v>3.3085500804184509E-3</v>
      </c>
      <c r="CY280" s="224">
        <f>EXP(LN(CY29)+0.5*LN('Ecoinvent 3.10'!$E$17)^2)</f>
        <v>4.3668246215406411E-3</v>
      </c>
      <c r="CZ280" s="50">
        <f>EXP(LN(CZ29)+0.5*LN('Ecoinvent 3.10'!$E$17)^2)</f>
        <v>4.3668246215406411E-3</v>
      </c>
      <c r="DA280" s="224">
        <f>EXP(LN(DA29)+0.5*LN('Ecoinvent 3.10'!$E$17)^2)</f>
        <v>4.2397817418609925E-3</v>
      </c>
      <c r="DB280" s="50">
        <f>EXP(LN(DB29)+0.5*LN('Ecoinvent 3.10'!$E$17)^2)</f>
        <v>4.2397817418609925E-3</v>
      </c>
      <c r="DC280" s="224">
        <f>EXP(LN(DC29)+0.5*LN('Ecoinvent 3.10'!$E$17)^2)</f>
        <v>3.5129717834837195E-3</v>
      </c>
      <c r="DD280" s="50">
        <f>EXP(LN(DD29)+0.5*LN('Ecoinvent 3.10'!$E$17)^2)</f>
        <v>3.5129717834837195E-3</v>
      </c>
      <c r="DE280" s="224">
        <f>EXP(LN(DE29)+0.5*LN('Ecoinvent 3.10'!$E$17)^2)</f>
        <v>3.1726702399649956E-3</v>
      </c>
      <c r="DF280" s="50">
        <f>EXP(LN(DF29)+0.5*LN('Ecoinvent 3.10'!$E$17)^2)</f>
        <v>3.1726702399649956E-3</v>
      </c>
      <c r="DG280" s="224"/>
      <c r="DH280" s="50"/>
      <c r="DI280" s="224">
        <f>EXP(LN(DI29)+0.5*LN('Ecoinvent 3.10'!$E$17)^2)</f>
        <v>5.1628875030991081E-3</v>
      </c>
      <c r="DJ280" s="50">
        <f>EXP(LN(DJ29)+0.5*LN('Ecoinvent 3.10'!$E$17)^2)</f>
        <v>5.1628875030991081E-3</v>
      </c>
      <c r="DK280" s="224">
        <f>EXP(LN(DK29)+0.5*LN('Ecoinvent 3.10'!$E$17)^2)</f>
        <v>3.1726702399649956E-3</v>
      </c>
      <c r="DL280" s="50">
        <f>EXP(LN(DL29)+0.5*LN('Ecoinvent 3.10'!$E$17)^2)</f>
        <v>3.1726702399649956E-3</v>
      </c>
      <c r="DO280" s="149" t="s">
        <v>54</v>
      </c>
      <c r="DP280" s="224">
        <f>EXP(LN(DP29)+0.5*LN('Ecoinvent 3.10'!$E$17)^2)</f>
        <v>0.22064914213123621</v>
      </c>
      <c r="DQ280" s="50">
        <f>EXP(LN(DQ29)+0.5*LN('Ecoinvent 3.10'!$E$17)^2)</f>
        <v>0.22064914213123621</v>
      </c>
      <c r="DR280" s="224">
        <f>EXP(LN(DR29)+0.5*LN('Ecoinvent 3.10'!$E$17)^2)</f>
        <v>0.29122609093426166</v>
      </c>
      <c r="DS280" s="50">
        <f>EXP(LN(DS29)+0.5*LN('Ecoinvent 3.10'!$E$17)^2)</f>
        <v>0.29122609093426166</v>
      </c>
      <c r="DT280" s="224">
        <f>EXP(LN(DT29)+0.5*LN('Ecoinvent 3.10'!$E$17)^2)</f>
        <v>0.28275352690051703</v>
      </c>
      <c r="DU280" s="50">
        <f>EXP(LN(DU29)+0.5*LN('Ecoinvent 3.10'!$E$17)^2)</f>
        <v>0.28275352690051703</v>
      </c>
      <c r="DV280" s="224">
        <f>EXP(LN(DV29)+0.5*LN('Ecoinvent 3.10'!$E$17)^2)</f>
        <v>0.23428214520448967</v>
      </c>
      <c r="DW280" s="50">
        <f>EXP(LN(DW29)+0.5*LN('Ecoinvent 3.10'!$E$17)^2)</f>
        <v>0.23428214520448967</v>
      </c>
      <c r="DX280" s="224">
        <f>EXP(LN(DX29)+0.5*LN('Ecoinvent 3.10'!$E$17)^2)</f>
        <v>0.2115872360091465</v>
      </c>
      <c r="DY280" s="50">
        <f>EXP(LN(DY29)+0.5*LN('Ecoinvent 3.10'!$E$17)^2)</f>
        <v>0.2115872360091465</v>
      </c>
      <c r="DZ280" s="224"/>
      <c r="EA280" s="50"/>
      <c r="EB280" s="224">
        <f>EXP(LN(EB29)+0.5*LN('Ecoinvent 3.10'!$E$17)^2)</f>
        <v>0.34431599062717505</v>
      </c>
      <c r="EC280" s="50">
        <f>EXP(LN(EC29)+0.5*LN('Ecoinvent 3.10'!$E$17)^2)</f>
        <v>0.34431599062717505</v>
      </c>
      <c r="ED280" s="224">
        <f>EXP(LN(ED29)+0.5*LN('Ecoinvent 3.10'!$E$17)^2)</f>
        <v>0.2115872360091465</v>
      </c>
      <c r="EE280" s="50">
        <f>EXP(LN(EE29)+0.5*LN('Ecoinvent 3.10'!$E$17)^2)</f>
        <v>0.2115872360091465</v>
      </c>
      <c r="EH280" s="149" t="s">
        <v>54</v>
      </c>
      <c r="EI280" s="224">
        <f>EXP(LN(EI29)+0.5*LN('Ecoinvent 3.10'!$E$17)^2)</f>
        <v>1.0124362670740879E-2</v>
      </c>
      <c r="EJ280" s="50">
        <f>EXP(LN(EJ29)+0.5*LN('Ecoinvent 3.10'!$E$17)^2)</f>
        <v>1.0124362670740879E-2</v>
      </c>
      <c r="EK280" s="224">
        <f>EXP(LN(EK29)+0.5*LN('Ecoinvent 3.10'!$E$17)^2)</f>
        <v>1.3362746554649868E-2</v>
      </c>
      <c r="EL280" s="50">
        <f>EXP(LN(EL29)+0.5*LN('Ecoinvent 3.10'!$E$17)^2)</f>
        <v>1.3362746554649868E-2</v>
      </c>
      <c r="EM280" s="224">
        <f>EXP(LN(EM29)+0.5*LN('Ecoinvent 3.10'!$E$17)^2)</f>
        <v>1.2973987685251289E-2</v>
      </c>
      <c r="EN280" s="50">
        <f>EXP(LN(EN29)+0.5*LN('Ecoinvent 3.10'!$E$17)^2)</f>
        <v>1.2973987685251289E-2</v>
      </c>
      <c r="EO280" s="224">
        <f>EXP(LN(EO29)+0.5*LN('Ecoinvent 3.10'!$E$17)^2)</f>
        <v>1.0749905403750225E-2</v>
      </c>
      <c r="EP280" s="50">
        <f>EXP(LN(EP29)+0.5*LN('Ecoinvent 3.10'!$E$17)^2)</f>
        <v>1.0749905403750225E-2</v>
      </c>
      <c r="EQ280" s="224">
        <f>EXP(LN(EQ29)+0.5*LN('Ecoinvent 3.10'!$E$17)^2)</f>
        <v>9.7085621687218113E-3</v>
      </c>
      <c r="ER280" s="50">
        <f>EXP(LN(ER29)+0.5*LN('Ecoinvent 3.10'!$E$17)^2)</f>
        <v>9.7085621687218113E-3</v>
      </c>
      <c r="ES280" s="224"/>
      <c r="ET280" s="50"/>
      <c r="EU280" s="224">
        <f>EXP(LN(EU29)+0.5*LN('Ecoinvent 3.10'!$E$17)^2)</f>
        <v>1.5798746955343109E-2</v>
      </c>
      <c r="EV280" s="50">
        <f>EXP(LN(EV29)+0.5*LN('Ecoinvent 3.10'!$E$17)^2)</f>
        <v>1.5798746955343109E-2</v>
      </c>
      <c r="EW280" s="224">
        <f>EXP(LN(EW29)+0.5*LN('Ecoinvent 3.10'!$E$17)^2)</f>
        <v>9.7085621687218113E-3</v>
      </c>
      <c r="EX280" s="50">
        <f>EXP(LN(EX29)+0.5*LN('Ecoinvent 3.10'!$E$17)^2)</f>
        <v>9.7085621687218113E-3</v>
      </c>
      <c r="FA280" s="149" t="s">
        <v>54</v>
      </c>
      <c r="FB280" s="224">
        <f>EXP(LN(FB29)+0.5*LN('Ecoinvent 3.10'!$E$17)^2)</f>
        <v>7.6265687990357547E-4</v>
      </c>
      <c r="FC280" s="50">
        <f>EXP(LN(FC29)+0.5*LN('Ecoinvent 3.10'!$E$17)^2)</f>
        <v>7.6265687990357547E-4</v>
      </c>
      <c r="FD280" s="224">
        <f>EXP(LN(FD29)+0.5*LN('Ecoinvent 3.10'!$E$17)^2)</f>
        <v>1.0066007042363052E-3</v>
      </c>
      <c r="FE280" s="50">
        <f>EXP(LN(FE29)+0.5*LN('Ecoinvent 3.10'!$E$17)^2)</f>
        <v>1.0066007042363052E-3</v>
      </c>
      <c r="FF280" s="224">
        <f>EXP(LN(FF29)+0.5*LN('Ecoinvent 3.10'!$E$17)^2)</f>
        <v>9.7731593481302005E-4</v>
      </c>
      <c r="FG280" s="50">
        <f>EXP(LN(FG29)+0.5*LN('Ecoinvent 3.10'!$E$17)^2)</f>
        <v>9.7731593481302005E-4</v>
      </c>
      <c r="FH280" s="224">
        <f>EXP(LN(FH29)+0.5*LN('Ecoinvent 3.10'!$E$17)^2)</f>
        <v>8.0977831208833915E-4</v>
      </c>
      <c r="FI280" s="50">
        <f>EXP(LN(FI29)+0.5*LN('Ecoinvent 3.10'!$E$17)^2)</f>
        <v>8.0977831208833915E-4</v>
      </c>
      <c r="FJ280" s="224">
        <f>EXP(LN(FJ29)+0.5*LN('Ecoinvent 3.10'!$E$17)^2)</f>
        <v>7.3133509463716611E-4</v>
      </c>
      <c r="FK280" s="50">
        <f>EXP(LN(FK29)+0.5*LN('Ecoinvent 3.10'!$E$17)^2)</f>
        <v>7.3133509463716611E-4</v>
      </c>
      <c r="FL280" s="224"/>
      <c r="FM280" s="50"/>
      <c r="FN280" s="224">
        <f>EXP(LN(FN29)+0.5*LN('Ecoinvent 3.10'!$E$17)^2)</f>
        <v>1.1901018810961238E-3</v>
      </c>
      <c r="FO280" s="50">
        <f>EXP(LN(FO29)+0.5*LN('Ecoinvent 3.10'!$E$17)^2)</f>
        <v>1.1901018810961238E-3</v>
      </c>
      <c r="FP280" s="224">
        <f>EXP(LN(FP29)+0.5*LN('Ecoinvent 3.10'!$E$17)^2)</f>
        <v>7.3133509463716611E-4</v>
      </c>
      <c r="FQ280" s="50">
        <f>EXP(LN(FQ29)+0.5*LN('Ecoinvent 3.10'!$E$17)^2)</f>
        <v>7.3133509463716611E-4</v>
      </c>
      <c r="FT280" s="149" t="s">
        <v>54</v>
      </c>
      <c r="FU280" s="224">
        <f>EXP(LN(FU29)+0.5*LN('Ecoinvent 3.10'!$E$17)^2)</f>
        <v>9.4160490108005465E-2</v>
      </c>
      <c r="FV280" s="50">
        <f>EXP(LN(FV29)+0.5*LN('Ecoinvent 3.10'!$E$17)^2)</f>
        <v>9.4160490108005465E-2</v>
      </c>
      <c r="FW280" s="224">
        <f>EXP(LN(FW29)+0.5*LN('Ecoinvent 3.10'!$E$17)^2)</f>
        <v>0.12427871320840564</v>
      </c>
      <c r="FX280" s="50">
        <f>EXP(LN(FX29)+0.5*LN('Ecoinvent 3.10'!$E$17)^2)</f>
        <v>0.12427871320840564</v>
      </c>
      <c r="FY280" s="224">
        <f>EXP(LN(FY29)+0.5*LN('Ecoinvent 3.10'!$E$17)^2)</f>
        <v>0.12066310530627133</v>
      </c>
      <c r="FZ280" s="50">
        <f>EXP(LN(FZ29)+0.5*LN('Ecoinvent 3.10'!$E$17)^2)</f>
        <v>0.12066310530627133</v>
      </c>
      <c r="GA280" s="224">
        <f>EXP(LN(GA29)+0.5*LN('Ecoinvent 3.10'!$E$17)^2)</f>
        <v>9.9978279557003086E-2</v>
      </c>
      <c r="GB280" s="50">
        <f>EXP(LN(GB29)+0.5*LN('Ecoinvent 3.10'!$E$17)^2)</f>
        <v>9.9978279557003086E-2</v>
      </c>
      <c r="GC280" s="224">
        <f>EXP(LN(GC29)+0.5*LN('Ecoinvent 3.10'!$E$17)^2)</f>
        <v>9.0293384559681139E-2</v>
      </c>
      <c r="GD280" s="50">
        <f>EXP(LN(GD29)+0.5*LN('Ecoinvent 3.10'!$E$17)^2)</f>
        <v>9.0293384559681139E-2</v>
      </c>
      <c r="GE280" s="224"/>
      <c r="GF280" s="50"/>
      <c r="GG280" s="224">
        <f>EXP(LN(GG29)+0.5*LN('Ecoinvent 3.10'!$E$17)^2)</f>
        <v>0.14693445946050901</v>
      </c>
      <c r="GH280" s="50">
        <f>EXP(LN(GH29)+0.5*LN('Ecoinvent 3.10'!$E$17)^2)</f>
        <v>0.14693445946050901</v>
      </c>
      <c r="GI280" s="224">
        <f>EXP(LN(GI29)+0.5*LN('Ecoinvent 3.10'!$E$17)^2)</f>
        <v>9.0293384559681139E-2</v>
      </c>
      <c r="GJ280" s="50">
        <f>EXP(LN(GJ29)+0.5*LN('Ecoinvent 3.10'!$E$17)^2)</f>
        <v>9.0293384559681139E-2</v>
      </c>
      <c r="GM280" s="149" t="s">
        <v>54</v>
      </c>
      <c r="GN280" s="224">
        <f>EXP(LN(GN29)+0.5*LN('Ecoinvent 3.10'!$E$17)^2)</f>
        <v>0.29016288090466635</v>
      </c>
      <c r="GO280" s="50">
        <f>EXP(LN(GO29)+0.5*LN('Ecoinvent 3.10'!$E$17)^2)</f>
        <v>0.29016288090466635</v>
      </c>
      <c r="GP280" s="224">
        <f>EXP(LN(GP29)+0.5*LN('Ecoinvent 3.10'!$E$17)^2)</f>
        <v>0.38297453016984573</v>
      </c>
      <c r="GQ280" s="50">
        <f>EXP(LN(GQ29)+0.5*LN('Ecoinvent 3.10'!$E$17)^2)</f>
        <v>0.38297453016984573</v>
      </c>
      <c r="GR280" s="224">
        <f>EXP(LN(GR29)+0.5*LN('Ecoinvent 3.10'!$E$17)^2)</f>
        <v>0.37183275293502466</v>
      </c>
      <c r="GS280" s="50">
        <f>EXP(LN(GS29)+0.5*LN('Ecoinvent 3.10'!$E$17)^2)</f>
        <v>0.37183275293502466</v>
      </c>
      <c r="GT280" s="224">
        <f>EXP(LN(GT29)+0.5*LN('Ecoinvent 3.10'!$E$17)^2)</f>
        <v>0.30809085202165626</v>
      </c>
      <c r="GU280" s="50">
        <f>EXP(LN(GU29)+0.5*LN('Ecoinvent 3.10'!$E$17)^2)</f>
        <v>0.30809085202165626</v>
      </c>
      <c r="GV280" s="224">
        <f>EXP(LN(GV29)+0.5*LN('Ecoinvent 3.10'!$E$17)^2)</f>
        <v>0.27824609409337087</v>
      </c>
      <c r="GW280" s="50">
        <f>EXP(LN(GW29)+0.5*LN('Ecoinvent 3.10'!$E$17)^2)</f>
        <v>0.27824609409337087</v>
      </c>
      <c r="GX280" s="224"/>
      <c r="GY280" s="50"/>
      <c r="GZ280" s="224">
        <f>EXP(LN(GZ29)+0.5*LN('Ecoinvent 3.10'!$E$17)^2)</f>
        <v>0.45278997605394161</v>
      </c>
      <c r="HA280" s="50">
        <f>EXP(LN(HA29)+0.5*LN('Ecoinvent 3.10'!$E$17)^2)</f>
        <v>0.45278997605394161</v>
      </c>
      <c r="HB280" s="224">
        <f>EXP(LN(HB29)+0.5*LN('Ecoinvent 3.10'!$E$17)^2)</f>
        <v>0.27824609409337087</v>
      </c>
      <c r="HC280" s="50">
        <f>EXP(LN(HC29)+0.5*LN('Ecoinvent 3.10'!$E$17)^2)</f>
        <v>0.27824609409337087</v>
      </c>
      <c r="HF280" s="149" t="s">
        <v>54</v>
      </c>
      <c r="HG280" s="224">
        <f>EXP(LN(HG29)+0.5*LN('Ecoinvent 3.10'!$E$17)^2)</f>
        <v>1.928721358590664</v>
      </c>
      <c r="HH280" s="50">
        <f>EXP(LN(HH29)+0.5*LN('Ecoinvent 3.10'!$E$17)^2)</f>
        <v>1.928721358590664</v>
      </c>
      <c r="HI280" s="224">
        <f>EXP(LN(HI29)+0.5*LN('Ecoinvent 3.10'!$E$17)^2)</f>
        <v>2.5456431705938694</v>
      </c>
      <c r="HJ280" s="50">
        <f>EXP(LN(HJ29)+0.5*LN('Ecoinvent 3.10'!$E$17)^2)</f>
        <v>2.5456431705938694</v>
      </c>
      <c r="HK280" s="224">
        <f>EXP(LN(HK29)+0.5*LN('Ecoinvent 3.10'!$E$17)^2)</f>
        <v>2.4715834436623632</v>
      </c>
      <c r="HL280" s="50">
        <f>EXP(LN(HL29)+0.5*LN('Ecoinvent 3.10'!$E$17)^2)</f>
        <v>2.4715834436623632</v>
      </c>
      <c r="HM280" s="224">
        <f>EXP(LN(HM29)+0.5*LN('Ecoinvent 3.10'!$E$17)^2)</f>
        <v>2.0478891194763009</v>
      </c>
      <c r="HN280" s="50">
        <f>EXP(LN(HN29)+0.5*LN('Ecoinvent 3.10'!$E$17)^2)</f>
        <v>2.0478891194763009</v>
      </c>
      <c r="HO280" s="224">
        <f>EXP(LN(HO29)+0.5*LN('Ecoinvent 3.10'!$E$17)^2)</f>
        <v>1.8495101197958967</v>
      </c>
      <c r="HP280" s="50">
        <f>EXP(LN(HP29)+0.5*LN('Ecoinvent 3.10'!$E$17)^2)</f>
        <v>1.8495101197958967</v>
      </c>
      <c r="HQ280" s="224"/>
      <c r="HR280" s="50"/>
      <c r="HS280" s="224">
        <f>EXP(LN(HS29)+0.5*LN('Ecoinvent 3.10'!$E$17)^2)</f>
        <v>3.0097085300787287</v>
      </c>
      <c r="HT280" s="50">
        <f>EXP(LN(HT29)+0.5*LN('Ecoinvent 3.10'!$E$17)^2)</f>
        <v>3.0097085300787287</v>
      </c>
      <c r="HU280" s="224">
        <f>EXP(LN(HU29)+0.5*LN('Ecoinvent 3.10'!$E$17)^2)</f>
        <v>1.8495101197958967</v>
      </c>
      <c r="HV280" s="50">
        <f>EXP(LN(HV29)+0.5*LN('Ecoinvent 3.10'!$E$17)^2)</f>
        <v>1.8495101197958967</v>
      </c>
      <c r="HY280" s="149" t="s">
        <v>54</v>
      </c>
      <c r="HZ280" s="224">
        <f>EXP(LN(HZ29)+0.5*LN('Ecoinvent 3.10'!$E$17)^2)</f>
        <v>1.3742495795423511E-3</v>
      </c>
      <c r="IA280" s="50">
        <f>EXP(LN(IA29)+0.5*LN('Ecoinvent 3.10'!$E$17)^2)</f>
        <v>1.3742495795423511E-3</v>
      </c>
      <c r="IB280" s="224">
        <f>EXP(LN(IB29)+0.5*LN('Ecoinvent 3.10'!$E$17)^2)</f>
        <v>1.813817761322331E-3</v>
      </c>
      <c r="IC280" s="50">
        <f>EXP(LN(IC29)+0.5*LN('Ecoinvent 3.10'!$E$17)^2)</f>
        <v>1.813817761322331E-3</v>
      </c>
      <c r="ID280" s="224">
        <f>EXP(LN(ID29)+0.5*LN('Ecoinvent 3.10'!$E$17)^2)</f>
        <v>1.7610488384588376E-3</v>
      </c>
      <c r="IE280" s="50">
        <f>EXP(LN(IE29)+0.5*LN('Ecoinvent 3.10'!$E$17)^2)</f>
        <v>1.7610488384588376E-3</v>
      </c>
      <c r="IF280" s="224">
        <f>EXP(LN(IF29)+0.5*LN('Ecoinvent 3.10'!$E$17)^2)</f>
        <v>1.4591588094643737E-3</v>
      </c>
      <c r="IG280" s="50">
        <f>EXP(LN(IG29)+0.5*LN('Ecoinvent 3.10'!$E$17)^2)</f>
        <v>1.4591588094643737E-3</v>
      </c>
      <c r="IH280" s="224">
        <f>EXP(LN(IH29)+0.5*LN('Ecoinvent 3.10'!$E$17)^2)</f>
        <v>1.317810109359743E-3</v>
      </c>
      <c r="II280" s="50">
        <f>EXP(LN(II29)+0.5*LN('Ecoinvent 3.10'!$E$17)^2)</f>
        <v>1.317810109359743E-3</v>
      </c>
      <c r="IJ280" s="224"/>
      <c r="IK280" s="50"/>
      <c r="IL280" s="224"/>
      <c r="IM280" s="224"/>
      <c r="IN280" s="224"/>
      <c r="IO280" s="224"/>
    </row>
    <row r="281" spans="2:249" ht="14.25" customHeight="1" x14ac:dyDescent="0.25">
      <c r="B281" s="248"/>
      <c r="C281" s="248"/>
      <c r="D281" s="248"/>
      <c r="E281" s="248"/>
      <c r="F281" s="248"/>
      <c r="G281" s="248"/>
      <c r="H281" s="248"/>
      <c r="I281" s="248"/>
      <c r="J281" s="248"/>
      <c r="K281" s="248"/>
      <c r="L281" s="248"/>
      <c r="M281" s="248"/>
      <c r="N281" s="248"/>
      <c r="O281" s="248"/>
      <c r="P281" s="248"/>
      <c r="Q281" s="248"/>
      <c r="R281" s="248"/>
      <c r="S281" s="248"/>
      <c r="T281" s="248"/>
      <c r="U281" s="248"/>
      <c r="V281" s="248"/>
      <c r="W281" s="248"/>
      <c r="X281" s="248"/>
      <c r="Y281" s="248"/>
      <c r="Z281" s="248"/>
      <c r="AA281" s="248"/>
      <c r="AB281" s="248"/>
      <c r="AC281" s="248"/>
      <c r="AD281" s="248"/>
      <c r="AE281" s="248"/>
      <c r="AF281" s="248"/>
      <c r="AG281" s="248"/>
      <c r="AH281" s="248"/>
      <c r="AI281" s="248"/>
      <c r="AJ281" s="248"/>
      <c r="AK281" s="248"/>
      <c r="AL281" s="248"/>
      <c r="AM281" s="248"/>
      <c r="AN281" s="139"/>
      <c r="AO281" s="248"/>
      <c r="AP281" s="726"/>
      <c r="AQ281" s="149" t="s">
        <v>216</v>
      </c>
      <c r="AR281" s="224">
        <f>EXP(LN(AR30)+0.5*LN('Ecoinvent 3.10'!$E$18)^2)</f>
        <v>2.2599311515114118</v>
      </c>
      <c r="AS281" s="50">
        <f>EXP(LN(AS30)+0.5*LN('Ecoinvent 3.10'!$E$18)^2)</f>
        <v>2.2599311515114118</v>
      </c>
      <c r="AT281" s="224">
        <f>EXP(LN(AT30)+0.5*LN('Ecoinvent 3.10'!$E$18)^2)</f>
        <v>3.0275358077913541</v>
      </c>
      <c r="AU281" s="50">
        <f>EXP(LN(AU30)+0.5*LN('Ecoinvent 3.10'!$E$18)^2)</f>
        <v>3.0275358077913541</v>
      </c>
      <c r="AV281" s="224">
        <f>EXP(LN(AV30)+0.5*LN('Ecoinvent 3.10'!$E$18)^2)</f>
        <v>2.9394565051654178</v>
      </c>
      <c r="AW281" s="50">
        <f>EXP(LN(AW30)+0.5*LN('Ecoinvent 3.10'!$E$18)^2)</f>
        <v>2.9394565051654178</v>
      </c>
      <c r="AX281" s="224">
        <f>EXP(LN(AX30)+0.5*LN('Ecoinvent 3.10'!$E$18)^2)</f>
        <v>2.4355564484532231</v>
      </c>
      <c r="AY281" s="50">
        <f>EXP(LN(AY30)+0.5*LN('Ecoinvent 3.10'!$E$18)^2)</f>
        <v>2.4355564484532231</v>
      </c>
      <c r="AZ281" s="224">
        <f>EXP(LN(AZ30)+0.5*LN('Ecoinvent 3.10'!$E$18)^2)</f>
        <v>2.199624118272737</v>
      </c>
      <c r="BA281" s="50">
        <f>EXP(LN(BA30)+0.5*LN('Ecoinvent 3.10'!$E$18)^2)</f>
        <v>2.199624118272737</v>
      </c>
      <c r="BB281" s="224"/>
      <c r="BC281" s="50"/>
      <c r="BD281" s="224">
        <f>EXP(LN(BD30)+0.5*LN('Ecoinvent 3.10'!$E$18)^2)</f>
        <v>3.5794491746078876</v>
      </c>
      <c r="BE281" s="50">
        <f>EXP(LN(BE30)+0.5*LN('Ecoinvent 3.10'!$E$18)^2)</f>
        <v>3.5794491746078876</v>
      </c>
      <c r="BF281" s="224">
        <f>EXP(LN(BF30)+0.5*LN('Ecoinvent 3.10'!$E$18)^2)</f>
        <v>2.199624118272737</v>
      </c>
      <c r="BG281" s="50">
        <f>EXP(LN(BG30)+0.5*LN('Ecoinvent 3.10'!$E$18)^2)</f>
        <v>2.199624118272737</v>
      </c>
      <c r="BI281" s="156"/>
      <c r="BJ281" s="149" t="s">
        <v>216</v>
      </c>
      <c r="BK281" s="224">
        <f>EXP(LN(BK30)+0.5*LN('Ecoinvent 3.10'!$E$18)^2)</f>
        <v>0.50017521908027818</v>
      </c>
      <c r="BL281" s="50">
        <f>EXP(LN(BL30)+0.5*LN('Ecoinvent 3.10'!$E$18)^2)</f>
        <v>0.50017521908027818</v>
      </c>
      <c r="BM281" s="224">
        <f>EXP(LN(BM30)+0.5*LN('Ecoinvent 3.10'!$E$18)^2)</f>
        <v>0.67006394638291744</v>
      </c>
      <c r="BN281" s="50">
        <f>EXP(LN(BN30)+0.5*LN('Ecoinvent 3.10'!$E$18)^2)</f>
        <v>0.67006394638291744</v>
      </c>
      <c r="BO281" s="224">
        <f>EXP(LN(BO30)+0.5*LN('Ecoinvent 3.10'!$E$18)^2)</f>
        <v>0.65056995230353931</v>
      </c>
      <c r="BP281" s="50">
        <f>EXP(LN(BP30)+0.5*LN('Ecoinvent 3.10'!$E$18)^2)</f>
        <v>0.65056995230353931</v>
      </c>
      <c r="BQ281" s="224">
        <f>EXP(LN(BQ30)+0.5*LN('Ecoinvent 3.10'!$E$18)^2)</f>
        <v>0.53904517373140148</v>
      </c>
      <c r="BR281" s="50">
        <f>EXP(LN(BR30)+0.5*LN('Ecoinvent 3.10'!$E$18)^2)</f>
        <v>0.53904517373140148</v>
      </c>
      <c r="BS281" s="224">
        <f>EXP(LN(BS30)+0.5*LN('Ecoinvent 3.10'!$E$18)^2)</f>
        <v>0.48682787283830858</v>
      </c>
      <c r="BT281" s="50">
        <f>EXP(LN(BT30)+0.5*LN('Ecoinvent 3.10'!$E$18)^2)</f>
        <v>0.48682787283830858</v>
      </c>
      <c r="BU281" s="224"/>
      <c r="BV281" s="50"/>
      <c r="BW281" s="224">
        <f>EXP(LN(BW30)+0.5*LN('Ecoinvent 3.10'!$E$18)^2)</f>
        <v>0.79221518491784915</v>
      </c>
      <c r="BX281" s="50">
        <f>EXP(LN(BX30)+0.5*LN('Ecoinvent 3.10'!$E$18)^2)</f>
        <v>0.79221518491784915</v>
      </c>
      <c r="BY281" s="224">
        <f>EXP(LN(BY30)+0.5*LN('Ecoinvent 3.10'!$E$18)^2)</f>
        <v>0.48682787283830858</v>
      </c>
      <c r="BZ281" s="50">
        <f>EXP(LN(BZ30)+0.5*LN('Ecoinvent 3.10'!$E$18)^2)</f>
        <v>0.48682787283830858</v>
      </c>
      <c r="CA281" s="156"/>
      <c r="CB281" s="156"/>
      <c r="CC281" s="149" t="s">
        <v>216</v>
      </c>
      <c r="CD281" s="224">
        <f>EXP(LN(CD30)+0.5*LN('Ecoinvent 3.10'!$E$18)^2)</f>
        <v>2.2696266087406323</v>
      </c>
      <c r="CE281" s="50">
        <f>EXP(LN(CE30)+0.5*LN('Ecoinvent 3.10'!$E$18)^2)</f>
        <v>2.2696266087406323</v>
      </c>
      <c r="CF281" s="224">
        <f>EXP(LN(CF30)+0.5*LN('Ecoinvent 3.10'!$E$18)^2)</f>
        <v>3.0405244087559211</v>
      </c>
      <c r="CG281" s="50">
        <f>EXP(LN(CG30)+0.5*LN('Ecoinvent 3.10'!$E$18)^2)</f>
        <v>3.0405244087559211</v>
      </c>
      <c r="CH281" s="224">
        <f>EXP(LN(CH30)+0.5*LN('Ecoinvent 3.10'!$E$18)^2)</f>
        <v>2.9520672321797905</v>
      </c>
      <c r="CI281" s="50">
        <f>EXP(LN(CI30)+0.5*LN('Ecoinvent 3.10'!$E$18)^2)</f>
        <v>2.9520672321797905</v>
      </c>
      <c r="CJ281" s="224">
        <f>EXP(LN(CJ30)+0.5*LN('Ecoinvent 3.10'!$E$18)^2)</f>
        <v>2.446005365606978</v>
      </c>
      <c r="CK281" s="50">
        <f>EXP(LN(CK30)+0.5*LN('Ecoinvent 3.10'!$E$18)^2)</f>
        <v>2.446005365606978</v>
      </c>
      <c r="CL281" s="224">
        <f>EXP(LN(CL30)+0.5*LN('Ecoinvent 3.10'!$E$18)^2)</f>
        <v>2.2090608489203998</v>
      </c>
      <c r="CM281" s="50">
        <f>EXP(LN(CM30)+0.5*LN('Ecoinvent 3.10'!$E$18)^2)</f>
        <v>2.2090608489203998</v>
      </c>
      <c r="CN281" s="224"/>
      <c r="CO281" s="50"/>
      <c r="CP281" s="224">
        <f>EXP(LN(CP30)+0.5*LN('Ecoinvent 3.10'!$E$18)^2)</f>
        <v>3.594805570024346</v>
      </c>
      <c r="CQ281" s="50">
        <f>EXP(LN(CQ30)+0.5*LN('Ecoinvent 3.10'!$E$18)^2)</f>
        <v>3.594805570024346</v>
      </c>
      <c r="CR281" s="224">
        <f>EXP(LN(CR30)+0.5*LN('Ecoinvent 3.10'!$E$18)^2)</f>
        <v>2.2090608489203998</v>
      </c>
      <c r="CS281" s="50">
        <f>EXP(LN(CS30)+0.5*LN('Ecoinvent 3.10'!$E$18)^2)</f>
        <v>2.2090608489203998</v>
      </c>
      <c r="CV281" s="149" t="s">
        <v>216</v>
      </c>
      <c r="CW281" s="224">
        <f>EXP(LN(CW30)+0.5*LN('Ecoinvent 3.10'!$E$18)^2)</f>
        <v>3.8960585596050344E-4</v>
      </c>
      <c r="CX281" s="50">
        <f>EXP(LN(CX30)+0.5*LN('Ecoinvent 3.10'!$E$18)^2)</f>
        <v>3.8960585596050344E-4</v>
      </c>
      <c r="CY281" s="224">
        <f>EXP(LN(CY30)+0.5*LN('Ecoinvent 3.10'!$E$18)^2)</f>
        <v>5.2193876749597476E-4</v>
      </c>
      <c r="CZ281" s="50">
        <f>EXP(LN(CZ30)+0.5*LN('Ecoinvent 3.10'!$E$18)^2)</f>
        <v>5.2193876749597476E-4</v>
      </c>
      <c r="DA281" s="224">
        <f>EXP(LN(DA30)+0.5*LN('Ecoinvent 3.10'!$E$18)^2)</f>
        <v>5.0675414027003842E-4</v>
      </c>
      <c r="DB281" s="50">
        <f>EXP(LN(DB30)+0.5*LN('Ecoinvent 3.10'!$E$18)^2)</f>
        <v>5.0675414027003842E-4</v>
      </c>
      <c r="DC281" s="224">
        <f>EXP(LN(DC30)+0.5*LN('Ecoinvent 3.10'!$E$18)^2)</f>
        <v>4.1988316954041981E-4</v>
      </c>
      <c r="DD281" s="50">
        <f>EXP(LN(DD30)+0.5*LN('Ecoinvent 3.10'!$E$18)^2)</f>
        <v>4.1988316954041981E-4</v>
      </c>
      <c r="DE281" s="224">
        <f>EXP(LN(DE30)+0.5*LN('Ecoinvent 3.10'!$E$18)^2)</f>
        <v>3.7920909086893052E-4</v>
      </c>
      <c r="DF281" s="50">
        <f>EXP(LN(DF30)+0.5*LN('Ecoinvent 3.10'!$E$18)^2)</f>
        <v>3.7920909086893052E-4</v>
      </c>
      <c r="DG281" s="224"/>
      <c r="DH281" s="50"/>
      <c r="DI281" s="224">
        <f>EXP(LN(DI30)+0.5*LN('Ecoinvent 3.10'!$E$18)^2)</f>
        <v>6.1708709958157399E-4</v>
      </c>
      <c r="DJ281" s="50">
        <f>EXP(LN(DJ30)+0.5*LN('Ecoinvent 3.10'!$E$18)^2)</f>
        <v>6.1708709958157399E-4</v>
      </c>
      <c r="DK281" s="224">
        <f>EXP(LN(DK30)+0.5*LN('Ecoinvent 3.10'!$E$18)^2)</f>
        <v>3.7920909086893052E-4</v>
      </c>
      <c r="DL281" s="50">
        <f>EXP(LN(DL30)+0.5*LN('Ecoinvent 3.10'!$E$18)^2)</f>
        <v>3.7920909086893052E-4</v>
      </c>
      <c r="DO281" s="149" t="s">
        <v>216</v>
      </c>
      <c r="DP281" s="224">
        <f>EXP(LN(DP30)+0.5*LN('Ecoinvent 3.10'!$E$18)^2)</f>
        <v>3.7712111631877446E-3</v>
      </c>
      <c r="DQ281" s="50">
        <f>EXP(LN(DQ30)+0.5*LN('Ecoinvent 3.10'!$E$18)^2)</f>
        <v>3.7712111631877446E-3</v>
      </c>
      <c r="DR281" s="224">
        <f>EXP(LN(DR30)+0.5*LN('Ecoinvent 3.10'!$E$18)^2)</f>
        <v>5.0521348084686208E-3</v>
      </c>
      <c r="DS281" s="50">
        <f>EXP(LN(DS30)+0.5*LN('Ecoinvent 3.10'!$E$18)^2)</f>
        <v>5.0521348084686208E-3</v>
      </c>
      <c r="DT281" s="224">
        <f>EXP(LN(DT30)+0.5*LN('Ecoinvent 3.10'!$E$18)^2)</f>
        <v>4.9051543798451329E-3</v>
      </c>
      <c r="DU281" s="50">
        <f>EXP(LN(DU30)+0.5*LN('Ecoinvent 3.10'!$E$18)^2)</f>
        <v>4.9051543798451329E-3</v>
      </c>
      <c r="DV281" s="224">
        <f>EXP(LN(DV30)+0.5*LN('Ecoinvent 3.10'!$E$18)^2)</f>
        <v>4.0642820737427712E-3</v>
      </c>
      <c r="DW281" s="50">
        <f>EXP(LN(DW30)+0.5*LN('Ecoinvent 3.10'!$E$18)^2)</f>
        <v>4.0642820737427712E-3</v>
      </c>
      <c r="DX281" s="224">
        <f>EXP(LN(DX30)+0.5*LN('Ecoinvent 3.10'!$E$18)^2)</f>
        <v>3.6705751076086509E-3</v>
      </c>
      <c r="DY281" s="50">
        <f>EXP(LN(DY30)+0.5*LN('Ecoinvent 3.10'!$E$18)^2)</f>
        <v>3.6705751076086509E-3</v>
      </c>
      <c r="DZ281" s="224"/>
      <c r="EA281" s="50"/>
      <c r="EB281" s="224">
        <f>EXP(LN(EB30)+0.5*LN('Ecoinvent 3.10'!$E$18)^2)</f>
        <v>5.9731282859287809E-3</v>
      </c>
      <c r="EC281" s="50">
        <f>EXP(LN(EC30)+0.5*LN('Ecoinvent 3.10'!$E$18)^2)</f>
        <v>5.9731282859287809E-3</v>
      </c>
      <c r="ED281" s="224">
        <f>EXP(LN(ED30)+0.5*LN('Ecoinvent 3.10'!$E$18)^2)</f>
        <v>3.6705751076086509E-3</v>
      </c>
      <c r="EE281" s="50">
        <f>EXP(LN(EE30)+0.5*LN('Ecoinvent 3.10'!$E$18)^2)</f>
        <v>3.6705751076086509E-3</v>
      </c>
      <c r="EH281" s="149" t="s">
        <v>216</v>
      </c>
      <c r="EI281" s="224">
        <f>EXP(LN(EI30)+0.5*LN('Ecoinvent 3.10'!$E$18)^2)</f>
        <v>9.6486030276313698E-3</v>
      </c>
      <c r="EJ281" s="50">
        <f>EXP(LN(EJ30)+0.5*LN('Ecoinvent 3.10'!$E$18)^2)</f>
        <v>9.6486030276313698E-3</v>
      </c>
      <c r="EK281" s="224">
        <f>EXP(LN(EK30)+0.5*LN('Ecoinvent 3.10'!$E$18)^2)</f>
        <v>1.2925832338645273E-2</v>
      </c>
      <c r="EL281" s="50">
        <f>EXP(LN(EL30)+0.5*LN('Ecoinvent 3.10'!$E$18)^2)</f>
        <v>1.2925832338645273E-2</v>
      </c>
      <c r="EM281" s="224">
        <f>EXP(LN(EM30)+0.5*LN('Ecoinvent 3.10'!$E$18)^2)</f>
        <v>1.254978449956845E-2</v>
      </c>
      <c r="EN281" s="50">
        <f>EXP(LN(EN30)+0.5*LN('Ecoinvent 3.10'!$E$18)^2)</f>
        <v>1.254978449956845E-2</v>
      </c>
      <c r="EO281" s="224">
        <f>EXP(LN(EO30)+0.5*LN('Ecoinvent 3.10'!$E$18)^2)</f>
        <v>1.0398421786786112E-2</v>
      </c>
      <c r="EP281" s="50">
        <f>EXP(LN(EP30)+0.5*LN('Ecoinvent 3.10'!$E$18)^2)</f>
        <v>1.0398421786786112E-2</v>
      </c>
      <c r="EQ281" s="224">
        <f>EXP(LN(EQ30)+0.5*LN('Ecoinvent 3.10'!$E$18)^2)</f>
        <v>9.3911267664165184E-3</v>
      </c>
      <c r="ER281" s="50">
        <f>EXP(LN(ER30)+0.5*LN('Ecoinvent 3.10'!$E$18)^2)</f>
        <v>9.3911267664165184E-3</v>
      </c>
      <c r="ES281" s="224"/>
      <c r="ET281" s="50"/>
      <c r="EU281" s="224">
        <f>EXP(LN(EU30)+0.5*LN('Ecoinvent 3.10'!$E$18)^2)</f>
        <v>1.528218420294645E-2</v>
      </c>
      <c r="EV281" s="50">
        <f>EXP(LN(EV30)+0.5*LN('Ecoinvent 3.10'!$E$18)^2)</f>
        <v>1.528218420294645E-2</v>
      </c>
      <c r="EW281" s="224">
        <f>EXP(LN(EW30)+0.5*LN('Ecoinvent 3.10'!$E$18)^2)</f>
        <v>9.3911267664165184E-3</v>
      </c>
      <c r="EX281" s="50">
        <f>EXP(LN(EX30)+0.5*LN('Ecoinvent 3.10'!$E$18)^2)</f>
        <v>9.3911267664165184E-3</v>
      </c>
      <c r="FA281" s="149" t="s">
        <v>216</v>
      </c>
      <c r="FB281" s="224">
        <f>EXP(LN(FB30)+0.5*LN('Ecoinvent 3.10'!$E$18)^2)</f>
        <v>2.3476775802354348E-5</v>
      </c>
      <c r="FC281" s="50">
        <f>EXP(LN(FC30)+0.5*LN('Ecoinvent 3.10'!$E$18)^2)</f>
        <v>2.3476775802354348E-5</v>
      </c>
      <c r="FD281" s="224">
        <f>EXP(LN(FD30)+0.5*LN('Ecoinvent 3.10'!$E$18)^2)</f>
        <v>3.1450860503242418E-5</v>
      </c>
      <c r="FE281" s="50">
        <f>EXP(LN(FE30)+0.5*LN('Ecoinvent 3.10'!$E$18)^2)</f>
        <v>3.1450860503242418E-5</v>
      </c>
      <c r="FF281" s="224">
        <f>EXP(LN(FF30)+0.5*LN('Ecoinvent 3.10'!$E$18)^2)</f>
        <v>3.0535868894230815E-5</v>
      </c>
      <c r="FG281" s="50">
        <f>EXP(LN(FG30)+0.5*LN('Ecoinvent 3.10'!$E$18)^2)</f>
        <v>3.0535868894230815E-5</v>
      </c>
      <c r="FH281" s="224">
        <f>EXP(LN(FH30)+0.5*LN('Ecoinvent 3.10'!$E$18)^2)</f>
        <v>2.5301218869466114E-5</v>
      </c>
      <c r="FI281" s="50">
        <f>EXP(LN(FI30)+0.5*LN('Ecoinvent 3.10'!$E$18)^2)</f>
        <v>2.5301218869466114E-5</v>
      </c>
      <c r="FJ281" s="224">
        <f>EXP(LN(FJ30)+0.5*LN('Ecoinvent 3.10'!$E$18)^2)</f>
        <v>2.2850290036315592E-5</v>
      </c>
      <c r="FK281" s="50">
        <f>EXP(LN(FK30)+0.5*LN('Ecoinvent 3.10'!$E$18)^2)</f>
        <v>2.2850290036315592E-5</v>
      </c>
      <c r="FL281" s="224"/>
      <c r="FM281" s="50"/>
      <c r="FN281" s="224">
        <f>EXP(LN(FN30)+0.5*LN('Ecoinvent 3.10'!$E$18)^2)</f>
        <v>3.7184285774365748E-5</v>
      </c>
      <c r="FO281" s="50">
        <f>EXP(LN(FO30)+0.5*LN('Ecoinvent 3.10'!$E$18)^2)</f>
        <v>3.7184285774365748E-5</v>
      </c>
      <c r="FP281" s="224">
        <f>EXP(LN(FP30)+0.5*LN('Ecoinvent 3.10'!$E$18)^2)</f>
        <v>2.2850290036315592E-5</v>
      </c>
      <c r="FQ281" s="50">
        <f>EXP(LN(FQ30)+0.5*LN('Ecoinvent 3.10'!$E$18)^2)</f>
        <v>2.2850290036315592E-5</v>
      </c>
      <c r="FT281" s="149" t="s">
        <v>216</v>
      </c>
      <c r="FU281" s="224">
        <f>EXP(LN(FU30)+0.5*LN('Ecoinvent 3.10'!$E$18)^2)</f>
        <v>8.6081511275299376E-3</v>
      </c>
      <c r="FV281" s="50">
        <f>EXP(LN(FV30)+0.5*LN('Ecoinvent 3.10'!$E$18)^2)</f>
        <v>8.6081511275299376E-3</v>
      </c>
      <c r="FW281" s="224">
        <f>EXP(LN(FW30)+0.5*LN('Ecoinvent 3.10'!$E$18)^2)</f>
        <v>1.1531982184522234E-2</v>
      </c>
      <c r="FX281" s="50">
        <f>EXP(LN(FX30)+0.5*LN('Ecoinvent 3.10'!$E$18)^2)</f>
        <v>1.1531982184522234E-2</v>
      </c>
      <c r="FY281" s="224">
        <f>EXP(LN(FY30)+0.5*LN('Ecoinvent 3.10'!$E$18)^2)</f>
        <v>1.1196485261217989E-2</v>
      </c>
      <c r="FZ281" s="50">
        <f>EXP(LN(FZ30)+0.5*LN('Ecoinvent 3.10'!$E$18)^2)</f>
        <v>1.1196485261217989E-2</v>
      </c>
      <c r="GA281" s="224">
        <f>EXP(LN(GA30)+0.5*LN('Ecoinvent 3.10'!$E$18)^2)</f>
        <v>9.2771135854709096E-3</v>
      </c>
      <c r="GB281" s="50">
        <f>EXP(LN(GB30)+0.5*LN('Ecoinvent 3.10'!$E$18)^2)</f>
        <v>9.2771135854709096E-3</v>
      </c>
      <c r="GC281" s="224">
        <f>EXP(LN(GC30)+0.5*LN('Ecoinvent 3.10'!$E$18)^2)</f>
        <v>8.378439679982393E-3</v>
      </c>
      <c r="GD281" s="50">
        <f>EXP(LN(GD30)+0.5*LN('Ecoinvent 3.10'!$E$18)^2)</f>
        <v>8.378439679982393E-3</v>
      </c>
      <c r="GE281" s="224"/>
      <c r="GF281" s="50"/>
      <c r="GG281" s="224">
        <f>EXP(LN(GG30)+0.5*LN('Ecoinvent 3.10'!$E$18)^2)</f>
        <v>1.3634238117267444E-2</v>
      </c>
      <c r="GH281" s="50">
        <f>EXP(LN(GH30)+0.5*LN('Ecoinvent 3.10'!$E$18)^2)</f>
        <v>1.3634238117267444E-2</v>
      </c>
      <c r="GI281" s="224">
        <f>EXP(LN(GI30)+0.5*LN('Ecoinvent 3.10'!$E$18)^2)</f>
        <v>8.378439679982393E-3</v>
      </c>
      <c r="GJ281" s="50">
        <f>EXP(LN(GJ30)+0.5*LN('Ecoinvent 3.10'!$E$18)^2)</f>
        <v>8.378439679982393E-3</v>
      </c>
      <c r="GM281" s="149" t="s">
        <v>216</v>
      </c>
      <c r="GN281" s="224">
        <f>EXP(LN(GN30)+0.5*LN('Ecoinvent 3.10'!$E$18)^2)</f>
        <v>3.9766713791795388E-2</v>
      </c>
      <c r="GO281" s="50">
        <f>EXP(LN(GO30)+0.5*LN('Ecoinvent 3.10'!$E$18)^2)</f>
        <v>3.9766713791795388E-2</v>
      </c>
      <c r="GP281" s="224">
        <f>EXP(LN(GP30)+0.5*LN('Ecoinvent 3.10'!$E$18)^2)</f>
        <v>5.3273813178924566E-2</v>
      </c>
      <c r="GQ281" s="50">
        <f>EXP(LN(GQ30)+0.5*LN('Ecoinvent 3.10'!$E$18)^2)</f>
        <v>5.3273813178924566E-2</v>
      </c>
      <c r="GR281" s="224">
        <f>EXP(LN(GR30)+0.5*LN('Ecoinvent 3.10'!$E$18)^2)</f>
        <v>5.1723932149954285E-2</v>
      </c>
      <c r="GS281" s="50">
        <f>EXP(LN(GS30)+0.5*LN('Ecoinvent 3.10'!$E$18)^2)</f>
        <v>5.1723932149954285E-2</v>
      </c>
      <c r="GT281" s="224">
        <f>EXP(LN(GT30)+0.5*LN('Ecoinvent 3.10'!$E$18)^2)</f>
        <v>4.2857091528928339E-2</v>
      </c>
      <c r="GU281" s="50">
        <f>EXP(LN(GU30)+0.5*LN('Ecoinvent 3.10'!$E$18)^2)</f>
        <v>4.2857091528928339E-2</v>
      </c>
      <c r="GV281" s="224">
        <f>EXP(LN(GV30)+0.5*LN('Ecoinvent 3.10'!$E$18)^2)</f>
        <v>3.8705525476907664E-2</v>
      </c>
      <c r="GW281" s="50">
        <f>EXP(LN(GW30)+0.5*LN('Ecoinvent 3.10'!$E$18)^2)</f>
        <v>3.8705525476907664E-2</v>
      </c>
      <c r="GX281" s="224"/>
      <c r="GY281" s="50"/>
      <c r="GZ281" s="224">
        <f>EXP(LN(GZ30)+0.5*LN('Ecoinvent 3.10'!$E$18)^2)</f>
        <v>6.2985516511736686E-2</v>
      </c>
      <c r="HA281" s="50">
        <f>EXP(LN(HA30)+0.5*LN('Ecoinvent 3.10'!$E$18)^2)</f>
        <v>6.2985516511736686E-2</v>
      </c>
      <c r="HB281" s="224">
        <f>EXP(LN(HB30)+0.5*LN('Ecoinvent 3.10'!$E$18)^2)</f>
        <v>3.8705525476907664E-2</v>
      </c>
      <c r="HC281" s="50">
        <f>EXP(LN(HC30)+0.5*LN('Ecoinvent 3.10'!$E$18)^2)</f>
        <v>3.8705525476907664E-2</v>
      </c>
      <c r="HF281" s="149" t="s">
        <v>216</v>
      </c>
      <c r="HG281" s="224">
        <f>EXP(LN(HG30)+0.5*LN('Ecoinvent 3.10'!$E$18)^2)</f>
        <v>0.13536122093637412</v>
      </c>
      <c r="HH281" s="50">
        <f>EXP(LN(HH30)+0.5*LN('Ecoinvent 3.10'!$E$18)^2)</f>
        <v>0.13536122093637412</v>
      </c>
      <c r="HI281" s="224">
        <f>EXP(LN(HI30)+0.5*LN('Ecoinvent 3.10'!$E$18)^2)</f>
        <v>0.18133780009057063</v>
      </c>
      <c r="HJ281" s="50">
        <f>EXP(LN(HJ30)+0.5*LN('Ecoinvent 3.10'!$E$18)^2)</f>
        <v>0.18133780009057063</v>
      </c>
      <c r="HK281" s="224">
        <f>EXP(LN(HK30)+0.5*LN('Ecoinvent 3.10'!$E$18)^2)</f>
        <v>0.17606218718763</v>
      </c>
      <c r="HL281" s="50">
        <f>EXP(LN(HL30)+0.5*LN('Ecoinvent 3.10'!$E$18)^2)</f>
        <v>0.17606218718763</v>
      </c>
      <c r="HM281" s="224">
        <f>EXP(LN(HM30)+0.5*LN('Ecoinvent 3.10'!$E$18)^2)</f>
        <v>0.1458805036169363</v>
      </c>
      <c r="HN281" s="50">
        <f>EXP(LN(HN30)+0.5*LN('Ecoinvent 3.10'!$E$18)^2)</f>
        <v>0.1458805036169363</v>
      </c>
      <c r="HO281" s="224">
        <f>EXP(LN(HO30)+0.5*LN('Ecoinvent 3.10'!$E$18)^2)</f>
        <v>0.13174906060804817</v>
      </c>
      <c r="HP281" s="50">
        <f>EXP(LN(HP30)+0.5*LN('Ecoinvent 3.10'!$E$18)^2)</f>
        <v>0.13174906060804817</v>
      </c>
      <c r="HQ281" s="224"/>
      <c r="HR281" s="50"/>
      <c r="HS281" s="224">
        <f>EXP(LN(HS30)+0.5*LN('Ecoinvent 3.10'!$E$18)^2)</f>
        <v>0.21439529705609872</v>
      </c>
      <c r="HT281" s="50">
        <f>EXP(LN(HT30)+0.5*LN('Ecoinvent 3.10'!$E$18)^2)</f>
        <v>0.21439529705609872</v>
      </c>
      <c r="HU281" s="224">
        <f>EXP(LN(HU30)+0.5*LN('Ecoinvent 3.10'!$E$18)^2)</f>
        <v>0.13174906060804817</v>
      </c>
      <c r="HV281" s="50">
        <f>EXP(LN(HV30)+0.5*LN('Ecoinvent 3.10'!$E$18)^2)</f>
        <v>0.13174906060804817</v>
      </c>
      <c r="HY281" s="149" t="s">
        <v>216</v>
      </c>
      <c r="HZ281" s="224">
        <f>EXP(LN(HZ30)+0.5*LN('Ecoinvent 3.10'!$E$18)^2)</f>
        <v>1.4961192785437527E-4</v>
      </c>
      <c r="IA281" s="50">
        <f>EXP(LN(IA30)+0.5*LN('Ecoinvent 3.10'!$E$18)^2)</f>
        <v>1.4961192785437527E-4</v>
      </c>
      <c r="IB281" s="224">
        <f>EXP(LN(IB30)+0.5*LN('Ecoinvent 3.10'!$E$18)^2)</f>
        <v>2.0042887968020062E-4</v>
      </c>
      <c r="IC281" s="50">
        <f>EXP(LN(IC30)+0.5*LN('Ecoinvent 3.10'!$E$18)^2)</f>
        <v>2.0042887968020062E-4</v>
      </c>
      <c r="ID281" s="224">
        <f>EXP(LN(ID30)+0.5*LN('Ecoinvent 3.10'!$E$18)^2)</f>
        <v>1.9459785502216073E-4</v>
      </c>
      <c r="IE281" s="50">
        <f>EXP(LN(IE30)+0.5*LN('Ecoinvent 3.10'!$E$18)^2)</f>
        <v>1.9459785502216073E-4</v>
      </c>
      <c r="IF281" s="224">
        <f>EXP(LN(IF30)+0.5*LN('Ecoinvent 3.10'!$E$18)^2)</f>
        <v>1.6123867110179172E-4</v>
      </c>
      <c r="IG281" s="50">
        <f>EXP(LN(IG30)+0.5*LN('Ecoinvent 3.10'!$E$18)^2)</f>
        <v>1.6123867110179172E-4</v>
      </c>
      <c r="IH281" s="224">
        <f>EXP(LN(IH30)+0.5*LN('Ecoinvent 3.10'!$E$18)^2)</f>
        <v>1.4561948255356085E-4</v>
      </c>
      <c r="II281" s="50">
        <f>EXP(LN(II30)+0.5*LN('Ecoinvent 3.10'!$E$18)^2)</f>
        <v>1.4561948255356085E-4</v>
      </c>
      <c r="IJ281" s="224"/>
      <c r="IK281" s="50"/>
      <c r="IL281" s="224"/>
      <c r="IM281" s="224"/>
      <c r="IN281" s="224"/>
      <c r="IO281" s="224"/>
    </row>
    <row r="282" spans="2:249" ht="12.75" customHeight="1" x14ac:dyDescent="0.2">
      <c r="B282" s="248"/>
      <c r="C282" s="248"/>
      <c r="D282" s="248"/>
      <c r="E282" s="248"/>
      <c r="F282" s="248"/>
      <c r="G282" s="248"/>
      <c r="H282" s="248"/>
      <c r="I282" s="248"/>
      <c r="J282" s="248"/>
      <c r="K282" s="248"/>
      <c r="L282" s="248"/>
      <c r="M282" s="248"/>
      <c r="N282" s="248"/>
      <c r="O282" s="248"/>
      <c r="P282" s="248"/>
      <c r="Q282" s="248"/>
      <c r="R282" s="248"/>
      <c r="S282" s="248"/>
      <c r="T282" s="248"/>
      <c r="U282" s="248"/>
      <c r="V282" s="248"/>
      <c r="W282" s="248"/>
      <c r="X282" s="248"/>
      <c r="Y282" s="248"/>
      <c r="Z282" s="248"/>
      <c r="AA282" s="248"/>
      <c r="AB282" s="248"/>
      <c r="AC282" s="248"/>
      <c r="AD282" s="248"/>
      <c r="AE282" s="248"/>
      <c r="AF282" s="248"/>
      <c r="AG282" s="248"/>
      <c r="AH282" s="248"/>
      <c r="AI282" s="248"/>
      <c r="AJ282" s="248"/>
      <c r="AK282" s="248"/>
      <c r="AL282" s="248"/>
      <c r="AM282" s="248"/>
      <c r="AN282" s="139"/>
      <c r="AO282" s="248"/>
      <c r="AP282" s="726"/>
      <c r="AQ282" s="149" t="s">
        <v>396</v>
      </c>
      <c r="AR282" s="224">
        <f>EXP(LN(AR31)+0.5*LN('Ecoinvent 3.10'!$E$26)^2)</f>
        <v>1.5299303629004567E-3</v>
      </c>
      <c r="AS282" s="224">
        <f>EXP(LN(AS31)+0.5*LN('Ecoinvent 3.10'!$E$26)^2)</f>
        <v>1.5299303629004567E-3</v>
      </c>
      <c r="AT282" s="224">
        <f>EXP(LN(AT31)+0.5*LN('Ecoinvent 3.10'!$E$26)^2)</f>
        <v>2.0465302256980132E-3</v>
      </c>
      <c r="AU282" s="224">
        <f>EXP(LN(AU31)+0.5*LN('Ecoinvent 3.10'!$E$26)^2)</f>
        <v>2.0465302256980132E-3</v>
      </c>
      <c r="AV282" s="224">
        <f>EXP(LN(AV31)+0.5*LN('Ecoinvent 3.10'!$E$26)^2)</f>
        <v>1.9947193339081909E-3</v>
      </c>
      <c r="AW282" s="224">
        <f>EXP(LN(AW31)+0.5*LN('Ecoinvent 3.10'!$E$26)^2)</f>
        <v>1.9947193339081909E-3</v>
      </c>
      <c r="AX282" s="224">
        <f>EXP(LN(AX31)+0.5*LN('Ecoinvent 3.10'!$E$26)^2)</f>
        <v>1.6587666039868114E-3</v>
      </c>
      <c r="AY282" s="224">
        <f>EXP(LN(AY31)+0.5*LN('Ecoinvent 3.10'!$E$26)^2)</f>
        <v>1.6587666039868114E-3</v>
      </c>
      <c r="AZ282" s="224">
        <f>EXP(LN(AZ31)+0.5*LN('Ecoinvent 3.10'!$E$26)^2)</f>
        <v>1.500788832178544E-3</v>
      </c>
      <c r="BA282" s="224">
        <f>EXP(LN(BA31)+0.5*LN('Ecoinvent 3.10'!$E$26)^2)</f>
        <v>1.500788832178544E-3</v>
      </c>
      <c r="BB282" s="224"/>
      <c r="BC282" s="50"/>
      <c r="BD282" s="224">
        <f>EXP(LN(BD31)+0.5*LN('Ecoinvent 3.10'!$E$26)^2)</f>
        <v>2.8014724867332819E-3</v>
      </c>
      <c r="BE282" s="50">
        <f>EXP(LN(BE31)+0.5*LN('Ecoinvent 3.10'!$E$26)^2)</f>
        <v>2.8014724867332819E-3</v>
      </c>
      <c r="BF282" s="224">
        <f>EXP(LN(BF31)+0.5*LN('Ecoinvent 3.10'!$E$26)^2)</f>
        <v>1.500788832178544E-3</v>
      </c>
      <c r="BG282" s="50">
        <f>EXP(LN(BG31)+0.5*LN('Ecoinvent 3.10'!$E$26)^2)</f>
        <v>1.500788832178544E-3</v>
      </c>
      <c r="BI282" s="156"/>
      <c r="BJ282" s="149" t="s">
        <v>396</v>
      </c>
      <c r="BK282" s="224">
        <f>EXP(LN(BK31)+0.5*LN('Ecoinvent 3.10'!$E$26)^2)</f>
        <v>3.7270056046381615E-4</v>
      </c>
      <c r="BL282" s="224">
        <f>EXP(LN(BL31)+0.5*LN('Ecoinvent 3.10'!$E$26)^2)</f>
        <v>3.7270056046381615E-4</v>
      </c>
      <c r="BM282" s="224">
        <f>EXP(LN(BM31)+0.5*LN('Ecoinvent 3.10'!$E$26)^2)</f>
        <v>4.9854750295809163E-4</v>
      </c>
      <c r="BN282" s="224">
        <f>EXP(LN(BN31)+0.5*LN('Ecoinvent 3.10'!$E$26)^2)</f>
        <v>4.9854750295809163E-4</v>
      </c>
      <c r="BO282" s="224">
        <f>EXP(LN(BO31)+0.5*LN('Ecoinvent 3.10'!$E$26)^2)</f>
        <v>4.8592604718700042E-4</v>
      </c>
      <c r="BP282" s="224">
        <f>EXP(LN(BP31)+0.5*LN('Ecoinvent 3.10'!$E$26)^2)</f>
        <v>4.8592604718700042E-4</v>
      </c>
      <c r="BQ282" s="224">
        <f>EXP(LN(BQ31)+0.5*LN('Ecoinvent 3.10'!$E$26)^2)</f>
        <v>4.0408587081866353E-4</v>
      </c>
      <c r="BR282" s="224">
        <f>EXP(LN(BR31)+0.5*LN('Ecoinvent 3.10'!$E$26)^2)</f>
        <v>4.0408587081866353E-4</v>
      </c>
      <c r="BS282" s="224">
        <f>EXP(LN(BS31)+0.5*LN('Ecoinvent 3.10'!$E$26)^2)</f>
        <v>3.6560150216926712E-4</v>
      </c>
      <c r="BT282" s="224">
        <f>EXP(LN(BT31)+0.5*LN('Ecoinvent 3.10'!$E$26)^2)</f>
        <v>3.6560150216926712E-4</v>
      </c>
      <c r="BU282" s="224"/>
      <c r="BV282" s="50"/>
      <c r="BW282" s="224">
        <f>EXP(LN(BW31)+0.5*LN('Ecoinvent 3.10'!$E$26)^2)</f>
        <v>6.8245613738263187E-4</v>
      </c>
      <c r="BX282" s="50">
        <f>EXP(LN(BX31)+0.5*LN('Ecoinvent 3.10'!$E$26)^2)</f>
        <v>6.8245613738263187E-4</v>
      </c>
      <c r="BY282" s="224">
        <f>EXP(LN(BY31)+0.5*LN('Ecoinvent 3.10'!$E$26)^2)</f>
        <v>3.6560150216926712E-4</v>
      </c>
      <c r="BZ282" s="50">
        <f>EXP(LN(BZ31)+0.5*LN('Ecoinvent 3.10'!$E$26)^2)</f>
        <v>3.6560150216926712E-4</v>
      </c>
      <c r="CA282" s="156"/>
      <c r="CB282" s="156"/>
      <c r="CC282" s="149" t="s">
        <v>396</v>
      </c>
      <c r="CD282" s="224">
        <f>EXP(LN(CD31)+0.5*LN('Ecoinvent 3.10'!$E$26)^2)</f>
        <v>5.1210274017863483E-3</v>
      </c>
      <c r="CE282" s="224">
        <f>EXP(LN(CE31)+0.5*LN('Ecoinvent 3.10'!$E$26)^2)</f>
        <v>5.1210274017863483E-3</v>
      </c>
      <c r="CF282" s="224">
        <f>EXP(LN(CF31)+0.5*LN('Ecoinvent 3.10'!$E$26)^2)</f>
        <v>6.8502054855064127E-3</v>
      </c>
      <c r="CG282" s="224">
        <f>EXP(LN(CG31)+0.5*LN('Ecoinvent 3.10'!$E$26)^2)</f>
        <v>6.8502054855064127E-3</v>
      </c>
      <c r="CH282" s="224">
        <f>EXP(LN(CH31)+0.5*LN('Ecoinvent 3.10'!$E$26)^2)</f>
        <v>6.6767825618227073E-3</v>
      </c>
      <c r="CI282" s="224">
        <f>EXP(LN(CI31)+0.5*LN('Ecoinvent 3.10'!$E$26)^2)</f>
        <v>6.6767825618227073E-3</v>
      </c>
      <c r="CJ282" s="224">
        <f>EXP(LN(CJ31)+0.5*LN('Ecoinvent 3.10'!$E$26)^2)</f>
        <v>5.5522718145683573E-3</v>
      </c>
      <c r="CK282" s="224">
        <f>EXP(LN(CK31)+0.5*LN('Ecoinvent 3.10'!$E$26)^2)</f>
        <v>5.5522718145683573E-3</v>
      </c>
      <c r="CL282" s="224">
        <f>EXP(LN(CL31)+0.5*LN('Ecoinvent 3.10'!$E$26)^2)</f>
        <v>5.0234840227047009E-3</v>
      </c>
      <c r="CM282" s="224">
        <f>EXP(LN(CM31)+0.5*LN('Ecoinvent 3.10'!$E$26)^2)</f>
        <v>5.0234840227047009E-3</v>
      </c>
      <c r="CN282" s="224"/>
      <c r="CO282" s="50"/>
      <c r="CP282" s="224">
        <f>EXP(LN(CP31)+0.5*LN('Ecoinvent 3.10'!$E$26)^2)</f>
        <v>9.377170175715448E-3</v>
      </c>
      <c r="CQ282" s="50">
        <f>EXP(LN(CQ31)+0.5*LN('Ecoinvent 3.10'!$E$26)^2)</f>
        <v>9.377170175715448E-3</v>
      </c>
      <c r="CR282" s="224">
        <f>EXP(LN(CR31)+0.5*LN('Ecoinvent 3.10'!$E$26)^2)</f>
        <v>5.0234840227047009E-3</v>
      </c>
      <c r="CS282" s="50">
        <f>EXP(LN(CS31)+0.5*LN('Ecoinvent 3.10'!$E$26)^2)</f>
        <v>5.0234840227047009E-3</v>
      </c>
      <c r="CV282" s="149" t="s">
        <v>396</v>
      </c>
      <c r="CW282" s="224">
        <f>EXP(LN(CW31)+0.5*LN('Ecoinvent 3.10'!$E$26)^2)</f>
        <v>2.7647410158415558E-6</v>
      </c>
      <c r="CX282" s="224">
        <f>EXP(LN(CX31)+0.5*LN('Ecoinvent 3.10'!$E$26)^2)</f>
        <v>2.7647410158415558E-6</v>
      </c>
      <c r="CY282" s="224">
        <f>EXP(LN(CY31)+0.5*LN('Ecoinvent 3.10'!$E$26)^2)</f>
        <v>3.6982899302815613E-6</v>
      </c>
      <c r="CZ282" s="224">
        <f>EXP(LN(CZ31)+0.5*LN('Ecoinvent 3.10'!$E$26)^2)</f>
        <v>3.6982899302815613E-6</v>
      </c>
      <c r="DA282" s="224">
        <f>EXP(LN(DA31)+0.5*LN('Ecoinvent 3.10'!$E$26)^2)</f>
        <v>3.6046623371098738E-6</v>
      </c>
      <c r="DB282" s="224">
        <f>EXP(LN(DB31)+0.5*LN('Ecoinvent 3.10'!$E$26)^2)</f>
        <v>3.6046623371098738E-6</v>
      </c>
      <c r="DC282" s="224">
        <f>EXP(LN(DC31)+0.5*LN('Ecoinvent 3.10'!$E$26)^2)</f>
        <v>2.9975613119124216E-6</v>
      </c>
      <c r="DD282" s="224">
        <f>EXP(LN(DD31)+0.5*LN('Ecoinvent 3.10'!$E$26)^2)</f>
        <v>2.9975613119124216E-6</v>
      </c>
      <c r="DE282" s="224">
        <f>EXP(LN(DE31)+0.5*LN('Ecoinvent 3.10'!$E$26)^2)</f>
        <v>2.7120792822064773E-6</v>
      </c>
      <c r="DF282" s="224">
        <f>EXP(LN(DF31)+0.5*LN('Ecoinvent 3.10'!$E$26)^2)</f>
        <v>2.7120792822064773E-6</v>
      </c>
      <c r="DG282" s="224"/>
      <c r="DH282" s="50"/>
      <c r="DI282" s="224">
        <f>EXP(LN(DI31)+0.5*LN('Ecoinvent 3.10'!$E$26)^2)</f>
        <v>5.0625479934520904E-6</v>
      </c>
      <c r="DJ282" s="50">
        <f>EXP(LN(DJ31)+0.5*LN('Ecoinvent 3.10'!$E$26)^2)</f>
        <v>5.0625479934520904E-6</v>
      </c>
      <c r="DK282" s="224">
        <f>EXP(LN(DK31)+0.5*LN('Ecoinvent 3.10'!$E$26)^2)</f>
        <v>2.7120792822064773E-6</v>
      </c>
      <c r="DL282" s="50">
        <f>EXP(LN(DL31)+0.5*LN('Ecoinvent 3.10'!$E$26)^2)</f>
        <v>2.7120792822064773E-6</v>
      </c>
      <c r="DO282" s="149" t="s">
        <v>396</v>
      </c>
      <c r="DP282" s="224">
        <f>EXP(LN(DP31)+0.5*LN('Ecoinvent 3.10'!$E$26)^2)</f>
        <v>5.5140935364770885E-5</v>
      </c>
      <c r="DQ282" s="224">
        <f>EXP(LN(DQ31)+0.5*LN('Ecoinvent 3.10'!$E$26)^2)</f>
        <v>5.5140935364770885E-5</v>
      </c>
      <c r="DR282" s="224">
        <f>EXP(LN(DR31)+0.5*LN('Ecoinvent 3.10'!$E$26)^2)</f>
        <v>7.3759952500927412E-5</v>
      </c>
      <c r="DS282" s="224">
        <f>EXP(LN(DS31)+0.5*LN('Ecoinvent 3.10'!$E$26)^2)</f>
        <v>7.3759952500927412E-5</v>
      </c>
      <c r="DT282" s="224">
        <f>EXP(LN(DT31)+0.5*LN('Ecoinvent 3.10'!$E$26)^2)</f>
        <v>7.1892611931283635E-5</v>
      </c>
      <c r="DU282" s="224">
        <f>EXP(LN(DU31)+0.5*LN('Ecoinvent 3.10'!$E$26)^2)</f>
        <v>7.1892611931283635E-5</v>
      </c>
      <c r="DV282" s="224">
        <f>EXP(LN(DV31)+0.5*LN('Ecoinvent 3.10'!$E$26)^2)</f>
        <v>5.9784382553383234E-5</v>
      </c>
      <c r="DW282" s="224">
        <f>EXP(LN(DW31)+0.5*LN('Ecoinvent 3.10'!$E$26)^2)</f>
        <v>5.9784382553383234E-5</v>
      </c>
      <c r="DX282" s="224">
        <f>EXP(LN(DX31)+0.5*LN('Ecoinvent 3.10'!$E$26)^2)</f>
        <v>5.4090631834013412E-5</v>
      </c>
      <c r="DY282" s="224">
        <f>EXP(LN(DY31)+0.5*LN('Ecoinvent 3.10'!$E$26)^2)</f>
        <v>5.4090631834013412E-5</v>
      </c>
      <c r="DZ282" s="224"/>
      <c r="EA282" s="50"/>
      <c r="EB282" s="224">
        <f>EXP(LN(EB31)+0.5*LN('Ecoinvent 3.10'!$E$26)^2)</f>
        <v>1.0096917942349169E-4</v>
      </c>
      <c r="EC282" s="50">
        <f>EXP(LN(EC31)+0.5*LN('Ecoinvent 3.10'!$E$26)^2)</f>
        <v>1.0096917942349169E-4</v>
      </c>
      <c r="ED282" s="224">
        <f>EXP(LN(ED31)+0.5*LN('Ecoinvent 3.10'!$E$26)^2)</f>
        <v>5.4090631834013412E-5</v>
      </c>
      <c r="EE282" s="50">
        <f>EXP(LN(EE31)+0.5*LN('Ecoinvent 3.10'!$E$26)^2)</f>
        <v>5.4090631834013412E-5</v>
      </c>
      <c r="EH282" s="149" t="s">
        <v>396</v>
      </c>
      <c r="EI282" s="224">
        <f>EXP(LN(EI31)+0.5*LN('Ecoinvent 3.10'!$E$26)^2)</f>
        <v>1.8266583480829673E-5</v>
      </c>
      <c r="EJ282" s="224">
        <f>EXP(LN(EJ31)+0.5*LN('Ecoinvent 3.10'!$E$26)^2)</f>
        <v>1.8266583480829673E-5</v>
      </c>
      <c r="EK282" s="224">
        <f>EXP(LN(EK31)+0.5*LN('Ecoinvent 3.10'!$E$26)^2)</f>
        <v>2.4434520760070856E-5</v>
      </c>
      <c r="EL282" s="224">
        <f>EXP(LN(EL31)+0.5*LN('Ecoinvent 3.10'!$E$26)^2)</f>
        <v>2.4434520760070856E-5</v>
      </c>
      <c r="EM282" s="224">
        <f>EXP(LN(EM31)+0.5*LN('Ecoinvent 3.10'!$E$26)^2)</f>
        <v>2.3815925297790565E-5</v>
      </c>
      <c r="EN282" s="224">
        <f>EXP(LN(EN31)+0.5*LN('Ecoinvent 3.10'!$E$26)^2)</f>
        <v>2.3815925297790565E-5</v>
      </c>
      <c r="EO282" s="224">
        <f>EXP(LN(EO31)+0.5*LN('Ecoinvent 3.10'!$E$26)^2)</f>
        <v>1.9804822089741664E-5</v>
      </c>
      <c r="EP282" s="224">
        <f>EXP(LN(EP31)+0.5*LN('Ecoinvent 3.10'!$E$26)^2)</f>
        <v>1.9804822089741664E-5</v>
      </c>
      <c r="EQ282" s="224">
        <f>EXP(LN(EQ31)+0.5*LN('Ecoinvent 3.10'!$E$26)^2)</f>
        <v>1.791864855738529E-5</v>
      </c>
      <c r="ER282" s="224">
        <f>EXP(LN(ER31)+0.5*LN('Ecoinvent 3.10'!$E$26)^2)</f>
        <v>1.791864855738529E-5</v>
      </c>
      <c r="ES282" s="224"/>
      <c r="ET282" s="50"/>
      <c r="EU282" s="224">
        <f>EXP(LN(EU31)+0.5*LN('Ecoinvent 3.10'!$E$26)^2)</f>
        <v>3.3448143973785871E-5</v>
      </c>
      <c r="EV282" s="50">
        <f>EXP(LN(EV31)+0.5*LN('Ecoinvent 3.10'!$E$26)^2)</f>
        <v>3.3448143973785871E-5</v>
      </c>
      <c r="EW282" s="224">
        <f>EXP(LN(EW31)+0.5*LN('Ecoinvent 3.10'!$E$26)^2)</f>
        <v>1.791864855738529E-5</v>
      </c>
      <c r="EX282" s="50">
        <f>EXP(LN(EX31)+0.5*LN('Ecoinvent 3.10'!$E$26)^2)</f>
        <v>1.791864855738529E-5</v>
      </c>
      <c r="FA282" s="149" t="s">
        <v>396</v>
      </c>
      <c r="FB282" s="224">
        <f>EXP(LN(FB31)+0.5*LN('Ecoinvent 3.10'!$E$26)^2)</f>
        <v>1.3745883260594488E-7</v>
      </c>
      <c r="FC282" s="224">
        <f>EXP(LN(FC31)+0.5*LN('Ecoinvent 3.10'!$E$26)^2)</f>
        <v>1.3745883260594488E-7</v>
      </c>
      <c r="FD282" s="224">
        <f>EXP(LN(FD31)+0.5*LN('Ecoinvent 3.10'!$E$26)^2)</f>
        <v>1.838735033560045E-7</v>
      </c>
      <c r="FE282" s="224">
        <f>EXP(LN(FE31)+0.5*LN('Ecoinvent 3.10'!$E$26)^2)</f>
        <v>1.838735033560045E-7</v>
      </c>
      <c r="FF282" s="224">
        <f>EXP(LN(FF31)+0.5*LN('Ecoinvent 3.10'!$E$26)^2)</f>
        <v>1.7921847795458654E-7</v>
      </c>
      <c r="FG282" s="224">
        <f>EXP(LN(FG31)+0.5*LN('Ecoinvent 3.10'!$E$26)^2)</f>
        <v>1.7921847795458654E-7</v>
      </c>
      <c r="FH282" s="224">
        <f>EXP(LN(FH31)+0.5*LN('Ecoinvent 3.10'!$E$26)^2)</f>
        <v>1.4903431324644567E-7</v>
      </c>
      <c r="FI282" s="224">
        <f>EXP(LN(FI31)+0.5*LN('Ecoinvent 3.10'!$E$26)^2)</f>
        <v>1.4903431324644567E-7</v>
      </c>
      <c r="FJ282" s="224">
        <f>EXP(LN(FJ31)+0.5*LN('Ecoinvent 3.10'!$E$26)^2)</f>
        <v>1.3484056912773657E-7</v>
      </c>
      <c r="FK282" s="224">
        <f>EXP(LN(FK31)+0.5*LN('Ecoinvent 3.10'!$E$26)^2)</f>
        <v>1.3484056912773657E-7</v>
      </c>
      <c r="FL282" s="224"/>
      <c r="FM282" s="50"/>
      <c r="FN282" s="224">
        <f>EXP(LN(FN31)+0.5*LN('Ecoinvent 3.10'!$E$26)^2)</f>
        <v>2.5170239570510825E-7</v>
      </c>
      <c r="FO282" s="50">
        <f>EXP(LN(FO31)+0.5*LN('Ecoinvent 3.10'!$E$26)^2)</f>
        <v>2.5170239570510825E-7</v>
      </c>
      <c r="FP282" s="224">
        <f>EXP(LN(FP31)+0.5*LN('Ecoinvent 3.10'!$E$26)^2)</f>
        <v>1.3484056912773657E-7</v>
      </c>
      <c r="FQ282" s="50">
        <f>EXP(LN(FQ31)+0.5*LN('Ecoinvent 3.10'!$E$26)^2)</f>
        <v>1.3484056912773657E-7</v>
      </c>
      <c r="FT282" s="149" t="s">
        <v>396</v>
      </c>
      <c r="FU282" s="224">
        <f>EXP(LN(FU31)+0.5*LN('Ecoinvent 3.10'!$E$26)^2)</f>
        <v>2.8794952229492549E-5</v>
      </c>
      <c r="FV282" s="224">
        <f>EXP(LN(FV31)+0.5*LN('Ecoinvent 3.10'!$E$26)^2)</f>
        <v>2.8794952229492549E-5</v>
      </c>
      <c r="FW282" s="224">
        <f>EXP(LN(FW31)+0.5*LN('Ecoinvent 3.10'!$E$26)^2)</f>
        <v>3.8517923112178335E-5</v>
      </c>
      <c r="FX282" s="224">
        <f>EXP(LN(FX31)+0.5*LN('Ecoinvent 3.10'!$E$26)^2)</f>
        <v>3.8517923112178335E-5</v>
      </c>
      <c r="FY282" s="224">
        <f>EXP(LN(FY31)+0.5*LN('Ecoinvent 3.10'!$E$26)^2)</f>
        <v>3.7542785818199114E-5</v>
      </c>
      <c r="FZ282" s="224">
        <f>EXP(LN(FZ31)+0.5*LN('Ecoinvent 3.10'!$E$26)^2)</f>
        <v>3.7542785818199114E-5</v>
      </c>
      <c r="GA282" s="224">
        <f>EXP(LN(GA31)+0.5*LN('Ecoinvent 3.10'!$E$26)^2)</f>
        <v>3.1219790311976107E-5</v>
      </c>
      <c r="GB282" s="224">
        <f>EXP(LN(GB31)+0.5*LN('Ecoinvent 3.10'!$E$26)^2)</f>
        <v>3.1219790311976107E-5</v>
      </c>
      <c r="GC282" s="224">
        <f>EXP(LN(GC31)+0.5*LN('Ecoinvent 3.10'!$E$26)^2)</f>
        <v>2.8246476948930769E-5</v>
      </c>
      <c r="GD282" s="224">
        <f>EXP(LN(GD31)+0.5*LN('Ecoinvent 3.10'!$E$26)^2)</f>
        <v>2.8246476948930769E-5</v>
      </c>
      <c r="GE282" s="224"/>
      <c r="GF282" s="50"/>
      <c r="GG282" s="224">
        <f>EXP(LN(GG31)+0.5*LN('Ecoinvent 3.10'!$E$26)^2)</f>
        <v>5.2726756971337429E-5</v>
      </c>
      <c r="GH282" s="50">
        <f>EXP(LN(GH31)+0.5*LN('Ecoinvent 3.10'!$E$26)^2)</f>
        <v>5.2726756971337429E-5</v>
      </c>
      <c r="GI282" s="224">
        <f>EXP(LN(GI31)+0.5*LN('Ecoinvent 3.10'!$E$26)^2)</f>
        <v>2.8246476948930769E-5</v>
      </c>
      <c r="GJ282" s="50">
        <f>EXP(LN(GJ31)+0.5*LN('Ecoinvent 3.10'!$E$26)^2)</f>
        <v>2.8246476948930769E-5</v>
      </c>
      <c r="GM282" s="149" t="s">
        <v>396</v>
      </c>
      <c r="GN282" s="224">
        <f>EXP(LN(GN31)+0.5*LN('Ecoinvent 3.10'!$E$26)^2)</f>
        <v>1.3266641552750084E-4</v>
      </c>
      <c r="GO282" s="224">
        <f>EXP(LN(GO31)+0.5*LN('Ecoinvent 3.10'!$E$26)^2)</f>
        <v>1.3266641552750084E-4</v>
      </c>
      <c r="GP282" s="224">
        <f>EXP(LN(GP31)+0.5*LN('Ecoinvent 3.10'!$E$26)^2)</f>
        <v>1.7746286752379982E-4</v>
      </c>
      <c r="GQ282" s="224">
        <f>EXP(LN(GQ31)+0.5*LN('Ecoinvent 3.10'!$E$26)^2)</f>
        <v>1.7746286752379982E-4</v>
      </c>
      <c r="GR282" s="224">
        <f>EXP(LN(GR31)+0.5*LN('Ecoinvent 3.10'!$E$26)^2)</f>
        <v>1.7297013670041238E-4</v>
      </c>
      <c r="GS282" s="224">
        <f>EXP(LN(GS31)+0.5*LN('Ecoinvent 3.10'!$E$26)^2)</f>
        <v>1.7297013670041238E-4</v>
      </c>
      <c r="GT282" s="224">
        <f>EXP(LN(GT31)+0.5*LN('Ecoinvent 3.10'!$E$26)^2)</f>
        <v>1.4383832420350082E-4</v>
      </c>
      <c r="GU282" s="224">
        <f>EXP(LN(GU31)+0.5*LN('Ecoinvent 3.10'!$E$26)^2)</f>
        <v>1.4383832420350082E-4</v>
      </c>
      <c r="GV282" s="224">
        <f>EXP(LN(GV31)+0.5*LN('Ecoinvent 3.10'!$E$26)^2)</f>
        <v>1.3013943618411981E-4</v>
      </c>
      <c r="GW282" s="224">
        <f>EXP(LN(GW31)+0.5*LN('Ecoinvent 3.10'!$E$26)^2)</f>
        <v>1.3013943618411981E-4</v>
      </c>
      <c r="GX282" s="224"/>
      <c r="GY282" s="50"/>
      <c r="GZ282" s="224">
        <f>EXP(LN(GZ31)+0.5*LN('Ecoinvent 3.10'!$E$26)^2)</f>
        <v>2.4292694754369029E-4</v>
      </c>
      <c r="HA282" s="50">
        <f>EXP(LN(HA31)+0.5*LN('Ecoinvent 3.10'!$E$26)^2)</f>
        <v>2.4292694754369029E-4</v>
      </c>
      <c r="HB282" s="224">
        <f>EXP(LN(HB31)+0.5*LN('Ecoinvent 3.10'!$E$26)^2)</f>
        <v>1.3013943618411981E-4</v>
      </c>
      <c r="HC282" s="50">
        <f>EXP(LN(HC31)+0.5*LN('Ecoinvent 3.10'!$E$26)^2)</f>
        <v>1.3013943618411981E-4</v>
      </c>
      <c r="HF282" s="149" t="s">
        <v>396</v>
      </c>
      <c r="HG282" s="224">
        <f>EXP(LN(HG31)+0.5*LN('Ecoinvent 3.10'!$E$26)^2)</f>
        <v>6.0432819030473183E-4</v>
      </c>
      <c r="HH282" s="224">
        <f>EXP(LN(HH31)+0.5*LN('Ecoinvent 3.10'!$E$26)^2)</f>
        <v>6.0432819030473183E-4</v>
      </c>
      <c r="HI282" s="224">
        <f>EXP(LN(HI31)+0.5*LN('Ecoinvent 3.10'!$E$26)^2)</f>
        <v>8.0838705975827822E-4</v>
      </c>
      <c r="HJ282" s="224">
        <f>EXP(LN(HJ31)+0.5*LN('Ecoinvent 3.10'!$E$26)^2)</f>
        <v>8.0838705975827822E-4</v>
      </c>
      <c r="HK282" s="224">
        <f>EXP(LN(HK31)+0.5*LN('Ecoinvent 3.10'!$E$26)^2)</f>
        <v>7.8792156457452387E-4</v>
      </c>
      <c r="HL282" s="224">
        <f>EXP(LN(HL31)+0.5*LN('Ecoinvent 3.10'!$E$26)^2)</f>
        <v>7.8792156457452387E-4</v>
      </c>
      <c r="HM282" s="224">
        <f>EXP(LN(HM31)+0.5*LN('Ecoinvent 3.10'!$E$26)^2)</f>
        <v>6.5521898527776199E-4</v>
      </c>
      <c r="HN282" s="224">
        <f>EXP(LN(HN31)+0.5*LN('Ecoinvent 3.10'!$E$26)^2)</f>
        <v>6.5521898527776199E-4</v>
      </c>
      <c r="HO282" s="224">
        <f>EXP(LN(HO31)+0.5*LN('Ecoinvent 3.10'!$E$26)^2)</f>
        <v>5.9281717715607056E-4</v>
      </c>
      <c r="HP282" s="224">
        <f>EXP(LN(HP31)+0.5*LN('Ecoinvent 3.10'!$E$26)^2)</f>
        <v>5.9281717715607056E-4</v>
      </c>
      <c r="HQ282" s="224"/>
      <c r="HR282" s="50"/>
      <c r="HS282" s="224">
        <f>EXP(LN(HS31)+0.5*LN('Ecoinvent 3.10'!$E$26)^2)</f>
        <v>1.1065920640246649E-3</v>
      </c>
      <c r="HT282" s="50">
        <f>EXP(LN(HT31)+0.5*LN('Ecoinvent 3.10'!$E$26)^2)</f>
        <v>1.1065920640246649E-3</v>
      </c>
      <c r="HU282" s="224">
        <f>EXP(LN(HU31)+0.5*LN('Ecoinvent 3.10'!$E$26)^2)</f>
        <v>5.9281717715607056E-4</v>
      </c>
      <c r="HV282" s="50">
        <f>EXP(LN(HV31)+0.5*LN('Ecoinvent 3.10'!$E$26)^2)</f>
        <v>5.9281717715607056E-4</v>
      </c>
      <c r="HY282" s="149" t="s">
        <v>396</v>
      </c>
      <c r="HZ282" s="224">
        <f>EXP(LN(HZ31)+0.5*LN('Ecoinvent 3.10'!$E$26)^2)</f>
        <v>9.7554266180293861E-7</v>
      </c>
      <c r="IA282" s="224">
        <f>EXP(LN(IA31)+0.5*LN('Ecoinvent 3.10'!$E$26)^2)</f>
        <v>9.7554266180293861E-7</v>
      </c>
      <c r="IB282" s="224">
        <f>EXP(LN(IB31)+0.5*LN('Ecoinvent 3.10'!$E$26)^2)</f>
        <v>1.3049466774766578E-6</v>
      </c>
      <c r="IC282" s="224">
        <f>EXP(LN(IC31)+0.5*LN('Ecoinvent 3.10'!$E$26)^2)</f>
        <v>1.3049466774766578E-6</v>
      </c>
      <c r="ID282" s="224">
        <f>EXP(LN(ID31)+0.5*LN('Ecoinvent 3.10'!$E$26)^2)</f>
        <v>1.2719100527304125E-6</v>
      </c>
      <c r="IE282" s="224">
        <f>EXP(LN(IE31)+0.5*LN('Ecoinvent 3.10'!$E$26)^2)</f>
        <v>1.2719100527304125E-6</v>
      </c>
      <c r="IF282" s="224">
        <f>EXP(LN(IF31)+0.5*LN('Ecoinvent 3.10'!$E$26)^2)</f>
        <v>1.0576936227968693E-6</v>
      </c>
      <c r="IG282" s="224">
        <f>EXP(LN(IG31)+0.5*LN('Ecoinvent 3.10'!$E$26)^2)</f>
        <v>1.0576936227968693E-6</v>
      </c>
      <c r="IH282" s="224">
        <f>EXP(LN(IH31)+0.5*LN('Ecoinvent 3.10'!$E$26)^2)</f>
        <v>9.5696089681621549E-7</v>
      </c>
      <c r="II282" s="224">
        <f>EXP(LN(II31)+0.5*LN('Ecoinvent 3.10'!$E$26)^2)</f>
        <v>9.5696089681621549E-7</v>
      </c>
      <c r="IJ282" s="224"/>
      <c r="IK282" s="50"/>
      <c r="IL282" s="224"/>
      <c r="IM282" s="224"/>
      <c r="IN282" s="224"/>
      <c r="IO282" s="224"/>
    </row>
    <row r="283" spans="2:249" ht="12.75" customHeight="1" x14ac:dyDescent="0.2">
      <c r="B283" s="248"/>
      <c r="C283" s="248"/>
      <c r="D283" s="248"/>
      <c r="E283" s="248"/>
      <c r="F283" s="248"/>
      <c r="G283" s="248"/>
      <c r="H283" s="248"/>
      <c r="I283" s="248"/>
      <c r="J283" s="248"/>
      <c r="K283" s="248"/>
      <c r="L283" s="248"/>
      <c r="M283" s="248"/>
      <c r="N283" s="248"/>
      <c r="O283" s="248"/>
      <c r="P283" s="248"/>
      <c r="Q283" s="248"/>
      <c r="R283" s="248"/>
      <c r="S283" s="248"/>
      <c r="T283" s="248"/>
      <c r="U283" s="248"/>
      <c r="V283" s="248"/>
      <c r="W283" s="248"/>
      <c r="X283" s="248"/>
      <c r="Y283" s="248"/>
      <c r="Z283" s="248"/>
      <c r="AA283" s="248"/>
      <c r="AB283" s="248"/>
      <c r="AC283" s="248"/>
      <c r="AD283" s="248"/>
      <c r="AE283" s="248"/>
      <c r="AF283" s="248"/>
      <c r="AG283" s="248"/>
      <c r="AH283" s="248"/>
      <c r="AI283" s="248"/>
      <c r="AJ283" s="248"/>
      <c r="AK283" s="248"/>
      <c r="AL283" s="248"/>
      <c r="AM283" s="248"/>
      <c r="AN283" s="139"/>
      <c r="AO283" s="248"/>
      <c r="AP283" s="726"/>
      <c r="AQ283" s="149" t="s">
        <v>365</v>
      </c>
      <c r="AR283" s="224">
        <f>EXP(LN(AR32)+0.5*LN('Ecoinvent 3.10'!$E$35)^2)</f>
        <v>15.565187490014988</v>
      </c>
      <c r="AS283" s="224">
        <f>EXP(LN(AS32)+0.5*LN('Ecoinvent 3.10'!$E$35)^2)</f>
        <v>15.565187490014988</v>
      </c>
      <c r="AT283" s="224">
        <f>EXP(LN(AT32)+0.5*LN('Ecoinvent 3.10'!$E$35)^2)</f>
        <v>20.82096508404603</v>
      </c>
      <c r="AU283" s="224">
        <f>EXP(LN(AU32)+0.5*LN('Ecoinvent 3.10'!$E$35)^2)</f>
        <v>20.82096508404603</v>
      </c>
      <c r="AV283" s="224">
        <f>EXP(LN(AV32)+0.5*LN('Ecoinvent 3.10'!$E$35)^2)</f>
        <v>20.293852043943588</v>
      </c>
      <c r="AW283" s="224">
        <f>EXP(LN(AW32)+0.5*LN('Ecoinvent 3.10'!$E$35)^2)</f>
        <v>20.293852043943588</v>
      </c>
      <c r="AX283" s="224">
        <f>EXP(LN(AX32)+0.5*LN('Ecoinvent 3.10'!$E$35)^2)</f>
        <v>16.875940120753096</v>
      </c>
      <c r="AY283" s="224">
        <f>EXP(LN(AY32)+0.5*LN('Ecoinvent 3.10'!$E$35)^2)</f>
        <v>16.875940120753096</v>
      </c>
      <c r="AZ283" s="224">
        <f>EXP(LN(AZ32)+0.5*LN('Ecoinvent 3.10'!$E$35)^2)</f>
        <v>15.268707728300416</v>
      </c>
      <c r="BA283" s="224">
        <f>EXP(LN(BA32)+0.5*LN('Ecoinvent 3.10'!$E$35)^2)</f>
        <v>15.268707728300416</v>
      </c>
      <c r="BB283" s="224"/>
      <c r="BC283" s="50"/>
      <c r="BD283" s="224">
        <f>EXP(LN(BD32)+0.5*LN('Ecoinvent 3.10'!$E$35)^2)</f>
        <v>28.501587759494107</v>
      </c>
      <c r="BE283" s="50">
        <f>EXP(LN(BE32)+0.5*LN('Ecoinvent 3.10'!$E$35)^2)</f>
        <v>28.501587759494107</v>
      </c>
      <c r="BF283" s="224">
        <f>EXP(LN(BF32)+0.5*LN('Ecoinvent 3.10'!$E$35)^2)</f>
        <v>15.268707728300416</v>
      </c>
      <c r="BG283" s="50">
        <f>EXP(LN(BG32)+0.5*LN('Ecoinvent 3.10'!$E$35)^2)</f>
        <v>15.268707728300416</v>
      </c>
      <c r="BI283" s="156"/>
      <c r="BJ283" s="149" t="s">
        <v>365</v>
      </c>
      <c r="BK283" s="224">
        <f>EXP(LN(BK32)+0.5*LN('Ecoinvent 3.10'!$E$35)^2)</f>
        <v>3.234762556525772</v>
      </c>
      <c r="BL283" s="224">
        <f>EXP(LN(BL32)+0.5*LN('Ecoinvent 3.10'!$E$35)^2)</f>
        <v>3.234762556525772</v>
      </c>
      <c r="BM283" s="224">
        <f>EXP(LN(BM32)+0.5*LN('Ecoinvent 3.10'!$E$35)^2)</f>
        <v>4.3270200431448638</v>
      </c>
      <c r="BN283" s="224">
        <f>EXP(LN(BN32)+0.5*LN('Ecoinvent 3.10'!$E$35)^2)</f>
        <v>4.3270200431448638</v>
      </c>
      <c r="BO283" s="224">
        <f>EXP(LN(BO32)+0.5*LN('Ecoinvent 3.10'!$E$35)^2)</f>
        <v>4.2174752319260058</v>
      </c>
      <c r="BP283" s="224">
        <f>EXP(LN(BP32)+0.5*LN('Ecoinvent 3.10'!$E$35)^2)</f>
        <v>4.2174752319260058</v>
      </c>
      <c r="BQ283" s="224">
        <f>EXP(LN(BQ32)+0.5*LN('Ecoinvent 3.10'!$E$35)^2)</f>
        <v>3.5071636139174167</v>
      </c>
      <c r="BR283" s="224">
        <f>EXP(LN(BR32)+0.5*LN('Ecoinvent 3.10'!$E$35)^2)</f>
        <v>3.5071636139174167</v>
      </c>
      <c r="BS283" s="224">
        <f>EXP(LN(BS32)+0.5*LN('Ecoinvent 3.10'!$E$35)^2)</f>
        <v>3.1731480316395673</v>
      </c>
      <c r="BT283" s="224">
        <f>EXP(LN(BT32)+0.5*LN('Ecoinvent 3.10'!$E$35)^2)</f>
        <v>3.1731480316395673</v>
      </c>
      <c r="BU283" s="224"/>
      <c r="BV283" s="50"/>
      <c r="BW283" s="224">
        <f>EXP(LN(BW32)+0.5*LN('Ecoinvent 3.10'!$E$35)^2)</f>
        <v>5.9232096590605252</v>
      </c>
      <c r="BX283" s="50">
        <f>EXP(LN(BX32)+0.5*LN('Ecoinvent 3.10'!$E$35)^2)</f>
        <v>5.9232096590605252</v>
      </c>
      <c r="BY283" s="224">
        <f>EXP(LN(BY32)+0.5*LN('Ecoinvent 3.10'!$E$35)^2)</f>
        <v>3.1731480316395673</v>
      </c>
      <c r="BZ283" s="50">
        <f>EXP(LN(BZ32)+0.5*LN('Ecoinvent 3.10'!$E$35)^2)</f>
        <v>3.1731480316395673</v>
      </c>
      <c r="CA283" s="156"/>
      <c r="CB283" s="156"/>
      <c r="CC283" s="149" t="s">
        <v>365</v>
      </c>
      <c r="CD283" s="224">
        <f>EXP(LN(CD32)+0.5*LN('Ecoinvent 3.10'!$E$35)^2)</f>
        <v>10.514423677114085</v>
      </c>
      <c r="CE283" s="224">
        <f>EXP(LN(CE32)+0.5*LN('Ecoinvent 3.10'!$E$35)^2)</f>
        <v>10.514423677114085</v>
      </c>
      <c r="CF283" s="224">
        <f>EXP(LN(CF32)+0.5*LN('Ecoinvent 3.10'!$E$35)^2)</f>
        <v>14.064748555100662</v>
      </c>
      <c r="CG283" s="224">
        <f>EXP(LN(CG32)+0.5*LN('Ecoinvent 3.10'!$E$35)^2)</f>
        <v>14.064748555100662</v>
      </c>
      <c r="CH283" s="224">
        <f>EXP(LN(CH32)+0.5*LN('Ecoinvent 3.10'!$E$35)^2)</f>
        <v>13.708678971427224</v>
      </c>
      <c r="CI283" s="224">
        <f>EXP(LN(CI32)+0.5*LN('Ecoinvent 3.10'!$E$35)^2)</f>
        <v>13.708678971427224</v>
      </c>
      <c r="CJ283" s="224">
        <f>EXP(LN(CJ32)+0.5*LN('Ecoinvent 3.10'!$E$35)^2)</f>
        <v>11.399848828871061</v>
      </c>
      <c r="CK283" s="224">
        <f>EXP(LN(CK32)+0.5*LN('Ecoinvent 3.10'!$E$35)^2)</f>
        <v>11.399848828871061</v>
      </c>
      <c r="CL283" s="224">
        <f>EXP(LN(CL32)+0.5*LN('Ecoinvent 3.10'!$E$35)^2)</f>
        <v>10.314148940407149</v>
      </c>
      <c r="CM283" s="224">
        <f>EXP(LN(CM32)+0.5*LN('Ecoinvent 3.10'!$E$35)^2)</f>
        <v>10.314148940407149</v>
      </c>
      <c r="CN283" s="224"/>
      <c r="CO283" s="50"/>
      <c r="CP283" s="224">
        <f>EXP(LN(CP32)+0.5*LN('Ecoinvent 3.10'!$E$35)^2)</f>
        <v>19.253078022093352</v>
      </c>
      <c r="CQ283" s="50">
        <f>EXP(LN(CQ32)+0.5*LN('Ecoinvent 3.10'!$E$35)^2)</f>
        <v>19.253078022093352</v>
      </c>
      <c r="CR283" s="224">
        <f>EXP(LN(CR32)+0.5*LN('Ecoinvent 3.10'!$E$35)^2)</f>
        <v>10.314148940407149</v>
      </c>
      <c r="CS283" s="50">
        <f>EXP(LN(CS32)+0.5*LN('Ecoinvent 3.10'!$E$35)^2)</f>
        <v>10.314148940407149</v>
      </c>
      <c r="CV283" s="149" t="s">
        <v>365</v>
      </c>
      <c r="CW283" s="224">
        <f>EXP(LN(CW32)+0.5*LN('Ecoinvent 3.10'!$E$35)^2)</f>
        <v>1.3856452215099211E-3</v>
      </c>
      <c r="CX283" s="224">
        <f>EXP(LN(CX32)+0.5*LN('Ecoinvent 3.10'!$E$35)^2)</f>
        <v>1.3856452215099211E-3</v>
      </c>
      <c r="CY283" s="224">
        <f>EXP(LN(CY32)+0.5*LN('Ecoinvent 3.10'!$E$35)^2)</f>
        <v>1.8535254261756084E-3</v>
      </c>
      <c r="CZ283" s="224">
        <f>EXP(LN(CZ32)+0.5*LN('Ecoinvent 3.10'!$E$35)^2)</f>
        <v>1.8535254261756084E-3</v>
      </c>
      <c r="DA283" s="224">
        <f>EXP(LN(DA32)+0.5*LN('Ecoinvent 3.10'!$E$35)^2)</f>
        <v>1.8066007318420477E-3</v>
      </c>
      <c r="DB283" s="224">
        <f>EXP(LN(DB32)+0.5*LN('Ecoinvent 3.10'!$E$35)^2)</f>
        <v>1.8066007318420477E-3</v>
      </c>
      <c r="DC283" s="224">
        <f>EXP(LN(DC32)+0.5*LN('Ecoinvent 3.10'!$E$35)^2)</f>
        <v>1.5023311349002292E-3</v>
      </c>
      <c r="DD283" s="224">
        <f>EXP(LN(DD32)+0.5*LN('Ecoinvent 3.10'!$E$35)^2)</f>
        <v>1.5023311349002292E-3</v>
      </c>
      <c r="DE283" s="224">
        <f>EXP(LN(DE32)+0.5*LN('Ecoinvent 3.10'!$E$35)^2)</f>
        <v>1.3592519791954458E-3</v>
      </c>
      <c r="DF283" s="224">
        <f>EXP(LN(DF32)+0.5*LN('Ecoinvent 3.10'!$E$35)^2)</f>
        <v>1.3592519791954458E-3</v>
      </c>
      <c r="DG283" s="224"/>
      <c r="DH283" s="50"/>
      <c r="DI283" s="224">
        <f>EXP(LN(DI32)+0.5*LN('Ecoinvent 3.10'!$E$35)^2)</f>
        <v>2.5372703611648319E-3</v>
      </c>
      <c r="DJ283" s="50">
        <f>EXP(LN(DJ32)+0.5*LN('Ecoinvent 3.10'!$E$35)^2)</f>
        <v>2.5372703611648319E-3</v>
      </c>
      <c r="DK283" s="224">
        <f>EXP(LN(DK32)+0.5*LN('Ecoinvent 3.10'!$E$35)^2)</f>
        <v>1.3592519791954458E-3</v>
      </c>
      <c r="DL283" s="50">
        <f>EXP(LN(DL32)+0.5*LN('Ecoinvent 3.10'!$E$35)^2)</f>
        <v>1.3592519791954458E-3</v>
      </c>
      <c r="DO283" s="149" t="s">
        <v>365</v>
      </c>
      <c r="DP283" s="224">
        <f>EXP(LN(DP32)+0.5*LN('Ecoinvent 3.10'!$E$35)^2)</f>
        <v>1.8753865549650799E-2</v>
      </c>
      <c r="DQ283" s="224">
        <f>EXP(LN(DQ32)+0.5*LN('Ecoinvent 3.10'!$E$35)^2)</f>
        <v>1.8753865549650799E-2</v>
      </c>
      <c r="DR283" s="224">
        <f>EXP(LN(DR32)+0.5*LN('Ecoinvent 3.10'!$E$35)^2)</f>
        <v>2.5086339631351064E-2</v>
      </c>
      <c r="DS283" s="224">
        <f>EXP(LN(DS32)+0.5*LN('Ecoinvent 3.10'!$E$35)^2)</f>
        <v>2.5086339631351064E-2</v>
      </c>
      <c r="DT283" s="224">
        <f>EXP(LN(DT32)+0.5*LN('Ecoinvent 3.10'!$E$35)^2)</f>
        <v>2.4451242425494072E-2</v>
      </c>
      <c r="DU283" s="224">
        <f>EXP(LN(DU32)+0.5*LN('Ecoinvent 3.10'!$E$35)^2)</f>
        <v>2.4451242425494072E-2</v>
      </c>
      <c r="DV283" s="224">
        <f>EXP(LN(DV32)+0.5*LN('Ecoinvent 3.10'!$E$35)^2)</f>
        <v>2.033313843804244E-2</v>
      </c>
      <c r="DW283" s="224">
        <f>EXP(LN(DW32)+0.5*LN('Ecoinvent 3.10'!$E$35)^2)</f>
        <v>2.033313843804244E-2</v>
      </c>
      <c r="DX283" s="224">
        <f>EXP(LN(DX32)+0.5*LN('Ecoinvent 3.10'!$E$35)^2)</f>
        <v>1.8396649062990773E-2</v>
      </c>
      <c r="DY283" s="224">
        <f>EXP(LN(DY32)+0.5*LN('Ecoinvent 3.10'!$E$35)^2)</f>
        <v>1.8396649062990773E-2</v>
      </c>
      <c r="DZ283" s="224"/>
      <c r="EA283" s="50"/>
      <c r="EB283" s="224">
        <f>EXP(LN(EB32)+0.5*LN('Ecoinvent 3.10'!$E$35)^2)</f>
        <v>3.4340411584249456E-2</v>
      </c>
      <c r="EC283" s="50">
        <f>EXP(LN(EC32)+0.5*LN('Ecoinvent 3.10'!$E$35)^2)</f>
        <v>3.4340411584249456E-2</v>
      </c>
      <c r="ED283" s="224">
        <f>EXP(LN(ED32)+0.5*LN('Ecoinvent 3.10'!$E$35)^2)</f>
        <v>1.8396649062990773E-2</v>
      </c>
      <c r="EE283" s="50">
        <f>EXP(LN(EE32)+0.5*LN('Ecoinvent 3.10'!$E$35)^2)</f>
        <v>1.8396649062990773E-2</v>
      </c>
      <c r="EH283" s="149" t="s">
        <v>365</v>
      </c>
      <c r="EI283" s="224">
        <f>EXP(LN(EI32)+0.5*LN('Ecoinvent 3.10'!$E$35)^2)</f>
        <v>2.4356281881130382E-3</v>
      </c>
      <c r="EJ283" s="224">
        <f>EXP(LN(EJ32)+0.5*LN('Ecoinvent 3.10'!$E$35)^2)</f>
        <v>2.4356281881130382E-3</v>
      </c>
      <c r="EK283" s="224">
        <f>EXP(LN(EK32)+0.5*LN('Ecoinvent 3.10'!$E$35)^2)</f>
        <v>3.2580480957875701E-3</v>
      </c>
      <c r="EL283" s="224">
        <f>EXP(LN(EL32)+0.5*LN('Ecoinvent 3.10'!$E$35)^2)</f>
        <v>3.2580480957875701E-3</v>
      </c>
      <c r="EM283" s="224">
        <f>EXP(LN(EM32)+0.5*LN('Ecoinvent 3.10'!$E$35)^2)</f>
        <v>3.1755658655144678E-3</v>
      </c>
      <c r="EN283" s="224">
        <f>EXP(LN(EN32)+0.5*LN('Ecoinvent 3.10'!$E$35)^2)</f>
        <v>3.1755658655144678E-3</v>
      </c>
      <c r="EO283" s="224">
        <f>EXP(LN(EO32)+0.5*LN('Ecoinvent 3.10'!$E$35)^2)</f>
        <v>2.6407337197436103E-3</v>
      </c>
      <c r="EP283" s="224">
        <f>EXP(LN(EP32)+0.5*LN('Ecoinvent 3.10'!$E$35)^2)</f>
        <v>2.6407337197436103E-3</v>
      </c>
      <c r="EQ283" s="224">
        <f>EXP(LN(EQ32)+0.5*LN('Ecoinvent 3.10'!$E$35)^2)</f>
        <v>2.3892352702442193E-3</v>
      </c>
      <c r="ER283" s="224">
        <f>EXP(LN(ER32)+0.5*LN('Ecoinvent 3.10'!$E$35)^2)</f>
        <v>2.3892352702442193E-3</v>
      </c>
      <c r="ES283" s="224"/>
      <c r="ET283" s="50"/>
      <c r="EU283" s="224">
        <f>EXP(LN(EU32)+0.5*LN('Ecoinvent 3.10'!$E$35)^2)</f>
        <v>4.4599058377892097E-3</v>
      </c>
      <c r="EV283" s="50">
        <f>EXP(LN(EV32)+0.5*LN('Ecoinvent 3.10'!$E$35)^2)</f>
        <v>4.4599058377892097E-3</v>
      </c>
      <c r="EW283" s="224">
        <f>EXP(LN(EW32)+0.5*LN('Ecoinvent 3.10'!$E$35)^2)</f>
        <v>2.3892352702442193E-3</v>
      </c>
      <c r="EX283" s="50">
        <f>EXP(LN(EX32)+0.5*LN('Ecoinvent 3.10'!$E$35)^2)</f>
        <v>2.3892352702442193E-3</v>
      </c>
      <c r="FA283" s="149" t="s">
        <v>365</v>
      </c>
      <c r="FB283" s="224">
        <f>EXP(LN(FB32)+0.5*LN('Ecoinvent 3.10'!$E$35)^2)</f>
        <v>5.3319780799510017E-5</v>
      </c>
      <c r="FC283" s="224">
        <f>EXP(LN(FC32)+0.5*LN('Ecoinvent 3.10'!$E$35)^2)</f>
        <v>5.3319780799510017E-5</v>
      </c>
      <c r="FD283" s="224">
        <f>EXP(LN(FD32)+0.5*LN('Ecoinvent 3.10'!$E$35)^2)</f>
        <v>7.1323862627915979E-5</v>
      </c>
      <c r="FE283" s="224">
        <f>EXP(LN(FE32)+0.5*LN('Ecoinvent 3.10'!$E$35)^2)</f>
        <v>7.1323862627915979E-5</v>
      </c>
      <c r="FF283" s="224">
        <f>EXP(LN(FF32)+0.5*LN('Ecoinvent 3.10'!$E$35)^2)</f>
        <v>6.9518195219614272E-5</v>
      </c>
      <c r="FG283" s="224">
        <f>EXP(LN(FG32)+0.5*LN('Ecoinvent 3.10'!$E$35)^2)</f>
        <v>6.9518195219614272E-5</v>
      </c>
      <c r="FH283" s="224">
        <f>EXP(LN(FH32)+0.5*LN('Ecoinvent 3.10'!$E$35)^2)</f>
        <v>5.7809867603679236E-5</v>
      </c>
      <c r="FI283" s="224">
        <f>EXP(LN(FI32)+0.5*LN('Ecoinvent 3.10'!$E$35)^2)</f>
        <v>5.7809867603679236E-5</v>
      </c>
      <c r="FJ283" s="224">
        <f>EXP(LN(FJ32)+0.5*LN('Ecoinvent 3.10'!$E$35)^2)</f>
        <v>5.2304165927138368E-5</v>
      </c>
      <c r="FK283" s="224">
        <f>EXP(LN(FK32)+0.5*LN('Ecoinvent 3.10'!$E$35)^2)</f>
        <v>5.2304165927138368E-5</v>
      </c>
      <c r="FL283" s="224"/>
      <c r="FM283" s="50"/>
      <c r="FN283" s="224">
        <f>EXP(LN(FN32)+0.5*LN('Ecoinvent 3.10'!$E$35)^2)</f>
        <v>9.7634443063991617E-5</v>
      </c>
      <c r="FO283" s="50">
        <f>EXP(LN(FO32)+0.5*LN('Ecoinvent 3.10'!$E$35)^2)</f>
        <v>9.7634443063991617E-5</v>
      </c>
      <c r="FP283" s="224">
        <f>EXP(LN(FP32)+0.5*LN('Ecoinvent 3.10'!$E$35)^2)</f>
        <v>5.2304165927138368E-5</v>
      </c>
      <c r="FQ283" s="50">
        <f>EXP(LN(FQ32)+0.5*LN('Ecoinvent 3.10'!$E$35)^2)</f>
        <v>5.2304165927138368E-5</v>
      </c>
      <c r="FT283" s="149" t="s">
        <v>365</v>
      </c>
      <c r="FU283" s="224">
        <f>EXP(LN(FU32)+0.5*LN('Ecoinvent 3.10'!$E$35)^2)</f>
        <v>1.1649388692869198E-2</v>
      </c>
      <c r="FV283" s="224">
        <f>EXP(LN(FV32)+0.5*LN('Ecoinvent 3.10'!$E$35)^2)</f>
        <v>1.1649388692869198E-2</v>
      </c>
      <c r="FW283" s="224">
        <f>EXP(LN(FW32)+0.5*LN('Ecoinvent 3.10'!$E$35)^2)</f>
        <v>1.5582948511240613E-2</v>
      </c>
      <c r="FX283" s="224">
        <f>EXP(LN(FX32)+0.5*LN('Ecoinvent 3.10'!$E$35)^2)</f>
        <v>1.5582948511240613E-2</v>
      </c>
      <c r="FY283" s="224">
        <f>EXP(LN(FY32)+0.5*LN('Ecoinvent 3.10'!$E$35)^2)</f>
        <v>1.5188443485639577E-2</v>
      </c>
      <c r="FZ283" s="224">
        <f>EXP(LN(FZ32)+0.5*LN('Ecoinvent 3.10'!$E$35)^2)</f>
        <v>1.5188443485639577E-2</v>
      </c>
      <c r="GA283" s="224">
        <f>EXP(LN(GA32)+0.5*LN('Ecoinvent 3.10'!$E$35)^2)</f>
        <v>1.2630389845952923E-2</v>
      </c>
      <c r="GB283" s="224">
        <f>EXP(LN(GB32)+0.5*LN('Ecoinvent 3.10'!$E$35)^2)</f>
        <v>1.2630389845952923E-2</v>
      </c>
      <c r="GC283" s="224">
        <f>EXP(LN(GC32)+0.5*LN('Ecoinvent 3.10'!$E$35)^2)</f>
        <v>1.1427495574909779E-2</v>
      </c>
      <c r="GD283" s="224">
        <f>EXP(LN(GD32)+0.5*LN('Ecoinvent 3.10'!$E$35)^2)</f>
        <v>1.1427495574909779E-2</v>
      </c>
      <c r="GE283" s="224"/>
      <c r="GF283" s="50"/>
      <c r="GG283" s="224">
        <f>EXP(LN(GG32)+0.5*LN('Ecoinvent 3.10'!$E$35)^2)</f>
        <v>2.1331325073164931E-2</v>
      </c>
      <c r="GH283" s="50">
        <f>EXP(LN(GH32)+0.5*LN('Ecoinvent 3.10'!$E$35)^2)</f>
        <v>2.1331325073164931E-2</v>
      </c>
      <c r="GI283" s="224">
        <f>EXP(LN(GI32)+0.5*LN('Ecoinvent 3.10'!$E$35)^2)</f>
        <v>1.1427495574909779E-2</v>
      </c>
      <c r="GJ283" s="50">
        <f>EXP(LN(GJ32)+0.5*LN('Ecoinvent 3.10'!$E$35)^2)</f>
        <v>1.1427495574909779E-2</v>
      </c>
      <c r="GM283" s="149" t="s">
        <v>365</v>
      </c>
      <c r="GN283" s="224">
        <f>EXP(LN(GN32)+0.5*LN('Ecoinvent 3.10'!$E$35)^2)</f>
        <v>0.17095761367385423</v>
      </c>
      <c r="GO283" s="224">
        <f>EXP(LN(GO32)+0.5*LN('Ecoinvent 3.10'!$E$35)^2)</f>
        <v>0.17095761367385423</v>
      </c>
      <c r="GP283" s="224">
        <f>EXP(LN(GP32)+0.5*LN('Ecoinvent 3.10'!$E$35)^2)</f>
        <v>0.22868356114814273</v>
      </c>
      <c r="GQ283" s="224">
        <f>EXP(LN(GQ32)+0.5*LN('Ecoinvent 3.10'!$E$35)^2)</f>
        <v>0.22868356114814273</v>
      </c>
      <c r="GR283" s="224">
        <f>EXP(LN(GR32)+0.5*LN('Ecoinvent 3.10'!$E$35)^2)</f>
        <v>0.22289410390388587</v>
      </c>
      <c r="GS283" s="224">
        <f>EXP(LN(GS32)+0.5*LN('Ecoinvent 3.10'!$E$35)^2)</f>
        <v>0.22289410390388587</v>
      </c>
      <c r="GT283" s="224">
        <f>EXP(LN(GT32)+0.5*LN('Ecoinvent 3.10'!$E$35)^2)</f>
        <v>0.18535404429902089</v>
      </c>
      <c r="GU283" s="224">
        <f>EXP(LN(GU32)+0.5*LN('Ecoinvent 3.10'!$E$35)^2)</f>
        <v>0.18535404429902089</v>
      </c>
      <c r="GV283" s="224">
        <f>EXP(LN(GV32)+0.5*LN('Ecoinvent 3.10'!$E$35)^2)</f>
        <v>0.16770127817530461</v>
      </c>
      <c r="GW283" s="224">
        <f>EXP(LN(GW32)+0.5*LN('Ecoinvent 3.10'!$E$35)^2)</f>
        <v>0.16770127817530461</v>
      </c>
      <c r="GX283" s="224"/>
      <c r="GY283" s="50"/>
      <c r="GZ283" s="224">
        <f>EXP(LN(GZ32)+0.5*LN('Ecoinvent 3.10'!$E$35)^2)</f>
        <v>0.31304238592723532</v>
      </c>
      <c r="HA283" s="50">
        <f>EXP(LN(HA32)+0.5*LN('Ecoinvent 3.10'!$E$35)^2)</f>
        <v>0.31304238592723532</v>
      </c>
      <c r="HB283" s="224">
        <f>EXP(LN(HB32)+0.5*LN('Ecoinvent 3.10'!$E$35)^2)</f>
        <v>0.16770127817530461</v>
      </c>
      <c r="HC283" s="50">
        <f>EXP(LN(HC32)+0.5*LN('Ecoinvent 3.10'!$E$35)^2)</f>
        <v>0.16770127817530461</v>
      </c>
      <c r="HF283" s="149" t="s">
        <v>365</v>
      </c>
      <c r="HG283" s="224">
        <f>EXP(LN(HG32)+0.5*LN('Ecoinvent 3.10'!$E$35)^2)</f>
        <v>0.17196796828728608</v>
      </c>
      <c r="HH283" s="224">
        <f>EXP(LN(HH32)+0.5*LN('Ecoinvent 3.10'!$E$35)^2)</f>
        <v>0.17196796828728608</v>
      </c>
      <c r="HI283" s="224">
        <f>EXP(LN(HI32)+0.5*LN('Ecoinvent 3.10'!$E$35)^2)</f>
        <v>0.23003507446221383</v>
      </c>
      <c r="HJ283" s="224">
        <f>EXP(LN(HJ32)+0.5*LN('Ecoinvent 3.10'!$E$35)^2)</f>
        <v>0.23003507446221383</v>
      </c>
      <c r="HK283" s="224">
        <f>EXP(LN(HK32)+0.5*LN('Ecoinvent 3.10'!$E$35)^2)</f>
        <v>0.22421140169101852</v>
      </c>
      <c r="HL283" s="224">
        <f>EXP(LN(HL32)+0.5*LN('Ecoinvent 3.10'!$E$35)^2)</f>
        <v>0.22421140169101852</v>
      </c>
      <c r="HM283" s="224">
        <f>EXP(LN(HM32)+0.5*LN('Ecoinvent 3.10'!$E$35)^2)</f>
        <v>0.18644948140621542</v>
      </c>
      <c r="HN283" s="224">
        <f>EXP(LN(HN32)+0.5*LN('Ecoinvent 3.10'!$E$35)^2)</f>
        <v>0.18644948140621542</v>
      </c>
      <c r="HO283" s="224">
        <f>EXP(LN(HO32)+0.5*LN('Ecoinvent 3.10'!$E$35)^2)</f>
        <v>0.1686923879389568</v>
      </c>
      <c r="HP283" s="224">
        <f>EXP(LN(HP32)+0.5*LN('Ecoinvent 3.10'!$E$35)^2)</f>
        <v>0.1686923879389568</v>
      </c>
      <c r="HQ283" s="224"/>
      <c r="HR283" s="50"/>
      <c r="HS283" s="224">
        <f>EXP(LN(HS32)+0.5*LN('Ecoinvent 3.10'!$E$35)^2)</f>
        <v>0.31489245748605271</v>
      </c>
      <c r="HT283" s="50">
        <f>EXP(LN(HT32)+0.5*LN('Ecoinvent 3.10'!$E$35)^2)</f>
        <v>0.31489245748605271</v>
      </c>
      <c r="HU283" s="224">
        <f>EXP(LN(HU32)+0.5*LN('Ecoinvent 3.10'!$E$35)^2)</f>
        <v>0.1686923879389568</v>
      </c>
      <c r="HV283" s="50">
        <f>EXP(LN(HV32)+0.5*LN('Ecoinvent 3.10'!$E$35)^2)</f>
        <v>0.1686923879389568</v>
      </c>
      <c r="HY283" s="149" t="s">
        <v>365</v>
      </c>
      <c r="HZ283" s="224">
        <f>EXP(LN(HZ32)+0.5*LN('Ecoinvent 3.10'!$E$35)^2)</f>
        <v>5.5368555432302362E-4</v>
      </c>
      <c r="IA283" s="224">
        <f>EXP(LN(IA32)+0.5*LN('Ecoinvent 3.10'!$E$35)^2)</f>
        <v>5.5368555432302362E-4</v>
      </c>
      <c r="IB283" s="224">
        <f>EXP(LN(IB32)+0.5*LN('Ecoinvent 3.10'!$E$35)^2)</f>
        <v>7.406443129256029E-4</v>
      </c>
      <c r="IC283" s="224">
        <f>EXP(LN(IC32)+0.5*LN('Ecoinvent 3.10'!$E$35)^2)</f>
        <v>7.406443129256029E-4</v>
      </c>
      <c r="ID283" s="224">
        <f>EXP(LN(ID32)+0.5*LN('Ecoinvent 3.10'!$E$35)^2)</f>
        <v>7.2189382399077777E-4</v>
      </c>
      <c r="IE283" s="224">
        <f>EXP(LN(IE32)+0.5*LN('Ecoinvent 3.10'!$E$35)^2)</f>
        <v>7.2189382399077777E-4</v>
      </c>
      <c r="IF283" s="224">
        <f>EXP(LN(IF32)+0.5*LN('Ecoinvent 3.10'!$E$35)^2)</f>
        <v>6.0031170626601515E-4</v>
      </c>
      <c r="IG283" s="224">
        <f>EXP(LN(IG32)+0.5*LN('Ecoinvent 3.10'!$E$35)^2)</f>
        <v>6.0031170626601515E-4</v>
      </c>
      <c r="IH283" s="224">
        <f>EXP(LN(IH32)+0.5*LN('Ecoinvent 3.10'!$E$35)^2)</f>
        <v>5.4313916281210862E-4</v>
      </c>
      <c r="II283" s="224">
        <f>EXP(LN(II32)+0.5*LN('Ecoinvent 3.10'!$E$35)^2)</f>
        <v>5.4313916281210862E-4</v>
      </c>
      <c r="IJ283" s="224"/>
      <c r="IK283" s="50"/>
      <c r="IL283" s="224"/>
      <c r="IM283" s="224"/>
      <c r="IN283" s="224"/>
      <c r="IO283" s="224"/>
    </row>
    <row r="284" spans="2:249" ht="14.25" customHeight="1" x14ac:dyDescent="0.25">
      <c r="B284" s="248"/>
      <c r="C284" s="248"/>
      <c r="D284" s="248"/>
      <c r="E284" s="248"/>
      <c r="F284" s="248"/>
      <c r="G284" s="248"/>
      <c r="H284" s="248"/>
      <c r="I284" s="248"/>
      <c r="J284" s="248"/>
      <c r="K284" s="248"/>
      <c r="L284" s="248"/>
      <c r="M284" s="248"/>
      <c r="N284" s="248"/>
      <c r="O284" s="248"/>
      <c r="P284" s="248"/>
      <c r="Q284" s="248"/>
      <c r="R284" s="248"/>
      <c r="S284" s="248"/>
      <c r="T284" s="248"/>
      <c r="U284" s="248"/>
      <c r="V284" s="248"/>
      <c r="W284" s="248"/>
      <c r="X284" s="248"/>
      <c r="Y284" s="248"/>
      <c r="Z284" s="248"/>
      <c r="AA284" s="248"/>
      <c r="AB284" s="248"/>
      <c r="AC284" s="248"/>
      <c r="AD284" s="248"/>
      <c r="AE284" s="248"/>
      <c r="AF284" s="248"/>
      <c r="AG284" s="248"/>
      <c r="AH284" s="248"/>
      <c r="AI284" s="248"/>
      <c r="AJ284" s="248"/>
      <c r="AK284" s="248"/>
      <c r="AL284" s="248"/>
      <c r="AM284" s="248"/>
      <c r="AN284" s="139"/>
      <c r="AO284" s="248"/>
      <c r="AP284" s="726"/>
      <c r="AQ284" s="149" t="s">
        <v>416</v>
      </c>
      <c r="AR284" s="224"/>
      <c r="AS284" s="50"/>
      <c r="AT284" s="224"/>
      <c r="AU284" s="50"/>
      <c r="AV284" s="224"/>
      <c r="AW284" s="50"/>
      <c r="AX284" s="224"/>
      <c r="AY284" s="50"/>
      <c r="AZ284" s="224"/>
      <c r="BA284" s="50"/>
      <c r="BB284" s="224"/>
      <c r="BC284" s="50"/>
      <c r="BD284" s="224"/>
      <c r="BE284" s="50"/>
      <c r="BF284" s="224"/>
      <c r="BG284" s="50"/>
      <c r="BI284" s="156"/>
      <c r="BJ284" s="149" t="s">
        <v>416</v>
      </c>
      <c r="BK284" s="224"/>
      <c r="BL284" s="50"/>
      <c r="BM284" s="224"/>
      <c r="BN284" s="50"/>
      <c r="BO284" s="224"/>
      <c r="BP284" s="50"/>
      <c r="BQ284" s="224"/>
      <c r="BR284" s="50"/>
      <c r="BS284" s="224"/>
      <c r="BT284" s="50"/>
      <c r="BU284" s="224"/>
      <c r="BV284" s="50"/>
      <c r="BW284" s="224"/>
      <c r="BX284" s="50"/>
      <c r="BY284" s="224"/>
      <c r="BZ284" s="50"/>
      <c r="CA284" s="156"/>
      <c r="CB284" s="156"/>
      <c r="CC284" s="149" t="s">
        <v>416</v>
      </c>
      <c r="CD284" s="224"/>
      <c r="CE284" s="50"/>
      <c r="CF284" s="224"/>
      <c r="CG284" s="50"/>
      <c r="CH284" s="224"/>
      <c r="CI284" s="50"/>
      <c r="CJ284" s="224"/>
      <c r="CK284" s="50"/>
      <c r="CL284" s="224"/>
      <c r="CM284" s="50"/>
      <c r="CN284" s="224"/>
      <c r="CO284" s="50"/>
      <c r="CP284" s="224"/>
      <c r="CQ284" s="50"/>
      <c r="CR284" s="224"/>
      <c r="CS284" s="50"/>
      <c r="CV284" s="149" t="s">
        <v>416</v>
      </c>
      <c r="CW284" s="224"/>
      <c r="CX284" s="50"/>
      <c r="CY284" s="224"/>
      <c r="CZ284" s="50"/>
      <c r="DA284" s="224"/>
      <c r="DB284" s="50"/>
      <c r="DC284" s="224"/>
      <c r="DD284" s="50"/>
      <c r="DE284" s="224"/>
      <c r="DF284" s="50"/>
      <c r="DG284" s="224"/>
      <c r="DH284" s="50"/>
      <c r="DI284" s="224"/>
      <c r="DJ284" s="50"/>
      <c r="DK284" s="224"/>
      <c r="DL284" s="50"/>
      <c r="DO284" s="149" t="s">
        <v>416</v>
      </c>
      <c r="DP284" s="224"/>
      <c r="DQ284" s="50"/>
      <c r="DR284" s="224"/>
      <c r="DS284" s="50"/>
      <c r="DT284" s="224"/>
      <c r="DU284" s="50"/>
      <c r="DV284" s="224"/>
      <c r="DW284" s="50"/>
      <c r="DX284" s="224"/>
      <c r="DY284" s="50"/>
      <c r="DZ284" s="224"/>
      <c r="EA284" s="50"/>
      <c r="EB284" s="224"/>
      <c r="EC284" s="50"/>
      <c r="ED284" s="224"/>
      <c r="EE284" s="50"/>
      <c r="EH284" s="149" t="s">
        <v>416</v>
      </c>
      <c r="EI284" s="224"/>
      <c r="EJ284" s="50"/>
      <c r="EK284" s="224"/>
      <c r="EL284" s="50"/>
      <c r="EM284" s="224"/>
      <c r="EN284" s="50"/>
      <c r="EO284" s="224"/>
      <c r="EP284" s="50"/>
      <c r="EQ284" s="224"/>
      <c r="ER284" s="50"/>
      <c r="ES284" s="224"/>
      <c r="ET284" s="50"/>
      <c r="EU284" s="224"/>
      <c r="EV284" s="50"/>
      <c r="EW284" s="224"/>
      <c r="EX284" s="50"/>
      <c r="FA284" s="149" t="s">
        <v>416</v>
      </c>
      <c r="FB284" s="224"/>
      <c r="FC284" s="50"/>
      <c r="FD284" s="224"/>
      <c r="FE284" s="50"/>
      <c r="FF284" s="224"/>
      <c r="FG284" s="50"/>
      <c r="FH284" s="224"/>
      <c r="FI284" s="50"/>
      <c r="FJ284" s="224"/>
      <c r="FK284" s="50"/>
      <c r="FL284" s="224"/>
      <c r="FM284" s="50"/>
      <c r="FN284" s="224"/>
      <c r="FO284" s="50"/>
      <c r="FP284" s="224"/>
      <c r="FQ284" s="50"/>
      <c r="FT284" s="149" t="s">
        <v>416</v>
      </c>
      <c r="FU284" s="224"/>
      <c r="FV284" s="50"/>
      <c r="FW284" s="224"/>
      <c r="FX284" s="50"/>
      <c r="FY284" s="224"/>
      <c r="FZ284" s="50"/>
      <c r="GA284" s="224"/>
      <c r="GB284" s="50"/>
      <c r="GC284" s="224"/>
      <c r="GD284" s="50"/>
      <c r="GE284" s="224"/>
      <c r="GF284" s="50"/>
      <c r="GG284" s="224"/>
      <c r="GH284" s="50"/>
      <c r="GI284" s="224"/>
      <c r="GJ284" s="50"/>
      <c r="GM284" s="149" t="s">
        <v>416</v>
      </c>
      <c r="GN284" s="224"/>
      <c r="GO284" s="50"/>
      <c r="GP284" s="224"/>
      <c r="GQ284" s="50"/>
      <c r="GR284" s="224"/>
      <c r="GS284" s="50"/>
      <c r="GT284" s="224"/>
      <c r="GU284" s="50"/>
      <c r="GV284" s="224"/>
      <c r="GW284" s="50"/>
      <c r="GX284" s="224"/>
      <c r="GY284" s="50"/>
      <c r="GZ284" s="224"/>
      <c r="HA284" s="50"/>
      <c r="HB284" s="224"/>
      <c r="HC284" s="50"/>
      <c r="HF284" s="149" t="s">
        <v>416</v>
      </c>
      <c r="HG284" s="224"/>
      <c r="HH284" s="50"/>
      <c r="HI284" s="224"/>
      <c r="HJ284" s="50"/>
      <c r="HK284" s="224"/>
      <c r="HL284" s="50"/>
      <c r="HM284" s="224"/>
      <c r="HN284" s="50"/>
      <c r="HO284" s="224"/>
      <c r="HP284" s="50"/>
      <c r="HQ284" s="224"/>
      <c r="HR284" s="50"/>
      <c r="HS284" s="224"/>
      <c r="HT284" s="50"/>
      <c r="HU284" s="224"/>
      <c r="HV284" s="50"/>
      <c r="HY284" s="149" t="s">
        <v>416</v>
      </c>
      <c r="HZ284" s="224"/>
      <c r="IA284" s="50"/>
      <c r="IB284" s="224"/>
      <c r="IC284" s="50"/>
      <c r="ID284" s="224"/>
      <c r="IE284" s="50"/>
      <c r="IF284" s="224"/>
      <c r="IG284" s="50"/>
      <c r="IH284" s="224"/>
      <c r="II284" s="50"/>
      <c r="IJ284" s="224"/>
      <c r="IK284" s="50"/>
      <c r="IL284" s="224"/>
      <c r="IM284" s="224"/>
      <c r="IN284" s="224"/>
      <c r="IO284" s="224"/>
    </row>
    <row r="285" spans="2:249" ht="14.25" customHeight="1" x14ac:dyDescent="0.25">
      <c r="B285" s="248"/>
      <c r="C285" s="248"/>
      <c r="D285" s="248"/>
      <c r="E285" s="248"/>
      <c r="F285" s="248"/>
      <c r="G285" s="248"/>
      <c r="H285" s="248"/>
      <c r="I285" s="248"/>
      <c r="J285" s="248"/>
      <c r="K285" s="248"/>
      <c r="L285" s="248"/>
      <c r="M285" s="248"/>
      <c r="N285" s="248"/>
      <c r="O285" s="248"/>
      <c r="P285" s="248"/>
      <c r="Q285" s="248"/>
      <c r="R285" s="248"/>
      <c r="S285" s="248"/>
      <c r="T285" s="248"/>
      <c r="U285" s="248"/>
      <c r="V285" s="248"/>
      <c r="W285" s="248"/>
      <c r="X285" s="248"/>
      <c r="Y285" s="248"/>
      <c r="Z285" s="248"/>
      <c r="AA285" s="248"/>
      <c r="AB285" s="248"/>
      <c r="AC285" s="248"/>
      <c r="AD285" s="248"/>
      <c r="AE285" s="248"/>
      <c r="AF285" s="248"/>
      <c r="AG285" s="248"/>
      <c r="AH285" s="248"/>
      <c r="AI285" s="248"/>
      <c r="AJ285" s="248"/>
      <c r="AK285" s="248"/>
      <c r="AL285" s="248"/>
      <c r="AM285" s="248"/>
      <c r="AN285" s="139"/>
      <c r="AO285" s="248"/>
      <c r="AP285" s="726"/>
      <c r="AQ285" s="149" t="s">
        <v>425</v>
      </c>
      <c r="AR285" s="224"/>
      <c r="AS285" s="50"/>
      <c r="AT285" s="224"/>
      <c r="AU285" s="50"/>
      <c r="AV285" s="224"/>
      <c r="AW285" s="50"/>
      <c r="AX285" s="224"/>
      <c r="AY285" s="50"/>
      <c r="AZ285" s="224"/>
      <c r="BA285" s="50"/>
      <c r="BB285" s="224"/>
      <c r="BC285" s="50"/>
      <c r="BD285" s="224"/>
      <c r="BE285" s="50"/>
      <c r="BF285" s="224"/>
      <c r="BG285" s="50"/>
      <c r="BI285" s="156"/>
      <c r="BJ285" s="149" t="s">
        <v>425</v>
      </c>
      <c r="BK285" s="224"/>
      <c r="BL285" s="50"/>
      <c r="BM285" s="224"/>
      <c r="BN285" s="50"/>
      <c r="BO285" s="224"/>
      <c r="BP285" s="50"/>
      <c r="BQ285" s="224"/>
      <c r="BR285" s="50"/>
      <c r="BS285" s="224"/>
      <c r="BT285" s="50"/>
      <c r="BU285" s="224"/>
      <c r="BV285" s="50"/>
      <c r="BW285" s="224"/>
      <c r="BX285" s="50"/>
      <c r="BY285" s="224"/>
      <c r="BZ285" s="50"/>
      <c r="CA285" s="156"/>
      <c r="CB285" s="156"/>
      <c r="CC285" s="149" t="s">
        <v>425</v>
      </c>
      <c r="CD285" s="224"/>
      <c r="CE285" s="50"/>
      <c r="CF285" s="224"/>
      <c r="CG285" s="50"/>
      <c r="CH285" s="224"/>
      <c r="CI285" s="50"/>
      <c r="CJ285" s="224"/>
      <c r="CK285" s="50"/>
      <c r="CL285" s="224"/>
      <c r="CM285" s="50"/>
      <c r="CN285" s="224"/>
      <c r="CO285" s="50"/>
      <c r="CP285" s="224"/>
      <c r="CQ285" s="50"/>
      <c r="CR285" s="224"/>
      <c r="CS285" s="50"/>
      <c r="CV285" s="149" t="s">
        <v>425</v>
      </c>
      <c r="CW285" s="224"/>
      <c r="CX285" s="50"/>
      <c r="CY285" s="224"/>
      <c r="CZ285" s="50"/>
      <c r="DA285" s="224"/>
      <c r="DB285" s="50"/>
      <c r="DC285" s="224"/>
      <c r="DD285" s="50"/>
      <c r="DE285" s="224"/>
      <c r="DF285" s="50"/>
      <c r="DG285" s="224"/>
      <c r="DH285" s="50"/>
      <c r="DI285" s="224"/>
      <c r="DJ285" s="50"/>
      <c r="DK285" s="224"/>
      <c r="DL285" s="50"/>
      <c r="DO285" s="149" t="s">
        <v>425</v>
      </c>
      <c r="DP285" s="224"/>
      <c r="DQ285" s="50"/>
      <c r="DR285" s="224"/>
      <c r="DS285" s="50"/>
      <c r="DT285" s="224"/>
      <c r="DU285" s="50"/>
      <c r="DV285" s="224"/>
      <c r="DW285" s="50"/>
      <c r="DX285" s="224"/>
      <c r="DY285" s="50"/>
      <c r="DZ285" s="224"/>
      <c r="EA285" s="50"/>
      <c r="EB285" s="224"/>
      <c r="EC285" s="50"/>
      <c r="ED285" s="224"/>
      <c r="EE285" s="50"/>
      <c r="EH285" s="149" t="s">
        <v>425</v>
      </c>
      <c r="EI285" s="224"/>
      <c r="EJ285" s="50"/>
      <c r="EK285" s="224"/>
      <c r="EL285" s="50"/>
      <c r="EM285" s="224"/>
      <c r="EN285" s="50"/>
      <c r="EO285" s="224"/>
      <c r="EP285" s="50"/>
      <c r="EQ285" s="224"/>
      <c r="ER285" s="50"/>
      <c r="ES285" s="224"/>
      <c r="ET285" s="50"/>
      <c r="EU285" s="224"/>
      <c r="EV285" s="50"/>
      <c r="EW285" s="224"/>
      <c r="EX285" s="50"/>
      <c r="FA285" s="149" t="s">
        <v>425</v>
      </c>
      <c r="FB285" s="224"/>
      <c r="FC285" s="50"/>
      <c r="FD285" s="224"/>
      <c r="FE285" s="50"/>
      <c r="FF285" s="224"/>
      <c r="FG285" s="50"/>
      <c r="FH285" s="224"/>
      <c r="FI285" s="50"/>
      <c r="FJ285" s="224"/>
      <c r="FK285" s="50"/>
      <c r="FL285" s="224"/>
      <c r="FM285" s="50"/>
      <c r="FN285" s="224"/>
      <c r="FO285" s="50"/>
      <c r="FP285" s="224"/>
      <c r="FQ285" s="50"/>
      <c r="FT285" s="149" t="s">
        <v>425</v>
      </c>
      <c r="FU285" s="224"/>
      <c r="FV285" s="50"/>
      <c r="FW285" s="224"/>
      <c r="FX285" s="50"/>
      <c r="FY285" s="224"/>
      <c r="FZ285" s="50"/>
      <c r="GA285" s="224"/>
      <c r="GB285" s="50"/>
      <c r="GC285" s="224"/>
      <c r="GD285" s="50"/>
      <c r="GE285" s="224"/>
      <c r="GF285" s="50"/>
      <c r="GG285" s="224"/>
      <c r="GH285" s="50"/>
      <c r="GI285" s="224"/>
      <c r="GJ285" s="50"/>
      <c r="GM285" s="149" t="s">
        <v>425</v>
      </c>
      <c r="GN285" s="224"/>
      <c r="GO285" s="50"/>
      <c r="GP285" s="224"/>
      <c r="GQ285" s="50"/>
      <c r="GR285" s="224"/>
      <c r="GS285" s="50"/>
      <c r="GT285" s="224"/>
      <c r="GU285" s="50"/>
      <c r="GV285" s="224"/>
      <c r="GW285" s="50"/>
      <c r="GX285" s="224"/>
      <c r="GY285" s="50"/>
      <c r="GZ285" s="224"/>
      <c r="HA285" s="50"/>
      <c r="HB285" s="224"/>
      <c r="HC285" s="50"/>
      <c r="HF285" s="149" t="s">
        <v>425</v>
      </c>
      <c r="HG285" s="224"/>
      <c r="HH285" s="50"/>
      <c r="HI285" s="224"/>
      <c r="HJ285" s="50"/>
      <c r="HK285" s="224"/>
      <c r="HL285" s="50"/>
      <c r="HM285" s="224"/>
      <c r="HN285" s="50"/>
      <c r="HO285" s="224"/>
      <c r="HP285" s="50"/>
      <c r="HQ285" s="224"/>
      <c r="HR285" s="50"/>
      <c r="HS285" s="224"/>
      <c r="HT285" s="50"/>
      <c r="HU285" s="224"/>
      <c r="HV285" s="50"/>
      <c r="HY285" s="149" t="s">
        <v>425</v>
      </c>
      <c r="HZ285" s="224"/>
      <c r="IA285" s="50"/>
      <c r="IB285" s="224"/>
      <c r="IC285" s="50"/>
      <c r="ID285" s="224"/>
      <c r="IE285" s="50"/>
      <c r="IF285" s="224"/>
      <c r="IG285" s="50"/>
      <c r="IH285" s="224"/>
      <c r="II285" s="50"/>
      <c r="IJ285" s="224"/>
      <c r="IK285" s="50"/>
      <c r="IL285" s="224"/>
      <c r="IM285" s="224"/>
      <c r="IN285" s="224"/>
      <c r="IO285" s="224"/>
    </row>
    <row r="286" spans="2:249" ht="14.25" customHeight="1" x14ac:dyDescent="0.25">
      <c r="B286" s="248"/>
      <c r="C286" s="248"/>
      <c r="D286" s="248"/>
      <c r="E286" s="248"/>
      <c r="F286" s="248"/>
      <c r="G286" s="248"/>
      <c r="H286" s="248"/>
      <c r="I286" s="248"/>
      <c r="J286" s="248"/>
      <c r="K286" s="248"/>
      <c r="L286" s="248"/>
      <c r="M286" s="248"/>
      <c r="N286" s="248"/>
      <c r="O286" s="248"/>
      <c r="P286" s="248"/>
      <c r="Q286" s="248"/>
      <c r="R286" s="248"/>
      <c r="S286" s="248"/>
      <c r="T286" s="248"/>
      <c r="U286" s="248"/>
      <c r="V286" s="248"/>
      <c r="W286" s="248"/>
      <c r="X286" s="248"/>
      <c r="Y286" s="248"/>
      <c r="Z286" s="248"/>
      <c r="AA286" s="248"/>
      <c r="AB286" s="248"/>
      <c r="AC286" s="248"/>
      <c r="AD286" s="248"/>
      <c r="AE286" s="248"/>
      <c r="AF286" s="248"/>
      <c r="AG286" s="248"/>
      <c r="AH286" s="248"/>
      <c r="AI286" s="248"/>
      <c r="AJ286" s="248"/>
      <c r="AK286" s="248"/>
      <c r="AL286" s="248"/>
      <c r="AM286" s="248"/>
      <c r="AN286" s="139"/>
      <c r="AO286" s="248"/>
      <c r="AP286" s="726"/>
      <c r="AQ286" s="149" t="s">
        <v>375</v>
      </c>
      <c r="AR286" s="224"/>
      <c r="AS286" s="50"/>
      <c r="AT286" s="224"/>
      <c r="AU286" s="50"/>
      <c r="AV286" s="224"/>
      <c r="AW286" s="50"/>
      <c r="AX286" s="224"/>
      <c r="AY286" s="50"/>
      <c r="AZ286" s="224"/>
      <c r="BA286" s="50"/>
      <c r="BB286" s="224"/>
      <c r="BC286" s="50"/>
      <c r="BD286" s="224"/>
      <c r="BE286" s="50"/>
      <c r="BF286" s="224"/>
      <c r="BG286" s="50"/>
      <c r="BI286" s="156"/>
      <c r="BJ286" s="149" t="s">
        <v>375</v>
      </c>
      <c r="BK286" s="224"/>
      <c r="BL286" s="50"/>
      <c r="BM286" s="224"/>
      <c r="BN286" s="50"/>
      <c r="BO286" s="224"/>
      <c r="BP286" s="50"/>
      <c r="BQ286" s="224"/>
      <c r="BR286" s="50"/>
      <c r="BS286" s="224"/>
      <c r="BT286" s="50"/>
      <c r="BU286" s="224"/>
      <c r="BV286" s="50"/>
      <c r="BW286" s="224"/>
      <c r="BX286" s="50"/>
      <c r="BY286" s="224"/>
      <c r="BZ286" s="50"/>
      <c r="CA286" s="156"/>
      <c r="CB286" s="156"/>
      <c r="CC286" s="149" t="s">
        <v>375</v>
      </c>
      <c r="CD286" s="224"/>
      <c r="CE286" s="50"/>
      <c r="CF286" s="224"/>
      <c r="CG286" s="50"/>
      <c r="CH286" s="224"/>
      <c r="CI286" s="50"/>
      <c r="CJ286" s="224"/>
      <c r="CK286" s="50"/>
      <c r="CL286" s="224"/>
      <c r="CM286" s="50"/>
      <c r="CN286" s="224"/>
      <c r="CO286" s="50"/>
      <c r="CP286" s="224"/>
      <c r="CQ286" s="50"/>
      <c r="CR286" s="224"/>
      <c r="CS286" s="50"/>
      <c r="CV286" s="149" t="s">
        <v>375</v>
      </c>
      <c r="CW286" s="224"/>
      <c r="CX286" s="50"/>
      <c r="CY286" s="224"/>
      <c r="CZ286" s="50"/>
      <c r="DA286" s="224"/>
      <c r="DB286" s="50"/>
      <c r="DC286" s="224"/>
      <c r="DD286" s="50"/>
      <c r="DE286" s="224"/>
      <c r="DF286" s="50"/>
      <c r="DG286" s="224"/>
      <c r="DH286" s="50"/>
      <c r="DI286" s="224"/>
      <c r="DJ286" s="50"/>
      <c r="DK286" s="224"/>
      <c r="DL286" s="50"/>
      <c r="DO286" s="149" t="s">
        <v>375</v>
      </c>
      <c r="DP286" s="224"/>
      <c r="DQ286" s="50"/>
      <c r="DR286" s="224"/>
      <c r="DS286" s="50"/>
      <c r="DT286" s="224"/>
      <c r="DU286" s="50"/>
      <c r="DV286" s="224"/>
      <c r="DW286" s="50"/>
      <c r="DX286" s="224"/>
      <c r="DY286" s="50"/>
      <c r="DZ286" s="224"/>
      <c r="EA286" s="50"/>
      <c r="EB286" s="224"/>
      <c r="EC286" s="50"/>
      <c r="ED286" s="224"/>
      <c r="EE286" s="50"/>
      <c r="EH286" s="149" t="s">
        <v>375</v>
      </c>
      <c r="EI286" s="224"/>
      <c r="EJ286" s="50"/>
      <c r="EK286" s="224"/>
      <c r="EL286" s="50"/>
      <c r="EM286" s="224"/>
      <c r="EN286" s="50"/>
      <c r="EO286" s="224"/>
      <c r="EP286" s="50"/>
      <c r="EQ286" s="224"/>
      <c r="ER286" s="50"/>
      <c r="ES286" s="224"/>
      <c r="ET286" s="50"/>
      <c r="EU286" s="224"/>
      <c r="EV286" s="50"/>
      <c r="EW286" s="224"/>
      <c r="EX286" s="50"/>
      <c r="FA286" s="149" t="s">
        <v>375</v>
      </c>
      <c r="FB286" s="224"/>
      <c r="FC286" s="50"/>
      <c r="FD286" s="224"/>
      <c r="FE286" s="50"/>
      <c r="FF286" s="224"/>
      <c r="FG286" s="50"/>
      <c r="FH286" s="224"/>
      <c r="FI286" s="50"/>
      <c r="FJ286" s="224"/>
      <c r="FK286" s="50"/>
      <c r="FL286" s="224"/>
      <c r="FM286" s="50"/>
      <c r="FN286" s="224"/>
      <c r="FO286" s="50"/>
      <c r="FP286" s="224"/>
      <c r="FQ286" s="50"/>
      <c r="FT286" s="149" t="s">
        <v>375</v>
      </c>
      <c r="FU286" s="224"/>
      <c r="FV286" s="50"/>
      <c r="FW286" s="224"/>
      <c r="FX286" s="50"/>
      <c r="FY286" s="224"/>
      <c r="FZ286" s="50"/>
      <c r="GA286" s="224"/>
      <c r="GB286" s="50"/>
      <c r="GC286" s="224"/>
      <c r="GD286" s="50"/>
      <c r="GE286" s="224"/>
      <c r="GF286" s="50"/>
      <c r="GG286" s="224"/>
      <c r="GH286" s="50"/>
      <c r="GI286" s="224"/>
      <c r="GJ286" s="50"/>
      <c r="GM286" s="149" t="s">
        <v>375</v>
      </c>
      <c r="GN286" s="224"/>
      <c r="GO286" s="50"/>
      <c r="GP286" s="224"/>
      <c r="GQ286" s="50"/>
      <c r="GR286" s="224"/>
      <c r="GS286" s="50"/>
      <c r="GT286" s="224"/>
      <c r="GU286" s="50"/>
      <c r="GV286" s="224"/>
      <c r="GW286" s="50"/>
      <c r="GX286" s="224"/>
      <c r="GY286" s="50"/>
      <c r="GZ286" s="224"/>
      <c r="HA286" s="50"/>
      <c r="HB286" s="224"/>
      <c r="HC286" s="50"/>
      <c r="HF286" s="149" t="s">
        <v>375</v>
      </c>
      <c r="HG286" s="224"/>
      <c r="HH286" s="50"/>
      <c r="HI286" s="224"/>
      <c r="HJ286" s="50"/>
      <c r="HK286" s="224"/>
      <c r="HL286" s="50"/>
      <c r="HM286" s="224"/>
      <c r="HN286" s="50"/>
      <c r="HO286" s="224"/>
      <c r="HP286" s="50"/>
      <c r="HQ286" s="224"/>
      <c r="HR286" s="50"/>
      <c r="HS286" s="224"/>
      <c r="HT286" s="50"/>
      <c r="HU286" s="224"/>
      <c r="HV286" s="50"/>
      <c r="HY286" s="149" t="s">
        <v>375</v>
      </c>
      <c r="HZ286" s="224"/>
      <c r="IA286" s="50"/>
      <c r="IB286" s="224"/>
      <c r="IC286" s="50"/>
      <c r="ID286" s="224"/>
      <c r="IE286" s="50"/>
      <c r="IF286" s="224"/>
      <c r="IG286" s="50"/>
      <c r="IH286" s="224"/>
      <c r="II286" s="50"/>
      <c r="IJ286" s="224"/>
      <c r="IK286" s="50"/>
      <c r="IL286" s="224"/>
      <c r="IM286" s="224"/>
      <c r="IN286" s="224"/>
      <c r="IO286" s="224"/>
    </row>
    <row r="287" spans="2:249" ht="12.75" customHeight="1" x14ac:dyDescent="0.2">
      <c r="B287" s="248"/>
      <c r="C287" s="248"/>
      <c r="D287" s="248"/>
      <c r="E287" s="248"/>
      <c r="F287" s="248"/>
      <c r="G287" s="248"/>
      <c r="H287" s="248"/>
      <c r="I287" s="248"/>
      <c r="J287" s="248"/>
      <c r="K287" s="248"/>
      <c r="L287" s="248"/>
      <c r="M287" s="248"/>
      <c r="N287" s="248"/>
      <c r="O287" s="248"/>
      <c r="P287" s="248"/>
      <c r="Q287" s="248"/>
      <c r="R287" s="248"/>
      <c r="S287" s="248"/>
      <c r="T287" s="248"/>
      <c r="U287" s="248"/>
      <c r="V287" s="248"/>
      <c r="W287" s="248"/>
      <c r="X287" s="248"/>
      <c r="Y287" s="248"/>
      <c r="Z287" s="248"/>
      <c r="AA287" s="248"/>
      <c r="AB287" s="248"/>
      <c r="AC287" s="248"/>
      <c r="AD287" s="248"/>
      <c r="AE287" s="248"/>
      <c r="AF287" s="248"/>
      <c r="AG287" s="248"/>
      <c r="AH287" s="248"/>
      <c r="AI287" s="248"/>
      <c r="AJ287" s="248"/>
      <c r="AK287" s="248"/>
      <c r="AL287" s="248"/>
      <c r="AM287" s="248"/>
      <c r="AN287" s="137"/>
      <c r="AO287" s="248"/>
      <c r="AP287" s="726"/>
      <c r="AQ287" s="147" t="s">
        <v>217</v>
      </c>
      <c r="AR287" s="259"/>
      <c r="AS287" s="57"/>
      <c r="AT287" s="259"/>
      <c r="AU287" s="57"/>
      <c r="AV287" s="259"/>
      <c r="AW287" s="57"/>
      <c r="AX287" s="259"/>
      <c r="AY287" s="57"/>
      <c r="AZ287" s="259"/>
      <c r="BA287" s="57"/>
      <c r="BB287" s="259">
        <f>SUM(BB288:BB295)</f>
        <v>65.286291830527162</v>
      </c>
      <c r="BC287" s="57">
        <f>SUM(BC288:BC295)</f>
        <v>65.286291830527162</v>
      </c>
      <c r="BD287" s="435"/>
      <c r="BE287" s="437"/>
      <c r="BF287" s="435"/>
      <c r="BG287" s="437"/>
      <c r="BI287" s="156"/>
      <c r="BJ287" s="147" t="s">
        <v>217</v>
      </c>
      <c r="BK287" s="259"/>
      <c r="BL287" s="57"/>
      <c r="BM287" s="259"/>
      <c r="BN287" s="57"/>
      <c r="BO287" s="259"/>
      <c r="BP287" s="57"/>
      <c r="BQ287" s="259"/>
      <c r="BR287" s="57"/>
      <c r="BS287" s="259"/>
      <c r="BT287" s="57"/>
      <c r="BU287" s="259">
        <f>SUM(BU288:BU295)</f>
        <v>11.762683331529615</v>
      </c>
      <c r="BV287" s="57">
        <f>SUM(BV288:BV295)</f>
        <v>11.762683331529615</v>
      </c>
      <c r="BW287" s="435"/>
      <c r="BX287" s="437"/>
      <c r="BY287" s="435"/>
      <c r="BZ287" s="437"/>
      <c r="CA287" s="156"/>
      <c r="CB287" s="156"/>
      <c r="CC287" s="147" t="s">
        <v>217</v>
      </c>
      <c r="CD287" s="259"/>
      <c r="CE287" s="57"/>
      <c r="CF287" s="259"/>
      <c r="CG287" s="57"/>
      <c r="CH287" s="259"/>
      <c r="CI287" s="57"/>
      <c r="CJ287" s="259"/>
      <c r="CK287" s="57"/>
      <c r="CL287" s="259"/>
      <c r="CM287" s="57"/>
      <c r="CN287" s="259">
        <f>SUM(CN288:CN295)</f>
        <v>114.96621678758216</v>
      </c>
      <c r="CO287" s="57">
        <f>SUM(CO288:CO295)</f>
        <v>114.96621678758216</v>
      </c>
      <c r="CP287" s="435"/>
      <c r="CQ287" s="437"/>
      <c r="CR287" s="435"/>
      <c r="CS287" s="437"/>
      <c r="CV287" s="147" t="s">
        <v>217</v>
      </c>
      <c r="CW287" s="259"/>
      <c r="CX287" s="57"/>
      <c r="CY287" s="259"/>
      <c r="CZ287" s="57"/>
      <c r="DA287" s="259"/>
      <c r="DB287" s="57"/>
      <c r="DC287" s="259"/>
      <c r="DD287" s="57"/>
      <c r="DE287" s="259"/>
      <c r="DF287" s="57"/>
      <c r="DG287" s="259">
        <f>SUM(DG288:DG295)</f>
        <v>0.1282336922930836</v>
      </c>
      <c r="DH287" s="57">
        <f>SUM(DH288:DH295)</f>
        <v>0.1282336922930836</v>
      </c>
      <c r="DI287" s="435"/>
      <c r="DJ287" s="437"/>
      <c r="DK287" s="435"/>
      <c r="DL287" s="437"/>
      <c r="DO287" s="147" t="s">
        <v>217</v>
      </c>
      <c r="DP287" s="259"/>
      <c r="DQ287" s="57"/>
      <c r="DR287" s="259"/>
      <c r="DS287" s="57"/>
      <c r="DT287" s="259"/>
      <c r="DU287" s="57"/>
      <c r="DV287" s="259"/>
      <c r="DW287" s="57"/>
      <c r="DX287" s="259"/>
      <c r="DY287" s="57"/>
      <c r="DZ287" s="259">
        <f>SUM(DZ288:DZ295)</f>
        <v>13.056029165759584</v>
      </c>
      <c r="EA287" s="57">
        <f>SUM(EA288:EA295)</f>
        <v>13.056029165759584</v>
      </c>
      <c r="EB287" s="435"/>
      <c r="EC287" s="437"/>
      <c r="ED287" s="435"/>
      <c r="EE287" s="437"/>
      <c r="EH287" s="147" t="s">
        <v>217</v>
      </c>
      <c r="EI287" s="259"/>
      <c r="EJ287" s="57"/>
      <c r="EK287" s="259"/>
      <c r="EL287" s="57"/>
      <c r="EM287" s="259"/>
      <c r="EN287" s="57"/>
      <c r="EO287" s="259"/>
      <c r="EP287" s="57"/>
      <c r="EQ287" s="259"/>
      <c r="ER287" s="57"/>
      <c r="ES287" s="259">
        <f>SUM(ES288:ES295)</f>
        <v>0.22038837354287219</v>
      </c>
      <c r="ET287" s="57">
        <f>SUM(ET288:ET295)</f>
        <v>0.22038837354287219</v>
      </c>
      <c r="EU287" s="435"/>
      <c r="EV287" s="437"/>
      <c r="EW287" s="435"/>
      <c r="EX287" s="437"/>
      <c r="FA287" s="147" t="s">
        <v>217</v>
      </c>
      <c r="FB287" s="259"/>
      <c r="FC287" s="57"/>
      <c r="FD287" s="259"/>
      <c r="FE287" s="57"/>
      <c r="FF287" s="259"/>
      <c r="FG287" s="57"/>
      <c r="FH287" s="259"/>
      <c r="FI287" s="57"/>
      <c r="FJ287" s="259"/>
      <c r="FK287" s="57"/>
      <c r="FL287" s="259">
        <f>SUM(FL288:FL295)</f>
        <v>6.8298658726073944E-3</v>
      </c>
      <c r="FM287" s="57">
        <f>SUM(FM288:FM295)</f>
        <v>6.8298658726073944E-3</v>
      </c>
      <c r="FN287" s="435"/>
      <c r="FO287" s="437"/>
      <c r="FP287" s="435"/>
      <c r="FQ287" s="437"/>
      <c r="FT287" s="147" t="s">
        <v>217</v>
      </c>
      <c r="FU287" s="259"/>
      <c r="FV287" s="57"/>
      <c r="FW287" s="259"/>
      <c r="FX287" s="57"/>
      <c r="FY287" s="259"/>
      <c r="FZ287" s="57"/>
      <c r="GA287" s="259"/>
      <c r="GB287" s="57"/>
      <c r="GC287" s="259"/>
      <c r="GD287" s="57"/>
      <c r="GE287" s="259">
        <f>SUM(GE288:GE295)</f>
        <v>0.74070983388046785</v>
      </c>
      <c r="GF287" s="57">
        <f>SUM(GF288:GF295)</f>
        <v>0.74070983388046785</v>
      </c>
      <c r="GG287" s="435"/>
      <c r="GH287" s="437"/>
      <c r="GI287" s="435"/>
      <c r="GJ287" s="437"/>
      <c r="GM287" s="147" t="s">
        <v>217</v>
      </c>
      <c r="GN287" s="259"/>
      <c r="GO287" s="57"/>
      <c r="GP287" s="259"/>
      <c r="GQ287" s="57"/>
      <c r="GR287" s="259"/>
      <c r="GS287" s="57"/>
      <c r="GT287" s="259"/>
      <c r="GU287" s="57"/>
      <c r="GV287" s="259"/>
      <c r="GW287" s="57"/>
      <c r="GX287" s="259">
        <f>SUM(GX288:GX295)</f>
        <v>2.151646287945729</v>
      </c>
      <c r="GY287" s="57">
        <f>SUM(GY288:GY295)</f>
        <v>2.151646287945729</v>
      </c>
      <c r="GZ287" s="435"/>
      <c r="HA287" s="437"/>
      <c r="HB287" s="435"/>
      <c r="HC287" s="437"/>
      <c r="HF287" s="147" t="s">
        <v>217</v>
      </c>
      <c r="HG287" s="259"/>
      <c r="HH287" s="57"/>
      <c r="HI287" s="259"/>
      <c r="HJ287" s="57"/>
      <c r="HK287" s="259"/>
      <c r="HL287" s="57"/>
      <c r="HM287" s="259"/>
      <c r="HN287" s="57"/>
      <c r="HO287" s="259"/>
      <c r="HP287" s="57"/>
      <c r="HQ287" s="259">
        <f>SUM(HQ288:HQ295)</f>
        <v>17.777271856505465</v>
      </c>
      <c r="HR287" s="57">
        <f>SUM(HR288:HR295)</f>
        <v>17.777271856505465</v>
      </c>
      <c r="HS287" s="435"/>
      <c r="HT287" s="437"/>
      <c r="HU287" s="435"/>
      <c r="HV287" s="437"/>
      <c r="HY287" s="147" t="s">
        <v>217</v>
      </c>
      <c r="HZ287" s="259"/>
      <c r="IA287" s="57"/>
      <c r="IB287" s="259"/>
      <c r="IC287" s="57"/>
      <c r="ID287" s="259"/>
      <c r="IE287" s="57"/>
      <c r="IF287" s="259"/>
      <c r="IG287" s="57"/>
      <c r="IH287" s="259"/>
      <c r="II287" s="57"/>
      <c r="IJ287" s="259">
        <f>SUM(IJ288:IJ295)</f>
        <v>4.2362490439218782E-2</v>
      </c>
      <c r="IK287" s="57">
        <f>SUM(IK288:IK295)</f>
        <v>4.2362490439218782E-2</v>
      </c>
      <c r="IL287" s="259"/>
      <c r="IM287" s="259"/>
      <c r="IN287" s="259"/>
      <c r="IO287" s="259"/>
    </row>
    <row r="288" spans="2:249" ht="14.25" customHeight="1" x14ac:dyDescent="0.25">
      <c r="B288" s="248"/>
      <c r="C288" s="248"/>
      <c r="D288" s="248"/>
      <c r="E288" s="248"/>
      <c r="F288" s="248"/>
      <c r="G288" s="248"/>
      <c r="H288" s="248"/>
      <c r="I288" s="248"/>
      <c r="J288" s="248"/>
      <c r="K288" s="248"/>
      <c r="L288" s="248"/>
      <c r="M288" s="248"/>
      <c r="N288" s="248"/>
      <c r="O288" s="248"/>
      <c r="P288" s="248"/>
      <c r="Q288" s="248"/>
      <c r="R288" s="248"/>
      <c r="S288" s="248"/>
      <c r="T288" s="248"/>
      <c r="U288" s="248"/>
      <c r="V288" s="248"/>
      <c r="W288" s="248"/>
      <c r="X288" s="248"/>
      <c r="Y288" s="248"/>
      <c r="Z288" s="248"/>
      <c r="AA288" s="248"/>
      <c r="AB288" s="248"/>
      <c r="AC288" s="248"/>
      <c r="AD288" s="248"/>
      <c r="AE288" s="248"/>
      <c r="AF288" s="248"/>
      <c r="AG288" s="248"/>
      <c r="AH288" s="248"/>
      <c r="AI288" s="248"/>
      <c r="AJ288" s="248"/>
      <c r="AK288" s="248"/>
      <c r="AL288" s="248"/>
      <c r="AM288" s="248"/>
      <c r="AN288" s="138"/>
      <c r="AO288" s="248"/>
      <c r="AP288" s="726"/>
      <c r="AQ288" s="148" t="s">
        <v>430</v>
      </c>
      <c r="AR288" s="224"/>
      <c r="AS288" s="50"/>
      <c r="AT288" s="224"/>
      <c r="AU288" s="50"/>
      <c r="AV288" s="224"/>
      <c r="AW288" s="50"/>
      <c r="AX288" s="224"/>
      <c r="AY288" s="50"/>
      <c r="AZ288" s="224"/>
      <c r="BA288" s="50"/>
      <c r="BB288" s="224">
        <f>EXP(LN(BB37)+0.5*LN('Ecoinvent 3.10'!$E$9)^2)</f>
        <v>14.303592491324181</v>
      </c>
      <c r="BC288" s="50">
        <f>EXP(LN(BC37)+0.5*LN('Ecoinvent 3.10'!$E$9)^2)</f>
        <v>14.303592491324181</v>
      </c>
      <c r="BD288" s="107"/>
      <c r="BE288" s="436"/>
      <c r="BF288" s="107"/>
      <c r="BG288" s="436"/>
      <c r="BI288" s="156"/>
      <c r="BJ288" s="148" t="s">
        <v>430</v>
      </c>
      <c r="BK288" s="224"/>
      <c r="BL288" s="50"/>
      <c r="BM288" s="224"/>
      <c r="BN288" s="50"/>
      <c r="BO288" s="224"/>
      <c r="BP288" s="50"/>
      <c r="BQ288" s="224"/>
      <c r="BR288" s="50"/>
      <c r="BS288" s="224"/>
      <c r="BT288" s="50"/>
      <c r="BU288" s="224">
        <f>EXP(LN(BU37)+0.5*LN('Ecoinvent 3.10'!$E$9)^2)</f>
        <v>3.8882293236735701</v>
      </c>
      <c r="BV288" s="50">
        <f>EXP(LN(BV37)+0.5*LN('Ecoinvent 3.10'!$E$9)^2)</f>
        <v>3.8882293236735701</v>
      </c>
      <c r="BW288" s="107"/>
      <c r="BX288" s="436"/>
      <c r="BY288" s="107"/>
      <c r="BZ288" s="436"/>
      <c r="CA288" s="156"/>
      <c r="CB288" s="156"/>
      <c r="CC288" s="148" t="s">
        <v>430</v>
      </c>
      <c r="CD288" s="224"/>
      <c r="CE288" s="50"/>
      <c r="CF288" s="224"/>
      <c r="CG288" s="50"/>
      <c r="CH288" s="224"/>
      <c r="CI288" s="50"/>
      <c r="CJ288" s="224"/>
      <c r="CK288" s="50"/>
      <c r="CL288" s="224"/>
      <c r="CM288" s="50"/>
      <c r="CN288" s="224">
        <f>EXP(LN(CN37)+0.5*LN('Ecoinvent 3.10'!$E$9)^2)</f>
        <v>38.022963050627268</v>
      </c>
      <c r="CO288" s="50">
        <f>EXP(LN(CO37)+0.5*LN('Ecoinvent 3.10'!$E$9)^2)</f>
        <v>38.022963050627268</v>
      </c>
      <c r="CP288" s="107"/>
      <c r="CQ288" s="436"/>
      <c r="CR288" s="107"/>
      <c r="CS288" s="436"/>
      <c r="CV288" s="148" t="s">
        <v>430</v>
      </c>
      <c r="CW288" s="224"/>
      <c r="CX288" s="50"/>
      <c r="CY288" s="224"/>
      <c r="CZ288" s="50"/>
      <c r="DA288" s="224"/>
      <c r="DB288" s="50"/>
      <c r="DC288" s="224"/>
      <c r="DD288" s="50"/>
      <c r="DE288" s="224"/>
      <c r="DF288" s="50"/>
      <c r="DG288" s="224">
        <f>EXP(LN(DG37)+0.5*LN('Ecoinvent 3.10'!$E$9)^2)</f>
        <v>2.3467578486481403E-2</v>
      </c>
      <c r="DH288" s="50">
        <f>EXP(LN(DH37)+0.5*LN('Ecoinvent 3.10'!$E$9)^2)</f>
        <v>2.3467578486481403E-2</v>
      </c>
      <c r="DI288" s="107"/>
      <c r="DJ288" s="436"/>
      <c r="DK288" s="107"/>
      <c r="DL288" s="436"/>
      <c r="DO288" s="148" t="s">
        <v>430</v>
      </c>
      <c r="DP288" s="224"/>
      <c r="DQ288" s="50"/>
      <c r="DR288" s="224"/>
      <c r="DS288" s="50"/>
      <c r="DT288" s="224"/>
      <c r="DU288" s="50"/>
      <c r="DV288" s="224"/>
      <c r="DW288" s="50"/>
      <c r="DX288" s="224"/>
      <c r="DY288" s="50"/>
      <c r="DZ288" s="224">
        <f>EXP(LN(DZ37)+0.5*LN('Ecoinvent 3.10'!$E$9)^2)</f>
        <v>12.862619186376449</v>
      </c>
      <c r="EA288" s="50">
        <f>EXP(LN(EA37)+0.5*LN('Ecoinvent 3.10'!$E$9)^2)</f>
        <v>12.862619186376449</v>
      </c>
      <c r="EB288" s="107"/>
      <c r="EC288" s="436"/>
      <c r="ED288" s="107"/>
      <c r="EE288" s="436"/>
      <c r="EH288" s="148" t="s">
        <v>430</v>
      </c>
      <c r="EI288" s="224"/>
      <c r="EJ288" s="50"/>
      <c r="EK288" s="224"/>
      <c r="EL288" s="50"/>
      <c r="EM288" s="224"/>
      <c r="EN288" s="50"/>
      <c r="EO288" s="224"/>
      <c r="EP288" s="50"/>
      <c r="EQ288" s="224"/>
      <c r="ER288" s="50"/>
      <c r="ES288" s="224">
        <f>EXP(LN(ES37)+0.5*LN('Ecoinvent 3.10'!$E$9)^2)</f>
        <v>4.2082243198734361E-2</v>
      </c>
      <c r="ET288" s="50">
        <f>EXP(LN(ET37)+0.5*LN('Ecoinvent 3.10'!$E$9)^2)</f>
        <v>4.2082243198734361E-2</v>
      </c>
      <c r="EU288" s="107"/>
      <c r="EV288" s="436"/>
      <c r="EW288" s="107"/>
      <c r="EX288" s="436"/>
      <c r="FA288" s="148" t="s">
        <v>430</v>
      </c>
      <c r="FB288" s="224"/>
      <c r="FC288" s="50"/>
      <c r="FD288" s="224"/>
      <c r="FE288" s="50"/>
      <c r="FF288" s="224"/>
      <c r="FG288" s="50"/>
      <c r="FH288" s="224"/>
      <c r="FI288" s="50"/>
      <c r="FJ288" s="224"/>
      <c r="FK288" s="50"/>
      <c r="FL288" s="224">
        <f>EXP(LN(FL37)+0.5*LN('Ecoinvent 3.10'!$E$9)^2)</f>
        <v>2.2423626580701239E-3</v>
      </c>
      <c r="FM288" s="50">
        <f>EXP(LN(FM37)+0.5*LN('Ecoinvent 3.10'!$E$9)^2)</f>
        <v>2.2423626580701239E-3</v>
      </c>
      <c r="FN288" s="107"/>
      <c r="FO288" s="436"/>
      <c r="FP288" s="107"/>
      <c r="FQ288" s="436"/>
      <c r="FT288" s="148" t="s">
        <v>430</v>
      </c>
      <c r="FU288" s="224"/>
      <c r="FV288" s="50"/>
      <c r="FW288" s="224"/>
      <c r="FX288" s="50"/>
      <c r="FY288" s="224"/>
      <c r="FZ288" s="50"/>
      <c r="GA288" s="224"/>
      <c r="GB288" s="50"/>
      <c r="GC288" s="224"/>
      <c r="GD288" s="50"/>
      <c r="GE288" s="224">
        <f>EXP(LN(GE37)+0.5*LN('Ecoinvent 3.10'!$E$9)^2)</f>
        <v>0.33746932208256203</v>
      </c>
      <c r="GF288" s="50">
        <f>EXP(LN(GF37)+0.5*LN('Ecoinvent 3.10'!$E$9)^2)</f>
        <v>0.33746932208256203</v>
      </c>
      <c r="GG288" s="107"/>
      <c r="GH288" s="436"/>
      <c r="GI288" s="107"/>
      <c r="GJ288" s="436"/>
      <c r="GM288" s="148" t="s">
        <v>430</v>
      </c>
      <c r="GN288" s="224"/>
      <c r="GO288" s="50"/>
      <c r="GP288" s="224"/>
      <c r="GQ288" s="50"/>
      <c r="GR288" s="224"/>
      <c r="GS288" s="50"/>
      <c r="GT288" s="224"/>
      <c r="GU288" s="50"/>
      <c r="GV288" s="224"/>
      <c r="GW288" s="50"/>
      <c r="GX288" s="224">
        <f>EXP(LN(GX37)+0.5*LN('Ecoinvent 3.10'!$E$9)^2)</f>
        <v>0.81593209356222374</v>
      </c>
      <c r="GY288" s="50">
        <f>EXP(LN(GY37)+0.5*LN('Ecoinvent 3.10'!$E$9)^2)</f>
        <v>0.81593209356222374</v>
      </c>
      <c r="GZ288" s="107"/>
      <c r="HA288" s="436"/>
      <c r="HB288" s="107"/>
      <c r="HC288" s="436"/>
      <c r="HF288" s="148" t="s">
        <v>430</v>
      </c>
      <c r="HG288" s="224"/>
      <c r="HH288" s="50"/>
      <c r="HI288" s="224"/>
      <c r="HJ288" s="50"/>
      <c r="HK288" s="224"/>
      <c r="HL288" s="50"/>
      <c r="HM288" s="224"/>
      <c r="HN288" s="50"/>
      <c r="HO288" s="224"/>
      <c r="HP288" s="50"/>
      <c r="HQ288" s="224">
        <f>EXP(LN(HQ37)+0.5*LN('Ecoinvent 3.10'!$E$9)^2)</f>
        <v>7.5512681030410445</v>
      </c>
      <c r="HR288" s="50">
        <f>EXP(LN(HR37)+0.5*LN('Ecoinvent 3.10'!$E$9)^2)</f>
        <v>7.5512681030410445</v>
      </c>
      <c r="HS288" s="107"/>
      <c r="HT288" s="436"/>
      <c r="HU288" s="107"/>
      <c r="HV288" s="436"/>
      <c r="HY288" s="148" t="s">
        <v>430</v>
      </c>
      <c r="HZ288" s="224"/>
      <c r="IA288" s="50"/>
      <c r="IB288" s="224"/>
      <c r="IC288" s="50"/>
      <c r="ID288" s="224"/>
      <c r="IE288" s="50"/>
      <c r="IF288" s="224"/>
      <c r="IG288" s="50"/>
      <c r="IH288" s="224"/>
      <c r="II288" s="50"/>
      <c r="IJ288" s="224">
        <f>EXP(LN(IJ37)+0.5*LN('Ecoinvent 3.10'!$E$9)^2)</f>
        <v>9.0167329739938244E-3</v>
      </c>
      <c r="IK288" s="50">
        <f>EXP(LN(IK37)+0.5*LN('Ecoinvent 3.10'!$E$9)^2)</f>
        <v>9.0167329739938244E-3</v>
      </c>
      <c r="IL288" s="224"/>
      <c r="IM288" s="224"/>
      <c r="IN288" s="224"/>
      <c r="IO288" s="224"/>
    </row>
    <row r="289" spans="2:249" ht="12.75" customHeight="1" x14ac:dyDescent="0.2">
      <c r="B289" s="248"/>
      <c r="C289" s="248"/>
      <c r="D289" s="248"/>
      <c r="E289" s="248"/>
      <c r="F289" s="248"/>
      <c r="G289" s="248"/>
      <c r="H289" s="248"/>
      <c r="I289" s="248"/>
      <c r="J289" s="248"/>
      <c r="K289" s="248"/>
      <c r="L289" s="248"/>
      <c r="M289" s="248"/>
      <c r="N289" s="248"/>
      <c r="O289" s="248"/>
      <c r="P289" s="248"/>
      <c r="Q289" s="248"/>
      <c r="R289" s="248"/>
      <c r="S289" s="248"/>
      <c r="T289" s="248"/>
      <c r="U289" s="248"/>
      <c r="V289" s="248"/>
      <c r="W289" s="248"/>
      <c r="X289" s="248"/>
      <c r="Y289" s="248"/>
      <c r="Z289" s="248"/>
      <c r="AA289" s="248"/>
      <c r="AB289" s="248"/>
      <c r="AC289" s="248"/>
      <c r="AD289" s="248"/>
      <c r="AE289" s="248"/>
      <c r="AF289" s="248"/>
      <c r="AG289" s="248"/>
      <c r="AH289" s="248"/>
      <c r="AI289" s="248"/>
      <c r="AJ289" s="248"/>
      <c r="AK289" s="248"/>
      <c r="AL289" s="248"/>
      <c r="AM289" s="248"/>
      <c r="AN289" s="138"/>
      <c r="AO289" s="248"/>
      <c r="AP289" s="726"/>
      <c r="AQ289" s="148" t="s">
        <v>56</v>
      </c>
      <c r="AR289" s="224"/>
      <c r="AS289" s="50"/>
      <c r="AT289" s="224"/>
      <c r="AU289" s="50"/>
      <c r="AV289" s="224"/>
      <c r="AW289" s="50"/>
      <c r="AX289" s="224"/>
      <c r="AY289" s="50"/>
      <c r="AZ289" s="224"/>
      <c r="BA289" s="50"/>
      <c r="BB289" s="264"/>
      <c r="BC289" s="265"/>
      <c r="BD289" s="107"/>
      <c r="BE289" s="436"/>
      <c r="BF289" s="107"/>
      <c r="BG289" s="436"/>
      <c r="BI289" s="156"/>
      <c r="BJ289" s="148" t="s">
        <v>56</v>
      </c>
      <c r="BK289" s="224"/>
      <c r="BL289" s="50"/>
      <c r="BM289" s="224"/>
      <c r="BN289" s="50"/>
      <c r="BO289" s="224"/>
      <c r="BP289" s="50"/>
      <c r="BQ289" s="224"/>
      <c r="BR289" s="50"/>
      <c r="BS289" s="224"/>
      <c r="BT289" s="50"/>
      <c r="BU289" s="264"/>
      <c r="BV289" s="265"/>
      <c r="BW289" s="107"/>
      <c r="BX289" s="436"/>
      <c r="BY289" s="107"/>
      <c r="BZ289" s="436"/>
      <c r="CA289" s="156"/>
      <c r="CB289" s="156"/>
      <c r="CC289" s="148" t="s">
        <v>56</v>
      </c>
      <c r="CD289" s="224"/>
      <c r="CE289" s="50"/>
      <c r="CF289" s="224"/>
      <c r="CG289" s="50"/>
      <c r="CH289" s="224"/>
      <c r="CI289" s="50"/>
      <c r="CJ289" s="224"/>
      <c r="CK289" s="50"/>
      <c r="CL289" s="224"/>
      <c r="CM289" s="50"/>
      <c r="CN289" s="264"/>
      <c r="CO289" s="265"/>
      <c r="CP289" s="107"/>
      <c r="CQ289" s="436"/>
      <c r="CR289" s="107"/>
      <c r="CS289" s="436"/>
      <c r="CV289" s="148" t="s">
        <v>56</v>
      </c>
      <c r="CW289" s="224"/>
      <c r="CX289" s="50"/>
      <c r="CY289" s="224"/>
      <c r="CZ289" s="50"/>
      <c r="DA289" s="224"/>
      <c r="DB289" s="50"/>
      <c r="DC289" s="224"/>
      <c r="DD289" s="50"/>
      <c r="DE289" s="224"/>
      <c r="DF289" s="50"/>
      <c r="DG289" s="264"/>
      <c r="DH289" s="265"/>
      <c r="DI289" s="107"/>
      <c r="DJ289" s="436"/>
      <c r="DK289" s="107"/>
      <c r="DL289" s="436"/>
      <c r="DO289" s="148" t="s">
        <v>56</v>
      </c>
      <c r="DP289" s="224"/>
      <c r="DQ289" s="50"/>
      <c r="DR289" s="224"/>
      <c r="DS289" s="50"/>
      <c r="DT289" s="224"/>
      <c r="DU289" s="50"/>
      <c r="DV289" s="224"/>
      <c r="DW289" s="50"/>
      <c r="DX289" s="224"/>
      <c r="DY289" s="50"/>
      <c r="DZ289" s="264"/>
      <c r="EA289" s="265"/>
      <c r="EB289" s="107"/>
      <c r="EC289" s="436"/>
      <c r="ED289" s="107"/>
      <c r="EE289" s="436"/>
      <c r="EH289" s="148" t="s">
        <v>56</v>
      </c>
      <c r="EI289" s="224"/>
      <c r="EJ289" s="50"/>
      <c r="EK289" s="224"/>
      <c r="EL289" s="50"/>
      <c r="EM289" s="224"/>
      <c r="EN289" s="50"/>
      <c r="EO289" s="224"/>
      <c r="EP289" s="50"/>
      <c r="EQ289" s="224"/>
      <c r="ER289" s="50"/>
      <c r="ES289" s="264"/>
      <c r="ET289" s="265"/>
      <c r="EU289" s="107"/>
      <c r="EV289" s="436"/>
      <c r="EW289" s="107"/>
      <c r="EX289" s="436"/>
      <c r="FA289" s="148" t="s">
        <v>56</v>
      </c>
      <c r="FB289" s="224"/>
      <c r="FC289" s="50"/>
      <c r="FD289" s="224"/>
      <c r="FE289" s="50"/>
      <c r="FF289" s="224"/>
      <c r="FG289" s="50"/>
      <c r="FH289" s="224"/>
      <c r="FI289" s="50"/>
      <c r="FJ289" s="224"/>
      <c r="FK289" s="50"/>
      <c r="FL289" s="264"/>
      <c r="FM289" s="265"/>
      <c r="FN289" s="107"/>
      <c r="FO289" s="436"/>
      <c r="FP289" s="107"/>
      <c r="FQ289" s="436"/>
      <c r="FT289" s="148" t="s">
        <v>56</v>
      </c>
      <c r="FU289" s="224"/>
      <c r="FV289" s="50"/>
      <c r="FW289" s="224"/>
      <c r="FX289" s="50"/>
      <c r="FY289" s="224"/>
      <c r="FZ289" s="50"/>
      <c r="GA289" s="224"/>
      <c r="GB289" s="50"/>
      <c r="GC289" s="224"/>
      <c r="GD289" s="50"/>
      <c r="GE289" s="264"/>
      <c r="GF289" s="265"/>
      <c r="GG289" s="107"/>
      <c r="GH289" s="436"/>
      <c r="GI289" s="107"/>
      <c r="GJ289" s="436"/>
      <c r="GM289" s="148" t="s">
        <v>56</v>
      </c>
      <c r="GN289" s="224"/>
      <c r="GO289" s="50"/>
      <c r="GP289" s="224"/>
      <c r="GQ289" s="50"/>
      <c r="GR289" s="224"/>
      <c r="GS289" s="50"/>
      <c r="GT289" s="224"/>
      <c r="GU289" s="50"/>
      <c r="GV289" s="224"/>
      <c r="GW289" s="50"/>
      <c r="GX289" s="264"/>
      <c r="GY289" s="265"/>
      <c r="GZ289" s="107"/>
      <c r="HA289" s="436"/>
      <c r="HB289" s="107"/>
      <c r="HC289" s="436"/>
      <c r="HF289" s="148" t="s">
        <v>56</v>
      </c>
      <c r="HG289" s="224"/>
      <c r="HH289" s="50"/>
      <c r="HI289" s="224"/>
      <c r="HJ289" s="50"/>
      <c r="HK289" s="224"/>
      <c r="HL289" s="50"/>
      <c r="HM289" s="224"/>
      <c r="HN289" s="50"/>
      <c r="HO289" s="224"/>
      <c r="HP289" s="50"/>
      <c r="HQ289" s="264"/>
      <c r="HR289" s="265"/>
      <c r="HS289" s="107"/>
      <c r="HT289" s="436"/>
      <c r="HU289" s="107"/>
      <c r="HV289" s="436"/>
      <c r="HY289" s="148" t="s">
        <v>56</v>
      </c>
      <c r="HZ289" s="224"/>
      <c r="IA289" s="50"/>
      <c r="IB289" s="224"/>
      <c r="IC289" s="50"/>
      <c r="ID289" s="224"/>
      <c r="IE289" s="50"/>
      <c r="IF289" s="224"/>
      <c r="IG289" s="50"/>
      <c r="IH289" s="224"/>
      <c r="II289" s="50"/>
      <c r="IJ289" s="264"/>
      <c r="IK289" s="265"/>
      <c r="IL289" s="264"/>
      <c r="IM289" s="264"/>
      <c r="IN289" s="264"/>
      <c r="IO289" s="264"/>
    </row>
    <row r="290" spans="2:249" ht="12.75" customHeight="1" x14ac:dyDescent="0.25">
      <c r="B290" s="248"/>
      <c r="C290" s="248"/>
      <c r="D290" s="248"/>
      <c r="E290" s="248"/>
      <c r="F290" s="248"/>
      <c r="G290" s="248"/>
      <c r="H290" s="248"/>
      <c r="I290" s="248"/>
      <c r="J290" s="248"/>
      <c r="K290" s="248"/>
      <c r="L290" s="248"/>
      <c r="M290" s="248"/>
      <c r="N290" s="248"/>
      <c r="O290" s="248"/>
      <c r="P290" s="248"/>
      <c r="Q290" s="248"/>
      <c r="R290" s="248"/>
      <c r="S290" s="248"/>
      <c r="T290" s="248"/>
      <c r="U290" s="248"/>
      <c r="V290" s="248"/>
      <c r="W290" s="248"/>
      <c r="X290" s="248"/>
      <c r="Y290" s="248"/>
      <c r="Z290" s="248"/>
      <c r="AA290" s="248"/>
      <c r="AB290" s="248"/>
      <c r="AC290" s="248"/>
      <c r="AD290" s="248"/>
      <c r="AE290" s="248"/>
      <c r="AF290" s="248"/>
      <c r="AG290" s="248"/>
      <c r="AH290" s="248"/>
      <c r="AI290" s="248"/>
      <c r="AJ290" s="248"/>
      <c r="AK290" s="248"/>
      <c r="AL290" s="248"/>
      <c r="AM290" s="248"/>
      <c r="AN290" s="138"/>
      <c r="AO290" s="248"/>
      <c r="AP290" s="726"/>
      <c r="AQ290" s="148" t="s">
        <v>577</v>
      </c>
      <c r="AR290" s="224"/>
      <c r="AS290" s="50"/>
      <c r="AT290" s="224"/>
      <c r="AU290" s="50"/>
      <c r="AV290" s="224"/>
      <c r="AW290" s="50"/>
      <c r="AX290" s="224"/>
      <c r="AY290" s="50"/>
      <c r="AZ290" s="224"/>
      <c r="BA290" s="50"/>
      <c r="BB290" s="264"/>
      <c r="BC290" s="265"/>
      <c r="BD290" s="107"/>
      <c r="BE290" s="436"/>
      <c r="BF290" s="107"/>
      <c r="BG290" s="436"/>
      <c r="BI290" s="156"/>
      <c r="BJ290" s="148" t="s">
        <v>577</v>
      </c>
      <c r="BK290" s="224"/>
      <c r="BL290" s="50"/>
      <c r="BM290" s="224"/>
      <c r="BN290" s="50"/>
      <c r="BO290" s="224"/>
      <c r="BP290" s="50"/>
      <c r="BQ290" s="224"/>
      <c r="BR290" s="50"/>
      <c r="BS290" s="224"/>
      <c r="BT290" s="50"/>
      <c r="BU290" s="264"/>
      <c r="BV290" s="265"/>
      <c r="BW290" s="107"/>
      <c r="BX290" s="436"/>
      <c r="BY290" s="107"/>
      <c r="BZ290" s="436"/>
      <c r="CA290" s="156"/>
      <c r="CB290" s="156"/>
      <c r="CC290" s="148" t="s">
        <v>577</v>
      </c>
      <c r="CD290" s="224"/>
      <c r="CE290" s="50"/>
      <c r="CF290" s="224"/>
      <c r="CG290" s="50"/>
      <c r="CH290" s="224"/>
      <c r="CI290" s="50"/>
      <c r="CJ290" s="224"/>
      <c r="CK290" s="50"/>
      <c r="CL290" s="224"/>
      <c r="CM290" s="50"/>
      <c r="CN290" s="264"/>
      <c r="CO290" s="265"/>
      <c r="CP290" s="107"/>
      <c r="CQ290" s="436"/>
      <c r="CR290" s="107"/>
      <c r="CS290" s="436"/>
      <c r="CV290" s="148" t="s">
        <v>577</v>
      </c>
      <c r="CW290" s="224"/>
      <c r="CX290" s="50"/>
      <c r="CY290" s="224"/>
      <c r="CZ290" s="50"/>
      <c r="DA290" s="224"/>
      <c r="DB290" s="50"/>
      <c r="DC290" s="224"/>
      <c r="DD290" s="50"/>
      <c r="DE290" s="224"/>
      <c r="DF290" s="50"/>
      <c r="DG290" s="264"/>
      <c r="DH290" s="265"/>
      <c r="DI290" s="107"/>
      <c r="DJ290" s="436"/>
      <c r="DK290" s="107"/>
      <c r="DL290" s="436"/>
      <c r="DO290" s="148" t="s">
        <v>577</v>
      </c>
      <c r="DP290" s="224"/>
      <c r="DQ290" s="50"/>
      <c r="DR290" s="224"/>
      <c r="DS290" s="50"/>
      <c r="DT290" s="224"/>
      <c r="DU290" s="50"/>
      <c r="DV290" s="224"/>
      <c r="DW290" s="50"/>
      <c r="DX290" s="224"/>
      <c r="DY290" s="50"/>
      <c r="DZ290" s="264"/>
      <c r="EA290" s="265"/>
      <c r="EB290" s="107"/>
      <c r="EC290" s="436"/>
      <c r="ED290" s="107"/>
      <c r="EE290" s="436"/>
      <c r="EH290" s="148" t="s">
        <v>577</v>
      </c>
      <c r="EI290" s="224"/>
      <c r="EJ290" s="50"/>
      <c r="EK290" s="224"/>
      <c r="EL290" s="50"/>
      <c r="EM290" s="224"/>
      <c r="EN290" s="50"/>
      <c r="EO290" s="224"/>
      <c r="EP290" s="50"/>
      <c r="EQ290" s="224"/>
      <c r="ER290" s="50"/>
      <c r="ES290" s="264"/>
      <c r="ET290" s="265"/>
      <c r="EU290" s="107"/>
      <c r="EV290" s="436"/>
      <c r="EW290" s="107"/>
      <c r="EX290" s="436"/>
      <c r="FA290" s="148" t="s">
        <v>577</v>
      </c>
      <c r="FB290" s="224"/>
      <c r="FC290" s="50"/>
      <c r="FD290" s="224"/>
      <c r="FE290" s="50"/>
      <c r="FF290" s="224"/>
      <c r="FG290" s="50"/>
      <c r="FH290" s="224"/>
      <c r="FI290" s="50"/>
      <c r="FJ290" s="224"/>
      <c r="FK290" s="50"/>
      <c r="FL290" s="264"/>
      <c r="FM290" s="265"/>
      <c r="FN290" s="107"/>
      <c r="FO290" s="436"/>
      <c r="FP290" s="107"/>
      <c r="FQ290" s="436"/>
      <c r="FT290" s="148" t="s">
        <v>577</v>
      </c>
      <c r="FU290" s="224"/>
      <c r="FV290" s="50"/>
      <c r="FW290" s="224"/>
      <c r="FX290" s="50"/>
      <c r="FY290" s="224"/>
      <c r="FZ290" s="50"/>
      <c r="GA290" s="224"/>
      <c r="GB290" s="50"/>
      <c r="GC290" s="224"/>
      <c r="GD290" s="50"/>
      <c r="GE290" s="264"/>
      <c r="GF290" s="265"/>
      <c r="GG290" s="107"/>
      <c r="GH290" s="436"/>
      <c r="GI290" s="107"/>
      <c r="GJ290" s="436"/>
      <c r="GM290" s="148" t="s">
        <v>577</v>
      </c>
      <c r="GN290" s="224"/>
      <c r="GO290" s="50"/>
      <c r="GP290" s="224"/>
      <c r="GQ290" s="50"/>
      <c r="GR290" s="224"/>
      <c r="GS290" s="50"/>
      <c r="GT290" s="224"/>
      <c r="GU290" s="50"/>
      <c r="GV290" s="224"/>
      <c r="GW290" s="50"/>
      <c r="GX290" s="264"/>
      <c r="GY290" s="265"/>
      <c r="GZ290" s="107"/>
      <c r="HA290" s="436"/>
      <c r="HB290" s="107"/>
      <c r="HC290" s="436"/>
      <c r="HF290" s="148" t="s">
        <v>577</v>
      </c>
      <c r="HG290" s="224"/>
      <c r="HH290" s="50"/>
      <c r="HI290" s="224"/>
      <c r="HJ290" s="50"/>
      <c r="HK290" s="224"/>
      <c r="HL290" s="50"/>
      <c r="HM290" s="224"/>
      <c r="HN290" s="50"/>
      <c r="HO290" s="224"/>
      <c r="HP290" s="50"/>
      <c r="HQ290" s="264"/>
      <c r="HR290" s="265"/>
      <c r="HS290" s="107"/>
      <c r="HT290" s="436"/>
      <c r="HU290" s="107"/>
      <c r="HV290" s="436"/>
      <c r="HY290" s="148"/>
      <c r="HZ290" s="224"/>
      <c r="IA290" s="50"/>
      <c r="IB290" s="224"/>
      <c r="IC290" s="50"/>
      <c r="ID290" s="224"/>
      <c r="IE290" s="50"/>
      <c r="IF290" s="224"/>
      <c r="IG290" s="50"/>
      <c r="IH290" s="224"/>
      <c r="II290" s="50"/>
      <c r="IJ290" s="264"/>
      <c r="IK290" s="265"/>
      <c r="IL290" s="264"/>
      <c r="IM290" s="264"/>
      <c r="IN290" s="264"/>
      <c r="IO290" s="264"/>
    </row>
    <row r="291" spans="2:249" ht="14.25" customHeight="1" x14ac:dyDescent="0.25">
      <c r="B291" s="248"/>
      <c r="C291" s="248"/>
      <c r="D291" s="248"/>
      <c r="E291" s="248"/>
      <c r="F291" s="248"/>
      <c r="G291" s="248"/>
      <c r="H291" s="248"/>
      <c r="I291" s="248"/>
      <c r="J291" s="248"/>
      <c r="K291" s="248"/>
      <c r="L291" s="248"/>
      <c r="M291" s="248"/>
      <c r="N291" s="248"/>
      <c r="O291" s="248"/>
      <c r="P291" s="248"/>
      <c r="Q291" s="248"/>
      <c r="R291" s="248"/>
      <c r="S291" s="248"/>
      <c r="T291" s="248"/>
      <c r="U291" s="248"/>
      <c r="V291" s="248"/>
      <c r="W291" s="248"/>
      <c r="X291" s="248"/>
      <c r="Y291" s="248"/>
      <c r="Z291" s="248"/>
      <c r="AA291" s="248"/>
      <c r="AB291" s="248"/>
      <c r="AC291" s="248"/>
      <c r="AD291" s="248"/>
      <c r="AE291" s="248"/>
      <c r="AF291" s="248"/>
      <c r="AG291" s="248"/>
      <c r="AH291" s="248"/>
      <c r="AI291" s="248"/>
      <c r="AJ291" s="248"/>
      <c r="AK291" s="248"/>
      <c r="AL291" s="248"/>
      <c r="AM291" s="248"/>
      <c r="AN291" s="138"/>
      <c r="AO291" s="248"/>
      <c r="AP291" s="726"/>
      <c r="AQ291" s="148" t="s">
        <v>379</v>
      </c>
      <c r="AR291" s="224"/>
      <c r="AS291" s="50"/>
      <c r="AT291" s="224"/>
      <c r="AU291" s="50"/>
      <c r="AV291" s="224"/>
      <c r="AW291" s="50"/>
      <c r="AX291" s="224"/>
      <c r="AY291" s="50"/>
      <c r="AZ291" s="224"/>
      <c r="BA291" s="50"/>
      <c r="BB291" s="224">
        <f>EXP(LN(BB40)+0.5*LN('Ecoinvent 3.10'!$E$19)^2)</f>
        <v>12.431377432722536</v>
      </c>
      <c r="BC291" s="50">
        <f>EXP(LN(BC40)+0.5*LN('Ecoinvent 3.10'!$E$19)^2)</f>
        <v>12.431377432722536</v>
      </c>
      <c r="BD291" s="107"/>
      <c r="BE291" s="436"/>
      <c r="BF291" s="107"/>
      <c r="BG291" s="436"/>
      <c r="BI291" s="156"/>
      <c r="BJ291" s="148" t="s">
        <v>379</v>
      </c>
      <c r="BK291" s="224"/>
      <c r="BL291" s="50"/>
      <c r="BM291" s="224"/>
      <c r="BN291" s="50"/>
      <c r="BO291" s="224"/>
      <c r="BP291" s="50"/>
      <c r="BQ291" s="224"/>
      <c r="BR291" s="50"/>
      <c r="BS291" s="224"/>
      <c r="BT291" s="50"/>
      <c r="BU291" s="224">
        <f>EXP(LN(BU40)+0.5*LN('Ecoinvent 3.10'!$E$19)^2)</f>
        <v>2.7711687153546327</v>
      </c>
      <c r="BV291" s="50">
        <f>EXP(LN(BV40)+0.5*LN('Ecoinvent 3.10'!$E$19)^2)</f>
        <v>2.7711687153546327</v>
      </c>
      <c r="BW291" s="107"/>
      <c r="BX291" s="436"/>
      <c r="BY291" s="107"/>
      <c r="BZ291" s="436"/>
      <c r="CA291" s="156"/>
      <c r="CB291" s="156"/>
      <c r="CC291" s="148" t="s">
        <v>379</v>
      </c>
      <c r="CD291" s="224"/>
      <c r="CE291" s="50"/>
      <c r="CF291" s="224"/>
      <c r="CG291" s="50"/>
      <c r="CH291" s="224"/>
      <c r="CI291" s="50"/>
      <c r="CJ291" s="224"/>
      <c r="CK291" s="50"/>
      <c r="CL291" s="224"/>
      <c r="CM291" s="50"/>
      <c r="CN291" s="224">
        <f>EXP(LN(CN40)+0.5*LN('Ecoinvent 3.10'!$E$19)^2)</f>
        <v>46.94891514415994</v>
      </c>
      <c r="CO291" s="50">
        <f>EXP(LN(CO40)+0.5*LN('Ecoinvent 3.10'!$E$19)^2)</f>
        <v>46.94891514415994</v>
      </c>
      <c r="CP291" s="107"/>
      <c r="CQ291" s="436"/>
      <c r="CR291" s="107"/>
      <c r="CS291" s="436"/>
      <c r="CV291" s="148" t="s">
        <v>379</v>
      </c>
      <c r="CW291" s="224"/>
      <c r="CX291" s="50"/>
      <c r="CY291" s="224"/>
      <c r="CZ291" s="50"/>
      <c r="DA291" s="224"/>
      <c r="DB291" s="50"/>
      <c r="DC291" s="224"/>
      <c r="DD291" s="50"/>
      <c r="DE291" s="224"/>
      <c r="DF291" s="50"/>
      <c r="DG291" s="224">
        <f>EXP(LN(DG40)+0.5*LN('Ecoinvent 3.10'!$E$19)^2)</f>
        <v>8.7091180341716812E-2</v>
      </c>
      <c r="DH291" s="50">
        <f>EXP(LN(DH40)+0.5*LN('Ecoinvent 3.10'!$E$19)^2)</f>
        <v>8.7091180341716812E-2</v>
      </c>
      <c r="DI291" s="107"/>
      <c r="DJ291" s="436"/>
      <c r="DK291" s="107"/>
      <c r="DL291" s="436"/>
      <c r="DO291" s="148" t="s">
        <v>379</v>
      </c>
      <c r="DP291" s="224"/>
      <c r="DQ291" s="50"/>
      <c r="DR291" s="224"/>
      <c r="DS291" s="50"/>
      <c r="DT291" s="224"/>
      <c r="DU291" s="50"/>
      <c r="DV291" s="224"/>
      <c r="DW291" s="50"/>
      <c r="DX291" s="224"/>
      <c r="DY291" s="50"/>
      <c r="DZ291" s="224">
        <f>EXP(LN(DZ40)+0.5*LN('Ecoinvent 3.10'!$E$19)^2)</f>
        <v>9.6168999056702981E-2</v>
      </c>
      <c r="EA291" s="50">
        <f>EXP(LN(EA40)+0.5*LN('Ecoinvent 3.10'!$E$19)^2)</f>
        <v>9.6168999056702981E-2</v>
      </c>
      <c r="EB291" s="107"/>
      <c r="EC291" s="436"/>
      <c r="ED291" s="107"/>
      <c r="EE291" s="436"/>
      <c r="EH291" s="148" t="s">
        <v>379</v>
      </c>
      <c r="EI291" s="224"/>
      <c r="EJ291" s="50"/>
      <c r="EK291" s="224"/>
      <c r="EL291" s="50"/>
      <c r="EM291" s="224"/>
      <c r="EN291" s="50"/>
      <c r="EO291" s="224"/>
      <c r="EP291" s="50"/>
      <c r="EQ291" s="224"/>
      <c r="ER291" s="50"/>
      <c r="ES291" s="224">
        <f>EXP(LN(ES40)+0.5*LN('Ecoinvent 3.10'!$E$19)^2)</f>
        <v>0.11029138357195427</v>
      </c>
      <c r="ET291" s="50">
        <f>EXP(LN(ET40)+0.5*LN('Ecoinvent 3.10'!$E$19)^2)</f>
        <v>0.11029138357195427</v>
      </c>
      <c r="EU291" s="107"/>
      <c r="EV291" s="436"/>
      <c r="EW291" s="107"/>
      <c r="EX291" s="436"/>
      <c r="FA291" s="148" t="s">
        <v>379</v>
      </c>
      <c r="FB291" s="224"/>
      <c r="FC291" s="50"/>
      <c r="FD291" s="224"/>
      <c r="FE291" s="50"/>
      <c r="FF291" s="224"/>
      <c r="FG291" s="50"/>
      <c r="FH291" s="224"/>
      <c r="FI291" s="50"/>
      <c r="FJ291" s="224"/>
      <c r="FK291" s="50"/>
      <c r="FL291" s="224">
        <f>EXP(LN(FL40)+0.5*LN('Ecoinvent 3.10'!$E$19)^2)</f>
        <v>5.9420631339446826E-4</v>
      </c>
      <c r="FM291" s="50">
        <f>EXP(LN(FM40)+0.5*LN('Ecoinvent 3.10'!$E$19)^2)</f>
        <v>5.9420631339446826E-4</v>
      </c>
      <c r="FN291" s="107"/>
      <c r="FO291" s="436"/>
      <c r="FP291" s="107"/>
      <c r="FQ291" s="436"/>
      <c r="FT291" s="148" t="s">
        <v>379</v>
      </c>
      <c r="FU291" s="224"/>
      <c r="FV291" s="50"/>
      <c r="FW291" s="224"/>
      <c r="FX291" s="50"/>
      <c r="FY291" s="224"/>
      <c r="FZ291" s="50"/>
      <c r="GA291" s="224"/>
      <c r="GB291" s="50"/>
      <c r="GC291" s="224"/>
      <c r="GD291" s="50"/>
      <c r="GE291" s="224">
        <f>EXP(LN(GE40)+0.5*LN('Ecoinvent 3.10'!$E$19)^2)</f>
        <v>0.18762425161298824</v>
      </c>
      <c r="GF291" s="50">
        <f>EXP(LN(GF40)+0.5*LN('Ecoinvent 3.10'!$E$19)^2)</f>
        <v>0.18762425161298824</v>
      </c>
      <c r="GG291" s="107"/>
      <c r="GH291" s="436"/>
      <c r="GI291" s="107"/>
      <c r="GJ291" s="436"/>
      <c r="GM291" s="148" t="s">
        <v>379</v>
      </c>
      <c r="GN291" s="224"/>
      <c r="GO291" s="50"/>
      <c r="GP291" s="224"/>
      <c r="GQ291" s="50"/>
      <c r="GR291" s="224"/>
      <c r="GS291" s="50"/>
      <c r="GT291" s="224"/>
      <c r="GU291" s="50"/>
      <c r="GV291" s="224"/>
      <c r="GW291" s="50"/>
      <c r="GX291" s="224">
        <f>EXP(LN(GX40)+0.5*LN('Ecoinvent 3.10'!$E$19)^2)</f>
        <v>0.54787447051945404</v>
      </c>
      <c r="GY291" s="50">
        <f>EXP(LN(GY40)+0.5*LN('Ecoinvent 3.10'!$E$19)^2)</f>
        <v>0.54787447051945404</v>
      </c>
      <c r="GZ291" s="107"/>
      <c r="HA291" s="436"/>
      <c r="HB291" s="107"/>
      <c r="HC291" s="436"/>
      <c r="HF291" s="148" t="s">
        <v>379</v>
      </c>
      <c r="HG291" s="224"/>
      <c r="HH291" s="50"/>
      <c r="HI291" s="224"/>
      <c r="HJ291" s="50"/>
      <c r="HK291" s="224"/>
      <c r="HL291" s="50"/>
      <c r="HM291" s="224"/>
      <c r="HN291" s="50"/>
      <c r="HO291" s="224"/>
      <c r="HP291" s="50"/>
      <c r="HQ291" s="224">
        <f>EXP(LN(HQ40)+0.5*LN('Ecoinvent 3.10'!$E$19)^2)</f>
        <v>3.7895093684084999</v>
      </c>
      <c r="HR291" s="50">
        <f>EXP(LN(HR40)+0.5*LN('Ecoinvent 3.10'!$E$19)^2)</f>
        <v>3.7895093684084999</v>
      </c>
      <c r="HS291" s="107"/>
      <c r="HT291" s="436"/>
      <c r="HU291" s="107"/>
      <c r="HV291" s="436"/>
      <c r="HY291" s="148" t="s">
        <v>379</v>
      </c>
      <c r="HZ291" s="224"/>
      <c r="IA291" s="50"/>
      <c r="IB291" s="224"/>
      <c r="IC291" s="50"/>
      <c r="ID291" s="224"/>
      <c r="IE291" s="50"/>
      <c r="IF291" s="224"/>
      <c r="IG291" s="50"/>
      <c r="IH291" s="224"/>
      <c r="II291" s="50"/>
      <c r="IJ291" s="224">
        <f>EXP(LN(IJ40)+0.5*LN('Ecoinvent 3.10'!$E$19)^2)</f>
        <v>2.5699345920277113E-2</v>
      </c>
      <c r="IK291" s="50">
        <f>EXP(LN(IK40)+0.5*LN('Ecoinvent 3.10'!$E$19)^2)</f>
        <v>2.5699345920277113E-2</v>
      </c>
      <c r="IL291" s="224"/>
      <c r="IM291" s="224"/>
      <c r="IN291" s="224"/>
      <c r="IO291" s="224"/>
    </row>
    <row r="292" spans="2:249" ht="14.25" customHeight="1" x14ac:dyDescent="0.25">
      <c r="B292" s="248"/>
      <c r="C292" s="248"/>
      <c r="D292" s="248"/>
      <c r="E292" s="248"/>
      <c r="F292" s="248"/>
      <c r="G292" s="248"/>
      <c r="H292" s="248"/>
      <c r="I292" s="248"/>
      <c r="J292" s="248"/>
      <c r="K292" s="248"/>
      <c r="L292" s="248"/>
      <c r="M292" s="248"/>
      <c r="N292" s="248"/>
      <c r="O292" s="248"/>
      <c r="P292" s="248"/>
      <c r="Q292" s="248"/>
      <c r="R292" s="248"/>
      <c r="S292" s="248"/>
      <c r="T292" s="248"/>
      <c r="U292" s="248"/>
      <c r="V292" s="248"/>
      <c r="W292" s="248"/>
      <c r="X292" s="248"/>
      <c r="Y292" s="248"/>
      <c r="Z292" s="248"/>
      <c r="AA292" s="248"/>
      <c r="AB292" s="248"/>
      <c r="AC292" s="248"/>
      <c r="AD292" s="248"/>
      <c r="AE292" s="248"/>
      <c r="AF292" s="248"/>
      <c r="AG292" s="248"/>
      <c r="AH292" s="248"/>
      <c r="AI292" s="248"/>
      <c r="AJ292" s="248"/>
      <c r="AK292" s="248"/>
      <c r="AL292" s="248"/>
      <c r="AM292" s="248"/>
      <c r="AN292" s="138"/>
      <c r="AO292" s="248"/>
      <c r="AP292" s="726"/>
      <c r="AQ292" s="148" t="s">
        <v>377</v>
      </c>
      <c r="AR292" s="224"/>
      <c r="AS292" s="50"/>
      <c r="AT292" s="224"/>
      <c r="AU292" s="50"/>
      <c r="AV292" s="224"/>
      <c r="AW292" s="50"/>
      <c r="AX292" s="224"/>
      <c r="AY292" s="50"/>
      <c r="AZ292" s="224"/>
      <c r="BA292" s="50"/>
      <c r="BB292" s="224">
        <f>EXP(LN(BB41)+0.5*LN('Ecoinvent 3.10'!$E$20)^2)</f>
        <v>4.2089143167048739</v>
      </c>
      <c r="BC292" s="50">
        <f>EXP(LN(BC41)+0.5*LN('Ecoinvent 3.10'!$E$20)^2)</f>
        <v>4.2089143167048739</v>
      </c>
      <c r="BD292" s="107"/>
      <c r="BE292" s="436"/>
      <c r="BF292" s="107"/>
      <c r="BG292" s="436"/>
      <c r="BI292" s="156"/>
      <c r="BJ292" s="148" t="s">
        <v>377</v>
      </c>
      <c r="BK292" s="224"/>
      <c r="BL292" s="50"/>
      <c r="BM292" s="224"/>
      <c r="BN292" s="50"/>
      <c r="BO292" s="224"/>
      <c r="BP292" s="50"/>
      <c r="BQ292" s="224"/>
      <c r="BR292" s="50"/>
      <c r="BS292" s="224"/>
      <c r="BT292" s="50"/>
      <c r="BU292" s="224">
        <f>EXP(LN(BU41)+0.5*LN('Ecoinvent 3.10'!$E$20)^2)</f>
        <v>1.0055721366174462</v>
      </c>
      <c r="BV292" s="50">
        <f>EXP(LN(BV41)+0.5*LN('Ecoinvent 3.10'!$E$20)^2)</f>
        <v>1.0055721366174462</v>
      </c>
      <c r="BW292" s="107"/>
      <c r="BX292" s="436"/>
      <c r="BY292" s="107"/>
      <c r="BZ292" s="436"/>
      <c r="CA292" s="156"/>
      <c r="CB292" s="156"/>
      <c r="CC292" s="148" t="s">
        <v>377</v>
      </c>
      <c r="CD292" s="224"/>
      <c r="CE292" s="50"/>
      <c r="CF292" s="224"/>
      <c r="CG292" s="50"/>
      <c r="CH292" s="224"/>
      <c r="CI292" s="50"/>
      <c r="CJ292" s="224"/>
      <c r="CK292" s="50"/>
      <c r="CL292" s="224"/>
      <c r="CM292" s="50"/>
      <c r="CN292" s="224">
        <f>EXP(LN(CN41)+0.5*LN('Ecoinvent 3.10'!$E$20)^2)</f>
        <v>10.999384399342057</v>
      </c>
      <c r="CO292" s="50">
        <f>EXP(LN(CO41)+0.5*LN('Ecoinvent 3.10'!$E$20)^2)</f>
        <v>10.999384399342057</v>
      </c>
      <c r="CP292" s="107"/>
      <c r="CQ292" s="436"/>
      <c r="CR292" s="107"/>
      <c r="CS292" s="436"/>
      <c r="CV292" s="148" t="s">
        <v>377</v>
      </c>
      <c r="CW292" s="224"/>
      <c r="CX292" s="50"/>
      <c r="CY292" s="224"/>
      <c r="CZ292" s="50"/>
      <c r="DA292" s="224"/>
      <c r="DB292" s="50"/>
      <c r="DC292" s="224"/>
      <c r="DD292" s="50"/>
      <c r="DE292" s="224"/>
      <c r="DF292" s="50"/>
      <c r="DG292" s="224">
        <f>EXP(LN(DG41)+0.5*LN('Ecoinvent 3.10'!$E$20)^2)</f>
        <v>3.6697672923597241E-3</v>
      </c>
      <c r="DH292" s="50">
        <f>EXP(LN(DH41)+0.5*LN('Ecoinvent 3.10'!$E$20)^2)</f>
        <v>3.6697672923597241E-3</v>
      </c>
      <c r="DI292" s="107"/>
      <c r="DJ292" s="436"/>
      <c r="DK292" s="107"/>
      <c r="DL292" s="436"/>
      <c r="DO292" s="148" t="s">
        <v>377</v>
      </c>
      <c r="DP292" s="224"/>
      <c r="DQ292" s="50"/>
      <c r="DR292" s="224"/>
      <c r="DS292" s="50"/>
      <c r="DT292" s="224"/>
      <c r="DU292" s="50"/>
      <c r="DV292" s="224"/>
      <c r="DW292" s="50"/>
      <c r="DX292" s="224"/>
      <c r="DY292" s="50"/>
      <c r="DZ292" s="224">
        <f>EXP(LN(DZ41)+0.5*LN('Ecoinvent 3.10'!$E$20)^2)</f>
        <v>7.1923752433475568E-2</v>
      </c>
      <c r="EA292" s="50">
        <f>EXP(LN(EA41)+0.5*LN('Ecoinvent 3.10'!$E$20)^2)</f>
        <v>7.1923752433475568E-2</v>
      </c>
      <c r="EB292" s="107"/>
      <c r="EC292" s="436"/>
      <c r="ED292" s="107"/>
      <c r="EE292" s="436"/>
      <c r="EH292" s="148" t="s">
        <v>377</v>
      </c>
      <c r="EI292" s="224"/>
      <c r="EJ292" s="50"/>
      <c r="EK292" s="224"/>
      <c r="EL292" s="50"/>
      <c r="EM292" s="224"/>
      <c r="EN292" s="50"/>
      <c r="EO292" s="224"/>
      <c r="EP292" s="50"/>
      <c r="EQ292" s="224"/>
      <c r="ER292" s="50"/>
      <c r="ES292" s="224">
        <f>EXP(LN(ES41)+0.5*LN('Ecoinvent 3.10'!$E$20)^2)</f>
        <v>7.7805117261211193E-3</v>
      </c>
      <c r="ET292" s="50">
        <f>EXP(LN(ET41)+0.5*LN('Ecoinvent 3.10'!$E$20)^2)</f>
        <v>7.7805117261211193E-3</v>
      </c>
      <c r="EU292" s="107"/>
      <c r="EV292" s="436"/>
      <c r="EW292" s="107"/>
      <c r="EX292" s="436"/>
      <c r="FA292" s="148" t="s">
        <v>377</v>
      </c>
      <c r="FB292" s="224"/>
      <c r="FC292" s="50"/>
      <c r="FD292" s="224"/>
      <c r="FE292" s="50"/>
      <c r="FF292" s="224"/>
      <c r="FG292" s="50"/>
      <c r="FH292" s="224"/>
      <c r="FI292" s="50"/>
      <c r="FJ292" s="224"/>
      <c r="FK292" s="50"/>
      <c r="FL292" s="224">
        <f>EXP(LN(FL41)+0.5*LN('Ecoinvent 3.10'!$E$20)^2)</f>
        <v>4.0530427451091123E-4</v>
      </c>
      <c r="FM292" s="50">
        <f>EXP(LN(FM41)+0.5*LN('Ecoinvent 3.10'!$E$20)^2)</f>
        <v>4.0530427451091123E-4</v>
      </c>
      <c r="FN292" s="107"/>
      <c r="FO292" s="436"/>
      <c r="FP292" s="107"/>
      <c r="FQ292" s="436"/>
      <c r="FT292" s="148" t="s">
        <v>377</v>
      </c>
      <c r="FU292" s="224"/>
      <c r="FV292" s="50"/>
      <c r="FW292" s="224"/>
      <c r="FX292" s="50"/>
      <c r="FY292" s="224"/>
      <c r="FZ292" s="50"/>
      <c r="GA292" s="224"/>
      <c r="GB292" s="50"/>
      <c r="GC292" s="224"/>
      <c r="GD292" s="50"/>
      <c r="GE292" s="224">
        <f>EXP(LN(GE41)+0.5*LN('Ecoinvent 3.10'!$E$20)^2)</f>
        <v>7.9400929588000976E-2</v>
      </c>
      <c r="GF292" s="50">
        <f>EXP(LN(GF41)+0.5*LN('Ecoinvent 3.10'!$E$20)^2)</f>
        <v>7.9400929588000976E-2</v>
      </c>
      <c r="GG292" s="107"/>
      <c r="GH292" s="436"/>
      <c r="GI292" s="107"/>
      <c r="GJ292" s="436"/>
      <c r="GM292" s="148" t="s">
        <v>377</v>
      </c>
      <c r="GN292" s="224"/>
      <c r="GO292" s="50"/>
      <c r="GP292" s="224"/>
      <c r="GQ292" s="50"/>
      <c r="GR292" s="224"/>
      <c r="GS292" s="50"/>
      <c r="GT292" s="224"/>
      <c r="GU292" s="50"/>
      <c r="GV292" s="224"/>
      <c r="GW292" s="50"/>
      <c r="GX292" s="224">
        <f>EXP(LN(GX41)+0.5*LN('Ecoinvent 3.10'!$E$20)^2)</f>
        <v>0.26526748533203798</v>
      </c>
      <c r="GY292" s="50">
        <f>EXP(LN(GY41)+0.5*LN('Ecoinvent 3.10'!$E$20)^2)</f>
        <v>0.26526748533203798</v>
      </c>
      <c r="GZ292" s="107"/>
      <c r="HA292" s="436"/>
      <c r="HB292" s="107"/>
      <c r="HC292" s="436"/>
      <c r="HF292" s="148" t="s">
        <v>377</v>
      </c>
      <c r="HG292" s="224"/>
      <c r="HH292" s="50"/>
      <c r="HI292" s="224"/>
      <c r="HJ292" s="50"/>
      <c r="HK292" s="224"/>
      <c r="HL292" s="50"/>
      <c r="HM292" s="224"/>
      <c r="HN292" s="50"/>
      <c r="HO292" s="224"/>
      <c r="HP292" s="50"/>
      <c r="HQ292" s="224">
        <f>EXP(LN(HQ41)+0.5*LN('Ecoinvent 3.10'!$E$20)^2)</f>
        <v>1.6235612291451436</v>
      </c>
      <c r="HR292" s="50">
        <f>EXP(LN(HR41)+0.5*LN('Ecoinvent 3.10'!$E$20)^2)</f>
        <v>1.6235612291451436</v>
      </c>
      <c r="HS292" s="107"/>
      <c r="HT292" s="436"/>
      <c r="HU292" s="107"/>
      <c r="HV292" s="436"/>
      <c r="HY292" s="148" t="s">
        <v>377</v>
      </c>
      <c r="HZ292" s="224"/>
      <c r="IA292" s="50"/>
      <c r="IB292" s="224"/>
      <c r="IC292" s="50"/>
      <c r="ID292" s="224"/>
      <c r="IE292" s="50"/>
      <c r="IF292" s="224"/>
      <c r="IG292" s="50"/>
      <c r="IH292" s="224"/>
      <c r="II292" s="50"/>
      <c r="IJ292" s="224">
        <f>EXP(LN(IJ41)+0.5*LN('Ecoinvent 3.10'!$E$20)^2)</f>
        <v>1.8892294206483771E-3</v>
      </c>
      <c r="IK292" s="50">
        <f>EXP(LN(IK41)+0.5*LN('Ecoinvent 3.10'!$E$20)^2)</f>
        <v>1.8892294206483771E-3</v>
      </c>
      <c r="IL292" s="224"/>
      <c r="IM292" s="224"/>
      <c r="IN292" s="224"/>
      <c r="IO292" s="224"/>
    </row>
    <row r="293" spans="2:249" ht="12.75" customHeight="1" x14ac:dyDescent="0.2">
      <c r="B293" s="248"/>
      <c r="C293" s="248"/>
      <c r="D293" s="248"/>
      <c r="E293" s="248"/>
      <c r="F293" s="248"/>
      <c r="G293" s="248"/>
      <c r="H293" s="248"/>
      <c r="I293" s="248"/>
      <c r="J293" s="248"/>
      <c r="K293" s="248"/>
      <c r="L293" s="248"/>
      <c r="M293" s="248"/>
      <c r="N293" s="248"/>
      <c r="O293" s="248"/>
      <c r="P293" s="248"/>
      <c r="Q293" s="248"/>
      <c r="R293" s="248"/>
      <c r="S293" s="248"/>
      <c r="T293" s="248"/>
      <c r="U293" s="248"/>
      <c r="V293" s="248"/>
      <c r="W293" s="248"/>
      <c r="X293" s="248"/>
      <c r="Y293" s="248"/>
      <c r="Z293" s="248"/>
      <c r="AA293" s="248"/>
      <c r="AB293" s="248"/>
      <c r="AC293" s="248"/>
      <c r="AD293" s="248"/>
      <c r="AE293" s="248"/>
      <c r="AF293" s="248"/>
      <c r="AG293" s="248"/>
      <c r="AH293" s="248"/>
      <c r="AI293" s="248"/>
      <c r="AJ293" s="248"/>
      <c r="AK293" s="248"/>
      <c r="AL293" s="248"/>
      <c r="AM293" s="248"/>
      <c r="AN293" s="138"/>
      <c r="AO293" s="248"/>
      <c r="AP293" s="726"/>
      <c r="AQ293" s="148" t="s">
        <v>364</v>
      </c>
      <c r="AR293" s="224"/>
      <c r="AS293" s="50"/>
      <c r="AT293" s="224"/>
      <c r="AU293" s="50"/>
      <c r="AV293" s="224"/>
      <c r="AW293" s="50"/>
      <c r="AX293" s="224"/>
      <c r="AY293" s="50"/>
      <c r="AZ293" s="224"/>
      <c r="BA293" s="50"/>
      <c r="BB293" s="264"/>
      <c r="BC293" s="265"/>
      <c r="BD293" s="107"/>
      <c r="BE293" s="436"/>
      <c r="BF293" s="107"/>
      <c r="BG293" s="436"/>
      <c r="BI293" s="156"/>
      <c r="BJ293" s="148" t="s">
        <v>364</v>
      </c>
      <c r="BK293" s="224"/>
      <c r="BL293" s="50"/>
      <c r="BM293" s="224"/>
      <c r="BN293" s="50"/>
      <c r="BO293" s="224"/>
      <c r="BP293" s="50"/>
      <c r="BQ293" s="224"/>
      <c r="BR293" s="50"/>
      <c r="BS293" s="224"/>
      <c r="BT293" s="50"/>
      <c r="BU293" s="264"/>
      <c r="BV293" s="265"/>
      <c r="BW293" s="107"/>
      <c r="BX293" s="436"/>
      <c r="BY293" s="107"/>
      <c r="BZ293" s="436"/>
      <c r="CA293" s="156"/>
      <c r="CB293" s="156"/>
      <c r="CC293" s="148" t="s">
        <v>364</v>
      </c>
      <c r="CD293" s="224"/>
      <c r="CE293" s="50"/>
      <c r="CF293" s="224"/>
      <c r="CG293" s="50"/>
      <c r="CH293" s="224"/>
      <c r="CI293" s="50"/>
      <c r="CJ293" s="224"/>
      <c r="CK293" s="50"/>
      <c r="CL293" s="224"/>
      <c r="CM293" s="50"/>
      <c r="CN293" s="264"/>
      <c r="CO293" s="265"/>
      <c r="CP293" s="107"/>
      <c r="CQ293" s="436"/>
      <c r="CR293" s="107"/>
      <c r="CS293" s="436"/>
      <c r="CV293" s="148" t="s">
        <v>364</v>
      </c>
      <c r="CW293" s="224"/>
      <c r="CX293" s="50"/>
      <c r="CY293" s="224"/>
      <c r="CZ293" s="50"/>
      <c r="DA293" s="224"/>
      <c r="DB293" s="50"/>
      <c r="DC293" s="224"/>
      <c r="DD293" s="50"/>
      <c r="DE293" s="224"/>
      <c r="DF293" s="50"/>
      <c r="DG293" s="264"/>
      <c r="DH293" s="265"/>
      <c r="DI293" s="107"/>
      <c r="DJ293" s="436"/>
      <c r="DK293" s="107"/>
      <c r="DL293" s="436"/>
      <c r="DO293" s="148" t="s">
        <v>364</v>
      </c>
      <c r="DP293" s="224"/>
      <c r="DQ293" s="50"/>
      <c r="DR293" s="224"/>
      <c r="DS293" s="50"/>
      <c r="DT293" s="224"/>
      <c r="DU293" s="50"/>
      <c r="DV293" s="224"/>
      <c r="DW293" s="50"/>
      <c r="DX293" s="224"/>
      <c r="DY293" s="50"/>
      <c r="DZ293" s="264"/>
      <c r="EA293" s="265"/>
      <c r="EB293" s="107"/>
      <c r="EC293" s="436"/>
      <c r="ED293" s="107"/>
      <c r="EE293" s="436"/>
      <c r="EH293" s="148" t="s">
        <v>364</v>
      </c>
      <c r="EI293" s="224"/>
      <c r="EJ293" s="50"/>
      <c r="EK293" s="224"/>
      <c r="EL293" s="50"/>
      <c r="EM293" s="224"/>
      <c r="EN293" s="50"/>
      <c r="EO293" s="224"/>
      <c r="EP293" s="50"/>
      <c r="EQ293" s="224"/>
      <c r="ER293" s="50"/>
      <c r="ES293" s="264"/>
      <c r="ET293" s="265"/>
      <c r="EU293" s="107"/>
      <c r="EV293" s="436"/>
      <c r="EW293" s="107"/>
      <c r="EX293" s="436"/>
      <c r="FA293" s="148" t="s">
        <v>364</v>
      </c>
      <c r="FB293" s="224"/>
      <c r="FC293" s="50"/>
      <c r="FD293" s="224"/>
      <c r="FE293" s="50"/>
      <c r="FF293" s="224"/>
      <c r="FG293" s="50"/>
      <c r="FH293" s="224"/>
      <c r="FI293" s="50"/>
      <c r="FJ293" s="224"/>
      <c r="FK293" s="50"/>
      <c r="FL293" s="264"/>
      <c r="FM293" s="265"/>
      <c r="FN293" s="107"/>
      <c r="FO293" s="436"/>
      <c r="FP293" s="107"/>
      <c r="FQ293" s="436"/>
      <c r="FT293" s="148" t="s">
        <v>364</v>
      </c>
      <c r="FU293" s="224"/>
      <c r="FV293" s="50"/>
      <c r="FW293" s="224"/>
      <c r="FX293" s="50"/>
      <c r="FY293" s="224"/>
      <c r="FZ293" s="50"/>
      <c r="GA293" s="224"/>
      <c r="GB293" s="50"/>
      <c r="GC293" s="224"/>
      <c r="GD293" s="50"/>
      <c r="GE293" s="264"/>
      <c r="GF293" s="265"/>
      <c r="GG293" s="107"/>
      <c r="GH293" s="436"/>
      <c r="GI293" s="107"/>
      <c r="GJ293" s="436"/>
      <c r="GM293" s="148" t="s">
        <v>364</v>
      </c>
      <c r="GN293" s="224"/>
      <c r="GO293" s="50"/>
      <c r="GP293" s="224"/>
      <c r="GQ293" s="50"/>
      <c r="GR293" s="224"/>
      <c r="GS293" s="50"/>
      <c r="GT293" s="224"/>
      <c r="GU293" s="50"/>
      <c r="GV293" s="224"/>
      <c r="GW293" s="50"/>
      <c r="GX293" s="264"/>
      <c r="GY293" s="265"/>
      <c r="GZ293" s="107"/>
      <c r="HA293" s="436"/>
      <c r="HB293" s="107"/>
      <c r="HC293" s="436"/>
      <c r="HF293" s="148" t="s">
        <v>364</v>
      </c>
      <c r="HG293" s="224"/>
      <c r="HH293" s="50"/>
      <c r="HI293" s="224"/>
      <c r="HJ293" s="50"/>
      <c r="HK293" s="224"/>
      <c r="HL293" s="50"/>
      <c r="HM293" s="224"/>
      <c r="HN293" s="50"/>
      <c r="HO293" s="224"/>
      <c r="HP293" s="50"/>
      <c r="HQ293" s="264"/>
      <c r="HR293" s="265"/>
      <c r="HS293" s="107"/>
      <c r="HT293" s="436"/>
      <c r="HU293" s="107"/>
      <c r="HV293" s="436"/>
      <c r="HY293" s="148" t="s">
        <v>364</v>
      </c>
      <c r="HZ293" s="224"/>
      <c r="IA293" s="50"/>
      <c r="IB293" s="224"/>
      <c r="IC293" s="50"/>
      <c r="ID293" s="224"/>
      <c r="IE293" s="50"/>
      <c r="IF293" s="224"/>
      <c r="IG293" s="50"/>
      <c r="IH293" s="224"/>
      <c r="II293" s="50"/>
      <c r="IJ293" s="264"/>
      <c r="IK293" s="265"/>
      <c r="IL293" s="264"/>
      <c r="IM293" s="264"/>
      <c r="IN293" s="264"/>
      <c r="IO293" s="264"/>
    </row>
    <row r="294" spans="2:249" ht="12.75" customHeight="1" x14ac:dyDescent="0.2">
      <c r="B294" s="248"/>
      <c r="C294" s="248"/>
      <c r="D294" s="248"/>
      <c r="E294" s="248"/>
      <c r="F294" s="248"/>
      <c r="G294" s="248"/>
      <c r="H294" s="248"/>
      <c r="I294" s="248"/>
      <c r="J294" s="248"/>
      <c r="K294" s="248"/>
      <c r="L294" s="248"/>
      <c r="M294" s="248"/>
      <c r="N294" s="248"/>
      <c r="O294" s="248"/>
      <c r="P294" s="248"/>
      <c r="Q294" s="248"/>
      <c r="R294" s="248"/>
      <c r="S294" s="248"/>
      <c r="T294" s="248"/>
      <c r="U294" s="248"/>
      <c r="V294" s="248"/>
      <c r="W294" s="248"/>
      <c r="X294" s="248"/>
      <c r="Y294" s="248"/>
      <c r="Z294" s="248"/>
      <c r="AA294" s="248"/>
      <c r="AB294" s="248"/>
      <c r="AC294" s="248"/>
      <c r="AD294" s="248"/>
      <c r="AE294" s="248"/>
      <c r="AF294" s="248"/>
      <c r="AG294" s="248"/>
      <c r="AH294" s="248"/>
      <c r="AI294" s="248"/>
      <c r="AJ294" s="248"/>
      <c r="AK294" s="248"/>
      <c r="AL294" s="248"/>
      <c r="AM294" s="248"/>
      <c r="AN294" s="138"/>
      <c r="AO294" s="248"/>
      <c r="AP294" s="726"/>
      <c r="AQ294" s="148" t="s">
        <v>333</v>
      </c>
      <c r="AR294" s="224"/>
      <c r="AS294" s="50"/>
      <c r="AT294" s="224"/>
      <c r="AU294" s="50"/>
      <c r="AV294" s="224"/>
      <c r="AW294" s="50"/>
      <c r="AX294" s="224"/>
      <c r="AY294" s="50"/>
      <c r="AZ294" s="224"/>
      <c r="BA294" s="50"/>
      <c r="BB294" s="224">
        <f>EXP(LN(BB43)+0.5*LN('Ecoinvent 3.10'!$E$34)^2)</f>
        <v>34.342407589775576</v>
      </c>
      <c r="BC294" s="50">
        <f>EXP(LN(BC43)+0.5*LN('Ecoinvent 3.10'!$E$34)^2)</f>
        <v>34.342407589775576</v>
      </c>
      <c r="BD294" s="107"/>
      <c r="BE294" s="436"/>
      <c r="BF294" s="107"/>
      <c r="BG294" s="436"/>
      <c r="BI294" s="156"/>
      <c r="BJ294" s="148" t="s">
        <v>333</v>
      </c>
      <c r="BK294" s="224"/>
      <c r="BL294" s="50"/>
      <c r="BM294" s="224"/>
      <c r="BN294" s="50"/>
      <c r="BO294" s="224"/>
      <c r="BP294" s="50"/>
      <c r="BQ294" s="224"/>
      <c r="BR294" s="50"/>
      <c r="BS294" s="224"/>
      <c r="BT294" s="50"/>
      <c r="BU294" s="224">
        <f>EXP(LN(BU43)+0.5*LN('Ecoinvent 3.10'!$E$34)^2)</f>
        <v>4.0977131558839659</v>
      </c>
      <c r="BV294" s="50">
        <f>EXP(LN(BV43)+0.5*LN('Ecoinvent 3.10'!$E$34)^2)</f>
        <v>4.0977131558839659</v>
      </c>
      <c r="BW294" s="107"/>
      <c r="BX294" s="436"/>
      <c r="BY294" s="107"/>
      <c r="BZ294" s="436"/>
      <c r="CA294" s="156"/>
      <c r="CB294" s="156"/>
      <c r="CC294" s="148" t="s">
        <v>333</v>
      </c>
      <c r="CD294" s="224"/>
      <c r="CE294" s="50"/>
      <c r="CF294" s="224"/>
      <c r="CG294" s="50"/>
      <c r="CH294" s="224"/>
      <c r="CI294" s="50"/>
      <c r="CJ294" s="224"/>
      <c r="CK294" s="50"/>
      <c r="CL294" s="224"/>
      <c r="CM294" s="50"/>
      <c r="CN294" s="224">
        <f>EXP(LN(CN43)+0.5*LN('Ecoinvent 3.10'!$E$34)^2)</f>
        <v>18.994954193452887</v>
      </c>
      <c r="CO294" s="50">
        <f>EXP(LN(CO43)+0.5*LN('Ecoinvent 3.10'!$E$34)^2)</f>
        <v>18.994954193452887</v>
      </c>
      <c r="CP294" s="107"/>
      <c r="CQ294" s="436"/>
      <c r="CR294" s="107"/>
      <c r="CS294" s="436"/>
      <c r="CV294" s="148" t="s">
        <v>333</v>
      </c>
      <c r="CW294" s="224"/>
      <c r="CX294" s="50"/>
      <c r="CY294" s="224"/>
      <c r="CZ294" s="50"/>
      <c r="DA294" s="224"/>
      <c r="DB294" s="50"/>
      <c r="DC294" s="224"/>
      <c r="DD294" s="50"/>
      <c r="DE294" s="224"/>
      <c r="DF294" s="50"/>
      <c r="DG294" s="224">
        <f>EXP(LN(DG43)+0.5*LN('Ecoinvent 3.10'!$E$34)^2)</f>
        <v>1.4005166172525649E-2</v>
      </c>
      <c r="DH294" s="50">
        <f>EXP(LN(DH43)+0.5*LN('Ecoinvent 3.10'!$E$34)^2)</f>
        <v>1.4005166172525649E-2</v>
      </c>
      <c r="DI294" s="107"/>
      <c r="DJ294" s="436"/>
      <c r="DK294" s="107"/>
      <c r="DL294" s="436"/>
      <c r="DO294" s="148" t="s">
        <v>333</v>
      </c>
      <c r="DP294" s="224"/>
      <c r="DQ294" s="50"/>
      <c r="DR294" s="224"/>
      <c r="DS294" s="50"/>
      <c r="DT294" s="224"/>
      <c r="DU294" s="50"/>
      <c r="DV294" s="224"/>
      <c r="DW294" s="50"/>
      <c r="DX294" s="224"/>
      <c r="DY294" s="50"/>
      <c r="DZ294" s="224">
        <f>EXP(LN(DZ43)+0.5*LN('Ecoinvent 3.10'!$E$34)^2)</f>
        <v>2.53172278929568E-2</v>
      </c>
      <c r="EA294" s="50">
        <f>EXP(LN(EA43)+0.5*LN('Ecoinvent 3.10'!$E$34)^2)</f>
        <v>2.53172278929568E-2</v>
      </c>
      <c r="EB294" s="107"/>
      <c r="EC294" s="436"/>
      <c r="ED294" s="107"/>
      <c r="EE294" s="436"/>
      <c r="EH294" s="148" t="s">
        <v>333</v>
      </c>
      <c r="EI294" s="224"/>
      <c r="EJ294" s="50"/>
      <c r="EK294" s="224"/>
      <c r="EL294" s="50"/>
      <c r="EM294" s="224"/>
      <c r="EN294" s="50"/>
      <c r="EO294" s="224"/>
      <c r="EP294" s="50"/>
      <c r="EQ294" s="224"/>
      <c r="ER294" s="50"/>
      <c r="ES294" s="224">
        <f>EXP(LN(ES43)+0.5*LN('Ecoinvent 3.10'!$E$34)^2)</f>
        <v>6.0234235046062429E-2</v>
      </c>
      <c r="ET294" s="50">
        <f>EXP(LN(ET43)+0.5*LN('Ecoinvent 3.10'!$E$34)^2)</f>
        <v>6.0234235046062429E-2</v>
      </c>
      <c r="EU294" s="107"/>
      <c r="EV294" s="436"/>
      <c r="EW294" s="107"/>
      <c r="EX294" s="436"/>
      <c r="FA294" s="148" t="s">
        <v>333</v>
      </c>
      <c r="FB294" s="224"/>
      <c r="FC294" s="50"/>
      <c r="FD294" s="224"/>
      <c r="FE294" s="50"/>
      <c r="FF294" s="224"/>
      <c r="FG294" s="50"/>
      <c r="FH294" s="224"/>
      <c r="FI294" s="50"/>
      <c r="FJ294" s="224"/>
      <c r="FK294" s="50"/>
      <c r="FL294" s="224">
        <f>EXP(LN(FL43)+0.5*LN('Ecoinvent 3.10'!$E$34)^2)</f>
        <v>3.5879926266318908E-3</v>
      </c>
      <c r="FM294" s="50">
        <f>EXP(LN(FM43)+0.5*LN('Ecoinvent 3.10'!$E$34)^2)</f>
        <v>3.5879926266318908E-3</v>
      </c>
      <c r="FN294" s="107"/>
      <c r="FO294" s="436"/>
      <c r="FP294" s="107"/>
      <c r="FQ294" s="436"/>
      <c r="FT294" s="148" t="s">
        <v>333</v>
      </c>
      <c r="FU294" s="224"/>
      <c r="FV294" s="50"/>
      <c r="FW294" s="224"/>
      <c r="FX294" s="50"/>
      <c r="FY294" s="224"/>
      <c r="FZ294" s="50"/>
      <c r="GA294" s="224"/>
      <c r="GB294" s="50"/>
      <c r="GC294" s="224"/>
      <c r="GD294" s="50"/>
      <c r="GE294" s="224">
        <f>EXP(LN(GE43)+0.5*LN('Ecoinvent 3.10'!$E$34)^2)</f>
        <v>0.13621533059691676</v>
      </c>
      <c r="GF294" s="50">
        <f>EXP(LN(GF43)+0.5*LN('Ecoinvent 3.10'!$E$34)^2)</f>
        <v>0.13621533059691676</v>
      </c>
      <c r="GG294" s="107"/>
      <c r="GH294" s="436"/>
      <c r="GI294" s="107"/>
      <c r="GJ294" s="436"/>
      <c r="GM294" s="148" t="s">
        <v>333</v>
      </c>
      <c r="GN294" s="224"/>
      <c r="GO294" s="50"/>
      <c r="GP294" s="224"/>
      <c r="GQ294" s="50"/>
      <c r="GR294" s="224"/>
      <c r="GS294" s="50"/>
      <c r="GT294" s="224"/>
      <c r="GU294" s="50"/>
      <c r="GV294" s="224"/>
      <c r="GW294" s="50"/>
      <c r="GX294" s="224">
        <f>EXP(LN(GX43)+0.5*LN('Ecoinvent 3.10'!$E$34)^2)</f>
        <v>0.52257223853201318</v>
      </c>
      <c r="GY294" s="50">
        <f>EXP(LN(GY43)+0.5*LN('Ecoinvent 3.10'!$E$34)^2)</f>
        <v>0.52257223853201318</v>
      </c>
      <c r="GZ294" s="107"/>
      <c r="HA294" s="436"/>
      <c r="HB294" s="107"/>
      <c r="HC294" s="436"/>
      <c r="HF294" s="148" t="s">
        <v>333</v>
      </c>
      <c r="HG294" s="224"/>
      <c r="HH294" s="50"/>
      <c r="HI294" s="224"/>
      <c r="HJ294" s="50"/>
      <c r="HK294" s="224"/>
      <c r="HL294" s="50"/>
      <c r="HM294" s="224"/>
      <c r="HN294" s="50"/>
      <c r="HO294" s="224"/>
      <c r="HP294" s="50"/>
      <c r="HQ294" s="224">
        <f>EXP(LN(HQ43)+0.5*LN('Ecoinvent 3.10'!$E$34)^2)</f>
        <v>4.8129331559107733</v>
      </c>
      <c r="HR294" s="50">
        <f>EXP(LN(HR43)+0.5*LN('Ecoinvent 3.10'!$E$34)^2)</f>
        <v>4.8129331559107733</v>
      </c>
      <c r="HS294" s="107"/>
      <c r="HT294" s="436"/>
      <c r="HU294" s="107"/>
      <c r="HV294" s="436"/>
      <c r="HY294" s="148" t="s">
        <v>333</v>
      </c>
      <c r="HZ294" s="224"/>
      <c r="IA294" s="50"/>
      <c r="IB294" s="224"/>
      <c r="IC294" s="50"/>
      <c r="ID294" s="224"/>
      <c r="IE294" s="50"/>
      <c r="IF294" s="224"/>
      <c r="IG294" s="50"/>
      <c r="IH294" s="224"/>
      <c r="II294" s="50"/>
      <c r="IJ294" s="224">
        <f>EXP(LN(IJ43)+0.5*LN('Ecoinvent 3.10'!$E$34)^2)</f>
        <v>5.7571821242994653E-3</v>
      </c>
      <c r="IK294" s="50">
        <f>EXP(LN(IK43)+0.5*LN('Ecoinvent 3.10'!$E$34)^2)</f>
        <v>5.7571821242994653E-3</v>
      </c>
      <c r="IL294" s="224"/>
      <c r="IM294" s="224"/>
      <c r="IN294" s="224"/>
      <c r="IO294" s="224"/>
    </row>
    <row r="295" spans="2:249" ht="12.75" customHeight="1" x14ac:dyDescent="0.2">
      <c r="B295" s="248"/>
      <c r="C295" s="248"/>
      <c r="D295" s="248"/>
      <c r="E295" s="248"/>
      <c r="F295" s="248"/>
      <c r="G295" s="248"/>
      <c r="H295" s="248"/>
      <c r="I295" s="248"/>
      <c r="J295" s="248"/>
      <c r="K295" s="248"/>
      <c r="L295" s="248"/>
      <c r="M295" s="248"/>
      <c r="N295" s="248"/>
      <c r="O295" s="248"/>
      <c r="P295" s="248"/>
      <c r="Q295" s="248"/>
      <c r="R295" s="248"/>
      <c r="S295" s="248"/>
      <c r="T295" s="248"/>
      <c r="U295" s="248"/>
      <c r="V295" s="248"/>
      <c r="W295" s="248"/>
      <c r="X295" s="248"/>
      <c r="Y295" s="248"/>
      <c r="Z295" s="248"/>
      <c r="AA295" s="248"/>
      <c r="AB295" s="248"/>
      <c r="AC295" s="248"/>
      <c r="AD295" s="248"/>
      <c r="AE295" s="248"/>
      <c r="AF295" s="248"/>
      <c r="AG295" s="248"/>
      <c r="AH295" s="248"/>
      <c r="AI295" s="248"/>
      <c r="AJ295" s="248"/>
      <c r="AK295" s="248"/>
      <c r="AL295" s="248"/>
      <c r="AM295" s="248"/>
      <c r="AN295" s="138"/>
      <c r="AO295" s="248"/>
      <c r="AP295" s="726"/>
      <c r="AQ295" s="148" t="s">
        <v>365</v>
      </c>
      <c r="AR295" s="224"/>
      <c r="AS295" s="50"/>
      <c r="AT295" s="224"/>
      <c r="AU295" s="50"/>
      <c r="AV295" s="224"/>
      <c r="AW295" s="50"/>
      <c r="AX295" s="224"/>
      <c r="AY295" s="50"/>
      <c r="AZ295" s="224"/>
      <c r="BA295" s="50"/>
      <c r="BB295" s="264"/>
      <c r="BC295" s="265"/>
      <c r="BD295" s="107"/>
      <c r="BE295" s="436"/>
      <c r="BF295" s="107"/>
      <c r="BG295" s="436"/>
      <c r="BI295" s="156"/>
      <c r="BJ295" s="148" t="s">
        <v>365</v>
      </c>
      <c r="BK295" s="224"/>
      <c r="BL295" s="50"/>
      <c r="BM295" s="224"/>
      <c r="BN295" s="50"/>
      <c r="BO295" s="224"/>
      <c r="BP295" s="50"/>
      <c r="BQ295" s="224"/>
      <c r="BR295" s="50"/>
      <c r="BS295" s="224"/>
      <c r="BT295" s="50"/>
      <c r="BU295" s="264"/>
      <c r="BV295" s="265"/>
      <c r="BW295" s="107"/>
      <c r="BX295" s="436"/>
      <c r="BY295" s="107"/>
      <c r="BZ295" s="436"/>
      <c r="CA295" s="156"/>
      <c r="CB295" s="156"/>
      <c r="CC295" s="148" t="s">
        <v>365</v>
      </c>
      <c r="CD295" s="224"/>
      <c r="CE295" s="50"/>
      <c r="CF295" s="224"/>
      <c r="CG295" s="50"/>
      <c r="CH295" s="224"/>
      <c r="CI295" s="50"/>
      <c r="CJ295" s="224"/>
      <c r="CK295" s="50"/>
      <c r="CL295" s="224"/>
      <c r="CM295" s="50"/>
      <c r="CN295" s="264"/>
      <c r="CO295" s="265"/>
      <c r="CP295" s="107"/>
      <c r="CQ295" s="436"/>
      <c r="CR295" s="107"/>
      <c r="CS295" s="436"/>
      <c r="CV295" s="148" t="s">
        <v>365</v>
      </c>
      <c r="CW295" s="224"/>
      <c r="CX295" s="50"/>
      <c r="CY295" s="224"/>
      <c r="CZ295" s="50"/>
      <c r="DA295" s="224"/>
      <c r="DB295" s="50"/>
      <c r="DC295" s="224"/>
      <c r="DD295" s="50"/>
      <c r="DE295" s="224"/>
      <c r="DF295" s="50"/>
      <c r="DG295" s="264"/>
      <c r="DH295" s="265"/>
      <c r="DI295" s="107"/>
      <c r="DJ295" s="436"/>
      <c r="DK295" s="107"/>
      <c r="DL295" s="436"/>
      <c r="DO295" s="148" t="s">
        <v>365</v>
      </c>
      <c r="DP295" s="224"/>
      <c r="DQ295" s="50"/>
      <c r="DR295" s="224"/>
      <c r="DS295" s="50"/>
      <c r="DT295" s="224"/>
      <c r="DU295" s="50"/>
      <c r="DV295" s="224"/>
      <c r="DW295" s="50"/>
      <c r="DX295" s="224"/>
      <c r="DY295" s="50"/>
      <c r="DZ295" s="264"/>
      <c r="EA295" s="265"/>
      <c r="EB295" s="107"/>
      <c r="EC295" s="436"/>
      <c r="ED295" s="107"/>
      <c r="EE295" s="436"/>
      <c r="EH295" s="148" t="s">
        <v>365</v>
      </c>
      <c r="EI295" s="224"/>
      <c r="EJ295" s="50"/>
      <c r="EK295" s="224"/>
      <c r="EL295" s="50"/>
      <c r="EM295" s="224"/>
      <c r="EN295" s="50"/>
      <c r="EO295" s="224"/>
      <c r="EP295" s="50"/>
      <c r="EQ295" s="224"/>
      <c r="ER295" s="50"/>
      <c r="ES295" s="264"/>
      <c r="ET295" s="265"/>
      <c r="EU295" s="107"/>
      <c r="EV295" s="436"/>
      <c r="EW295" s="107"/>
      <c r="EX295" s="436"/>
      <c r="FA295" s="148" t="s">
        <v>365</v>
      </c>
      <c r="FB295" s="224"/>
      <c r="FC295" s="50"/>
      <c r="FD295" s="224"/>
      <c r="FE295" s="50"/>
      <c r="FF295" s="224"/>
      <c r="FG295" s="50"/>
      <c r="FH295" s="224"/>
      <c r="FI295" s="50"/>
      <c r="FJ295" s="224"/>
      <c r="FK295" s="50"/>
      <c r="FL295" s="264"/>
      <c r="FM295" s="265"/>
      <c r="FN295" s="107"/>
      <c r="FO295" s="436"/>
      <c r="FP295" s="107"/>
      <c r="FQ295" s="436"/>
      <c r="FT295" s="148" t="s">
        <v>365</v>
      </c>
      <c r="FU295" s="224"/>
      <c r="FV295" s="50"/>
      <c r="FW295" s="224"/>
      <c r="FX295" s="50"/>
      <c r="FY295" s="224"/>
      <c r="FZ295" s="50"/>
      <c r="GA295" s="224"/>
      <c r="GB295" s="50"/>
      <c r="GC295" s="224"/>
      <c r="GD295" s="50"/>
      <c r="GE295" s="264"/>
      <c r="GF295" s="265"/>
      <c r="GG295" s="107"/>
      <c r="GH295" s="436"/>
      <c r="GI295" s="107"/>
      <c r="GJ295" s="436"/>
      <c r="GM295" s="148" t="s">
        <v>365</v>
      </c>
      <c r="GN295" s="224"/>
      <c r="GO295" s="50"/>
      <c r="GP295" s="224"/>
      <c r="GQ295" s="50"/>
      <c r="GR295" s="224"/>
      <c r="GS295" s="50"/>
      <c r="GT295" s="224"/>
      <c r="GU295" s="50"/>
      <c r="GV295" s="224"/>
      <c r="GW295" s="50"/>
      <c r="GX295" s="264"/>
      <c r="GY295" s="265"/>
      <c r="GZ295" s="107"/>
      <c r="HA295" s="436"/>
      <c r="HB295" s="107"/>
      <c r="HC295" s="436"/>
      <c r="HF295" s="148" t="s">
        <v>365</v>
      </c>
      <c r="HG295" s="224"/>
      <c r="HH295" s="50"/>
      <c r="HI295" s="224"/>
      <c r="HJ295" s="50"/>
      <c r="HK295" s="224"/>
      <c r="HL295" s="50"/>
      <c r="HM295" s="224"/>
      <c r="HN295" s="50"/>
      <c r="HO295" s="224"/>
      <c r="HP295" s="50"/>
      <c r="HQ295" s="264"/>
      <c r="HR295" s="265"/>
      <c r="HS295" s="107"/>
      <c r="HT295" s="436"/>
      <c r="HU295" s="107"/>
      <c r="HV295" s="436"/>
      <c r="HY295" s="148" t="s">
        <v>365</v>
      </c>
      <c r="HZ295" s="224"/>
      <c r="IA295" s="50"/>
      <c r="IB295" s="224"/>
      <c r="IC295" s="50"/>
      <c r="ID295" s="224"/>
      <c r="IE295" s="50"/>
      <c r="IF295" s="224"/>
      <c r="IG295" s="50"/>
      <c r="IH295" s="224"/>
      <c r="II295" s="50"/>
      <c r="IJ295" s="264"/>
      <c r="IK295" s="265"/>
      <c r="IL295" s="264"/>
      <c r="IM295" s="264"/>
      <c r="IN295" s="264"/>
      <c r="IO295" s="264"/>
    </row>
    <row r="296" spans="2:249" ht="14.25" customHeight="1" x14ac:dyDescent="0.25">
      <c r="B296" s="248"/>
      <c r="C296" s="248"/>
      <c r="D296" s="248"/>
      <c r="E296" s="248"/>
      <c r="F296" s="248"/>
      <c r="G296" s="248"/>
      <c r="H296" s="248"/>
      <c r="I296" s="248"/>
      <c r="J296" s="248"/>
      <c r="K296" s="248"/>
      <c r="L296" s="248"/>
      <c r="M296" s="248"/>
      <c r="N296" s="248"/>
      <c r="O296" s="248"/>
      <c r="P296" s="248"/>
      <c r="Q296" s="248"/>
      <c r="R296" s="248"/>
      <c r="S296" s="248"/>
      <c r="T296" s="248"/>
      <c r="U296" s="248"/>
      <c r="V296" s="248"/>
      <c r="W296" s="248"/>
      <c r="X296" s="248"/>
      <c r="Y296" s="248"/>
      <c r="Z296" s="248"/>
      <c r="AA296" s="248"/>
      <c r="AB296" s="248"/>
      <c r="AC296" s="248"/>
      <c r="AD296" s="248"/>
      <c r="AE296" s="248"/>
      <c r="AF296" s="248"/>
      <c r="AG296" s="248"/>
      <c r="AH296" s="248"/>
      <c r="AI296" s="248"/>
      <c r="AJ296" s="248"/>
      <c r="AK296" s="248"/>
      <c r="AL296" s="248"/>
      <c r="AM296" s="248"/>
      <c r="AN296" s="138"/>
      <c r="AO296" s="248"/>
      <c r="AP296" s="726"/>
      <c r="AQ296" s="148" t="s">
        <v>374</v>
      </c>
      <c r="AR296" s="224"/>
      <c r="AS296" s="50"/>
      <c r="AT296" s="224"/>
      <c r="AU296" s="50"/>
      <c r="AV296" s="224"/>
      <c r="AW296" s="50"/>
      <c r="AX296" s="224"/>
      <c r="AY296" s="50"/>
      <c r="AZ296" s="224"/>
      <c r="BA296" s="50"/>
      <c r="BB296" s="224"/>
      <c r="BC296" s="50"/>
      <c r="BD296" s="107"/>
      <c r="BE296" s="436"/>
      <c r="BF296" s="107"/>
      <c r="BG296" s="436"/>
      <c r="BI296" s="156"/>
      <c r="BJ296" s="148" t="s">
        <v>374</v>
      </c>
      <c r="BK296" s="224"/>
      <c r="BL296" s="50"/>
      <c r="BM296" s="224"/>
      <c r="BN296" s="50"/>
      <c r="BO296" s="224"/>
      <c r="BP296" s="50"/>
      <c r="BQ296" s="224"/>
      <c r="BR296" s="50"/>
      <c r="BS296" s="224"/>
      <c r="BT296" s="50"/>
      <c r="BU296" s="224"/>
      <c r="BV296" s="50"/>
      <c r="BW296" s="107"/>
      <c r="BX296" s="436"/>
      <c r="BY296" s="107"/>
      <c r="BZ296" s="436"/>
      <c r="CA296" s="156"/>
      <c r="CB296" s="156"/>
      <c r="CC296" s="148" t="s">
        <v>374</v>
      </c>
      <c r="CD296" s="224"/>
      <c r="CE296" s="50"/>
      <c r="CF296" s="224"/>
      <c r="CG296" s="50"/>
      <c r="CH296" s="224"/>
      <c r="CI296" s="50"/>
      <c r="CJ296" s="224"/>
      <c r="CK296" s="50"/>
      <c r="CL296" s="224"/>
      <c r="CM296" s="50"/>
      <c r="CN296" s="224"/>
      <c r="CO296" s="50"/>
      <c r="CP296" s="107"/>
      <c r="CQ296" s="436"/>
      <c r="CR296" s="107"/>
      <c r="CS296" s="436"/>
      <c r="CV296" s="148" t="s">
        <v>374</v>
      </c>
      <c r="CW296" s="224"/>
      <c r="CX296" s="50"/>
      <c r="CY296" s="224"/>
      <c r="CZ296" s="50"/>
      <c r="DA296" s="224"/>
      <c r="DB296" s="50"/>
      <c r="DC296" s="224"/>
      <c r="DD296" s="50"/>
      <c r="DE296" s="224"/>
      <c r="DF296" s="50"/>
      <c r="DG296" s="224"/>
      <c r="DH296" s="50"/>
      <c r="DI296" s="107"/>
      <c r="DJ296" s="436"/>
      <c r="DK296" s="107"/>
      <c r="DL296" s="436"/>
      <c r="DO296" s="148" t="s">
        <v>374</v>
      </c>
      <c r="DP296" s="224"/>
      <c r="DQ296" s="50"/>
      <c r="DR296" s="224"/>
      <c r="DS296" s="50"/>
      <c r="DT296" s="224"/>
      <c r="DU296" s="50"/>
      <c r="DV296" s="224"/>
      <c r="DW296" s="50"/>
      <c r="DX296" s="224"/>
      <c r="DY296" s="50"/>
      <c r="DZ296" s="224"/>
      <c r="EA296" s="50"/>
      <c r="EB296" s="107"/>
      <c r="EC296" s="436"/>
      <c r="ED296" s="107"/>
      <c r="EE296" s="436"/>
      <c r="EH296" s="148" t="s">
        <v>374</v>
      </c>
      <c r="EI296" s="224"/>
      <c r="EJ296" s="50"/>
      <c r="EK296" s="224"/>
      <c r="EL296" s="50"/>
      <c r="EM296" s="224"/>
      <c r="EN296" s="50"/>
      <c r="EO296" s="224"/>
      <c r="EP296" s="50"/>
      <c r="EQ296" s="224"/>
      <c r="ER296" s="50"/>
      <c r="ES296" s="224"/>
      <c r="ET296" s="50"/>
      <c r="EU296" s="107"/>
      <c r="EV296" s="436"/>
      <c r="EW296" s="107"/>
      <c r="EX296" s="436"/>
      <c r="FA296" s="148" t="s">
        <v>374</v>
      </c>
      <c r="FB296" s="224"/>
      <c r="FC296" s="50"/>
      <c r="FD296" s="224"/>
      <c r="FE296" s="50"/>
      <c r="FF296" s="224"/>
      <c r="FG296" s="50"/>
      <c r="FH296" s="224"/>
      <c r="FI296" s="50"/>
      <c r="FJ296" s="224"/>
      <c r="FK296" s="50"/>
      <c r="FL296" s="224"/>
      <c r="FM296" s="50"/>
      <c r="FN296" s="107"/>
      <c r="FO296" s="436"/>
      <c r="FP296" s="107"/>
      <c r="FQ296" s="436"/>
      <c r="FT296" s="148" t="s">
        <v>374</v>
      </c>
      <c r="FU296" s="224"/>
      <c r="FV296" s="50"/>
      <c r="FW296" s="224"/>
      <c r="FX296" s="50"/>
      <c r="FY296" s="224"/>
      <c r="FZ296" s="50"/>
      <c r="GA296" s="224"/>
      <c r="GB296" s="50"/>
      <c r="GC296" s="224"/>
      <c r="GD296" s="50"/>
      <c r="GE296" s="224"/>
      <c r="GF296" s="50"/>
      <c r="GG296" s="107"/>
      <c r="GH296" s="436"/>
      <c r="GI296" s="107"/>
      <c r="GJ296" s="436"/>
      <c r="GM296" s="148" t="s">
        <v>374</v>
      </c>
      <c r="GN296" s="224"/>
      <c r="GO296" s="50"/>
      <c r="GP296" s="224"/>
      <c r="GQ296" s="50"/>
      <c r="GR296" s="224"/>
      <c r="GS296" s="50"/>
      <c r="GT296" s="224"/>
      <c r="GU296" s="50"/>
      <c r="GV296" s="224"/>
      <c r="GW296" s="50"/>
      <c r="GX296" s="224"/>
      <c r="GY296" s="50"/>
      <c r="GZ296" s="107"/>
      <c r="HA296" s="436"/>
      <c r="HB296" s="107"/>
      <c r="HC296" s="436"/>
      <c r="HF296" s="148" t="s">
        <v>374</v>
      </c>
      <c r="HG296" s="224"/>
      <c r="HH296" s="50"/>
      <c r="HI296" s="224"/>
      <c r="HJ296" s="50"/>
      <c r="HK296" s="224"/>
      <c r="HL296" s="50"/>
      <c r="HM296" s="224"/>
      <c r="HN296" s="50"/>
      <c r="HO296" s="224"/>
      <c r="HP296" s="50"/>
      <c r="HQ296" s="224"/>
      <c r="HR296" s="50"/>
      <c r="HS296" s="107"/>
      <c r="HT296" s="436"/>
      <c r="HU296" s="107"/>
      <c r="HV296" s="436"/>
      <c r="HY296" s="148" t="s">
        <v>374</v>
      </c>
      <c r="HZ296" s="224"/>
      <c r="IA296" s="50"/>
      <c r="IB296" s="224"/>
      <c r="IC296" s="50"/>
      <c r="ID296" s="224"/>
      <c r="IE296" s="50"/>
      <c r="IF296" s="224"/>
      <c r="IG296" s="50"/>
      <c r="IH296" s="224"/>
      <c r="II296" s="50"/>
      <c r="IJ296" s="224"/>
      <c r="IK296" s="50"/>
      <c r="IL296" s="224"/>
      <c r="IM296" s="224"/>
      <c r="IN296" s="224"/>
      <c r="IO296" s="224"/>
    </row>
    <row r="297" spans="2:249" ht="14.25" customHeight="1" x14ac:dyDescent="0.25">
      <c r="B297" s="248"/>
      <c r="C297" s="248"/>
      <c r="D297" s="248"/>
      <c r="E297" s="248"/>
      <c r="F297" s="248"/>
      <c r="G297" s="248"/>
      <c r="H297" s="248"/>
      <c r="I297" s="248"/>
      <c r="J297" s="248"/>
      <c r="K297" s="248"/>
      <c r="L297" s="248"/>
      <c r="M297" s="248"/>
      <c r="N297" s="248"/>
      <c r="O297" s="248"/>
      <c r="P297" s="248"/>
      <c r="Q297" s="248"/>
      <c r="R297" s="248"/>
      <c r="S297" s="248"/>
      <c r="T297" s="248"/>
      <c r="U297" s="248"/>
      <c r="V297" s="248"/>
      <c r="W297" s="248"/>
      <c r="X297" s="248"/>
      <c r="Y297" s="248"/>
      <c r="Z297" s="248"/>
      <c r="AA297" s="248"/>
      <c r="AB297" s="248"/>
      <c r="AC297" s="248"/>
      <c r="AD297" s="248"/>
      <c r="AE297" s="248"/>
      <c r="AF297" s="248"/>
      <c r="AG297" s="248"/>
      <c r="AH297" s="248"/>
      <c r="AI297" s="248"/>
      <c r="AJ297" s="248"/>
      <c r="AK297" s="248"/>
      <c r="AL297" s="248"/>
      <c r="AM297" s="248"/>
      <c r="AN297" s="138"/>
      <c r="AO297" s="248"/>
      <c r="AP297" s="726"/>
      <c r="AQ297" s="148" t="s">
        <v>375</v>
      </c>
      <c r="AR297" s="224"/>
      <c r="AS297" s="50"/>
      <c r="AT297" s="224"/>
      <c r="AU297" s="50"/>
      <c r="AV297" s="224"/>
      <c r="AW297" s="50"/>
      <c r="AX297" s="224"/>
      <c r="AY297" s="50"/>
      <c r="AZ297" s="224"/>
      <c r="BA297" s="50"/>
      <c r="BB297" s="224"/>
      <c r="BC297" s="50"/>
      <c r="BD297" s="224"/>
      <c r="BE297" s="50"/>
      <c r="BF297" s="224"/>
      <c r="BG297" s="50"/>
      <c r="BI297" s="156"/>
      <c r="BJ297" s="148" t="s">
        <v>375</v>
      </c>
      <c r="BK297" s="224"/>
      <c r="BL297" s="50"/>
      <c r="BM297" s="224"/>
      <c r="BN297" s="50"/>
      <c r="BO297" s="224"/>
      <c r="BP297" s="50"/>
      <c r="BQ297" s="224"/>
      <c r="BR297" s="50"/>
      <c r="BS297" s="224"/>
      <c r="BT297" s="50"/>
      <c r="BU297" s="224"/>
      <c r="BV297" s="50"/>
      <c r="BW297" s="224"/>
      <c r="BX297" s="50"/>
      <c r="BY297" s="224"/>
      <c r="BZ297" s="50"/>
      <c r="CA297" s="156"/>
      <c r="CB297" s="156"/>
      <c r="CC297" s="148" t="s">
        <v>375</v>
      </c>
      <c r="CD297" s="224"/>
      <c r="CE297" s="50"/>
      <c r="CF297" s="224"/>
      <c r="CG297" s="50"/>
      <c r="CH297" s="224"/>
      <c r="CI297" s="50"/>
      <c r="CJ297" s="224"/>
      <c r="CK297" s="50"/>
      <c r="CL297" s="224"/>
      <c r="CM297" s="50"/>
      <c r="CN297" s="224"/>
      <c r="CO297" s="50"/>
      <c r="CP297" s="224"/>
      <c r="CQ297" s="50"/>
      <c r="CR297" s="224"/>
      <c r="CS297" s="50"/>
      <c r="CV297" s="148" t="s">
        <v>375</v>
      </c>
      <c r="CW297" s="224"/>
      <c r="CX297" s="50"/>
      <c r="CY297" s="224"/>
      <c r="CZ297" s="50"/>
      <c r="DA297" s="224"/>
      <c r="DB297" s="50"/>
      <c r="DC297" s="224"/>
      <c r="DD297" s="50"/>
      <c r="DE297" s="224"/>
      <c r="DF297" s="50"/>
      <c r="DG297" s="224"/>
      <c r="DH297" s="50"/>
      <c r="DI297" s="224"/>
      <c r="DJ297" s="50"/>
      <c r="DK297" s="224"/>
      <c r="DL297" s="50"/>
      <c r="DO297" s="148" t="s">
        <v>375</v>
      </c>
      <c r="DP297" s="224"/>
      <c r="DQ297" s="50"/>
      <c r="DR297" s="224"/>
      <c r="DS297" s="50"/>
      <c r="DT297" s="224"/>
      <c r="DU297" s="50"/>
      <c r="DV297" s="224"/>
      <c r="DW297" s="50"/>
      <c r="DX297" s="224"/>
      <c r="DY297" s="50"/>
      <c r="DZ297" s="224"/>
      <c r="EA297" s="50"/>
      <c r="EB297" s="224"/>
      <c r="EC297" s="50"/>
      <c r="ED297" s="224"/>
      <c r="EE297" s="50"/>
      <c r="EH297" s="148" t="s">
        <v>375</v>
      </c>
      <c r="EI297" s="224"/>
      <c r="EJ297" s="50"/>
      <c r="EK297" s="224"/>
      <c r="EL297" s="50"/>
      <c r="EM297" s="224"/>
      <c r="EN297" s="50"/>
      <c r="EO297" s="224"/>
      <c r="EP297" s="50"/>
      <c r="EQ297" s="224"/>
      <c r="ER297" s="50"/>
      <c r="ES297" s="224"/>
      <c r="ET297" s="50"/>
      <c r="EU297" s="224"/>
      <c r="EV297" s="50"/>
      <c r="EW297" s="224"/>
      <c r="EX297" s="50"/>
      <c r="FA297" s="148" t="s">
        <v>375</v>
      </c>
      <c r="FB297" s="224"/>
      <c r="FC297" s="50"/>
      <c r="FD297" s="224"/>
      <c r="FE297" s="50"/>
      <c r="FF297" s="224"/>
      <c r="FG297" s="50"/>
      <c r="FH297" s="224"/>
      <c r="FI297" s="50"/>
      <c r="FJ297" s="224"/>
      <c r="FK297" s="50"/>
      <c r="FL297" s="224"/>
      <c r="FM297" s="50"/>
      <c r="FN297" s="224"/>
      <c r="FO297" s="50"/>
      <c r="FP297" s="224"/>
      <c r="FQ297" s="50"/>
      <c r="FT297" s="148" t="s">
        <v>375</v>
      </c>
      <c r="FU297" s="224"/>
      <c r="FV297" s="50"/>
      <c r="FW297" s="224"/>
      <c r="FX297" s="50"/>
      <c r="FY297" s="224"/>
      <c r="FZ297" s="50"/>
      <c r="GA297" s="224"/>
      <c r="GB297" s="50"/>
      <c r="GC297" s="224"/>
      <c r="GD297" s="50"/>
      <c r="GE297" s="224"/>
      <c r="GF297" s="50"/>
      <c r="GG297" s="224"/>
      <c r="GH297" s="50"/>
      <c r="GI297" s="224"/>
      <c r="GJ297" s="50"/>
      <c r="GM297" s="148" t="s">
        <v>375</v>
      </c>
      <c r="GN297" s="224"/>
      <c r="GO297" s="50"/>
      <c r="GP297" s="224"/>
      <c r="GQ297" s="50"/>
      <c r="GR297" s="224"/>
      <c r="GS297" s="50"/>
      <c r="GT297" s="224"/>
      <c r="GU297" s="50"/>
      <c r="GV297" s="224"/>
      <c r="GW297" s="50"/>
      <c r="GX297" s="224"/>
      <c r="GY297" s="50"/>
      <c r="GZ297" s="224"/>
      <c r="HA297" s="50"/>
      <c r="HB297" s="224"/>
      <c r="HC297" s="50"/>
      <c r="HF297" s="148" t="s">
        <v>375</v>
      </c>
      <c r="HG297" s="224"/>
      <c r="HH297" s="50"/>
      <c r="HI297" s="224"/>
      <c r="HJ297" s="50"/>
      <c r="HK297" s="224"/>
      <c r="HL297" s="50"/>
      <c r="HM297" s="224"/>
      <c r="HN297" s="50"/>
      <c r="HO297" s="224"/>
      <c r="HP297" s="50"/>
      <c r="HQ297" s="224"/>
      <c r="HR297" s="50"/>
      <c r="HS297" s="224"/>
      <c r="HT297" s="50"/>
      <c r="HU297" s="224"/>
      <c r="HV297" s="50"/>
      <c r="HY297" s="148" t="s">
        <v>375</v>
      </c>
      <c r="HZ297" s="224"/>
      <c r="IA297" s="50"/>
      <c r="IB297" s="224"/>
      <c r="IC297" s="50"/>
      <c r="ID297" s="224"/>
      <c r="IE297" s="50"/>
      <c r="IF297" s="224"/>
      <c r="IG297" s="50"/>
      <c r="IH297" s="224"/>
      <c r="II297" s="50"/>
      <c r="IJ297" s="224"/>
      <c r="IK297" s="50"/>
      <c r="IL297" s="224"/>
      <c r="IM297" s="224"/>
      <c r="IN297" s="224"/>
      <c r="IO297" s="224"/>
    </row>
    <row r="298" spans="2:249" ht="14.25" customHeight="1" x14ac:dyDescent="0.25">
      <c r="B298" s="248"/>
      <c r="C298" s="248"/>
      <c r="D298" s="248"/>
      <c r="E298" s="248"/>
      <c r="F298" s="248"/>
      <c r="G298" s="248"/>
      <c r="H298" s="248"/>
      <c r="I298" s="248"/>
      <c r="J298" s="248"/>
      <c r="K298" s="248"/>
      <c r="L298" s="248"/>
      <c r="M298" s="248"/>
      <c r="N298" s="248"/>
      <c r="O298" s="248"/>
      <c r="P298" s="248"/>
      <c r="Q298" s="248"/>
      <c r="R298" s="248"/>
      <c r="S298" s="248"/>
      <c r="T298" s="248"/>
      <c r="U298" s="248"/>
      <c r="V298" s="248"/>
      <c r="W298" s="248"/>
      <c r="X298" s="248"/>
      <c r="Y298" s="248"/>
      <c r="Z298" s="248"/>
      <c r="AA298" s="248"/>
      <c r="AB298" s="248"/>
      <c r="AC298" s="248"/>
      <c r="AD298" s="248"/>
      <c r="AE298" s="248"/>
      <c r="AF298" s="248"/>
      <c r="AG298" s="248"/>
      <c r="AH298" s="248"/>
      <c r="AI298" s="248"/>
      <c r="AJ298" s="248"/>
      <c r="AK298" s="248"/>
      <c r="AL298" s="248"/>
      <c r="AM298" s="248"/>
      <c r="AN298" s="138"/>
      <c r="AO298" s="248"/>
      <c r="AP298" s="726"/>
      <c r="AQ298" s="148" t="s">
        <v>416</v>
      </c>
      <c r="AR298" s="224"/>
      <c r="AS298" s="50"/>
      <c r="AT298" s="224"/>
      <c r="AU298" s="50"/>
      <c r="AV298" s="224"/>
      <c r="AW298" s="50"/>
      <c r="AX298" s="224"/>
      <c r="AY298" s="50"/>
      <c r="AZ298" s="224"/>
      <c r="BA298" s="50"/>
      <c r="BB298" s="224"/>
      <c r="BC298" s="50"/>
      <c r="BD298" s="224"/>
      <c r="BE298" s="50"/>
      <c r="BF298" s="224"/>
      <c r="BG298" s="50"/>
      <c r="BI298" s="156"/>
      <c r="BJ298" s="148" t="s">
        <v>416</v>
      </c>
      <c r="BK298" s="224"/>
      <c r="BL298" s="50"/>
      <c r="BM298" s="224"/>
      <c r="BN298" s="50"/>
      <c r="BO298" s="224"/>
      <c r="BP298" s="50"/>
      <c r="BQ298" s="224"/>
      <c r="BR298" s="50"/>
      <c r="BS298" s="224"/>
      <c r="BT298" s="50"/>
      <c r="BU298" s="224"/>
      <c r="BV298" s="50"/>
      <c r="BW298" s="224"/>
      <c r="BX298" s="50"/>
      <c r="BY298" s="224"/>
      <c r="BZ298" s="50"/>
      <c r="CA298" s="156"/>
      <c r="CB298" s="156"/>
      <c r="CC298" s="148" t="s">
        <v>416</v>
      </c>
      <c r="CD298" s="224"/>
      <c r="CE298" s="50"/>
      <c r="CF298" s="224"/>
      <c r="CG298" s="50"/>
      <c r="CH298" s="224"/>
      <c r="CI298" s="50"/>
      <c r="CJ298" s="224"/>
      <c r="CK298" s="50"/>
      <c r="CL298" s="224"/>
      <c r="CM298" s="50"/>
      <c r="CN298" s="224"/>
      <c r="CO298" s="50"/>
      <c r="CP298" s="224"/>
      <c r="CQ298" s="50"/>
      <c r="CR298" s="224"/>
      <c r="CS298" s="50"/>
      <c r="CV298" s="148" t="s">
        <v>416</v>
      </c>
      <c r="CW298" s="224"/>
      <c r="CX298" s="50"/>
      <c r="CY298" s="224"/>
      <c r="CZ298" s="50"/>
      <c r="DA298" s="224"/>
      <c r="DB298" s="50"/>
      <c r="DC298" s="224"/>
      <c r="DD298" s="50"/>
      <c r="DE298" s="224"/>
      <c r="DF298" s="50"/>
      <c r="DG298" s="224"/>
      <c r="DH298" s="50"/>
      <c r="DI298" s="224"/>
      <c r="DJ298" s="50"/>
      <c r="DK298" s="224"/>
      <c r="DL298" s="50"/>
      <c r="DO298" s="148" t="s">
        <v>416</v>
      </c>
      <c r="DP298" s="224"/>
      <c r="DQ298" s="50"/>
      <c r="DR298" s="224"/>
      <c r="DS298" s="50"/>
      <c r="DT298" s="224"/>
      <c r="DU298" s="50"/>
      <c r="DV298" s="224"/>
      <c r="DW298" s="50"/>
      <c r="DX298" s="224"/>
      <c r="DY298" s="50"/>
      <c r="DZ298" s="224"/>
      <c r="EA298" s="50"/>
      <c r="EB298" s="224"/>
      <c r="EC298" s="50"/>
      <c r="ED298" s="224"/>
      <c r="EE298" s="50"/>
      <c r="EH298" s="148" t="s">
        <v>416</v>
      </c>
      <c r="EI298" s="224"/>
      <c r="EJ298" s="50"/>
      <c r="EK298" s="224"/>
      <c r="EL298" s="50"/>
      <c r="EM298" s="224"/>
      <c r="EN298" s="50"/>
      <c r="EO298" s="224"/>
      <c r="EP298" s="50"/>
      <c r="EQ298" s="224"/>
      <c r="ER298" s="50"/>
      <c r="ES298" s="224"/>
      <c r="ET298" s="50"/>
      <c r="EU298" s="224"/>
      <c r="EV298" s="50"/>
      <c r="EW298" s="224"/>
      <c r="EX298" s="50"/>
      <c r="FA298" s="148" t="s">
        <v>416</v>
      </c>
      <c r="FB298" s="224"/>
      <c r="FC298" s="50"/>
      <c r="FD298" s="224"/>
      <c r="FE298" s="50"/>
      <c r="FF298" s="224"/>
      <c r="FG298" s="50"/>
      <c r="FH298" s="224"/>
      <c r="FI298" s="50"/>
      <c r="FJ298" s="224"/>
      <c r="FK298" s="50"/>
      <c r="FL298" s="224"/>
      <c r="FM298" s="50"/>
      <c r="FN298" s="224"/>
      <c r="FO298" s="50"/>
      <c r="FP298" s="224"/>
      <c r="FQ298" s="50"/>
      <c r="FT298" s="148" t="s">
        <v>416</v>
      </c>
      <c r="FU298" s="224"/>
      <c r="FV298" s="50"/>
      <c r="FW298" s="224"/>
      <c r="FX298" s="50"/>
      <c r="FY298" s="224"/>
      <c r="FZ298" s="50"/>
      <c r="GA298" s="224"/>
      <c r="GB298" s="50"/>
      <c r="GC298" s="224"/>
      <c r="GD298" s="50"/>
      <c r="GE298" s="224"/>
      <c r="GF298" s="50"/>
      <c r="GG298" s="224"/>
      <c r="GH298" s="50"/>
      <c r="GI298" s="224"/>
      <c r="GJ298" s="50"/>
      <c r="GM298" s="148" t="s">
        <v>416</v>
      </c>
      <c r="GN298" s="224"/>
      <c r="GO298" s="50"/>
      <c r="GP298" s="224"/>
      <c r="GQ298" s="50"/>
      <c r="GR298" s="224"/>
      <c r="GS298" s="50"/>
      <c r="GT298" s="224"/>
      <c r="GU298" s="50"/>
      <c r="GV298" s="224"/>
      <c r="GW298" s="50"/>
      <c r="GX298" s="224"/>
      <c r="GY298" s="50"/>
      <c r="GZ298" s="224"/>
      <c r="HA298" s="50"/>
      <c r="HB298" s="224"/>
      <c r="HC298" s="50"/>
      <c r="HF298" s="148" t="s">
        <v>416</v>
      </c>
      <c r="HG298" s="224"/>
      <c r="HH298" s="50"/>
      <c r="HI298" s="224"/>
      <c r="HJ298" s="50"/>
      <c r="HK298" s="224"/>
      <c r="HL298" s="50"/>
      <c r="HM298" s="224"/>
      <c r="HN298" s="50"/>
      <c r="HO298" s="224"/>
      <c r="HP298" s="50"/>
      <c r="HQ298" s="224"/>
      <c r="HR298" s="50"/>
      <c r="HS298" s="224"/>
      <c r="HT298" s="50"/>
      <c r="HU298" s="224"/>
      <c r="HV298" s="50"/>
      <c r="HY298" s="148" t="s">
        <v>416</v>
      </c>
      <c r="HZ298" s="224"/>
      <c r="IA298" s="50"/>
      <c r="IB298" s="224"/>
      <c r="IC298" s="50"/>
      <c r="ID298" s="224"/>
      <c r="IE298" s="50"/>
      <c r="IF298" s="224"/>
      <c r="IG298" s="50"/>
      <c r="IH298" s="224"/>
      <c r="II298" s="50"/>
      <c r="IJ298" s="224"/>
      <c r="IK298" s="50"/>
      <c r="IL298" s="224"/>
      <c r="IM298" s="224"/>
      <c r="IN298" s="224"/>
      <c r="IO298" s="224"/>
    </row>
    <row r="299" spans="2:249" ht="14.25" customHeight="1" x14ac:dyDescent="0.25">
      <c r="B299" s="248"/>
      <c r="C299" s="248"/>
      <c r="D299" s="248"/>
      <c r="E299" s="248"/>
      <c r="F299" s="248"/>
      <c r="G299" s="248"/>
      <c r="H299" s="248"/>
      <c r="I299" s="248"/>
      <c r="J299" s="248"/>
      <c r="K299" s="248"/>
      <c r="L299" s="248"/>
      <c r="M299" s="248"/>
      <c r="N299" s="248"/>
      <c r="O299" s="248"/>
      <c r="P299" s="248"/>
      <c r="Q299" s="248"/>
      <c r="R299" s="248"/>
      <c r="S299" s="248"/>
      <c r="T299" s="248"/>
      <c r="U299" s="248"/>
      <c r="V299" s="248"/>
      <c r="W299" s="248"/>
      <c r="X299" s="248"/>
      <c r="Y299" s="248"/>
      <c r="Z299" s="248"/>
      <c r="AA299" s="248"/>
      <c r="AB299" s="248"/>
      <c r="AC299" s="248"/>
      <c r="AD299" s="248"/>
      <c r="AE299" s="248"/>
      <c r="AF299" s="248"/>
      <c r="AG299" s="248"/>
      <c r="AH299" s="248"/>
      <c r="AI299" s="248"/>
      <c r="AJ299" s="248"/>
      <c r="AK299" s="248"/>
      <c r="AL299" s="248"/>
      <c r="AM299" s="248"/>
      <c r="AN299" s="138"/>
      <c r="AO299" s="248"/>
      <c r="AP299" s="726"/>
      <c r="AQ299" s="148" t="s">
        <v>417</v>
      </c>
      <c r="AR299" s="224"/>
      <c r="AS299" s="50"/>
      <c r="AT299" s="224"/>
      <c r="AU299" s="50"/>
      <c r="AV299" s="224"/>
      <c r="AW299" s="50"/>
      <c r="AX299" s="224"/>
      <c r="AY299" s="50"/>
      <c r="AZ299" s="224"/>
      <c r="BA299" s="50"/>
      <c r="BB299" s="224"/>
      <c r="BC299" s="50"/>
      <c r="BD299" s="224"/>
      <c r="BE299" s="50"/>
      <c r="BF299" s="224"/>
      <c r="BG299" s="50"/>
      <c r="BI299" s="156"/>
      <c r="BJ299" s="148" t="s">
        <v>417</v>
      </c>
      <c r="BK299" s="224"/>
      <c r="BL299" s="50"/>
      <c r="BM299" s="224"/>
      <c r="BN299" s="50"/>
      <c r="BO299" s="224"/>
      <c r="BP299" s="50"/>
      <c r="BQ299" s="224"/>
      <c r="BR299" s="50"/>
      <c r="BS299" s="224"/>
      <c r="BT299" s="50"/>
      <c r="BU299" s="224"/>
      <c r="BV299" s="50"/>
      <c r="BW299" s="224"/>
      <c r="BX299" s="50"/>
      <c r="BY299" s="224"/>
      <c r="BZ299" s="50"/>
      <c r="CA299" s="156"/>
      <c r="CB299" s="156"/>
      <c r="CC299" s="148" t="s">
        <v>417</v>
      </c>
      <c r="CD299" s="224"/>
      <c r="CE299" s="50"/>
      <c r="CF299" s="224"/>
      <c r="CG299" s="50"/>
      <c r="CH299" s="224"/>
      <c r="CI299" s="50"/>
      <c r="CJ299" s="224"/>
      <c r="CK299" s="50"/>
      <c r="CL299" s="224"/>
      <c r="CM299" s="50"/>
      <c r="CN299" s="224"/>
      <c r="CO299" s="50"/>
      <c r="CP299" s="224"/>
      <c r="CQ299" s="50"/>
      <c r="CR299" s="224"/>
      <c r="CS299" s="50"/>
      <c r="CV299" s="148" t="s">
        <v>417</v>
      </c>
      <c r="CW299" s="224"/>
      <c r="CX299" s="50"/>
      <c r="CY299" s="224"/>
      <c r="CZ299" s="50"/>
      <c r="DA299" s="224"/>
      <c r="DB299" s="50"/>
      <c r="DC299" s="224"/>
      <c r="DD299" s="50"/>
      <c r="DE299" s="224"/>
      <c r="DF299" s="50"/>
      <c r="DG299" s="224"/>
      <c r="DH299" s="50"/>
      <c r="DI299" s="224"/>
      <c r="DJ299" s="50"/>
      <c r="DK299" s="224"/>
      <c r="DL299" s="50"/>
      <c r="DO299" s="148" t="s">
        <v>417</v>
      </c>
      <c r="DP299" s="224"/>
      <c r="DQ299" s="50"/>
      <c r="DR299" s="224"/>
      <c r="DS299" s="50"/>
      <c r="DT299" s="224"/>
      <c r="DU299" s="50"/>
      <c r="DV299" s="224"/>
      <c r="DW299" s="50"/>
      <c r="DX299" s="224"/>
      <c r="DY299" s="50"/>
      <c r="DZ299" s="224"/>
      <c r="EA299" s="50"/>
      <c r="EB299" s="224"/>
      <c r="EC299" s="50"/>
      <c r="ED299" s="224"/>
      <c r="EE299" s="50"/>
      <c r="EH299" s="148" t="s">
        <v>417</v>
      </c>
      <c r="EI299" s="224"/>
      <c r="EJ299" s="50"/>
      <c r="EK299" s="224"/>
      <c r="EL299" s="50"/>
      <c r="EM299" s="224"/>
      <c r="EN299" s="50"/>
      <c r="EO299" s="224"/>
      <c r="EP299" s="50"/>
      <c r="EQ299" s="224"/>
      <c r="ER299" s="50"/>
      <c r="ES299" s="224"/>
      <c r="ET299" s="50"/>
      <c r="EU299" s="224"/>
      <c r="EV299" s="50"/>
      <c r="EW299" s="224"/>
      <c r="EX299" s="50"/>
      <c r="FA299" s="148" t="s">
        <v>417</v>
      </c>
      <c r="FB299" s="224"/>
      <c r="FC299" s="50"/>
      <c r="FD299" s="224"/>
      <c r="FE299" s="50"/>
      <c r="FF299" s="224"/>
      <c r="FG299" s="50"/>
      <c r="FH299" s="224"/>
      <c r="FI299" s="50"/>
      <c r="FJ299" s="224"/>
      <c r="FK299" s="50"/>
      <c r="FL299" s="224"/>
      <c r="FM299" s="50"/>
      <c r="FN299" s="224"/>
      <c r="FO299" s="50"/>
      <c r="FP299" s="224"/>
      <c r="FQ299" s="50"/>
      <c r="FT299" s="148" t="s">
        <v>417</v>
      </c>
      <c r="FU299" s="224"/>
      <c r="FV299" s="50"/>
      <c r="FW299" s="224"/>
      <c r="FX299" s="50"/>
      <c r="FY299" s="224"/>
      <c r="FZ299" s="50"/>
      <c r="GA299" s="224"/>
      <c r="GB299" s="50"/>
      <c r="GC299" s="224"/>
      <c r="GD299" s="50"/>
      <c r="GE299" s="224"/>
      <c r="GF299" s="50"/>
      <c r="GG299" s="224"/>
      <c r="GH299" s="50"/>
      <c r="GI299" s="224"/>
      <c r="GJ299" s="50"/>
      <c r="GM299" s="148" t="s">
        <v>417</v>
      </c>
      <c r="GN299" s="224"/>
      <c r="GO299" s="50"/>
      <c r="GP299" s="224"/>
      <c r="GQ299" s="50"/>
      <c r="GR299" s="224"/>
      <c r="GS299" s="50"/>
      <c r="GT299" s="224"/>
      <c r="GU299" s="50"/>
      <c r="GV299" s="224"/>
      <c r="GW299" s="50"/>
      <c r="GX299" s="224"/>
      <c r="GY299" s="50"/>
      <c r="GZ299" s="224"/>
      <c r="HA299" s="50"/>
      <c r="HB299" s="224"/>
      <c r="HC299" s="50"/>
      <c r="HF299" s="148" t="s">
        <v>417</v>
      </c>
      <c r="HG299" s="224"/>
      <c r="HH299" s="50"/>
      <c r="HI299" s="224"/>
      <c r="HJ299" s="50"/>
      <c r="HK299" s="224"/>
      <c r="HL299" s="50"/>
      <c r="HM299" s="224"/>
      <c r="HN299" s="50"/>
      <c r="HO299" s="224"/>
      <c r="HP299" s="50"/>
      <c r="HQ299" s="224"/>
      <c r="HR299" s="50"/>
      <c r="HS299" s="224"/>
      <c r="HT299" s="50"/>
      <c r="HU299" s="224"/>
      <c r="HV299" s="50"/>
      <c r="HY299" s="148" t="s">
        <v>417</v>
      </c>
      <c r="HZ299" s="224"/>
      <c r="IA299" s="50"/>
      <c r="IB299" s="224"/>
      <c r="IC299" s="50"/>
      <c r="ID299" s="224"/>
      <c r="IE299" s="50"/>
      <c r="IF299" s="224"/>
      <c r="IG299" s="50"/>
      <c r="IH299" s="224"/>
      <c r="II299" s="50"/>
      <c r="IJ299" s="224"/>
      <c r="IK299" s="50"/>
      <c r="IL299" s="224"/>
      <c r="IM299" s="224"/>
      <c r="IN299" s="224"/>
      <c r="IO299" s="224"/>
    </row>
    <row r="300" spans="2:249" ht="12.75" customHeight="1" x14ac:dyDescent="0.2">
      <c r="B300" s="248"/>
      <c r="C300" s="248"/>
      <c r="D300" s="248"/>
      <c r="E300" s="248"/>
      <c r="F300" s="248"/>
      <c r="G300" s="248"/>
      <c r="H300" s="248"/>
      <c r="I300" s="248"/>
      <c r="J300" s="248"/>
      <c r="K300" s="248"/>
      <c r="L300" s="248"/>
      <c r="M300" s="248"/>
      <c r="N300" s="248"/>
      <c r="O300" s="248"/>
      <c r="P300" s="248"/>
      <c r="Q300" s="248"/>
      <c r="R300" s="248"/>
      <c r="S300" s="248"/>
      <c r="T300" s="248"/>
      <c r="U300" s="248"/>
      <c r="V300" s="248"/>
      <c r="W300" s="248"/>
      <c r="X300" s="248"/>
      <c r="Y300" s="248"/>
      <c r="Z300" s="248"/>
      <c r="AA300" s="248"/>
      <c r="AB300" s="248"/>
      <c r="AC300" s="248"/>
      <c r="AD300" s="248"/>
      <c r="AE300" s="248"/>
      <c r="AF300" s="248"/>
      <c r="AG300" s="248"/>
      <c r="AH300" s="248"/>
      <c r="AI300" s="248"/>
      <c r="AJ300" s="248"/>
      <c r="AK300" s="248"/>
      <c r="AL300" s="248"/>
      <c r="AM300" s="248"/>
      <c r="AN300" s="122"/>
      <c r="AO300" s="248"/>
      <c r="AP300" s="726"/>
      <c r="AQ300" s="117" t="s">
        <v>57</v>
      </c>
      <c r="AR300" s="259">
        <f>AR301+AR303</f>
        <v>49.002288903998576</v>
      </c>
      <c r="AS300" s="57">
        <f t="shared" ref="AS300:BC300" si="3095">AS301+AS303</f>
        <v>40.90622245399026</v>
      </c>
      <c r="AT300" s="259">
        <f t="shared" si="3095"/>
        <v>54.05485487276944</v>
      </c>
      <c r="AU300" s="57">
        <f t="shared" si="3095"/>
        <v>43.488645060250924</v>
      </c>
      <c r="AV300" s="259">
        <f t="shared" si="3095"/>
        <v>53.441560821223433</v>
      </c>
      <c r="AW300" s="57">
        <f t="shared" si="3095"/>
        <v>43.175183656127409</v>
      </c>
      <c r="AX300" s="259">
        <f t="shared" si="3095"/>
        <v>43.269557688860061</v>
      </c>
      <c r="AY300" s="57">
        <f t="shared" si="3095"/>
        <v>34.691573535860016</v>
      </c>
      <c r="AZ300" s="259">
        <f t="shared" si="3095"/>
        <v>37.252258311813051</v>
      </c>
      <c r="BA300" s="57">
        <f t="shared" si="3095"/>
        <v>29.519520520437759</v>
      </c>
      <c r="BB300" s="259">
        <f t="shared" si="3095"/>
        <v>65.700260188773413</v>
      </c>
      <c r="BC300" s="57">
        <f t="shared" si="3095"/>
        <v>51.423317126312952</v>
      </c>
      <c r="BD300" s="259">
        <f>BD302+BD303</f>
        <v>34.344446258928407</v>
      </c>
      <c r="BE300" s="57">
        <f>BE302+BE303</f>
        <v>24.558112270981297</v>
      </c>
      <c r="BF300" s="259">
        <f t="shared" ref="BF300:BG300" si="3096">BF301+BF303</f>
        <v>296.11371347318948</v>
      </c>
      <c r="BG300" s="57">
        <f t="shared" si="3096"/>
        <v>151.34700910851907</v>
      </c>
      <c r="BI300" s="156"/>
      <c r="BJ300" s="117" t="s">
        <v>57</v>
      </c>
      <c r="BK300" s="259">
        <f>BK301+BK303</f>
        <v>11.12238292886143</v>
      </c>
      <c r="BL300" s="57">
        <f t="shared" ref="BL300:BV300" si="3097">BL301+BL303</f>
        <v>9.1836455337814336</v>
      </c>
      <c r="BM300" s="259">
        <f t="shared" si="3097"/>
        <v>12.351020822912286</v>
      </c>
      <c r="BN300" s="57">
        <f t="shared" si="3097"/>
        <v>9.8116160129629826</v>
      </c>
      <c r="BO300" s="259">
        <f t="shared" si="3097"/>
        <v>12.201885449602415</v>
      </c>
      <c r="BP300" s="57">
        <f t="shared" si="3097"/>
        <v>9.735391266604605</v>
      </c>
      <c r="BQ300" s="259">
        <f t="shared" si="3097"/>
        <v>9.9279810823629173</v>
      </c>
      <c r="BR300" s="57">
        <f t="shared" si="3097"/>
        <v>7.8654336798907281</v>
      </c>
      <c r="BS300" s="259">
        <f t="shared" si="3097"/>
        <v>8.5921729681380583</v>
      </c>
      <c r="BT300" s="57">
        <f t="shared" si="3097"/>
        <v>6.7309385025169393</v>
      </c>
      <c r="BU300" s="259">
        <f t="shared" si="3097"/>
        <v>15.083652005281174</v>
      </c>
      <c r="BV300" s="57">
        <f t="shared" si="3097"/>
        <v>11.645653177441393</v>
      </c>
      <c r="BW300" s="259">
        <f>BW302+BW303</f>
        <v>10.452215887116019</v>
      </c>
      <c r="BX300" s="57">
        <f>BX302+BX303</f>
        <v>7.2450020443251706</v>
      </c>
      <c r="BY300" s="259">
        <f t="shared" ref="BY300:BZ300" si="3098">BY301+BY303</f>
        <v>79.462563847918815</v>
      </c>
      <c r="BZ300" s="57">
        <f t="shared" si="3098"/>
        <v>40.614199300047396</v>
      </c>
      <c r="CA300" s="156"/>
      <c r="CB300" s="156"/>
      <c r="CC300" s="117" t="s">
        <v>57</v>
      </c>
      <c r="CD300" s="259">
        <f>CD301+CD303</f>
        <v>891.43456928290141</v>
      </c>
      <c r="CE300" s="57">
        <f t="shared" ref="CE300:CO300" si="3099">CE301+CE303</f>
        <v>663.59829292405993</v>
      </c>
      <c r="CF300" s="259">
        <f t="shared" si="3099"/>
        <v>1037.5767606455045</v>
      </c>
      <c r="CG300" s="57">
        <f t="shared" si="3099"/>
        <v>738.2931907316123</v>
      </c>
      <c r="CH300" s="259">
        <f t="shared" si="3099"/>
        <v>1019.8376282528623</v>
      </c>
      <c r="CI300" s="57">
        <f t="shared" si="3099"/>
        <v>729.22652306426221</v>
      </c>
      <c r="CJ300" s="259">
        <f t="shared" si="3099"/>
        <v>852.03109784233266</v>
      </c>
      <c r="CK300" s="57">
        <f t="shared" si="3099"/>
        <v>608.85654459434716</v>
      </c>
      <c r="CL300" s="259">
        <f t="shared" si="3099"/>
        <v>758.67316659162725</v>
      </c>
      <c r="CM300" s="57">
        <f t="shared" si="3099"/>
        <v>539.053760370644</v>
      </c>
      <c r="CN300" s="259">
        <f t="shared" si="3099"/>
        <v>1308.6719470110006</v>
      </c>
      <c r="CO300" s="57">
        <f t="shared" si="3099"/>
        <v>902.84997511863241</v>
      </c>
      <c r="CP300" s="259">
        <f>CP302+CP303</f>
        <v>41.653095018938615</v>
      </c>
      <c r="CQ300" s="57">
        <f>CQ302+CQ303</f>
        <v>27.013071134514941</v>
      </c>
      <c r="CR300" s="259">
        <f t="shared" ref="CR300:CS300" si="3100">CR301+CR303</f>
        <v>1035.2274375339064</v>
      </c>
      <c r="CS300" s="57">
        <f t="shared" si="3100"/>
        <v>529.11624585066329</v>
      </c>
      <c r="CV300" s="117" t="s">
        <v>57</v>
      </c>
      <c r="CW300" s="259">
        <f>CW301+CW303</f>
        <v>0.25916165997668034</v>
      </c>
      <c r="CX300" s="57">
        <f t="shared" ref="CX300:DH300" si="3101">CX301+CX303</f>
        <v>0.16826736792547839</v>
      </c>
      <c r="CY300" s="259">
        <f t="shared" si="3101"/>
        <v>0.31746174319765508</v>
      </c>
      <c r="CZ300" s="57">
        <f t="shared" si="3101"/>
        <v>0.19806518823842101</v>
      </c>
      <c r="DA300" s="259">
        <f t="shared" si="3101"/>
        <v>0.31038512223613607</v>
      </c>
      <c r="DB300" s="57">
        <f t="shared" si="3101"/>
        <v>0.19444824863586693</v>
      </c>
      <c r="DC300" s="259">
        <f t="shared" si="3101"/>
        <v>0.25407657055720156</v>
      </c>
      <c r="DD300" s="57">
        <f t="shared" si="3101"/>
        <v>0.15706435624947274</v>
      </c>
      <c r="DE300" s="259">
        <f t="shared" si="3101"/>
        <v>0.22362123491773514</v>
      </c>
      <c r="DF300" s="57">
        <f t="shared" si="3101"/>
        <v>0.13600640263744881</v>
      </c>
      <c r="DG300" s="259">
        <f t="shared" si="3101"/>
        <v>0.41355199414671751</v>
      </c>
      <c r="DH300" s="57">
        <f t="shared" si="3101"/>
        <v>0.2516538536601165</v>
      </c>
      <c r="DI300" s="259">
        <f>DI302+DI303</f>
        <v>4.6309066601968485E-2</v>
      </c>
      <c r="DJ300" s="57">
        <f>DJ302+DJ303</f>
        <v>3.2443612249802654E-2</v>
      </c>
      <c r="DK300" s="259">
        <f t="shared" ref="DK300:DL300" si="3102">DK301+DK303</f>
        <v>0.54223943764033322</v>
      </c>
      <c r="DL300" s="57">
        <f t="shared" si="3102"/>
        <v>0.27714460146061481</v>
      </c>
      <c r="DO300" s="117" t="s">
        <v>57</v>
      </c>
      <c r="DP300" s="259">
        <f>DP301+DP303</f>
        <v>0.88294336130144291</v>
      </c>
      <c r="DQ300" s="57">
        <f t="shared" ref="DQ300:EA300" si="3103">DQ301+DQ303</f>
        <v>0.48010661266468846</v>
      </c>
      <c r="DR300" s="259">
        <f t="shared" si="3103"/>
        <v>1.1413009126984826</v>
      </c>
      <c r="DS300" s="57">
        <f t="shared" si="3103"/>
        <v>0.61215602782317513</v>
      </c>
      <c r="DT300" s="259">
        <f t="shared" si="3103"/>
        <v>1.1099407779821526</v>
      </c>
      <c r="DU300" s="57">
        <f t="shared" si="3103"/>
        <v>0.59612751452371804</v>
      </c>
      <c r="DV300" s="259">
        <f t="shared" si="3103"/>
        <v>0.92539216565999116</v>
      </c>
      <c r="DW300" s="57">
        <f t="shared" si="3103"/>
        <v>0.49545205819585186</v>
      </c>
      <c r="DX300" s="259">
        <f t="shared" si="3103"/>
        <v>0.83190775584872623</v>
      </c>
      <c r="DY300" s="57">
        <f t="shared" si="3103"/>
        <v>0.44361755675551839</v>
      </c>
      <c r="DZ300" s="259">
        <f t="shared" si="3103"/>
        <v>1.5339342183153721</v>
      </c>
      <c r="EA300" s="57">
        <f t="shared" si="3103"/>
        <v>0.8164383291939683</v>
      </c>
      <c r="EB300" s="259">
        <f>EB302+EB303</f>
        <v>0.14414394791725837</v>
      </c>
      <c r="EC300" s="57">
        <f>EC302+EC303</f>
        <v>8.4898958458908338E-2</v>
      </c>
      <c r="ED300" s="259">
        <f t="shared" ref="ED300:EE300" si="3104">ED301+ED303</f>
        <v>148.17505690349762</v>
      </c>
      <c r="EE300" s="57">
        <f t="shared" si="3104"/>
        <v>75.733917972898794</v>
      </c>
      <c r="EH300" s="117" t="s">
        <v>57</v>
      </c>
      <c r="EI300" s="259">
        <f>EI301+EI303</f>
        <v>8.4092030338127344E-2</v>
      </c>
      <c r="EJ300" s="57">
        <f t="shared" ref="EJ300:ET300" si="3105">EJ301+EJ303</f>
        <v>5.1887002647883172E-2</v>
      </c>
      <c r="EK300" s="259">
        <f t="shared" si="3105"/>
        <v>0.10473333078483757</v>
      </c>
      <c r="EL300" s="57">
        <f t="shared" si="3105"/>
        <v>6.2437000653979481E-2</v>
      </c>
      <c r="EM300" s="259">
        <f t="shared" si="3105"/>
        <v>0.10222783419985759</v>
      </c>
      <c r="EN300" s="57">
        <f t="shared" si="3105"/>
        <v>6.11564135105453E-2</v>
      </c>
      <c r="EO300" s="259">
        <f t="shared" si="3105"/>
        <v>8.7715196081087993E-2</v>
      </c>
      <c r="EP300" s="57">
        <f t="shared" si="3105"/>
        <v>5.3349325372297737E-2</v>
      </c>
      <c r="EQ300" s="259">
        <f t="shared" si="3105"/>
        <v>8.0394246795591026E-2</v>
      </c>
      <c r="ER300" s="57">
        <f t="shared" si="3105"/>
        <v>4.9358878628890934E-2</v>
      </c>
      <c r="ES300" s="259">
        <f t="shared" si="3105"/>
        <v>0.1377962351278581</v>
      </c>
      <c r="ET300" s="57">
        <f t="shared" si="3105"/>
        <v>8.0449147377572805E-2</v>
      </c>
      <c r="EU300" s="259">
        <f>EU302+EU303</f>
        <v>4.7685046453251542E-2</v>
      </c>
      <c r="EV300" s="57">
        <f>EV302+EV303</f>
        <v>2.961778192853743E-2</v>
      </c>
      <c r="EW300" s="259">
        <f t="shared" ref="EW300:EX300" si="3106">EW301+EW303</f>
        <v>0.7346837750807228</v>
      </c>
      <c r="EX300" s="57">
        <f t="shared" si="3106"/>
        <v>0.37550504059681389</v>
      </c>
      <c r="FA300" s="117" t="s">
        <v>57</v>
      </c>
      <c r="FB300" s="259">
        <f>FB301+FB303</f>
        <v>2.1120526111188035E-2</v>
      </c>
      <c r="FC300" s="57">
        <f t="shared" ref="FC300:FM300" si="3107">FC301+FC303</f>
        <v>1.1374296155674962E-2</v>
      </c>
      <c r="FD300" s="259">
        <f t="shared" si="3107"/>
        <v>2.7375092908192955E-2</v>
      </c>
      <c r="FE300" s="57">
        <f t="shared" si="3107"/>
        <v>1.4571074740810801E-2</v>
      </c>
      <c r="FF300" s="259">
        <f t="shared" si="3107"/>
        <v>2.6615896762054669E-2</v>
      </c>
      <c r="FG300" s="57">
        <f t="shared" si="3107"/>
        <v>1.4183041155006796E-2</v>
      </c>
      <c r="FH300" s="259">
        <f t="shared" si="3107"/>
        <v>2.2276677558323889E-2</v>
      </c>
      <c r="FI300" s="57">
        <f t="shared" si="3107"/>
        <v>1.1872972817018239E-2</v>
      </c>
      <c r="FJ300" s="259">
        <f t="shared" si="3107"/>
        <v>2.0095545293513283E-2</v>
      </c>
      <c r="FK300" s="57">
        <f t="shared" si="3107"/>
        <v>1.069929197353333E-2</v>
      </c>
      <c r="FL300" s="259">
        <f t="shared" si="3107"/>
        <v>3.6848509190623754E-2</v>
      </c>
      <c r="FM300" s="57">
        <f t="shared" si="3107"/>
        <v>1.9485463136408906E-2</v>
      </c>
      <c r="FN300" s="259">
        <f>FN302+FN303</f>
        <v>3.4628782116078107E-3</v>
      </c>
      <c r="FO300" s="57">
        <f>FO302+FO303</f>
        <v>2.5078884066333383E-3</v>
      </c>
      <c r="FP300" s="259">
        <f t="shared" ref="FP300:FQ300" si="3108">FP301+FP303</f>
        <v>5.6337423285637428E-2</v>
      </c>
      <c r="FQ300" s="57">
        <f t="shared" si="3108"/>
        <v>2.8794683012659125E-2</v>
      </c>
      <c r="FT300" s="117" t="s">
        <v>57</v>
      </c>
      <c r="FU300" s="259">
        <f>FU301+FU303</f>
        <v>16.683118003922168</v>
      </c>
      <c r="FV300" s="57">
        <f t="shared" ref="FV300:GF300" si="3109">FV301+FV303</f>
        <v>8.6081715802702305</v>
      </c>
      <c r="FW300" s="259">
        <f t="shared" si="3109"/>
        <v>21.865678030952253</v>
      </c>
      <c r="FX300" s="57">
        <f t="shared" si="3109"/>
        <v>11.257035594085595</v>
      </c>
      <c r="FY300" s="259">
        <f t="shared" si="3109"/>
        <v>21.236604950857281</v>
      </c>
      <c r="FZ300" s="57">
        <f t="shared" si="3109"/>
        <v>10.935509353148177</v>
      </c>
      <c r="GA300" s="259">
        <f t="shared" si="3109"/>
        <v>17.762744362911455</v>
      </c>
      <c r="GB300" s="57">
        <f t="shared" si="3109"/>
        <v>9.1428305178457858</v>
      </c>
      <c r="GC300" s="259">
        <f t="shared" si="3109"/>
        <v>16.033088130646291</v>
      </c>
      <c r="GD300" s="57">
        <f t="shared" si="3109"/>
        <v>8.247837132950167</v>
      </c>
      <c r="GE300" s="259">
        <f t="shared" si="3109"/>
        <v>29.61321040417209</v>
      </c>
      <c r="GF300" s="57">
        <f t="shared" si="3109"/>
        <v>15.22704104879227</v>
      </c>
      <c r="GG300" s="259">
        <f>GG302+GG303</f>
        <v>0.63965216792119028</v>
      </c>
      <c r="GH300" s="57">
        <f>GH302+GH303</f>
        <v>0.36257697271161715</v>
      </c>
      <c r="GI300" s="259">
        <f t="shared" ref="GI300:GJ300" si="3110">GI301+GI303</f>
        <v>20.714189277221564</v>
      </c>
      <c r="GJ300" s="57">
        <f t="shared" si="3110"/>
        <v>10.587252297246577</v>
      </c>
      <c r="GM300" s="117" t="s">
        <v>57</v>
      </c>
      <c r="GN300" s="259">
        <f>GN301+GN303</f>
        <v>5.1348178328661689</v>
      </c>
      <c r="GO300" s="57">
        <f t="shared" ref="GO300:GY300" si="3111">GO301+GO303</f>
        <v>3.042623751256083</v>
      </c>
      <c r="GP300" s="259">
        <f t="shared" si="3111"/>
        <v>6.4759684536005553</v>
      </c>
      <c r="GQ300" s="57">
        <f t="shared" si="3111"/>
        <v>3.7281007351869899</v>
      </c>
      <c r="GR300" s="259">
        <f t="shared" si="3111"/>
        <v>6.3131759828030418</v>
      </c>
      <c r="GS300" s="57">
        <f t="shared" si="3111"/>
        <v>3.6448956945571522</v>
      </c>
      <c r="GT300" s="259">
        <f t="shared" si="3111"/>
        <v>5.2326007646225445</v>
      </c>
      <c r="GU300" s="57">
        <f t="shared" si="3111"/>
        <v>2.9999416111662001</v>
      </c>
      <c r="GV300" s="259">
        <f t="shared" si="3111"/>
        <v>4.6690800474497021</v>
      </c>
      <c r="GW300" s="57">
        <f t="shared" si="3111"/>
        <v>2.6527751774559931</v>
      </c>
      <c r="GX300" s="259">
        <f t="shared" si="3111"/>
        <v>8.5830784035175274</v>
      </c>
      <c r="GY300" s="57">
        <f t="shared" si="3111"/>
        <v>4.8573382058406729</v>
      </c>
      <c r="GZ300" s="259">
        <f>GZ302+GZ303</f>
        <v>4.1390406735669867</v>
      </c>
      <c r="HA300" s="57">
        <f>HA302+HA303</f>
        <v>2.284117073355834</v>
      </c>
      <c r="HB300" s="259">
        <f t="shared" ref="HB300:HC300" si="3112">HB301+HB303</f>
        <v>17.882069433008073</v>
      </c>
      <c r="HC300" s="57">
        <f t="shared" si="3112"/>
        <v>9.1397243768707916</v>
      </c>
      <c r="HF300" s="117" t="s">
        <v>57</v>
      </c>
      <c r="HG300" s="259">
        <f>HG301+HG303</f>
        <v>256.61617191122934</v>
      </c>
      <c r="HH300" s="57">
        <f t="shared" ref="HH300:HR300" si="3113">HH301+HH303</f>
        <v>133.55531735147454</v>
      </c>
      <c r="HI300" s="259">
        <f t="shared" si="3113"/>
        <v>335.59675390993101</v>
      </c>
      <c r="HJ300" s="57">
        <f t="shared" si="3113"/>
        <v>173.92317037303303</v>
      </c>
      <c r="HK300" s="259">
        <f t="shared" si="3113"/>
        <v>326.00987836454755</v>
      </c>
      <c r="HL300" s="57">
        <f t="shared" si="3113"/>
        <v>169.0232117609483</v>
      </c>
      <c r="HM300" s="259">
        <f t="shared" si="3113"/>
        <v>272.5719515499506</v>
      </c>
      <c r="HN300" s="57">
        <f t="shared" si="3113"/>
        <v>141.20623346461056</v>
      </c>
      <c r="HO300" s="259">
        <f t="shared" si="3113"/>
        <v>245.89505513601284</v>
      </c>
      <c r="HP300" s="57">
        <f t="shared" si="3113"/>
        <v>127.24950711877096</v>
      </c>
      <c r="HQ300" s="259">
        <f t="shared" si="3113"/>
        <v>453.96304505908546</v>
      </c>
      <c r="HR300" s="57">
        <f t="shared" si="3113"/>
        <v>234.7209895349846</v>
      </c>
      <c r="HS300" s="259">
        <f>HS302+HS303</f>
        <v>7.8981894769249195</v>
      </c>
      <c r="HT300" s="57">
        <f>HT302+HT303</f>
        <v>4.1319977557483698</v>
      </c>
      <c r="HU300" s="259">
        <f t="shared" ref="HU300:HV300" si="3114">HU301+HU303</f>
        <v>357.18366061118923</v>
      </c>
      <c r="HV300" s="57">
        <f t="shared" si="3114"/>
        <v>182.56053764571897</v>
      </c>
      <c r="HY300" s="117" t="s">
        <v>57</v>
      </c>
      <c r="HZ300" s="259">
        <f>HZ301+HZ303</f>
        <v>8.5914856877639417E-2</v>
      </c>
      <c r="IA300" s="57">
        <f t="shared" ref="IA300:IK300" si="3115">IA301+IA303</f>
        <v>5.6596880624033938E-2</v>
      </c>
      <c r="IB300" s="259">
        <f t="shared" si="3115"/>
        <v>0.10471248409998232</v>
      </c>
      <c r="IC300" s="57">
        <f t="shared" si="3115"/>
        <v>6.6204556759898101E-2</v>
      </c>
      <c r="ID300" s="259">
        <f t="shared" si="3115"/>
        <v>0.10243077753149853</v>
      </c>
      <c r="IE300" s="57">
        <f t="shared" si="3115"/>
        <v>6.5038351180450843E-2</v>
      </c>
      <c r="IF300" s="259">
        <f t="shared" si="3115"/>
        <v>8.3887926469989813E-2</v>
      </c>
      <c r="IG300" s="57">
        <f t="shared" si="3115"/>
        <v>5.2599792403156403E-2</v>
      </c>
      <c r="IH300" s="259">
        <f t="shared" si="3115"/>
        <v>7.3821003115324801E-2</v>
      </c>
      <c r="II300" s="57">
        <f t="shared" si="3115"/>
        <v>4.5564411191194518E-2</v>
      </c>
      <c r="IJ300" s="259">
        <f t="shared" si="3115"/>
        <v>0.13598895911024023</v>
      </c>
      <c r="IK300" s="57">
        <f t="shared" si="3115"/>
        <v>8.3775915987073873E-2</v>
      </c>
      <c r="IL300" s="259"/>
      <c r="IM300" s="259"/>
      <c r="IN300" s="259"/>
      <c r="IO300" s="259"/>
    </row>
    <row r="301" spans="2:249" ht="12.75" customHeight="1" x14ac:dyDescent="0.2">
      <c r="B301" s="248"/>
      <c r="C301" s="248"/>
      <c r="D301" s="248"/>
      <c r="E301" s="248"/>
      <c r="F301" s="248"/>
      <c r="G301" s="248"/>
      <c r="H301" s="248"/>
      <c r="I301" s="248"/>
      <c r="J301" s="248"/>
      <c r="K301" s="248"/>
      <c r="L301" s="248"/>
      <c r="M301" s="248"/>
      <c r="N301" s="248"/>
      <c r="O301" s="248"/>
      <c r="P301" s="248"/>
      <c r="Q301" s="248"/>
      <c r="R301" s="248"/>
      <c r="S301" s="248"/>
      <c r="T301" s="248"/>
      <c r="U301" s="248"/>
      <c r="V301" s="248"/>
      <c r="W301" s="248"/>
      <c r="X301" s="248"/>
      <c r="Y301" s="248"/>
      <c r="Z301" s="248"/>
      <c r="AA301" s="248"/>
      <c r="AB301" s="248"/>
      <c r="AC301" s="248"/>
      <c r="AD301" s="248"/>
      <c r="AE301" s="248"/>
      <c r="AF301" s="248"/>
      <c r="AG301" s="248"/>
      <c r="AH301" s="248"/>
      <c r="AI301" s="248"/>
      <c r="AJ301" s="248"/>
      <c r="AK301" s="248"/>
      <c r="AL301" s="248"/>
      <c r="AM301" s="248"/>
      <c r="AN301" s="130"/>
      <c r="AO301" s="248"/>
      <c r="AP301" s="726"/>
      <c r="AQ301" s="123" t="s">
        <v>219</v>
      </c>
      <c r="AR301" s="224">
        <f>EXP(LN(AR50)+0.5*LN('Ecoinvent 3.10'!$E$32)^2)</f>
        <v>16.101706954793922</v>
      </c>
      <c r="AS301" s="50">
        <f>EXP(LN(AS50)+0.5*LN('Ecoinvent 3.10'!$E$32)^2)</f>
        <v>8.2297613324502237</v>
      </c>
      <c r="AT301" s="224">
        <f>EXP(LN(AT50)+0.5*LN('Ecoinvent 3.10'!$E$32)^2)</f>
        <v>21.154272923564783</v>
      </c>
      <c r="AU301" s="50">
        <f>EXP(LN(AU50)+0.5*LN('Ecoinvent 3.10'!$E$32)^2)</f>
        <v>10.812183938710886</v>
      </c>
      <c r="AV301" s="224">
        <f>EXP(LN(AV50)+0.5*LN('Ecoinvent 3.10'!$E$32)^2)</f>
        <v>20.540978872018766</v>
      </c>
      <c r="AW301" s="50">
        <f>EXP(LN(AW50)+0.5*LN('Ecoinvent 3.10'!$E$32)^2)</f>
        <v>10.498722534587371</v>
      </c>
      <c r="AX301" s="224">
        <f>EXP(LN(AX50)+0.5*LN('Ecoinvent 3.10'!$E$32)^2)</f>
        <v>17.188659300738319</v>
      </c>
      <c r="AY301" s="50">
        <f>EXP(LN(AY50)+0.5*LN('Ecoinvent 3.10'!$E$32)^2)</f>
        <v>8.7853147537106935</v>
      </c>
      <c r="AZ301" s="224">
        <f>EXP(LN(AZ50)+0.5*LN('Ecoinvent 3.10'!$E$32)^2)</f>
        <v>15.524349430765497</v>
      </c>
      <c r="BA301" s="50">
        <f>EXP(LN(BA50)+0.5*LN('Ecoinvent 3.10'!$E$32)^2)</f>
        <v>7.9346674868357026</v>
      </c>
      <c r="BB301" s="224">
        <f>EXP(LN(BB50)+0.5*LN('Ecoinvent 3.10'!$E$32)^2)</f>
        <v>28.687105495918171</v>
      </c>
      <c r="BC301" s="50">
        <f>EXP(LN(BC50)+0.5*LN('Ecoinvent 3.10'!$E$32)^2)</f>
        <v>14.662298364580394</v>
      </c>
      <c r="BD301" s="264"/>
      <c r="BE301" s="265"/>
      <c r="BF301" s="224">
        <f>EXP(LN(BF50)+0.5*LN('Ecoinvent 3.10'!$E$32)^2)</f>
        <v>15.104772419123192</v>
      </c>
      <c r="BG301" s="50">
        <f>EXP(LN(BG50)+0.5*LN('Ecoinvent 3.10'!$E$32)^2)</f>
        <v>7.7202170142185178</v>
      </c>
      <c r="BI301" s="156"/>
      <c r="BJ301" s="123" t="s">
        <v>219</v>
      </c>
      <c r="BK301" s="224">
        <f>EXP(LN(BK50)+0.5*LN('Ecoinvent 3.10'!$E$32)^2)</f>
        <v>3.9154693765185407</v>
      </c>
      <c r="BL301" s="50">
        <f>EXP(LN(BL50)+0.5*LN('Ecoinvent 3.10'!$E$32)^2)</f>
        <v>2.0012399035539201</v>
      </c>
      <c r="BM301" s="224">
        <f>EXP(LN(BM50)+0.5*LN('Ecoinvent 3.10'!$E$32)^2)</f>
        <v>5.1441072705693989</v>
      </c>
      <c r="BN301" s="50">
        <f>EXP(LN(BN50)+0.5*LN('Ecoinvent 3.10'!$E$32)^2)</f>
        <v>2.6292103827354687</v>
      </c>
      <c r="BO301" s="224">
        <f>EXP(LN(BO50)+0.5*LN('Ecoinvent 3.10'!$E$32)^2)</f>
        <v>4.9949718972595241</v>
      </c>
      <c r="BP301" s="50">
        <f>EXP(LN(BP50)+0.5*LN('Ecoinvent 3.10'!$E$32)^2)</f>
        <v>2.5529856363770898</v>
      </c>
      <c r="BQ301" s="224">
        <f>EXP(LN(BQ50)+0.5*LN('Ecoinvent 3.10'!$E$32)^2)</f>
        <v>4.179784746077118</v>
      </c>
      <c r="BR301" s="50">
        <f>EXP(LN(BR50)+0.5*LN('Ecoinvent 3.10'!$E$32)^2)</f>
        <v>2.1363344257727488</v>
      </c>
      <c r="BS301" s="224">
        <f>EXP(LN(BS50)+0.5*LN('Ecoinvent 3.10'!$E$32)^2)</f>
        <v>3.7750727272078421</v>
      </c>
      <c r="BT301" s="50">
        <f>EXP(LN(BT50)+0.5*LN('Ecoinvent 3.10'!$E$32)^2)</f>
        <v>1.9294816161284523</v>
      </c>
      <c r="BU301" s="224">
        <f>EXP(LN(BU50)+0.5*LN('Ecoinvent 3.10'!$E$32)^2)</f>
        <v>6.9758742588954235</v>
      </c>
      <c r="BV301" s="50">
        <f>EXP(LN(BV50)+0.5*LN('Ecoinvent 3.10'!$E$32)^2)</f>
        <v>3.5654468434354381</v>
      </c>
      <c r="BW301" s="264"/>
      <c r="BX301" s="265"/>
      <c r="BY301" s="224">
        <f>EXP(LN(BY50)+0.5*LN('Ecoinvent 3.10'!$E$32)^2)</f>
        <v>3.6730437345806024</v>
      </c>
      <c r="BZ301" s="50">
        <f>EXP(LN(BZ50)+0.5*LN('Ecoinvent 3.10'!$E$32)^2)</f>
        <v>1.8773334643411965</v>
      </c>
      <c r="CA301" s="156"/>
      <c r="CB301" s="156"/>
      <c r="CC301" s="123" t="s">
        <v>219</v>
      </c>
      <c r="CD301" s="224">
        <f>EXP(LN(CD50)+0.5*LN('Ecoinvent 3.10'!$E$32)^2)</f>
        <v>465.73142312172371</v>
      </c>
      <c r="CE301" s="50">
        <f>EXP(LN(CE50)+0.5*LN('Ecoinvent 3.10'!$E$32)^2)</f>
        <v>238.04050515110325</v>
      </c>
      <c r="CF301" s="224">
        <f>EXP(LN(CF50)+0.5*LN('Ecoinvent 3.10'!$E$32)^2)</f>
        <v>611.87361448432671</v>
      </c>
      <c r="CG301" s="50">
        <f>EXP(LN(CG50)+0.5*LN('Ecoinvent 3.10'!$E$32)^2)</f>
        <v>312.73540295865564</v>
      </c>
      <c r="CH301" s="224">
        <f>EXP(LN(CH50)+0.5*LN('Ecoinvent 3.10'!$E$32)^2)</f>
        <v>594.13448209168462</v>
      </c>
      <c r="CI301" s="50">
        <f>EXP(LN(CI50)+0.5*LN('Ecoinvent 3.10'!$E$32)^2)</f>
        <v>303.66873529130555</v>
      </c>
      <c r="CJ301" s="224">
        <f>EXP(LN(CJ50)+0.5*LN('Ecoinvent 3.10'!$E$32)^2)</f>
        <v>497.17081425978336</v>
      </c>
      <c r="CK301" s="50">
        <f>EXP(LN(CK50)+0.5*LN('Ecoinvent 3.10'!$E$32)^2)</f>
        <v>254.10952728833374</v>
      </c>
      <c r="CL301" s="224">
        <f>EXP(LN(CL50)+0.5*LN('Ecoinvent 3.10'!$E$32)^2)</f>
        <v>449.03173146352145</v>
      </c>
      <c r="CM301" s="50">
        <f>EXP(LN(CM50)+0.5*LN('Ecoinvent 3.10'!$E$32)^2)</f>
        <v>229.50510719246654</v>
      </c>
      <c r="CN301" s="224">
        <f>EXP(LN(CN50)+0.5*LN('Ecoinvent 3.10'!$E$32)^2)</f>
        <v>829.75590757967552</v>
      </c>
      <c r="CO301" s="50">
        <f>EXP(LN(CO50)+0.5*LN('Ecoinvent 3.10'!$E$32)^2)</f>
        <v>424.09746387405607</v>
      </c>
      <c r="CP301" s="264"/>
      <c r="CQ301" s="265"/>
      <c r="CR301" s="224">
        <f>EXP(LN(CR50)+0.5*LN('Ecoinvent 3.10'!$E$32)^2)</f>
        <v>436.89573872126431</v>
      </c>
      <c r="CS301" s="50">
        <f>EXP(LN(CS50)+0.5*LN('Ecoinvent 3.10'!$E$32)^2)</f>
        <v>223.3022664575351</v>
      </c>
      <c r="CV301" s="123" t="s">
        <v>219</v>
      </c>
      <c r="CW301" s="224">
        <f>EXP(LN(CW50)+0.5*LN('Ecoinvent 3.10'!$E$32)^2)</f>
        <v>0.18579289439591373</v>
      </c>
      <c r="CX301" s="50">
        <f>EXP(LN(CX50)+0.5*LN('Ecoinvent 3.10'!$E$32)^2)</f>
        <v>9.4960812691244761E-2</v>
      </c>
      <c r="CY301" s="224">
        <f>EXP(LN(CY50)+0.5*LN('Ecoinvent 3.10'!$E$32)^2)</f>
        <v>0.24409297761688847</v>
      </c>
      <c r="CZ301" s="50">
        <f>EXP(LN(CZ50)+0.5*LN('Ecoinvent 3.10'!$E$32)^2)</f>
        <v>0.12475863300418737</v>
      </c>
      <c r="DA301" s="224">
        <f>EXP(LN(DA50)+0.5*LN('Ecoinvent 3.10'!$E$32)^2)</f>
        <v>0.23701635665536944</v>
      </c>
      <c r="DB301" s="50">
        <f>EXP(LN(DB50)+0.5*LN('Ecoinvent 3.10'!$E$32)^2)</f>
        <v>0.1211416934016333</v>
      </c>
      <c r="DC301" s="224">
        <f>EXP(LN(DC50)+0.5*LN('Ecoinvent 3.10'!$E$32)^2)</f>
        <v>0.19833492009482964</v>
      </c>
      <c r="DD301" s="50">
        <f>EXP(LN(DD50)+0.5*LN('Ecoinvent 3.10'!$E$32)^2)</f>
        <v>0.10137118138180183</v>
      </c>
      <c r="DE301" s="224">
        <f>EXP(LN(DE50)+0.5*LN('Ecoinvent 3.10'!$E$32)^2)</f>
        <v>0.17913093453093426</v>
      </c>
      <c r="DF301" s="50">
        <f>EXP(LN(DF50)+0.5*LN('Ecoinvent 3.10'!$E$32)^2)</f>
        <v>9.1555810982477517E-2</v>
      </c>
      <c r="DG301" s="224">
        <f>EXP(LN(DG50)+0.5*LN('Ecoinvent 3.10'!$E$32)^2)</f>
        <v>0.33101213286835507</v>
      </c>
      <c r="DH301" s="50">
        <f>EXP(LN(DH50)+0.5*LN('Ecoinvent 3.10'!$E$32)^2)</f>
        <v>0.16918397902160365</v>
      </c>
      <c r="DI301" s="264"/>
      <c r="DJ301" s="265"/>
      <c r="DK301" s="224">
        <f>EXP(LN(DK50)+0.5*LN('Ecoinvent 3.10'!$E$32)^2)</f>
        <v>0.17428955792199008</v>
      </c>
      <c r="DL301" s="50">
        <f>EXP(LN(DL50)+0.5*LN('Ecoinvent 3.10'!$E$32)^2)</f>
        <v>8.9081329604572726E-2</v>
      </c>
      <c r="DO301" s="123" t="s">
        <v>219</v>
      </c>
      <c r="DP301" s="224">
        <f>EXP(LN(DP50)+0.5*LN('Ecoinvent 3.10'!$E$32)^2)</f>
        <v>0.82334354620316585</v>
      </c>
      <c r="DQ301" s="50">
        <f>EXP(LN(DQ50)+0.5*LN('Ecoinvent 3.10'!$E$32)^2)</f>
        <v>0.42082003472606244</v>
      </c>
      <c r="DR301" s="224">
        <f>EXP(LN(DR50)+0.5*LN('Ecoinvent 3.10'!$E$32)^2)</f>
        <v>1.0817010976002055</v>
      </c>
      <c r="DS301" s="50">
        <f>EXP(LN(DS50)+0.5*LN('Ecoinvent 3.10'!$E$32)^2)</f>
        <v>0.55286944988454911</v>
      </c>
      <c r="DT301" s="224">
        <f>EXP(LN(DT50)+0.5*LN('Ecoinvent 3.10'!$E$32)^2)</f>
        <v>1.0503409628838756</v>
      </c>
      <c r="DU301" s="50">
        <f>EXP(LN(DU50)+0.5*LN('Ecoinvent 3.10'!$E$32)^2)</f>
        <v>0.53684093658509202</v>
      </c>
      <c r="DV301" s="224">
        <f>EXP(LN(DV50)+0.5*LN('Ecoinvent 3.10'!$E$32)^2)</f>
        <v>0.87892369069196274</v>
      </c>
      <c r="DW301" s="50">
        <f>EXP(LN(DW50)+0.5*LN('Ecoinvent 3.10'!$E$32)^2)</f>
        <v>0.4492276641314476</v>
      </c>
      <c r="DX301" s="224">
        <f>EXP(LN(DX50)+0.5*LN('Ecoinvent 3.10'!$E$32)^2)</f>
        <v>0.79382098734681383</v>
      </c>
      <c r="DY301" s="50">
        <f>EXP(LN(DY50)+0.5*LN('Ecoinvent 3.10'!$E$32)^2)</f>
        <v>0.40573072686614925</v>
      </c>
      <c r="DZ301" s="224">
        <f>EXP(LN(DZ50)+0.5*LN('Ecoinvent 3.10'!$E$32)^2)</f>
        <v>1.4668844263298104</v>
      </c>
      <c r="EA301" s="50">
        <f>EXP(LN(EA50)+0.5*LN('Ecoinvent 3.10'!$E$32)^2)</f>
        <v>0.74974092901301403</v>
      </c>
      <c r="EB301" s="264"/>
      <c r="EC301" s="265"/>
      <c r="ED301" s="224">
        <f>EXP(LN(ED50)+0.5*LN('Ecoinvent 3.10'!$E$32)^2)</f>
        <v>0.77236636606717013</v>
      </c>
      <c r="EE301" s="50">
        <f>EXP(LN(EE50)+0.5*LN('Ecoinvent 3.10'!$E$32)^2)</f>
        <v>0.39476503154544251</v>
      </c>
      <c r="EH301" s="123" t="s">
        <v>219</v>
      </c>
      <c r="EI301" s="224">
        <f>EXP(LN(EI50)+0.5*LN('Ecoinvent 3.10'!$E$32)^2)</f>
        <v>6.5780471351200923E-2</v>
      </c>
      <c r="EJ301" s="50">
        <f>EXP(LN(EJ50)+0.5*LN('Ecoinvent 3.10'!$E$32)^2)</f>
        <v>3.3621129801724922E-2</v>
      </c>
      <c r="EK301" s="224">
        <f>EXP(LN(EK50)+0.5*LN('Ecoinvent 3.10'!$E$32)^2)</f>
        <v>8.6421771797911162E-2</v>
      </c>
      <c r="EL301" s="50">
        <f>EXP(LN(EL50)+0.5*LN('Ecoinvent 3.10'!$E$32)^2)</f>
        <v>4.4171127807821231E-2</v>
      </c>
      <c r="EM301" s="224">
        <f>EXP(LN(EM50)+0.5*LN('Ecoinvent 3.10'!$E$32)^2)</f>
        <v>8.3916275212931171E-2</v>
      </c>
      <c r="EN301" s="50">
        <f>EXP(LN(EN50)+0.5*LN('Ecoinvent 3.10'!$E$32)^2)</f>
        <v>4.289054066438705E-2</v>
      </c>
      <c r="EO301" s="224">
        <f>EXP(LN(EO50)+0.5*LN('Ecoinvent 3.10'!$E$32)^2)</f>
        <v>7.0221009106188989E-2</v>
      </c>
      <c r="EP301" s="50">
        <f>EXP(LN(EP50)+0.5*LN('Ecoinvent 3.10'!$E$32)^2)</f>
        <v>3.589073798760771E-2</v>
      </c>
      <c r="EQ301" s="224">
        <f>EXP(LN(EQ50)+0.5*LN('Ecoinvent 3.10'!$E$32)^2)</f>
        <v>6.3421786636879737E-2</v>
      </c>
      <c r="ER301" s="50">
        <f>EXP(LN(ER50)+0.5*LN('Ecoinvent 3.10'!$E$32)^2)</f>
        <v>3.2415579836627427E-2</v>
      </c>
      <c r="ES301" s="224">
        <f>EXP(LN(ES50)+0.5*LN('Ecoinvent 3.10'!$E$32)^2)</f>
        <v>0.11719573126756587</v>
      </c>
      <c r="ET301" s="50">
        <f>EXP(LN(ET50)+0.5*LN('Ecoinvent 3.10'!$E$32)^2)</f>
        <v>5.9900040425644764E-2</v>
      </c>
      <c r="EU301" s="264"/>
      <c r="EV301" s="265"/>
      <c r="EW301" s="224">
        <f>EXP(LN(EW50)+0.5*LN('Ecoinvent 3.10'!$E$32)^2)</f>
        <v>6.1707684295342451E-2</v>
      </c>
      <c r="EX301" s="50">
        <f>EXP(LN(EX50)+0.5*LN('Ecoinvent 3.10'!$E$32)^2)</f>
        <v>3.1539483084286141E-2</v>
      </c>
      <c r="FA301" s="123" t="s">
        <v>219</v>
      </c>
      <c r="FB301" s="224">
        <f>EXP(LN(FB50)+0.5*LN('Ecoinvent 3.10'!$E$32)^2)</f>
        <v>1.9932288329736893E-2</v>
      </c>
      <c r="FC301" s="50">
        <f>EXP(LN(FC50)+0.5*LN('Ecoinvent 3.10'!$E$32)^2)</f>
        <v>1.0187614035198854E-2</v>
      </c>
      <c r="FD301" s="224">
        <f>EXP(LN(FD50)+0.5*LN('Ecoinvent 3.10'!$E$32)^2)</f>
        <v>2.6186855126741813E-2</v>
      </c>
      <c r="FE301" s="50">
        <f>EXP(LN(FE50)+0.5*LN('Ecoinvent 3.10'!$E$32)^2)</f>
        <v>1.3384392620334693E-2</v>
      </c>
      <c r="FF301" s="224">
        <f>EXP(LN(FF50)+0.5*LN('Ecoinvent 3.10'!$E$32)^2)</f>
        <v>2.5427658980603528E-2</v>
      </c>
      <c r="FG301" s="50">
        <f>EXP(LN(FG50)+0.5*LN('Ecoinvent 3.10'!$E$32)^2)</f>
        <v>1.2996359034530688E-2</v>
      </c>
      <c r="FH301" s="224">
        <f>EXP(LN(FH50)+0.5*LN('Ecoinvent 3.10'!$E$32)^2)</f>
        <v>2.1277825645803702E-2</v>
      </c>
      <c r="FI301" s="50">
        <f>EXP(LN(FI50)+0.5*LN('Ecoinvent 3.10'!$E$32)^2)</f>
        <v>1.0875333107855222E-2</v>
      </c>
      <c r="FJ301" s="224">
        <f>EXP(LN(FJ50)+0.5*LN('Ecoinvent 3.10'!$E$32)^2)</f>
        <v>1.9217577978183069E-2</v>
      </c>
      <c r="FK301" s="50">
        <f>EXP(LN(FK50)+0.5*LN('Ecoinvent 3.10'!$E$32)^2)</f>
        <v>9.8223176332935657E-3</v>
      </c>
      <c r="FL301" s="224">
        <f>EXP(LN(FL50)+0.5*LN('Ecoinvent 3.10'!$E$32)^2)</f>
        <v>3.5511741686491217E-2</v>
      </c>
      <c r="FM301" s="50">
        <f>EXP(LN(FM50)+0.5*LN('Ecoinvent 3.10'!$E$32)^2)</f>
        <v>1.8150445750873285E-2</v>
      </c>
      <c r="FN301" s="264"/>
      <c r="FO301" s="265"/>
      <c r="FP301" s="224">
        <f>EXP(LN(FP50)+0.5*LN('Ecoinvent 3.10'!$E$32)^2)</f>
        <v>1.8698183978772716E-2</v>
      </c>
      <c r="FQ301" s="50">
        <f>EXP(LN(FQ50)+0.5*LN('Ecoinvent 3.10'!$E$32)^2)</f>
        <v>9.5568495891505002E-3</v>
      </c>
      <c r="FT301" s="123" t="s">
        <v>219</v>
      </c>
      <c r="FU301" s="224">
        <f>EXP(LN(FU50)+0.5*LN('Ecoinvent 3.10'!$E$32)^2)</f>
        <v>16.515976900974039</v>
      </c>
      <c r="FV301" s="50">
        <f>EXP(LN(FV50)+0.5*LN('Ecoinvent 3.10'!$E$32)^2)</f>
        <v>8.4414993049422886</v>
      </c>
      <c r="FW301" s="224">
        <f>EXP(LN(FW50)+0.5*LN('Ecoinvent 3.10'!$E$32)^2)</f>
        <v>21.698536928004124</v>
      </c>
      <c r="FX301" s="50">
        <f>EXP(LN(FX50)+0.5*LN('Ecoinvent 3.10'!$E$32)^2)</f>
        <v>11.090363318757653</v>
      </c>
      <c r="FY301" s="224">
        <f>EXP(LN(FY50)+0.5*LN('Ecoinvent 3.10'!$E$32)^2)</f>
        <v>21.069463847909152</v>
      </c>
      <c r="FZ301" s="50">
        <f>EXP(LN(FZ50)+0.5*LN('Ecoinvent 3.10'!$E$32)^2)</f>
        <v>10.768837077820235</v>
      </c>
      <c r="GA301" s="224">
        <f>EXP(LN(GA50)+0.5*LN('Ecoinvent 3.10'!$E$32)^2)</f>
        <v>17.630894709904386</v>
      </c>
      <c r="GB301" s="50">
        <f>EXP(LN(GB50)+0.5*LN('Ecoinvent 3.10'!$E$32)^2)</f>
        <v>9.0113461850622389</v>
      </c>
      <c r="GC301" s="224">
        <f>EXP(LN(GC50)+0.5*LN('Ecoinvent 3.10'!$E$32)^2)</f>
        <v>15.923764935048409</v>
      </c>
      <c r="GD301" s="50">
        <f>EXP(LN(GD50)+0.5*LN('Ecoinvent 3.10'!$E$32)^2)</f>
        <v>8.1388131890247433</v>
      </c>
      <c r="GE301" s="224">
        <f>EXP(LN(GE50)+0.5*LN('Ecoinvent 3.10'!$E$32)^2)</f>
        <v>29.425176663355447</v>
      </c>
      <c r="GF301" s="50">
        <f>EXP(LN(GF50)+0.5*LN('Ecoinvent 3.10'!$E$32)^2)</f>
        <v>15.039534739048335</v>
      </c>
      <c r="GG301" s="264"/>
      <c r="GH301" s="265"/>
      <c r="GI301" s="224">
        <f>EXP(LN(GI50)+0.5*LN('Ecoinvent 3.10'!$E$32)^2)</f>
        <v>15.493392909776832</v>
      </c>
      <c r="GJ301" s="50">
        <f>EXP(LN(GJ50)+0.5*LN('Ecoinvent 3.10'!$E$32)^2)</f>
        <v>7.9188452649970476</v>
      </c>
      <c r="GM301" s="123" t="s">
        <v>219</v>
      </c>
      <c r="GN301" s="224">
        <f>EXP(LN(GN50)+0.5*LN('Ecoinvent 3.10'!$E$32)^2)</f>
        <v>4.2740291588035229</v>
      </c>
      <c r="GO301" s="50">
        <f>EXP(LN(GO50)+0.5*LN('Ecoinvent 3.10'!$E$32)^2)</f>
        <v>2.1845037922773556</v>
      </c>
      <c r="GP301" s="224">
        <f>EXP(LN(GP50)+0.5*LN('Ecoinvent 3.10'!$E$32)^2)</f>
        <v>5.6151797795379093</v>
      </c>
      <c r="GQ301" s="50">
        <f>EXP(LN(GQ50)+0.5*LN('Ecoinvent 3.10'!$E$32)^2)</f>
        <v>2.8699807762082625</v>
      </c>
      <c r="GR301" s="224">
        <f>EXP(LN(GR50)+0.5*LN('Ecoinvent 3.10'!$E$32)^2)</f>
        <v>5.4523873087403949</v>
      </c>
      <c r="GS301" s="50">
        <f>EXP(LN(GS50)+0.5*LN('Ecoinvent 3.10'!$E$32)^2)</f>
        <v>2.7867757355784244</v>
      </c>
      <c r="GT301" s="224">
        <f>EXP(LN(GT50)+0.5*LN('Ecoinvent 3.10'!$E$32)^2)</f>
        <v>4.5625492538368695</v>
      </c>
      <c r="GU301" s="50">
        <f>EXP(LN(GU50)+0.5*LN('Ecoinvent 3.10'!$E$32)^2)</f>
        <v>2.3319696186277334</v>
      </c>
      <c r="GV301" s="224">
        <f>EXP(LN(GV50)+0.5*LN('Ecoinvent 3.10'!$E$32)^2)</f>
        <v>4.1207756621599652</v>
      </c>
      <c r="GW301" s="50">
        <f>EXP(LN(GW50)+0.5*LN('Ecoinvent 3.10'!$E$32)^2)</f>
        <v>2.1061742273262043</v>
      </c>
      <c r="GX301" s="224">
        <f>EXP(LN(GX50)+0.5*LN('Ecoinvent 3.10'!$E$32)^2)</f>
        <v>7.6146911451970505</v>
      </c>
      <c r="GY301" s="50">
        <f>EXP(LN(GY50)+0.5*LN('Ecoinvent 3.10'!$E$32)^2)</f>
        <v>3.8919532519896043</v>
      </c>
      <c r="GZ301" s="264"/>
      <c r="HA301" s="265"/>
      <c r="HB301" s="224">
        <f>EXP(LN(HB50)+0.5*LN('Ecoinvent 3.10'!$E$32)^2)</f>
        <v>4.0094033469664527</v>
      </c>
      <c r="HC301" s="50">
        <f>EXP(LN(HC50)+0.5*LN('Ecoinvent 3.10'!$E$32)^2)</f>
        <v>2.0492505995606307</v>
      </c>
      <c r="HF301" s="123" t="s">
        <v>219</v>
      </c>
      <c r="HG301" s="224">
        <f>EXP(LN(HG50)+0.5*LN('Ecoinvent 3.10'!$E$32)^2)</f>
        <v>251.69828446030866</v>
      </c>
      <c r="HH301" s="50">
        <f>EXP(LN(HH50)+0.5*LN('Ecoinvent 3.10'!$E$32)^2)</f>
        <v>128.64578983526889</v>
      </c>
      <c r="HI301" s="224">
        <f>EXP(LN(HI50)+0.5*LN('Ecoinvent 3.10'!$E$32)^2)</f>
        <v>330.67886645901035</v>
      </c>
      <c r="HJ301" s="50">
        <f>EXP(LN(HJ50)+0.5*LN('Ecoinvent 3.10'!$E$32)^2)</f>
        <v>169.01364285682737</v>
      </c>
      <c r="HK301" s="224">
        <f>EXP(LN(HK50)+0.5*LN('Ecoinvent 3.10'!$E$32)^2)</f>
        <v>321.09199091362689</v>
      </c>
      <c r="HL301" s="50">
        <f>EXP(LN(HL50)+0.5*LN('Ecoinvent 3.10'!$E$32)^2)</f>
        <v>164.11368424474264</v>
      </c>
      <c r="HM301" s="224">
        <f>EXP(LN(HM50)+0.5*LN('Ecoinvent 3.10'!$E$32)^2)</f>
        <v>268.68928060328966</v>
      </c>
      <c r="HN301" s="50">
        <f>EXP(LN(HN50)+0.5*LN('Ecoinvent 3.10'!$E$32)^2)</f>
        <v>137.33007675279251</v>
      </c>
      <c r="HO301" s="224">
        <f>EXP(LN(HO50)+0.5*LN('Ecoinvent 3.10'!$E$32)^2)</f>
        <v>242.67316068143265</v>
      </c>
      <c r="HP301" s="50">
        <f>EXP(LN(HP50)+0.5*LN('Ecoinvent 3.10'!$E$32)^2)</f>
        <v>124.03294879273226</v>
      </c>
      <c r="HQ301" s="224">
        <f>EXP(LN(HQ50)+0.5*LN('Ecoinvent 3.10'!$E$32)^2)</f>
        <v>448.43042167679971</v>
      </c>
      <c r="HR301" s="50">
        <f>EXP(LN(HR50)+0.5*LN('Ecoinvent 3.10'!$E$32)^2)</f>
        <v>229.19777107925322</v>
      </c>
      <c r="HS301" s="264"/>
      <c r="HT301" s="265"/>
      <c r="HU301" s="224">
        <f>EXP(LN(HU50)+0.5*LN('Ecoinvent 3.10'!$E$32)^2)</f>
        <v>236.1144266089614</v>
      </c>
      <c r="HV301" s="50">
        <f>EXP(LN(HV50)+0.5*LN('Ecoinvent 3.10'!$E$32)^2)</f>
        <v>120.68070693346917</v>
      </c>
      <c r="HY301" s="123" t="s">
        <v>219</v>
      </c>
      <c r="HZ301" s="224">
        <f>EXP(LN(HZ50)+0.5*LN('Ecoinvent 3.10'!$E$32)^2)</f>
        <v>5.9904984289250958E-2</v>
      </c>
      <c r="IA301" s="50">
        <f>EXP(LN(IA50)+0.5*LN('Ecoinvent 3.10'!$E$32)^2)</f>
        <v>3.0618103081172701E-2</v>
      </c>
      <c r="IB301" s="224">
        <f>EXP(LN(IB50)+0.5*LN('Ecoinvent 3.10'!$E$32)^2)</f>
        <v>7.8702611511593884E-2</v>
      </c>
      <c r="IC301" s="50">
        <f>EXP(LN(IC50)+0.5*LN('Ecoinvent 3.10'!$E$32)^2)</f>
        <v>4.0225779217036857E-2</v>
      </c>
      <c r="ID301" s="224">
        <f>EXP(LN(ID50)+0.5*LN('Ecoinvent 3.10'!$E$32)^2)</f>
        <v>7.6420904943110074E-2</v>
      </c>
      <c r="IE301" s="50">
        <f>EXP(LN(IE50)+0.5*LN('Ecoinvent 3.10'!$E$32)^2)</f>
        <v>3.9059573637589599E-2</v>
      </c>
      <c r="IF301" s="224">
        <f>EXP(LN(IF50)+0.5*LN('Ecoinvent 3.10'!$E$32)^2)</f>
        <v>6.3948894875238707E-2</v>
      </c>
      <c r="IG301" s="50">
        <f>EXP(LN(IG50)+0.5*LN('Ecoinvent 3.10'!$E$32)^2)</f>
        <v>3.2684990714010896E-2</v>
      </c>
      <c r="IH301" s="224">
        <f>EXP(LN(IH50)+0.5*LN('Ecoinvent 3.10'!$E$32)^2)</f>
        <v>5.7756976410129432E-2</v>
      </c>
      <c r="II301" s="50">
        <f>EXP(LN(II50)+0.5*LN('Ecoinvent 3.10'!$E$32)^2)</f>
        <v>2.9520232387399491E-2</v>
      </c>
      <c r="IJ301" s="224">
        <f>EXP(LN(IJ50)+0.5*LN('Ecoinvent 3.10'!$E$32)^2)</f>
        <v>0.1067278524483032</v>
      </c>
      <c r="IK301" s="50">
        <f>EXP(LN(IK50)+0.5*LN('Ecoinvent 3.10'!$E$32)^2)</f>
        <v>5.4549791251354972E-2</v>
      </c>
      <c r="IL301" s="224"/>
      <c r="IM301" s="224"/>
      <c r="IN301" s="224"/>
      <c r="IO301" s="224"/>
    </row>
    <row r="302" spans="2:249" ht="12.75" customHeight="1" x14ac:dyDescent="0.2">
      <c r="B302" s="248"/>
      <c r="C302" s="248"/>
      <c r="D302" s="248"/>
      <c r="E302" s="248"/>
      <c r="F302" s="248"/>
      <c r="G302" s="248"/>
      <c r="H302" s="248"/>
      <c r="I302" s="248"/>
      <c r="J302" s="248"/>
      <c r="K302" s="248"/>
      <c r="L302" s="248"/>
      <c r="M302" s="248"/>
      <c r="N302" s="248"/>
      <c r="O302" s="248"/>
      <c r="P302" s="248"/>
      <c r="Q302" s="248"/>
      <c r="R302" s="248"/>
      <c r="S302" s="248"/>
      <c r="T302" s="248"/>
      <c r="U302" s="248"/>
      <c r="V302" s="248"/>
      <c r="W302" s="248"/>
      <c r="X302" s="248"/>
      <c r="Y302" s="248"/>
      <c r="Z302" s="248"/>
      <c r="AA302" s="248"/>
      <c r="AB302" s="248"/>
      <c r="AC302" s="248"/>
      <c r="AD302" s="248"/>
      <c r="AE302" s="248"/>
      <c r="AF302" s="248"/>
      <c r="AG302" s="248"/>
      <c r="AH302" s="248"/>
      <c r="AI302" s="248"/>
      <c r="AJ302" s="248"/>
      <c r="AK302" s="248"/>
      <c r="AL302" s="248"/>
      <c r="AM302" s="248"/>
      <c r="AN302" s="130"/>
      <c r="AO302" s="248"/>
      <c r="AP302" s="726"/>
      <c r="AQ302" s="123" t="s">
        <v>198</v>
      </c>
      <c r="AR302" s="264"/>
      <c r="AS302" s="265"/>
      <c r="AT302" s="264"/>
      <c r="AU302" s="265"/>
      <c r="AV302" s="264"/>
      <c r="AW302" s="265"/>
      <c r="AX302" s="264"/>
      <c r="AY302" s="265"/>
      <c r="AZ302" s="264"/>
      <c r="BA302" s="265"/>
      <c r="BB302" s="264"/>
      <c r="BC302" s="265"/>
      <c r="BD302" s="224">
        <f>EXP(LN(BD51)+0.5*LN('Ecoinvent 3.10'!$E$5)^2)</f>
        <v>19.451669015632042</v>
      </c>
      <c r="BE302" s="50">
        <f>EXP(LN(BE51)+0.5*LN('Ecoinvent 3.10'!$E$5)^2)</f>
        <v>9.9419641635452667</v>
      </c>
      <c r="BF302" s="264"/>
      <c r="BG302" s="265"/>
      <c r="BI302" s="156"/>
      <c r="BJ302" s="123" t="s">
        <v>198</v>
      </c>
      <c r="BK302" s="264"/>
      <c r="BL302" s="265"/>
      <c r="BM302" s="264"/>
      <c r="BN302" s="265"/>
      <c r="BO302" s="264"/>
      <c r="BP302" s="265"/>
      <c r="BQ302" s="264"/>
      <c r="BR302" s="265"/>
      <c r="BS302" s="264"/>
      <c r="BT302" s="265"/>
      <c r="BU302" s="264"/>
      <c r="BV302" s="265"/>
      <c r="BW302" s="224">
        <f>EXP(LN(BW51)+0.5*LN('Ecoinvent 3.10'!$E$5)^2)</f>
        <v>6.4983355867575279</v>
      </c>
      <c r="BX302" s="50">
        <f>EXP(LN(BX51)+0.5*LN('Ecoinvent 3.10'!$E$5)^2)</f>
        <v>3.321371522120514</v>
      </c>
      <c r="BY302" s="264"/>
      <c r="BZ302" s="265"/>
      <c r="CA302" s="156"/>
      <c r="CB302" s="156"/>
      <c r="CC302" s="123" t="s">
        <v>198</v>
      </c>
      <c r="CD302" s="264"/>
      <c r="CE302" s="265"/>
      <c r="CF302" s="264"/>
      <c r="CG302" s="265"/>
      <c r="CH302" s="264"/>
      <c r="CI302" s="265"/>
      <c r="CJ302" s="264"/>
      <c r="CK302" s="265"/>
      <c r="CL302" s="264"/>
      <c r="CM302" s="265"/>
      <c r="CN302" s="264"/>
      <c r="CO302" s="265"/>
      <c r="CP302" s="224">
        <f>EXP(LN(CP51)+0.5*LN('Ecoinvent 3.10'!$E$5)^2)</f>
        <v>29.578520663981294</v>
      </c>
      <c r="CQ302" s="50">
        <f>EXP(LN(CQ51)+0.5*LN('Ecoinvent 3.10'!$E$5)^2)</f>
        <v>15.11791056159044</v>
      </c>
      <c r="CR302" s="264"/>
      <c r="CS302" s="265"/>
      <c r="CV302" s="123" t="s">
        <v>198</v>
      </c>
      <c r="CW302" s="264"/>
      <c r="CX302" s="265"/>
      <c r="CY302" s="264"/>
      <c r="CZ302" s="265"/>
      <c r="DA302" s="264"/>
      <c r="DB302" s="265"/>
      <c r="DC302" s="264"/>
      <c r="DD302" s="265"/>
      <c r="DE302" s="264"/>
      <c r="DF302" s="265"/>
      <c r="DG302" s="264"/>
      <c r="DH302" s="265"/>
      <c r="DI302" s="224">
        <f>EXP(LN(DI51)+0.5*LN('Ecoinvent 3.10'!$E$5)^2)</f>
        <v>2.8204095702598801E-2</v>
      </c>
      <c r="DJ302" s="50">
        <f>EXP(LN(DJ51)+0.5*LN('Ecoinvent 3.10'!$E$5)^2)</f>
        <v>1.4415426692439382E-2</v>
      </c>
      <c r="DK302" s="264"/>
      <c r="DL302" s="265"/>
      <c r="DO302" s="123" t="s">
        <v>198</v>
      </c>
      <c r="DP302" s="264"/>
      <c r="DQ302" s="265"/>
      <c r="DR302" s="264"/>
      <c r="DS302" s="265"/>
      <c r="DT302" s="264"/>
      <c r="DU302" s="265"/>
      <c r="DV302" s="264"/>
      <c r="DW302" s="265"/>
      <c r="DX302" s="264"/>
      <c r="DY302" s="265"/>
      <c r="DZ302" s="264"/>
      <c r="EA302" s="265"/>
      <c r="EB302" s="224">
        <f>EXP(LN(EB51)+0.5*LN('Ecoinvent 3.10'!$E$5)^2)</f>
        <v>0.12039211085524633</v>
      </c>
      <c r="EC302" s="50">
        <f>EXP(LN(EC51)+0.5*LN('Ecoinvent 3.10'!$E$5)^2)</f>
        <v>6.1533745548237019E-2</v>
      </c>
      <c r="ED302" s="264"/>
      <c r="EE302" s="265"/>
      <c r="EH302" s="123" t="s">
        <v>198</v>
      </c>
      <c r="EI302" s="264"/>
      <c r="EJ302" s="265"/>
      <c r="EK302" s="264"/>
      <c r="EL302" s="265"/>
      <c r="EM302" s="264"/>
      <c r="EN302" s="265"/>
      <c r="EO302" s="264"/>
      <c r="EP302" s="265"/>
      <c r="EQ302" s="264"/>
      <c r="ER302" s="265"/>
      <c r="ES302" s="264"/>
      <c r="ET302" s="265"/>
      <c r="EU302" s="224">
        <f>EXP(LN(EU51)+0.5*LN('Ecoinvent 3.10'!$E$5)^2)</f>
        <v>3.6840425673729089E-2</v>
      </c>
      <c r="EV302" s="50">
        <f>EXP(LN(EV51)+0.5*LN('Ecoinvent 3.10'!$E$5)^2)</f>
        <v>1.882955089990598E-2</v>
      </c>
      <c r="EW302" s="264"/>
      <c r="EX302" s="265"/>
      <c r="FA302" s="123" t="s">
        <v>198</v>
      </c>
      <c r="FB302" s="264"/>
      <c r="FC302" s="265"/>
      <c r="FD302" s="264"/>
      <c r="FE302" s="265"/>
      <c r="FF302" s="264"/>
      <c r="FG302" s="265"/>
      <c r="FH302" s="264"/>
      <c r="FI302" s="265"/>
      <c r="FJ302" s="264"/>
      <c r="FK302" s="265"/>
      <c r="FL302" s="264"/>
      <c r="FM302" s="265"/>
      <c r="FN302" s="224">
        <f>EXP(LN(FN51)+0.5*LN('Ecoinvent 3.10'!$E$5)^2)</f>
        <v>1.9494606985705565E-3</v>
      </c>
      <c r="FO302" s="50">
        <f>EXP(LN(FO51)+0.5*LN('Ecoinvent 3.10'!$E$5)^2)</f>
        <v>9.9639102371384025E-4</v>
      </c>
      <c r="FP302" s="264"/>
      <c r="FQ302" s="265"/>
      <c r="FT302" s="123" t="s">
        <v>198</v>
      </c>
      <c r="FU302" s="264"/>
      <c r="FV302" s="265"/>
      <c r="FW302" s="264"/>
      <c r="FX302" s="265"/>
      <c r="FY302" s="264"/>
      <c r="FZ302" s="265"/>
      <c r="GA302" s="264"/>
      <c r="GB302" s="265"/>
      <c r="GC302" s="264"/>
      <c r="GD302" s="265"/>
      <c r="GE302" s="264"/>
      <c r="GF302" s="265"/>
      <c r="GG302" s="224">
        <f>EXP(LN(GG51)+0.5*LN('Ecoinvent 3.10'!$E$5)^2)</f>
        <v>0.56556107994991534</v>
      </c>
      <c r="GH302" s="50">
        <f>EXP(LN(GH51)+0.5*LN('Ecoinvent 3.10'!$E$5)^2)</f>
        <v>0.28906455197440123</v>
      </c>
      <c r="GI302" s="264"/>
      <c r="GJ302" s="265"/>
      <c r="GM302" s="123" t="s">
        <v>198</v>
      </c>
      <c r="GN302" s="264"/>
      <c r="GO302" s="265"/>
      <c r="GP302" s="264"/>
      <c r="GQ302" s="265"/>
      <c r="GR302" s="264"/>
      <c r="GS302" s="265"/>
      <c r="GT302" s="264"/>
      <c r="GU302" s="265"/>
      <c r="GV302" s="264"/>
      <c r="GW302" s="265"/>
      <c r="GX302" s="264"/>
      <c r="GY302" s="265"/>
      <c r="GZ302" s="224">
        <f>EXP(LN(GZ51)+0.5*LN('Ecoinvent 3.10'!$E$5)^2)</f>
        <v>3.7874242704018539</v>
      </c>
      <c r="HA302" s="50">
        <f>EXP(LN(HA51)+0.5*LN('Ecoinvent 3.10'!$E$5)^2)</f>
        <v>1.935794627094281</v>
      </c>
      <c r="HB302" s="264"/>
      <c r="HC302" s="265"/>
      <c r="HF302" s="123" t="s">
        <v>198</v>
      </c>
      <c r="HG302" s="264"/>
      <c r="HH302" s="265"/>
      <c r="HI302" s="264"/>
      <c r="HJ302" s="265"/>
      <c r="HK302" s="264"/>
      <c r="HL302" s="265"/>
      <c r="HM302" s="264"/>
      <c r="HN302" s="265"/>
      <c r="HO302" s="264"/>
      <c r="HP302" s="265"/>
      <c r="HQ302" s="264"/>
      <c r="HR302" s="265"/>
      <c r="HS302" s="224">
        <f>EXP(LN(HS51)+0.5*LN('Ecoinvent 3.10'!$E$5)^2)</f>
        <v>7.6824678542429652</v>
      </c>
      <c r="HT302" s="50">
        <f>EXP(LN(HT51)+0.5*LN('Ecoinvent 3.10'!$E$5)^2)</f>
        <v>3.9265946810575159</v>
      </c>
      <c r="HU302" s="264"/>
      <c r="HV302" s="265"/>
      <c r="HY302" s="123"/>
      <c r="HZ302" s="224"/>
      <c r="IA302" s="50"/>
      <c r="IB302" s="224"/>
      <c r="IC302" s="50"/>
      <c r="ID302" s="224"/>
      <c r="IE302" s="50"/>
      <c r="IF302" s="224"/>
      <c r="IG302" s="50"/>
      <c r="IH302" s="224"/>
      <c r="II302" s="50"/>
      <c r="IJ302" s="224"/>
      <c r="IK302" s="50"/>
      <c r="IL302" s="224"/>
      <c r="IM302" s="224"/>
      <c r="IN302" s="224"/>
      <c r="IO302" s="224"/>
    </row>
    <row r="303" spans="2:249" ht="12.75" customHeight="1" x14ac:dyDescent="0.2">
      <c r="B303" s="248"/>
      <c r="C303" s="248"/>
      <c r="D303" s="248"/>
      <c r="E303" s="248"/>
      <c r="F303" s="248"/>
      <c r="G303" s="248"/>
      <c r="H303" s="248"/>
      <c r="I303" s="248"/>
      <c r="J303" s="248"/>
      <c r="K303" s="248"/>
      <c r="L303" s="248"/>
      <c r="M303" s="248"/>
      <c r="N303" s="248"/>
      <c r="O303" s="248"/>
      <c r="P303" s="248"/>
      <c r="Q303" s="248"/>
      <c r="R303" s="248"/>
      <c r="S303" s="248"/>
      <c r="T303" s="248"/>
      <c r="U303" s="248"/>
      <c r="V303" s="248"/>
      <c r="W303" s="248"/>
      <c r="X303" s="248"/>
      <c r="Y303" s="248"/>
      <c r="Z303" s="248"/>
      <c r="AA303" s="248"/>
      <c r="AB303" s="248"/>
      <c r="AC303" s="248"/>
      <c r="AD303" s="248"/>
      <c r="AE303" s="248"/>
      <c r="AF303" s="248"/>
      <c r="AG303" s="248"/>
      <c r="AH303" s="248"/>
      <c r="AI303" s="248"/>
      <c r="AJ303" s="248"/>
      <c r="AK303" s="248"/>
      <c r="AL303" s="248"/>
      <c r="AM303" s="248"/>
      <c r="AN303" s="130"/>
      <c r="AO303" s="248"/>
      <c r="AP303" s="726"/>
      <c r="AQ303" s="123" t="s">
        <v>197</v>
      </c>
      <c r="AR303" s="224">
        <f t="shared" ref="AR303:BC303" si="3116">SUM(AR304:AR310)</f>
        <v>32.900581949204657</v>
      </c>
      <c r="AS303" s="50">
        <f t="shared" si="3116"/>
        <v>32.676461121540036</v>
      </c>
      <c r="AT303" s="224">
        <f t="shared" si="3116"/>
        <v>32.900581949204657</v>
      </c>
      <c r="AU303" s="50">
        <f t="shared" si="3116"/>
        <v>32.676461121540036</v>
      </c>
      <c r="AV303" s="224">
        <f t="shared" si="3116"/>
        <v>32.900581949204671</v>
      </c>
      <c r="AW303" s="50">
        <f t="shared" si="3116"/>
        <v>32.676461121540036</v>
      </c>
      <c r="AX303" s="224">
        <f t="shared" si="3116"/>
        <v>26.080898388121739</v>
      </c>
      <c r="AY303" s="50">
        <f t="shared" si="3116"/>
        <v>25.906258782149326</v>
      </c>
      <c r="AZ303" s="224">
        <f t="shared" si="3116"/>
        <v>21.727908881047554</v>
      </c>
      <c r="BA303" s="50">
        <f t="shared" si="3116"/>
        <v>21.584853033602055</v>
      </c>
      <c r="BB303" s="224">
        <f t="shared" si="3116"/>
        <v>37.013154692855238</v>
      </c>
      <c r="BC303" s="50">
        <f t="shared" si="3116"/>
        <v>36.761018761732558</v>
      </c>
      <c r="BD303" s="224">
        <f>SUM(BD305:BD310)</f>
        <v>14.892777243296363</v>
      </c>
      <c r="BE303" s="50">
        <f>SUM(BE305:BE310)</f>
        <v>14.616148107436031</v>
      </c>
      <c r="BF303" s="224">
        <f>SUM(BF305:BF310)</f>
        <v>281.00894105406627</v>
      </c>
      <c r="BG303" s="50">
        <f>SUM(BG305:BG310)</f>
        <v>143.62679209430055</v>
      </c>
      <c r="BI303" s="156"/>
      <c r="BJ303" s="123" t="s">
        <v>197</v>
      </c>
      <c r="BK303" s="224">
        <f t="shared" ref="BK303:BV303" si="3117">SUM(BK304:BK310)</f>
        <v>7.2069135523428898</v>
      </c>
      <c r="BL303" s="50">
        <f t="shared" si="3117"/>
        <v>7.182405630227513</v>
      </c>
      <c r="BM303" s="224">
        <f t="shared" si="3117"/>
        <v>7.2069135523428871</v>
      </c>
      <c r="BN303" s="50">
        <f t="shared" si="3117"/>
        <v>7.182405630227513</v>
      </c>
      <c r="BO303" s="224">
        <f t="shared" si="3117"/>
        <v>7.2069135523428898</v>
      </c>
      <c r="BP303" s="50">
        <f t="shared" si="3117"/>
        <v>7.1824056302275148</v>
      </c>
      <c r="BQ303" s="224">
        <f t="shared" si="3117"/>
        <v>5.7481963362857993</v>
      </c>
      <c r="BR303" s="50">
        <f t="shared" si="3117"/>
        <v>5.7290992541179788</v>
      </c>
      <c r="BS303" s="224">
        <f t="shared" si="3117"/>
        <v>4.817100240930217</v>
      </c>
      <c r="BT303" s="50">
        <f t="shared" si="3117"/>
        <v>4.801456886388487</v>
      </c>
      <c r="BU303" s="224">
        <f t="shared" si="3117"/>
        <v>8.1077777463857501</v>
      </c>
      <c r="BV303" s="50">
        <f t="shared" si="3117"/>
        <v>8.080206334005954</v>
      </c>
      <c r="BW303" s="224">
        <f>SUM(BW305:BW310)</f>
        <v>3.9538803003584913</v>
      </c>
      <c r="BX303" s="50">
        <f>SUM(BX305:BX310)</f>
        <v>3.9236305222046566</v>
      </c>
      <c r="BY303" s="224">
        <f>SUM(BY305:BY310)</f>
        <v>75.789520113338213</v>
      </c>
      <c r="BZ303" s="50">
        <f>SUM(BZ305:BZ310)</f>
        <v>38.736865835706197</v>
      </c>
      <c r="CA303" s="156"/>
      <c r="CB303" s="156"/>
      <c r="CC303" s="123" t="s">
        <v>197</v>
      </c>
      <c r="CD303" s="224">
        <f t="shared" ref="CD303:CO303" si="3118">SUM(CD304:CD310)</f>
        <v>425.7031461611777</v>
      </c>
      <c r="CE303" s="50">
        <f t="shared" si="3118"/>
        <v>425.55778777295666</v>
      </c>
      <c r="CF303" s="224">
        <f t="shared" si="3118"/>
        <v>425.7031461611777</v>
      </c>
      <c r="CG303" s="50">
        <f t="shared" si="3118"/>
        <v>425.55778777295666</v>
      </c>
      <c r="CH303" s="224">
        <f t="shared" si="3118"/>
        <v>425.7031461611777</v>
      </c>
      <c r="CI303" s="50">
        <f t="shared" si="3118"/>
        <v>425.55778777295666</v>
      </c>
      <c r="CJ303" s="224">
        <f t="shared" si="3118"/>
        <v>354.8602835825493</v>
      </c>
      <c r="CK303" s="50">
        <f t="shared" si="3118"/>
        <v>354.74701730601345</v>
      </c>
      <c r="CL303" s="224">
        <f t="shared" si="3118"/>
        <v>309.64143512810574</v>
      </c>
      <c r="CM303" s="50">
        <f t="shared" si="3118"/>
        <v>309.54865317817746</v>
      </c>
      <c r="CN303" s="224">
        <f t="shared" si="3118"/>
        <v>478.91603943132503</v>
      </c>
      <c r="CO303" s="50">
        <f t="shared" si="3118"/>
        <v>478.75251124457634</v>
      </c>
      <c r="CP303" s="224">
        <f>SUM(CP305:CP310)</f>
        <v>12.074574354957321</v>
      </c>
      <c r="CQ303" s="50">
        <f>SUM(CQ305:CQ310)</f>
        <v>11.895160572924501</v>
      </c>
      <c r="CR303" s="224">
        <f>SUM(CR305:CR310)</f>
        <v>598.331698812642</v>
      </c>
      <c r="CS303" s="50">
        <f>SUM(CS305:CS310)</f>
        <v>305.81397939312814</v>
      </c>
      <c r="CV303" s="123" t="s">
        <v>197</v>
      </c>
      <c r="CW303" s="224">
        <f t="shared" ref="CW303:DH303" si="3119">SUM(CW304:CW310)</f>
        <v>7.3368765580766618E-2</v>
      </c>
      <c r="CX303" s="50">
        <f t="shared" si="3119"/>
        <v>7.3306555234233628E-2</v>
      </c>
      <c r="CY303" s="224">
        <f t="shared" si="3119"/>
        <v>7.336876558076659E-2</v>
      </c>
      <c r="CZ303" s="50">
        <f t="shared" si="3119"/>
        <v>7.3306555234233628E-2</v>
      </c>
      <c r="DA303" s="224">
        <f t="shared" si="3119"/>
        <v>7.3368765580766618E-2</v>
      </c>
      <c r="DB303" s="50">
        <f t="shared" si="3119"/>
        <v>7.3306555234233628E-2</v>
      </c>
      <c r="DC303" s="224">
        <f t="shared" si="3119"/>
        <v>5.5741650462371908E-2</v>
      </c>
      <c r="DD303" s="50">
        <f t="shared" si="3119"/>
        <v>5.5693174867670912E-2</v>
      </c>
      <c r="DE303" s="224">
        <f t="shared" si="3119"/>
        <v>4.4490300386800873E-2</v>
      </c>
      <c r="DF303" s="50">
        <f t="shared" si="3119"/>
        <v>4.4450591654971297E-2</v>
      </c>
      <c r="DG303" s="224">
        <f t="shared" si="3119"/>
        <v>8.253986127836245E-2</v>
      </c>
      <c r="DH303" s="50">
        <f t="shared" si="3119"/>
        <v>8.2469874638512838E-2</v>
      </c>
      <c r="DI303" s="224">
        <f>SUM(DI305:DI310)</f>
        <v>1.8104970899369681E-2</v>
      </c>
      <c r="DJ303" s="50">
        <f>SUM(DJ305:DJ310)</f>
        <v>1.8028185557363272E-2</v>
      </c>
      <c r="DK303" s="224">
        <f>SUM(DK305:DK310)</f>
        <v>0.3679498797183432</v>
      </c>
      <c r="DL303" s="50">
        <f>SUM(DL305:DL310)</f>
        <v>0.1880632718560421</v>
      </c>
      <c r="DO303" s="123" t="s">
        <v>197</v>
      </c>
      <c r="DP303" s="224">
        <f t="shared" ref="DP303:EA303" si="3120">SUM(DP304:DP310)</f>
        <v>5.9599815098277061E-2</v>
      </c>
      <c r="DQ303" s="50">
        <f t="shared" si="3120"/>
        <v>5.9286577938625996E-2</v>
      </c>
      <c r="DR303" s="224">
        <f t="shared" si="3120"/>
        <v>5.959981509827704E-2</v>
      </c>
      <c r="DS303" s="50">
        <f t="shared" si="3120"/>
        <v>5.9286577938625996E-2</v>
      </c>
      <c r="DT303" s="224">
        <f t="shared" si="3120"/>
        <v>5.9599815098277067E-2</v>
      </c>
      <c r="DU303" s="50">
        <f t="shared" si="3120"/>
        <v>5.9286577938625996E-2</v>
      </c>
      <c r="DV303" s="224">
        <f t="shared" si="3120"/>
        <v>4.6468474968028452E-2</v>
      </c>
      <c r="DW303" s="50">
        <f t="shared" si="3120"/>
        <v>4.6224394064404276E-2</v>
      </c>
      <c r="DX303" s="224">
        <f t="shared" si="3120"/>
        <v>3.8086768501912359E-2</v>
      </c>
      <c r="DY303" s="50">
        <f t="shared" si="3120"/>
        <v>3.7886829889369131E-2</v>
      </c>
      <c r="DZ303" s="224">
        <f t="shared" si="3120"/>
        <v>6.7049791985561699E-2</v>
      </c>
      <c r="EA303" s="50">
        <f t="shared" si="3120"/>
        <v>6.6697400180954269E-2</v>
      </c>
      <c r="EB303" s="224">
        <f>SUM(EB305:EB310)</f>
        <v>2.3751837062012036E-2</v>
      </c>
      <c r="EC303" s="50">
        <f>SUM(EC305:EC310)</f>
        <v>2.3365212910671316E-2</v>
      </c>
      <c r="ED303" s="224">
        <f>SUM(ED305:ED310)</f>
        <v>147.40269053743046</v>
      </c>
      <c r="EE303" s="50">
        <f>SUM(EE305:EE310)</f>
        <v>75.339152941353348</v>
      </c>
      <c r="EH303" s="123" t="s">
        <v>197</v>
      </c>
      <c r="EI303" s="224">
        <f t="shared" ref="EI303:ET303" si="3121">SUM(EI304:EI310)</f>
        <v>1.8311558986926418E-2</v>
      </c>
      <c r="EJ303" s="50">
        <f t="shared" si="3121"/>
        <v>1.826587284615825E-2</v>
      </c>
      <c r="EK303" s="224">
        <f t="shared" si="3121"/>
        <v>1.8311558986926414E-2</v>
      </c>
      <c r="EL303" s="50">
        <f t="shared" si="3121"/>
        <v>1.826587284615825E-2</v>
      </c>
      <c r="EM303" s="224">
        <f t="shared" si="3121"/>
        <v>1.8311558986926418E-2</v>
      </c>
      <c r="EN303" s="50">
        <f t="shared" si="3121"/>
        <v>1.826587284615825E-2</v>
      </c>
      <c r="EO303" s="224">
        <f t="shared" si="3121"/>
        <v>1.7494186974898997E-2</v>
      </c>
      <c r="EP303" s="50">
        <f t="shared" si="3121"/>
        <v>1.7458587384690031E-2</v>
      </c>
      <c r="EQ303" s="224">
        <f t="shared" si="3121"/>
        <v>1.6972460158711285E-2</v>
      </c>
      <c r="ER303" s="50">
        <f t="shared" si="3121"/>
        <v>1.6943298792263511E-2</v>
      </c>
      <c r="ES303" s="224">
        <f t="shared" si="3121"/>
        <v>2.0600503860292222E-2</v>
      </c>
      <c r="ET303" s="50">
        <f t="shared" si="3121"/>
        <v>2.0549106951928037E-2</v>
      </c>
      <c r="EU303" s="224">
        <f>SUM(EU305:EU310)</f>
        <v>1.0844620779522455E-2</v>
      </c>
      <c r="EV303" s="50">
        <f>SUM(EV305:EV310)</f>
        <v>1.0788231028631448E-2</v>
      </c>
      <c r="EW303" s="224">
        <f>SUM(EW305:EW310)</f>
        <v>0.67297609078538034</v>
      </c>
      <c r="EX303" s="50">
        <f>SUM(EX305:EX310)</f>
        <v>0.34396555751252772</v>
      </c>
      <c r="FA303" s="123" t="s">
        <v>197</v>
      </c>
      <c r="FB303" s="224">
        <f t="shared" ref="FB303:FM303" si="3122">SUM(FB304:FB310)</f>
        <v>1.1882377814511425E-3</v>
      </c>
      <c r="FC303" s="50">
        <f t="shared" si="3122"/>
        <v>1.1866821204761084E-3</v>
      </c>
      <c r="FD303" s="224">
        <f t="shared" si="3122"/>
        <v>1.1882377814511425E-3</v>
      </c>
      <c r="FE303" s="50">
        <f t="shared" si="3122"/>
        <v>1.1866821204761084E-3</v>
      </c>
      <c r="FF303" s="224">
        <f t="shared" si="3122"/>
        <v>1.1882377814511434E-3</v>
      </c>
      <c r="FG303" s="50">
        <f t="shared" si="3122"/>
        <v>1.1866821204761084E-3</v>
      </c>
      <c r="FH303" s="224">
        <f t="shared" si="3122"/>
        <v>9.9885191252018488E-4</v>
      </c>
      <c r="FI303" s="50">
        <f t="shared" si="3122"/>
        <v>9.9763970916301632E-4</v>
      </c>
      <c r="FJ303" s="224">
        <f t="shared" si="3122"/>
        <v>8.7796731533021225E-4</v>
      </c>
      <c r="FK303" s="50">
        <f t="shared" si="3122"/>
        <v>8.7697434023976495E-4</v>
      </c>
      <c r="FL303" s="224">
        <f t="shared" si="3122"/>
        <v>1.3367675041325354E-3</v>
      </c>
      <c r="FM303" s="50">
        <f t="shared" si="3122"/>
        <v>1.3350173855356223E-3</v>
      </c>
      <c r="FN303" s="224">
        <f>SUM(FN305:FN310)</f>
        <v>1.5134175130372541E-3</v>
      </c>
      <c r="FO303" s="50">
        <f>SUM(FO305:FO310)</f>
        <v>1.5114973829194981E-3</v>
      </c>
      <c r="FP303" s="224">
        <f>SUM(FP305:FP310)</f>
        <v>3.7639239306864712E-2</v>
      </c>
      <c r="FQ303" s="50">
        <f>SUM(FQ305:FQ310)</f>
        <v>1.9237833423508623E-2</v>
      </c>
      <c r="FT303" s="123" t="s">
        <v>197</v>
      </c>
      <c r="FU303" s="224">
        <f t="shared" ref="FU303:GF303" si="3123">SUM(FU304:FU310)</f>
        <v>0.16714110294812798</v>
      </c>
      <c r="FV303" s="50">
        <f t="shared" si="3123"/>
        <v>0.16667227532794121</v>
      </c>
      <c r="FW303" s="224">
        <f t="shared" si="3123"/>
        <v>0.1671411029481279</v>
      </c>
      <c r="FX303" s="50">
        <f t="shared" si="3123"/>
        <v>0.16667227532794118</v>
      </c>
      <c r="FY303" s="224">
        <f t="shared" si="3123"/>
        <v>0.16714110294812798</v>
      </c>
      <c r="FZ303" s="50">
        <f t="shared" si="3123"/>
        <v>0.16667227532794127</v>
      </c>
      <c r="GA303" s="224">
        <f t="shared" si="3123"/>
        <v>0.13184965300706922</v>
      </c>
      <c r="GB303" s="50">
        <f t="shared" si="3123"/>
        <v>0.13148433278354718</v>
      </c>
      <c r="GC303" s="224">
        <f t="shared" si="3123"/>
        <v>0.10932319559788291</v>
      </c>
      <c r="GD303" s="50">
        <f t="shared" si="3123"/>
        <v>0.10902394392542329</v>
      </c>
      <c r="GE303" s="224">
        <f t="shared" si="3123"/>
        <v>0.18803374081664395</v>
      </c>
      <c r="GF303" s="50">
        <f t="shared" si="3123"/>
        <v>0.1875063097439339</v>
      </c>
      <c r="GG303" s="224">
        <f>SUM(GG305:GG310)</f>
        <v>7.4091087971274991E-2</v>
      </c>
      <c r="GH303" s="50">
        <f>SUM(GH305:GH310)</f>
        <v>7.3512420737215936E-2</v>
      </c>
      <c r="GI303" s="224">
        <f>SUM(GI305:GI310)</f>
        <v>5.2207963674447315</v>
      </c>
      <c r="GJ303" s="50">
        <f>SUM(GJ305:GJ310)</f>
        <v>2.668407032249529</v>
      </c>
      <c r="GM303" s="123" t="s">
        <v>197</v>
      </c>
      <c r="GN303" s="224">
        <f t="shared" ref="GN303:GY303" si="3124">SUM(GN304:GN310)</f>
        <v>0.86078867406264636</v>
      </c>
      <c r="GO303" s="50">
        <f t="shared" si="3124"/>
        <v>0.8581199589787275</v>
      </c>
      <c r="GP303" s="224">
        <f t="shared" si="3124"/>
        <v>0.86078867406264614</v>
      </c>
      <c r="GQ303" s="50">
        <f t="shared" si="3124"/>
        <v>0.85811995897872739</v>
      </c>
      <c r="GR303" s="224">
        <f t="shared" si="3124"/>
        <v>0.86078867406264647</v>
      </c>
      <c r="GS303" s="50">
        <f t="shared" si="3124"/>
        <v>0.85811995897872761</v>
      </c>
      <c r="GT303" s="224">
        <f t="shared" si="3124"/>
        <v>0.67005151078567549</v>
      </c>
      <c r="GU303" s="50">
        <f t="shared" si="3124"/>
        <v>0.66797199253846651</v>
      </c>
      <c r="GV303" s="224">
        <f t="shared" si="3124"/>
        <v>0.54830438528973713</v>
      </c>
      <c r="GW303" s="50">
        <f t="shared" si="3124"/>
        <v>0.54660095012978904</v>
      </c>
      <c r="GX303" s="224">
        <f t="shared" si="3124"/>
        <v>0.96838725832047723</v>
      </c>
      <c r="GY303" s="50">
        <f t="shared" si="3124"/>
        <v>0.96538495385106893</v>
      </c>
      <c r="GZ303" s="224">
        <f>SUM(GZ305:GZ310)</f>
        <v>0.35161640316513271</v>
      </c>
      <c r="HA303" s="50">
        <f>SUM(HA305:HA310)</f>
        <v>0.34832244626155306</v>
      </c>
      <c r="HB303" s="224">
        <f>SUM(HB305:HB310)</f>
        <v>13.872666086041621</v>
      </c>
      <c r="HC303" s="50">
        <f>SUM(HC305:HC310)</f>
        <v>7.0904737773101605</v>
      </c>
      <c r="HF303" s="123" t="s">
        <v>197</v>
      </c>
      <c r="HG303" s="224">
        <f t="shared" ref="HG303:HR303" si="3125">SUM(HG304:HG310)</f>
        <v>4.9178874509206807</v>
      </c>
      <c r="HH303" s="50">
        <f t="shared" si="3125"/>
        <v>4.9095275162056691</v>
      </c>
      <c r="HI303" s="224">
        <f t="shared" si="3125"/>
        <v>4.9178874509206798</v>
      </c>
      <c r="HJ303" s="50">
        <f t="shared" si="3125"/>
        <v>4.9095275162056691</v>
      </c>
      <c r="HK303" s="224">
        <f t="shared" si="3125"/>
        <v>4.9178874509206807</v>
      </c>
      <c r="HL303" s="50">
        <f t="shared" si="3125"/>
        <v>4.9095275162056691</v>
      </c>
      <c r="HM303" s="224">
        <f t="shared" si="3125"/>
        <v>3.8826709466609093</v>
      </c>
      <c r="HN303" s="50">
        <f t="shared" si="3125"/>
        <v>3.876156711818044</v>
      </c>
      <c r="HO303" s="224">
        <f t="shared" si="3125"/>
        <v>3.2218944545802066</v>
      </c>
      <c r="HP303" s="50">
        <f t="shared" si="3125"/>
        <v>3.2165583260387103</v>
      </c>
      <c r="HQ303" s="224">
        <f t="shared" si="3125"/>
        <v>5.5326233822857649</v>
      </c>
      <c r="HR303" s="50">
        <f t="shared" si="3125"/>
        <v>5.5232184557313788</v>
      </c>
      <c r="HS303" s="224">
        <f>SUM(HS305:HS310)</f>
        <v>0.21572162268195433</v>
      </c>
      <c r="HT303" s="50">
        <f>SUM(HT305:HT310)</f>
        <v>0.20540307469085431</v>
      </c>
      <c r="HU303" s="224">
        <f>SUM(HU305:HU310)</f>
        <v>121.06923400222784</v>
      </c>
      <c r="HV303" s="50">
        <f>SUM(HV305:HV310)</f>
        <v>61.879830712249792</v>
      </c>
      <c r="HY303" s="123" t="s">
        <v>197</v>
      </c>
      <c r="HZ303" s="224">
        <f t="shared" ref="HZ303:IK303" si="3126">SUM(HZ304:HZ310)</f>
        <v>2.6009872588388452E-2</v>
      </c>
      <c r="IA303" s="50">
        <f t="shared" si="3126"/>
        <v>2.597877754286124E-2</v>
      </c>
      <c r="IB303" s="224">
        <f t="shared" si="3126"/>
        <v>2.6009872588388442E-2</v>
      </c>
      <c r="IC303" s="50">
        <f t="shared" si="3126"/>
        <v>2.597877754286124E-2</v>
      </c>
      <c r="ID303" s="224">
        <f t="shared" si="3126"/>
        <v>2.6009872588388452E-2</v>
      </c>
      <c r="IE303" s="50">
        <f t="shared" si="3126"/>
        <v>2.5978777542861251E-2</v>
      </c>
      <c r="IF303" s="224">
        <f t="shared" si="3126"/>
        <v>1.9939031594751109E-2</v>
      </c>
      <c r="IG303" s="50">
        <f t="shared" si="3126"/>
        <v>1.9914801689145504E-2</v>
      </c>
      <c r="IH303" s="224">
        <f t="shared" si="3126"/>
        <v>1.6064026705195373E-2</v>
      </c>
      <c r="II303" s="50">
        <f t="shared" si="3126"/>
        <v>1.6044178803795026E-2</v>
      </c>
      <c r="IJ303" s="224">
        <f t="shared" si="3126"/>
        <v>2.9261106661937014E-2</v>
      </c>
      <c r="IK303" s="50">
        <f t="shared" si="3126"/>
        <v>2.9226124735718909E-2</v>
      </c>
      <c r="IL303" s="224"/>
      <c r="IM303" s="224"/>
      <c r="IN303" s="224"/>
      <c r="IO303" s="224"/>
    </row>
    <row r="304" spans="2:249" ht="12.75" customHeight="1" x14ac:dyDescent="0.2">
      <c r="B304" s="248"/>
      <c r="C304" s="248"/>
      <c r="D304" s="248"/>
      <c r="E304" s="248"/>
      <c r="F304" s="248"/>
      <c r="G304" s="248"/>
      <c r="H304" s="248"/>
      <c r="I304" s="248"/>
      <c r="J304" s="248"/>
      <c r="K304" s="248"/>
      <c r="L304" s="248"/>
      <c r="M304" s="248"/>
      <c r="N304" s="248"/>
      <c r="O304" s="248"/>
      <c r="P304" s="248"/>
      <c r="Q304" s="248"/>
      <c r="R304" s="248"/>
      <c r="S304" s="248"/>
      <c r="T304" s="248"/>
      <c r="U304" s="248"/>
      <c r="V304" s="248"/>
      <c r="W304" s="248"/>
      <c r="X304" s="248"/>
      <c r="Y304" s="248"/>
      <c r="Z304" s="248"/>
      <c r="AA304" s="248"/>
      <c r="AB304" s="248"/>
      <c r="AC304" s="248"/>
      <c r="AD304" s="248"/>
      <c r="AE304" s="248"/>
      <c r="AF304" s="248"/>
      <c r="AG304" s="248"/>
      <c r="AH304" s="248"/>
      <c r="AI304" s="248"/>
      <c r="AJ304" s="248"/>
      <c r="AK304" s="248"/>
      <c r="AL304" s="248"/>
      <c r="AM304" s="248"/>
      <c r="AN304" s="137"/>
      <c r="AO304" s="248"/>
      <c r="AP304" s="726"/>
      <c r="AQ304" s="147" t="s">
        <v>59</v>
      </c>
      <c r="AR304" s="224">
        <f>EXP(LN(AR53)+0.5*LN('Ecoinvent 3.10'!$E$27)^2)</f>
        <v>31.552247026687834</v>
      </c>
      <c r="AS304" s="50">
        <f>EXP(LN(AS53)+0.5*LN('Ecoinvent 3.10'!$E$27)^2)</f>
        <v>31.552247026687834</v>
      </c>
      <c r="AT304" s="224">
        <f>EXP(LN(AT53)+0.5*LN('Ecoinvent 3.10'!$E$27)^2)</f>
        <v>31.552247026687834</v>
      </c>
      <c r="AU304" s="50">
        <f>EXP(LN(AU53)+0.5*LN('Ecoinvent 3.10'!$E$27)^2)</f>
        <v>31.552247026687834</v>
      </c>
      <c r="AV304" s="224">
        <f>EXP(LN(AV53)+0.5*LN('Ecoinvent 3.10'!$E$27)^2)</f>
        <v>31.552247026687848</v>
      </c>
      <c r="AW304" s="50">
        <f>EXP(LN(AW53)+0.5*LN('Ecoinvent 3.10'!$E$27)^2)</f>
        <v>31.552247026687834</v>
      </c>
      <c r="AX304" s="224">
        <f>EXP(LN(AX53)+0.5*LN('Ecoinvent 3.10'!$E$27)^2)</f>
        <v>23.356858188587093</v>
      </c>
      <c r="AY304" s="50">
        <f>EXP(LN(AY53)+0.5*LN('Ecoinvent 3.10'!$E$27)^2)</f>
        <v>23.356858188587104</v>
      </c>
      <c r="AZ304" s="224">
        <f>EXP(LN(AZ53)+0.5*LN('Ecoinvent 3.10'!$E$27)^2)</f>
        <v>18.125758930224929</v>
      </c>
      <c r="BA304" s="50">
        <f>EXP(LN(BA53)+0.5*LN('Ecoinvent 3.10'!$E$27)^2)</f>
        <v>18.125758930224929</v>
      </c>
      <c r="BB304" s="224">
        <f>EXP(LN(BB53)+0.5*LN('Ecoinvent 3.10'!$E$27)^2)</f>
        <v>35.49627790502381</v>
      </c>
      <c r="BC304" s="50">
        <f>EXP(LN(BC53)+0.5*LN('Ecoinvent 3.10'!$E$27)^2)</f>
        <v>35.496277905023824</v>
      </c>
      <c r="BD304" s="264"/>
      <c r="BE304" s="265"/>
      <c r="BF304" s="264"/>
      <c r="BG304" s="265"/>
      <c r="BI304" s="156"/>
      <c r="BJ304" s="147" t="s">
        <v>59</v>
      </c>
      <c r="BK304" s="224">
        <f>EXP(LN(BK53)+0.5*LN('Ecoinvent 3.10'!$E$27)^2)</f>
        <v>7.0125118551115735</v>
      </c>
      <c r="BL304" s="50">
        <f>EXP(LN(BL53)+0.5*LN('Ecoinvent 3.10'!$E$27)^2)</f>
        <v>7.0125118551115708</v>
      </c>
      <c r="BM304" s="224">
        <f>EXP(LN(BM53)+0.5*LN('Ecoinvent 3.10'!$E$27)^2)</f>
        <v>7.0125118551115708</v>
      </c>
      <c r="BN304" s="50">
        <f>EXP(LN(BN53)+0.5*LN('Ecoinvent 3.10'!$E$27)^2)</f>
        <v>7.0125118551115708</v>
      </c>
      <c r="BO304" s="224">
        <f>EXP(LN(BO53)+0.5*LN('Ecoinvent 3.10'!$E$27)^2)</f>
        <v>7.0125118551115735</v>
      </c>
      <c r="BP304" s="50">
        <f>EXP(LN(BP53)+0.5*LN('Ecoinvent 3.10'!$E$27)^2)</f>
        <v>7.0125118551115726</v>
      </c>
      <c r="BQ304" s="224">
        <f>EXP(LN(BQ53)+0.5*LN('Ecoinvent 3.10'!$E$27)^2)</f>
        <v>5.1910802044332396</v>
      </c>
      <c r="BR304" s="50">
        <f>EXP(LN(BR53)+0.5*LN('Ecoinvent 3.10'!$E$27)^2)</f>
        <v>5.1910802044332423</v>
      </c>
      <c r="BS304" s="224">
        <f>EXP(LN(BS53)+0.5*LN('Ecoinvent 3.10'!$E$27)^2)</f>
        <v>4.0284642571917564</v>
      </c>
      <c r="BT304" s="50">
        <f>EXP(LN(BT53)+0.5*LN('Ecoinvent 3.10'!$E$27)^2)</f>
        <v>4.0284642571917546</v>
      </c>
      <c r="BU304" s="224">
        <f>EXP(LN(BU53)+0.5*LN('Ecoinvent 3.10'!$E$27)^2)</f>
        <v>7.8890758370005196</v>
      </c>
      <c r="BV304" s="50">
        <f>EXP(LN(BV53)+0.5*LN('Ecoinvent 3.10'!$E$27)^2)</f>
        <v>7.8890758370005196</v>
      </c>
      <c r="BW304" s="264"/>
      <c r="BX304" s="265"/>
      <c r="BY304" s="264"/>
      <c r="BZ304" s="265"/>
      <c r="CA304" s="156"/>
      <c r="CB304" s="156"/>
      <c r="CC304" s="147" t="s">
        <v>59</v>
      </c>
      <c r="CD304" s="224">
        <f>EXP(LN(CD53)+0.5*LN('Ecoinvent 3.10'!$E$27)^2)</f>
        <v>424.33008508336991</v>
      </c>
      <c r="CE304" s="50">
        <f>EXP(LN(CE53)+0.5*LN('Ecoinvent 3.10'!$E$27)^2)</f>
        <v>424.33008508336991</v>
      </c>
      <c r="CF304" s="224">
        <f>EXP(LN(CF53)+0.5*LN('Ecoinvent 3.10'!$E$27)^2)</f>
        <v>424.33008508336991</v>
      </c>
      <c r="CG304" s="50">
        <f>EXP(LN(CG53)+0.5*LN('Ecoinvent 3.10'!$E$27)^2)</f>
        <v>424.33008508336991</v>
      </c>
      <c r="CH304" s="224">
        <f>EXP(LN(CH53)+0.5*LN('Ecoinvent 3.10'!$E$27)^2)</f>
        <v>424.33008508336991</v>
      </c>
      <c r="CI304" s="50">
        <f>EXP(LN(CI53)+0.5*LN('Ecoinvent 3.10'!$E$27)^2)</f>
        <v>424.33008508336991</v>
      </c>
      <c r="CJ304" s="224">
        <f>EXP(LN(CJ53)+0.5*LN('Ecoinvent 3.10'!$E$27)^2)</f>
        <v>314.11447856820882</v>
      </c>
      <c r="CK304" s="50">
        <f>EXP(LN(CK53)+0.5*LN('Ecoinvent 3.10'!$E$27)^2)</f>
        <v>314.11447856820882</v>
      </c>
      <c r="CL304" s="224">
        <f>EXP(LN(CL53)+0.5*LN('Ecoinvent 3.10'!$E$27)^2)</f>
        <v>243.7640914308721</v>
      </c>
      <c r="CM304" s="50">
        <f>EXP(LN(CM53)+0.5*LN('Ecoinvent 3.10'!$E$27)^2)</f>
        <v>243.7640914308721</v>
      </c>
      <c r="CN304" s="224">
        <f>EXP(LN(CN53)+0.5*LN('Ecoinvent 3.10'!$E$27)^2)</f>
        <v>477.3713457187913</v>
      </c>
      <c r="CO304" s="50">
        <f>EXP(LN(CO53)+0.5*LN('Ecoinvent 3.10'!$E$27)^2)</f>
        <v>477.3713457187913</v>
      </c>
      <c r="CP304" s="264"/>
      <c r="CQ304" s="265"/>
      <c r="CR304" s="264"/>
      <c r="CS304" s="265"/>
      <c r="CV304" s="147" t="s">
        <v>59</v>
      </c>
      <c r="CW304" s="224">
        <f>EXP(LN(CW53)+0.5*LN('Ecoinvent 3.10'!$E$27)^2)</f>
        <v>7.2776065685480174E-2</v>
      </c>
      <c r="CX304" s="50">
        <f>EXP(LN(CX53)+0.5*LN('Ecoinvent 3.10'!$E$27)^2)</f>
        <v>7.2776065685480146E-2</v>
      </c>
      <c r="CY304" s="224">
        <f>EXP(LN(CY53)+0.5*LN('Ecoinvent 3.10'!$E$27)^2)</f>
        <v>7.2776065685480146E-2</v>
      </c>
      <c r="CZ304" s="50">
        <f>EXP(LN(CZ53)+0.5*LN('Ecoinvent 3.10'!$E$27)^2)</f>
        <v>7.2776065685480146E-2</v>
      </c>
      <c r="DA304" s="224">
        <f>EXP(LN(DA53)+0.5*LN('Ecoinvent 3.10'!$E$27)^2)</f>
        <v>7.2776065685480174E-2</v>
      </c>
      <c r="DB304" s="50">
        <f>EXP(LN(DB53)+0.5*LN('Ecoinvent 3.10'!$E$27)^2)</f>
        <v>7.2776065685480146E-2</v>
      </c>
      <c r="DC304" s="224">
        <f>EXP(LN(DC53)+0.5*LN('Ecoinvent 3.10'!$E$27)^2)</f>
        <v>5.3873191481459318E-2</v>
      </c>
      <c r="DD304" s="50">
        <f>EXP(LN(DD53)+0.5*LN('Ecoinvent 3.10'!$E$27)^2)</f>
        <v>5.3873191481459345E-2</v>
      </c>
      <c r="DE304" s="224">
        <f>EXP(LN(DE53)+0.5*LN('Ecoinvent 3.10'!$E$27)^2)</f>
        <v>4.1807527095914156E-2</v>
      </c>
      <c r="DF304" s="50">
        <f>EXP(LN(DF53)+0.5*LN('Ecoinvent 3.10'!$E$27)^2)</f>
        <v>4.1807527095914135E-2</v>
      </c>
      <c r="DG304" s="224">
        <f>EXP(LN(DG53)+0.5*LN('Ecoinvent 3.10'!$E$27)^2)</f>
        <v>8.1873073896165188E-2</v>
      </c>
      <c r="DH304" s="50">
        <f>EXP(LN(DH53)+0.5*LN('Ecoinvent 3.10'!$E$27)^2)</f>
        <v>8.1873073896165188E-2</v>
      </c>
      <c r="DI304" s="264"/>
      <c r="DJ304" s="265"/>
      <c r="DK304" s="264"/>
      <c r="DL304" s="265"/>
      <c r="DO304" s="147" t="s">
        <v>59</v>
      </c>
      <c r="DP304" s="224">
        <f>EXP(LN(DP53)+0.5*LN('Ecoinvent 3.10'!$E$27)^2)</f>
        <v>4.9301835287852806E-2</v>
      </c>
      <c r="DQ304" s="50">
        <f>EXP(LN(DQ53)+0.5*LN('Ecoinvent 3.10'!$E$27)^2)</f>
        <v>4.9301835287852785E-2</v>
      </c>
      <c r="DR304" s="224">
        <f>EXP(LN(DR53)+0.5*LN('Ecoinvent 3.10'!$E$27)^2)</f>
        <v>4.9301835287852785E-2</v>
      </c>
      <c r="DS304" s="50">
        <f>EXP(LN(DS53)+0.5*LN('Ecoinvent 3.10'!$E$27)^2)</f>
        <v>4.9301835287852785E-2</v>
      </c>
      <c r="DT304" s="224">
        <f>EXP(LN(DT53)+0.5*LN('Ecoinvent 3.10'!$E$27)^2)</f>
        <v>4.9301835287852806E-2</v>
      </c>
      <c r="DU304" s="50">
        <f>EXP(LN(DU53)+0.5*LN('Ecoinvent 3.10'!$E$27)^2)</f>
        <v>4.9301835287852785E-2</v>
      </c>
      <c r="DV304" s="224">
        <f>EXP(LN(DV53)+0.5*LN('Ecoinvent 3.10'!$E$27)^2)</f>
        <v>3.6496163784514396E-2</v>
      </c>
      <c r="DW304" s="50">
        <f>EXP(LN(DW53)+0.5*LN('Ecoinvent 3.10'!$E$27)^2)</f>
        <v>3.649616378451441E-2</v>
      </c>
      <c r="DX304" s="224">
        <f>EXP(LN(DX53)+0.5*LN('Ecoinvent 3.10'!$E$27)^2)</f>
        <v>2.832233091004311E-2</v>
      </c>
      <c r="DY304" s="50">
        <f>EXP(LN(DY53)+0.5*LN('Ecoinvent 3.10'!$E$27)^2)</f>
        <v>2.8322330910043096E-2</v>
      </c>
      <c r="DZ304" s="224">
        <f>EXP(LN(DZ53)+0.5*LN('Ecoinvent 3.10'!$E$27)^2)</f>
        <v>5.5464564698834408E-2</v>
      </c>
      <c r="EA304" s="50">
        <f>EXP(LN(EA53)+0.5*LN('Ecoinvent 3.10'!$E$27)^2)</f>
        <v>5.5464564698834408E-2</v>
      </c>
      <c r="EB304" s="264"/>
      <c r="EC304" s="265"/>
      <c r="ED304" s="264"/>
      <c r="EE304" s="265"/>
      <c r="EH304" s="147" t="s">
        <v>59</v>
      </c>
      <c r="EI304" s="224">
        <f>EXP(LN(EI53)+0.5*LN('Ecoinvent 3.10'!$E$27)^2)</f>
        <v>1.7073017769458715E-2</v>
      </c>
      <c r="EJ304" s="50">
        <f>EXP(LN(EJ53)+0.5*LN('Ecoinvent 3.10'!$E$27)^2)</f>
        <v>1.7073017769458715E-2</v>
      </c>
      <c r="EK304" s="224">
        <f>EXP(LN(EK53)+0.5*LN('Ecoinvent 3.10'!$E$27)^2)</f>
        <v>1.7073017769458715E-2</v>
      </c>
      <c r="EL304" s="50">
        <f>EXP(LN(EL53)+0.5*LN('Ecoinvent 3.10'!$E$27)^2)</f>
        <v>1.7073017769458715E-2</v>
      </c>
      <c r="EM304" s="224">
        <f>EXP(LN(EM53)+0.5*LN('Ecoinvent 3.10'!$E$27)^2)</f>
        <v>1.7073017769458715E-2</v>
      </c>
      <c r="EN304" s="50">
        <f>EXP(LN(EN53)+0.5*LN('Ecoinvent 3.10'!$E$27)^2)</f>
        <v>1.7073017769458715E-2</v>
      </c>
      <c r="EO304" s="224">
        <f>EXP(LN(EO53)+0.5*LN('Ecoinvent 3.10'!$E$27)^2)</f>
        <v>1.2638467699469438E-2</v>
      </c>
      <c r="EP304" s="50">
        <f>EXP(LN(EP53)+0.5*LN('Ecoinvent 3.10'!$E$27)^2)</f>
        <v>1.2638467699469438E-2</v>
      </c>
      <c r="EQ304" s="224">
        <f>EXP(LN(EQ53)+0.5*LN('Ecoinvent 3.10'!$E$27)^2)</f>
        <v>9.8079038250082004E-3</v>
      </c>
      <c r="ER304" s="50">
        <f>EXP(LN(ER53)+0.5*LN('Ecoinvent 3.10'!$E$27)^2)</f>
        <v>9.8079038250082004E-3</v>
      </c>
      <c r="ES304" s="224">
        <f>EXP(LN(ES53)+0.5*LN('Ecoinvent 3.10'!$E$27)^2)</f>
        <v>1.9207144990641054E-2</v>
      </c>
      <c r="ET304" s="50">
        <f>EXP(LN(ET53)+0.5*LN('Ecoinvent 3.10'!$E$27)^2)</f>
        <v>1.9207144990641065E-2</v>
      </c>
      <c r="EU304" s="264"/>
      <c r="EV304" s="265"/>
      <c r="EW304" s="264"/>
      <c r="EX304" s="265"/>
      <c r="FA304" s="147" t="s">
        <v>59</v>
      </c>
      <c r="FB304" s="224">
        <f>EXP(LN(FB53)+0.5*LN('Ecoinvent 3.10'!$E$27)^2)</f>
        <v>1.1414886538158094E-3</v>
      </c>
      <c r="FC304" s="50">
        <f>EXP(LN(FC53)+0.5*LN('Ecoinvent 3.10'!$E$27)^2)</f>
        <v>1.1414886538158094E-3</v>
      </c>
      <c r="FD304" s="224">
        <f>EXP(LN(FD53)+0.5*LN('Ecoinvent 3.10'!$E$27)^2)</f>
        <v>1.1414886538158094E-3</v>
      </c>
      <c r="FE304" s="50">
        <f>EXP(LN(FE53)+0.5*LN('Ecoinvent 3.10'!$E$27)^2)</f>
        <v>1.1414886538158094E-3</v>
      </c>
      <c r="FF304" s="224">
        <f>EXP(LN(FF53)+0.5*LN('Ecoinvent 3.10'!$E$27)^2)</f>
        <v>1.1414886538158103E-3</v>
      </c>
      <c r="FG304" s="50">
        <f>EXP(LN(FG53)+0.5*LN('Ecoinvent 3.10'!$E$27)^2)</f>
        <v>1.1414886538158094E-3</v>
      </c>
      <c r="FH304" s="224">
        <f>EXP(LN(FH53)+0.5*LN('Ecoinvent 3.10'!$E$27)^2)</f>
        <v>8.4499809438313143E-4</v>
      </c>
      <c r="FI304" s="50">
        <f>EXP(LN(FI53)+0.5*LN('Ecoinvent 3.10'!$E$27)^2)</f>
        <v>8.4499809438313219E-4</v>
      </c>
      <c r="FJ304" s="224">
        <f>EXP(LN(FJ53)+0.5*LN('Ecoinvent 3.10'!$E$27)^2)</f>
        <v>6.5574880112823097E-4</v>
      </c>
      <c r="FK304" s="50">
        <f>EXP(LN(FK53)+0.5*LN('Ecoinvent 3.10'!$E$27)^2)</f>
        <v>6.5574880112823097E-4</v>
      </c>
      <c r="FL304" s="224">
        <f>EXP(LN(FL53)+0.5*LN('Ecoinvent 3.10'!$E$27)^2)</f>
        <v>1.2841747355427859E-3</v>
      </c>
      <c r="FM304" s="50">
        <f>EXP(LN(FM53)+0.5*LN('Ecoinvent 3.10'!$E$27)^2)</f>
        <v>1.2841747355427859E-3</v>
      </c>
      <c r="FN304" s="264"/>
      <c r="FO304" s="265"/>
      <c r="FP304" s="264"/>
      <c r="FQ304" s="265"/>
      <c r="FT304" s="147" t="s">
        <v>59</v>
      </c>
      <c r="FU304" s="224">
        <f>EXP(LN(FU53)+0.5*LN('Ecoinvent 3.10'!$E$27)^2)</f>
        <v>0.16036614768563837</v>
      </c>
      <c r="FV304" s="50">
        <f>EXP(LN(FV53)+0.5*LN('Ecoinvent 3.10'!$E$27)^2)</f>
        <v>0.16036614768563828</v>
      </c>
      <c r="FW304" s="224">
        <f>EXP(LN(FW53)+0.5*LN('Ecoinvent 3.10'!$E$27)^2)</f>
        <v>0.16036614768563828</v>
      </c>
      <c r="FX304" s="50">
        <f>EXP(LN(FX53)+0.5*LN('Ecoinvent 3.10'!$E$27)^2)</f>
        <v>0.16036614768563826</v>
      </c>
      <c r="FY304" s="224">
        <f>EXP(LN(FY53)+0.5*LN('Ecoinvent 3.10'!$E$27)^2)</f>
        <v>0.16036614768563837</v>
      </c>
      <c r="FZ304" s="50">
        <f>EXP(LN(FZ53)+0.5*LN('Ecoinvent 3.10'!$E$27)^2)</f>
        <v>0.16036614768563834</v>
      </c>
      <c r="GA304" s="224">
        <f>EXP(LN(GA53)+0.5*LN('Ecoinvent 3.10'!$E$27)^2)</f>
        <v>0.11871260283222573</v>
      </c>
      <c r="GB304" s="50">
        <f>EXP(LN(GB53)+0.5*LN('Ecoinvent 3.10'!$E$27)^2)</f>
        <v>0.11871260283222579</v>
      </c>
      <c r="GC304" s="224">
        <f>EXP(LN(GC53)+0.5*LN('Ecoinvent 3.10'!$E$27)^2)</f>
        <v>9.2125233776856066E-2</v>
      </c>
      <c r="GD304" s="50">
        <f>EXP(LN(GD53)+0.5*LN('Ecoinvent 3.10'!$E$27)^2)</f>
        <v>9.2125233776856066E-2</v>
      </c>
      <c r="GE304" s="224">
        <f>EXP(LN(GE53)+0.5*LN('Ecoinvent 3.10'!$E$27)^2)</f>
        <v>0.18041191614634314</v>
      </c>
      <c r="GF304" s="50">
        <f>EXP(LN(GF53)+0.5*LN('Ecoinvent 3.10'!$E$27)^2)</f>
        <v>0.18041191614634314</v>
      </c>
      <c r="GG304" s="264"/>
      <c r="GH304" s="265"/>
      <c r="GI304" s="264"/>
      <c r="GJ304" s="265"/>
      <c r="GM304" s="147" t="s">
        <v>59</v>
      </c>
      <c r="GN304" s="224">
        <f>EXP(LN(GN53)+0.5*LN('Ecoinvent 3.10'!$E$27)^2)</f>
        <v>0.83248072053012812</v>
      </c>
      <c r="GO304" s="50">
        <f>EXP(LN(GO53)+0.5*LN('Ecoinvent 3.10'!$E$27)^2)</f>
        <v>0.83248072053012789</v>
      </c>
      <c r="GP304" s="224">
        <f>EXP(LN(GP53)+0.5*LN('Ecoinvent 3.10'!$E$27)^2)</f>
        <v>0.83248072053012789</v>
      </c>
      <c r="GQ304" s="50">
        <f>EXP(LN(GQ53)+0.5*LN('Ecoinvent 3.10'!$E$27)^2)</f>
        <v>0.83248072053012778</v>
      </c>
      <c r="GR304" s="224">
        <f>EXP(LN(GR53)+0.5*LN('Ecoinvent 3.10'!$E$27)^2)</f>
        <v>0.83248072053012823</v>
      </c>
      <c r="GS304" s="50">
        <f>EXP(LN(GS53)+0.5*LN('Ecoinvent 3.10'!$E$27)^2)</f>
        <v>0.832480720530128</v>
      </c>
      <c r="GT304" s="224">
        <f>EXP(LN(GT53)+0.5*LN('Ecoinvent 3.10'!$E$27)^2)</f>
        <v>0.61625196195087384</v>
      </c>
      <c r="GU304" s="50">
        <f>EXP(LN(GU53)+0.5*LN('Ecoinvent 3.10'!$E$27)^2)</f>
        <v>0.61625196195087406</v>
      </c>
      <c r="GV304" s="224">
        <f>EXP(LN(GV53)+0.5*LN('Ecoinvent 3.10'!$E$27)^2)</f>
        <v>0.47823360541092474</v>
      </c>
      <c r="GW304" s="50">
        <f>EXP(LN(GW53)+0.5*LN('Ecoinvent 3.10'!$E$27)^2)</f>
        <v>0.47823360541092463</v>
      </c>
      <c r="GX304" s="224">
        <f>EXP(LN(GX53)+0.5*LN('Ecoinvent 3.10'!$E$27)^2)</f>
        <v>0.93654081059639416</v>
      </c>
      <c r="GY304" s="50">
        <f>EXP(LN(GY53)+0.5*LN('Ecoinvent 3.10'!$E$27)^2)</f>
        <v>0.93654081059639427</v>
      </c>
      <c r="GZ304" s="264"/>
      <c r="HA304" s="265"/>
      <c r="HB304" s="264"/>
      <c r="HC304" s="265"/>
      <c r="HF304" s="147" t="s">
        <v>59</v>
      </c>
      <c r="HG304" s="224">
        <f>EXP(LN(HG53)+0.5*LN('Ecoinvent 3.10'!$E$27)^2)</f>
        <v>4.7512148399515048</v>
      </c>
      <c r="HH304" s="50">
        <f>EXP(LN(HH53)+0.5*LN('Ecoinvent 3.10'!$E$27)^2)</f>
        <v>4.751214839951504</v>
      </c>
      <c r="HI304" s="224">
        <f>EXP(LN(HI53)+0.5*LN('Ecoinvent 3.10'!$E$27)^2)</f>
        <v>4.751214839951504</v>
      </c>
      <c r="HJ304" s="50">
        <f>EXP(LN(HJ53)+0.5*LN('Ecoinvent 3.10'!$E$27)^2)</f>
        <v>4.751214839951504</v>
      </c>
      <c r="HK304" s="224">
        <f>EXP(LN(HK53)+0.5*LN('Ecoinvent 3.10'!$E$27)^2)</f>
        <v>4.7512148399515048</v>
      </c>
      <c r="HL304" s="50">
        <f>EXP(LN(HL53)+0.5*LN('Ecoinvent 3.10'!$E$27)^2)</f>
        <v>4.751214839951504</v>
      </c>
      <c r="HM304" s="224">
        <f>EXP(LN(HM53)+0.5*LN('Ecoinvent 3.10'!$E$27)^2)</f>
        <v>3.5171330633407227</v>
      </c>
      <c r="HN304" s="50">
        <f>EXP(LN(HN53)+0.5*LN('Ecoinvent 3.10'!$E$27)^2)</f>
        <v>3.5171330633407236</v>
      </c>
      <c r="HO304" s="224">
        <f>EXP(LN(HO53)+0.5*LN('Ecoinvent 3.10'!$E$27)^2)</f>
        <v>2.7294212910359708</v>
      </c>
      <c r="HP304" s="50">
        <f>EXP(LN(HP53)+0.5*LN('Ecoinvent 3.10'!$E$27)^2)</f>
        <v>2.7294212910359708</v>
      </c>
      <c r="HQ304" s="224">
        <f>EXP(LN(HQ53)+0.5*LN('Ecoinvent 3.10'!$E$27)^2)</f>
        <v>5.3451166949454425</v>
      </c>
      <c r="HR304" s="50">
        <f>EXP(LN(HR53)+0.5*LN('Ecoinvent 3.10'!$E$27)^2)</f>
        <v>5.3451166949454434</v>
      </c>
      <c r="HS304" s="264"/>
      <c r="HT304" s="265"/>
      <c r="HU304" s="264"/>
      <c r="HV304" s="265"/>
      <c r="HY304" s="147" t="s">
        <v>59</v>
      </c>
      <c r="HZ304" s="224">
        <f>EXP(LN(HZ53)+0.5*LN('Ecoinvent 3.10'!$E$27)^2)</f>
        <v>2.571792811654583E-2</v>
      </c>
      <c r="IA304" s="50">
        <f>EXP(LN(IA53)+0.5*LN('Ecoinvent 3.10'!$E$27)^2)</f>
        <v>2.5717928116545819E-2</v>
      </c>
      <c r="IB304" s="224">
        <f>EXP(LN(IB53)+0.5*LN('Ecoinvent 3.10'!$E$27)^2)</f>
        <v>2.5717928116545819E-2</v>
      </c>
      <c r="IC304" s="50">
        <f>EXP(LN(IC53)+0.5*LN('Ecoinvent 3.10'!$E$27)^2)</f>
        <v>2.5717928116545819E-2</v>
      </c>
      <c r="ID304" s="224">
        <f>EXP(LN(ID53)+0.5*LN('Ecoinvent 3.10'!$E$27)^2)</f>
        <v>2.571792811654583E-2</v>
      </c>
      <c r="IE304" s="50">
        <f>EXP(LN(IE53)+0.5*LN('Ecoinvent 3.10'!$E$27)^2)</f>
        <v>2.571792811654583E-2</v>
      </c>
      <c r="IF304" s="224">
        <f>EXP(LN(IF53)+0.5*LN('Ecoinvent 3.10'!$E$27)^2)</f>
        <v>1.9037946787572875E-2</v>
      </c>
      <c r="IG304" s="50">
        <f>EXP(LN(IG53)+0.5*LN('Ecoinvent 3.10'!$E$27)^2)</f>
        <v>1.9037946787572885E-2</v>
      </c>
      <c r="IH304" s="224">
        <f>EXP(LN(IH53)+0.5*LN('Ecoinvent 3.10'!$E$27)^2)</f>
        <v>1.4774128918015687E-2</v>
      </c>
      <c r="II304" s="50">
        <f>EXP(LN(II53)+0.5*LN('Ecoinvent 3.10'!$E$27)^2)</f>
        <v>1.4774128918015687E-2</v>
      </c>
      <c r="IJ304" s="224">
        <f>EXP(LN(IJ53)+0.5*LN('Ecoinvent 3.10'!$E$27)^2)</f>
        <v>2.8932669131114058E-2</v>
      </c>
      <c r="IK304" s="50">
        <f>EXP(LN(IK53)+0.5*LN('Ecoinvent 3.10'!$E$27)^2)</f>
        <v>2.8932669131114058E-2</v>
      </c>
      <c r="IL304" s="224"/>
      <c r="IM304" s="224"/>
      <c r="IN304" s="224"/>
      <c r="IO304" s="224"/>
    </row>
    <row r="305" spans="2:249" ht="12.75" customHeight="1" x14ac:dyDescent="0.2">
      <c r="B305" s="248"/>
      <c r="C305" s="248"/>
      <c r="D305" s="248"/>
      <c r="E305" s="248"/>
      <c r="F305" s="248"/>
      <c r="G305" s="248"/>
      <c r="H305" s="248"/>
      <c r="I305" s="248"/>
      <c r="J305" s="248"/>
      <c r="K305" s="248"/>
      <c r="L305" s="248"/>
      <c r="M305" s="248"/>
      <c r="N305" s="248"/>
      <c r="O305" s="248"/>
      <c r="P305" s="248"/>
      <c r="Q305" s="248"/>
      <c r="R305" s="248"/>
      <c r="S305" s="248"/>
      <c r="T305" s="248"/>
      <c r="U305" s="248"/>
      <c r="V305" s="248"/>
      <c r="W305" s="248"/>
      <c r="X305" s="248"/>
      <c r="Y305" s="248"/>
      <c r="Z305" s="248"/>
      <c r="AA305" s="248"/>
      <c r="AB305" s="248"/>
      <c r="AC305" s="248"/>
      <c r="AD305" s="248"/>
      <c r="AE305" s="248"/>
      <c r="AF305" s="248"/>
      <c r="AG305" s="248"/>
      <c r="AH305" s="248"/>
      <c r="AI305" s="248"/>
      <c r="AJ305" s="248"/>
      <c r="AK305" s="248"/>
      <c r="AL305" s="248"/>
      <c r="AM305" s="248"/>
      <c r="AN305" s="137"/>
      <c r="AO305" s="248"/>
      <c r="AP305" s="726"/>
      <c r="AQ305" s="147" t="s">
        <v>193</v>
      </c>
      <c r="AR305" s="264"/>
      <c r="AS305" s="265"/>
      <c r="AT305" s="264"/>
      <c r="AU305" s="265"/>
      <c r="AV305" s="264"/>
      <c r="AW305" s="265"/>
      <c r="AX305" s="224">
        <f>EXP(LN(AX54)+0.5*LN('Ecoinvent 3.10'!$E$29)^2)</f>
        <v>1.6733896105605024</v>
      </c>
      <c r="AY305" s="50">
        <f>EXP(LN(AY54)+0.5*LN('Ecoinvent 3.10'!$E$29)^2)</f>
        <v>1.6733896105605031</v>
      </c>
      <c r="AZ305" s="224">
        <f>EXP(LN(AZ54)+0.5*LN('Ecoinvent 3.10'!$E$29)^2)</f>
        <v>2.741510638577846</v>
      </c>
      <c r="BA305" s="50">
        <f>EXP(LN(BA54)+0.5*LN('Ecoinvent 3.10'!$E$29)^2)</f>
        <v>2.7415106385778456</v>
      </c>
      <c r="BB305" s="264"/>
      <c r="BC305" s="265"/>
      <c r="BD305" s="264"/>
      <c r="BE305" s="265"/>
      <c r="BF305" s="264"/>
      <c r="BG305" s="265"/>
      <c r="BI305" s="156"/>
      <c r="BJ305" s="147" t="s">
        <v>193</v>
      </c>
      <c r="BK305" s="264"/>
      <c r="BL305" s="265"/>
      <c r="BM305" s="264"/>
      <c r="BN305" s="265"/>
      <c r="BO305" s="264"/>
      <c r="BP305" s="265"/>
      <c r="BQ305" s="224">
        <f>EXP(LN(BQ54)+0.5*LN('Ecoinvent 3.10'!$E$29)^2)</f>
        <v>0.40563428985413158</v>
      </c>
      <c r="BR305" s="50">
        <f>EXP(LN(BR54)+0.5*LN('Ecoinvent 3.10'!$E$29)^2)</f>
        <v>0.4056342898541318</v>
      </c>
      <c r="BS305" s="224">
        <f>EXP(LN(BS54)+0.5*LN('Ecoinvent 3.10'!$E$29)^2)</f>
        <v>0.66454979401634362</v>
      </c>
      <c r="BT305" s="50">
        <f>EXP(LN(BT54)+0.5*LN('Ecoinvent 3.10'!$E$29)^2)</f>
        <v>0.66454979401634351</v>
      </c>
      <c r="BU305" s="264"/>
      <c r="BV305" s="265"/>
      <c r="BW305" s="264"/>
      <c r="BX305" s="265"/>
      <c r="BY305" s="264"/>
      <c r="BZ305" s="265"/>
      <c r="CA305" s="156"/>
      <c r="CB305" s="156"/>
      <c r="CC305" s="147" t="s">
        <v>193</v>
      </c>
      <c r="CD305" s="264"/>
      <c r="CE305" s="265"/>
      <c r="CF305" s="264"/>
      <c r="CG305" s="265"/>
      <c r="CH305" s="264"/>
      <c r="CI305" s="265"/>
      <c r="CJ305" s="224">
        <f>EXP(LN(CJ54)+0.5*LN('Ecoinvent 3.10'!$E$29)^2)</f>
        <v>39.675887291373357</v>
      </c>
      <c r="CK305" s="50">
        <f>EXP(LN(CK54)+0.5*LN('Ecoinvent 3.10'!$E$29)^2)</f>
        <v>39.675887291373392</v>
      </c>
      <c r="CL305" s="224">
        <f>EXP(LN(CL54)+0.5*LN('Ecoinvent 3.10'!$E$29)^2)</f>
        <v>65.000921732675522</v>
      </c>
      <c r="CM305" s="50">
        <f>EXP(LN(CM54)+0.5*LN('Ecoinvent 3.10'!$E$29)^2)</f>
        <v>65.000921732675522</v>
      </c>
      <c r="CN305" s="264"/>
      <c r="CO305" s="265"/>
      <c r="CP305" s="264"/>
      <c r="CQ305" s="265"/>
      <c r="CR305" s="264"/>
      <c r="CS305" s="265"/>
      <c r="CV305" s="147" t="s">
        <v>193</v>
      </c>
      <c r="CW305" s="264"/>
      <c r="CX305" s="265"/>
      <c r="CY305" s="264"/>
      <c r="CZ305" s="265"/>
      <c r="DA305" s="264"/>
      <c r="DB305" s="265"/>
      <c r="DC305" s="224">
        <f>EXP(LN(DC54)+0.5*LN('Ecoinvent 3.10'!$E$29)^2)</f>
        <v>1.4066149066634043E-3</v>
      </c>
      <c r="DD305" s="50">
        <f>EXP(LN(DD54)+0.5*LN('Ecoinvent 3.10'!$E$29)^2)</f>
        <v>1.4066149066634043E-3</v>
      </c>
      <c r="DE305" s="224">
        <f>EXP(LN(DE54)+0.5*LN('Ecoinvent 3.10'!$E$29)^2)</f>
        <v>2.3044542087889822E-3</v>
      </c>
      <c r="DF305" s="50">
        <f>EXP(LN(DF54)+0.5*LN('Ecoinvent 3.10'!$E$29)^2)</f>
        <v>2.3044542087889822E-3</v>
      </c>
      <c r="DG305" s="264"/>
      <c r="DH305" s="265"/>
      <c r="DI305" s="264"/>
      <c r="DJ305" s="265"/>
      <c r="DK305" s="264"/>
      <c r="DL305" s="265"/>
      <c r="DO305" s="147" t="s">
        <v>193</v>
      </c>
      <c r="DP305" s="264"/>
      <c r="DQ305" s="265"/>
      <c r="DR305" s="264"/>
      <c r="DS305" s="265"/>
      <c r="DT305" s="264"/>
      <c r="DU305" s="265"/>
      <c r="DV305" s="224">
        <f>EXP(LN(DV54)+0.5*LN('Ecoinvent 3.10'!$E$29)^2)</f>
        <v>1.9479113312354187E-3</v>
      </c>
      <c r="DW305" s="50">
        <f>EXP(LN(DW54)+0.5*LN('Ecoinvent 3.10'!$E$29)^2)</f>
        <v>1.9479113312354187E-3</v>
      </c>
      <c r="DX305" s="224">
        <f>EXP(LN(DX54)+0.5*LN('Ecoinvent 3.10'!$E$29)^2)</f>
        <v>3.1912589894707937E-3</v>
      </c>
      <c r="DY305" s="50">
        <f>EXP(LN(DY54)+0.5*LN('Ecoinvent 3.10'!$E$29)^2)</f>
        <v>3.1912589894707907E-3</v>
      </c>
      <c r="DZ305" s="264"/>
      <c r="EA305" s="265"/>
      <c r="EB305" s="264"/>
      <c r="EC305" s="265"/>
      <c r="ED305" s="264"/>
      <c r="EE305" s="265"/>
      <c r="EH305" s="147" t="s">
        <v>193</v>
      </c>
      <c r="EI305" s="264"/>
      <c r="EJ305" s="265"/>
      <c r="EK305" s="264"/>
      <c r="EL305" s="265"/>
      <c r="EM305" s="264"/>
      <c r="EN305" s="265"/>
      <c r="EO305" s="224">
        <f>EXP(LN(EO54)+0.5*LN('Ecoinvent 3.10'!$E$29)^2)</f>
        <v>3.8906222228573227E-3</v>
      </c>
      <c r="EP305" s="50">
        <f>EXP(LN(EP54)+0.5*LN('Ecoinvent 3.10'!$E$29)^2)</f>
        <v>3.8906222228573227E-3</v>
      </c>
      <c r="EQ305" s="224">
        <f>EXP(LN(EQ54)+0.5*LN('Ecoinvent 3.10'!$E$29)^2)</f>
        <v>6.3739981097875311E-3</v>
      </c>
      <c r="ER305" s="50">
        <f>EXP(LN(ER54)+0.5*LN('Ecoinvent 3.10'!$E$29)^2)</f>
        <v>6.3739981097875259E-3</v>
      </c>
      <c r="ES305" s="264"/>
      <c r="ET305" s="265"/>
      <c r="EU305" s="264"/>
      <c r="EV305" s="265"/>
      <c r="EW305" s="264"/>
      <c r="EX305" s="265"/>
      <c r="FA305" s="147" t="s">
        <v>193</v>
      </c>
      <c r="FB305" s="264"/>
      <c r="FC305" s="265"/>
      <c r="FD305" s="264"/>
      <c r="FE305" s="265"/>
      <c r="FF305" s="264"/>
      <c r="FG305" s="265"/>
      <c r="FH305" s="224">
        <f>EXP(LN(FH54)+0.5*LN('Ecoinvent 3.10'!$E$29)^2)</f>
        <v>1.1742592647315759E-4</v>
      </c>
      <c r="FI305" s="50">
        <f>EXP(LN(FI54)+0.5*LN('Ecoinvent 3.10'!$E$29)^2)</f>
        <v>1.1742592647315759E-4</v>
      </c>
      <c r="FJ305" s="224">
        <f>EXP(LN(FJ54)+0.5*LN('Ecoinvent 3.10'!$E$29)^2)</f>
        <v>1.9237864549857722E-4</v>
      </c>
      <c r="FK305" s="50">
        <f>EXP(LN(FK54)+0.5*LN('Ecoinvent 3.10'!$E$29)^2)</f>
        <v>1.9237864549857722E-4</v>
      </c>
      <c r="FL305" s="264"/>
      <c r="FM305" s="265"/>
      <c r="FN305" s="264"/>
      <c r="FO305" s="265"/>
      <c r="FP305" s="264"/>
      <c r="FQ305" s="265"/>
      <c r="FT305" s="147" t="s">
        <v>193</v>
      </c>
      <c r="FU305" s="264"/>
      <c r="FV305" s="265"/>
      <c r="FW305" s="264"/>
      <c r="FX305" s="265"/>
      <c r="FY305" s="264"/>
      <c r="FZ305" s="265"/>
      <c r="GA305" s="224">
        <f>EXP(LN(GA54)+0.5*LN('Ecoinvent 3.10'!$E$29)^2)</f>
        <v>7.857864256020421E-3</v>
      </c>
      <c r="GB305" s="50">
        <f>EXP(LN(GB54)+0.5*LN('Ecoinvent 3.10'!$E$29)^2)</f>
        <v>7.8578642560204279E-3</v>
      </c>
      <c r="GC305" s="224">
        <f>EXP(LN(GC54)+0.5*LN('Ecoinvent 3.10'!$E$29)^2)</f>
        <v>1.2873522291778142E-2</v>
      </c>
      <c r="GD305" s="50">
        <f>EXP(LN(GD54)+0.5*LN('Ecoinvent 3.10'!$E$29)^2)</f>
        <v>1.2873522291778142E-2</v>
      </c>
      <c r="GE305" s="264"/>
      <c r="GF305" s="265"/>
      <c r="GG305" s="264"/>
      <c r="GH305" s="265"/>
      <c r="GI305" s="264"/>
      <c r="GJ305" s="265"/>
      <c r="GM305" s="147" t="s">
        <v>193</v>
      </c>
      <c r="GN305" s="264"/>
      <c r="GO305" s="265"/>
      <c r="GP305" s="264"/>
      <c r="GQ305" s="265"/>
      <c r="GR305" s="264"/>
      <c r="GS305" s="265"/>
      <c r="GT305" s="224">
        <f>EXP(LN(GT54)+0.5*LN('Ecoinvent 3.10'!$E$29)^2)</f>
        <v>3.1741403225047163E-2</v>
      </c>
      <c r="GU305" s="50">
        <f>EXP(LN(GU54)+0.5*LN('Ecoinvent 3.10'!$E$29)^2)</f>
        <v>3.1741403225047177E-2</v>
      </c>
      <c r="GV305" s="224">
        <f>EXP(LN(GV54)+0.5*LN('Ecoinvent 3.10'!$E$29)^2)</f>
        <v>5.2001873368694308E-2</v>
      </c>
      <c r="GW305" s="50">
        <f>EXP(LN(GW54)+0.5*LN('Ecoinvent 3.10'!$E$29)^2)</f>
        <v>5.2001873368694287E-2</v>
      </c>
      <c r="GX305" s="264"/>
      <c r="GY305" s="265"/>
      <c r="GZ305" s="264"/>
      <c r="HA305" s="265"/>
      <c r="HB305" s="264"/>
      <c r="HC305" s="265"/>
      <c r="HF305" s="147" t="s">
        <v>193</v>
      </c>
      <c r="HG305" s="264"/>
      <c r="HH305" s="265"/>
      <c r="HI305" s="264"/>
      <c r="HJ305" s="265"/>
      <c r="HK305" s="264"/>
      <c r="HL305" s="265"/>
      <c r="HM305" s="224">
        <f>EXP(LN(HM54)+0.5*LN('Ecoinvent 3.10'!$E$29)^2)</f>
        <v>0.23566312152602345</v>
      </c>
      <c r="HN305" s="50">
        <f>EXP(LN(HN54)+0.5*LN('Ecoinvent 3.10'!$E$29)^2)</f>
        <v>0.23566312152602356</v>
      </c>
      <c r="HO305" s="224">
        <f>EXP(LN(HO54)+0.5*LN('Ecoinvent 3.10'!$E$29)^2)</f>
        <v>0.38608639058518757</v>
      </c>
      <c r="HP305" s="50">
        <f>EXP(LN(HP54)+0.5*LN('Ecoinvent 3.10'!$E$29)^2)</f>
        <v>0.38608639058518746</v>
      </c>
      <c r="HQ305" s="264"/>
      <c r="HR305" s="265"/>
      <c r="HS305" s="264"/>
      <c r="HT305" s="265"/>
      <c r="HU305" s="264"/>
      <c r="HV305" s="265"/>
      <c r="HY305" s="147" t="s">
        <v>193</v>
      </c>
      <c r="HZ305" s="264"/>
      <c r="IA305" s="265"/>
      <c r="IB305" s="264"/>
      <c r="IC305" s="265"/>
      <c r="ID305" s="264"/>
      <c r="IE305" s="265"/>
      <c r="IF305" s="224">
        <f>EXP(LN(IF54)+0.5*LN('Ecoinvent 3.10'!$E$29)^2)</f>
        <v>6.7359560833982234E-4</v>
      </c>
      <c r="IG305" s="50">
        <f>EXP(LN(IG54)+0.5*LN('Ecoinvent 3.10'!$E$29)^2)</f>
        <v>6.7359560833982299E-4</v>
      </c>
      <c r="IH305" s="224">
        <f>EXP(LN(IH54)+0.5*LN('Ecoinvent 3.10'!$E$29)^2)</f>
        <v>1.1035502519609859E-3</v>
      </c>
      <c r="II305" s="50">
        <f>EXP(LN(II54)+0.5*LN('Ecoinvent 3.10'!$E$29)^2)</f>
        <v>1.1035502519609859E-3</v>
      </c>
      <c r="IJ305" s="264"/>
      <c r="IK305" s="265"/>
      <c r="IL305" s="264"/>
      <c r="IM305" s="264"/>
      <c r="IN305" s="264"/>
      <c r="IO305" s="264"/>
    </row>
    <row r="306" spans="2:249" ht="12.75" customHeight="1" x14ac:dyDescent="0.2">
      <c r="B306" s="248"/>
      <c r="C306" s="248"/>
      <c r="D306" s="248"/>
      <c r="E306" s="248"/>
      <c r="F306" s="248"/>
      <c r="G306" s="248"/>
      <c r="H306" s="248"/>
      <c r="I306" s="248"/>
      <c r="J306" s="248"/>
      <c r="K306" s="248"/>
      <c r="L306" s="248"/>
      <c r="M306" s="248"/>
      <c r="N306" s="248"/>
      <c r="O306" s="248"/>
      <c r="P306" s="248"/>
      <c r="Q306" s="248"/>
      <c r="R306" s="248"/>
      <c r="S306" s="248"/>
      <c r="T306" s="248"/>
      <c r="U306" s="248"/>
      <c r="V306" s="248"/>
      <c r="W306" s="248"/>
      <c r="X306" s="248"/>
      <c r="Y306" s="248"/>
      <c r="Z306" s="248"/>
      <c r="AA306" s="248"/>
      <c r="AB306" s="248"/>
      <c r="AC306" s="248"/>
      <c r="AD306" s="248"/>
      <c r="AE306" s="248"/>
      <c r="AF306" s="248"/>
      <c r="AG306" s="248"/>
      <c r="AH306" s="248"/>
      <c r="AI306" s="248"/>
      <c r="AJ306" s="248"/>
      <c r="AK306" s="248"/>
      <c r="AL306" s="248"/>
      <c r="AM306" s="248"/>
      <c r="AN306" s="140"/>
      <c r="AO306" s="248"/>
      <c r="AP306" s="726"/>
      <c r="AQ306" s="150" t="s">
        <v>579</v>
      </c>
      <c r="AR306" s="264"/>
      <c r="AS306" s="265"/>
      <c r="AT306" s="264"/>
      <c r="AU306" s="265"/>
      <c r="AV306" s="264"/>
      <c r="AW306" s="265"/>
      <c r="AX306" s="264"/>
      <c r="AY306" s="265"/>
      <c r="AZ306" s="264"/>
      <c r="BA306" s="265"/>
      <c r="BB306" s="264"/>
      <c r="BC306" s="265"/>
      <c r="BD306" s="224">
        <f>EXP(LN(BD55)+0.5*LN('Ecoinvent 3.10'!$E$30)^2)</f>
        <v>13.228546710361316</v>
      </c>
      <c r="BE306" s="50">
        <f>EXP(LN(BE55)+0.5*LN('Ecoinvent 3.10'!$E$30)^2)</f>
        <v>13.228546710361309</v>
      </c>
      <c r="BF306" s="264"/>
      <c r="BG306" s="265"/>
      <c r="BI306" s="156"/>
      <c r="BJ306" s="150" t="s">
        <v>579</v>
      </c>
      <c r="BK306" s="264"/>
      <c r="BL306" s="265"/>
      <c r="BM306" s="264"/>
      <c r="BN306" s="265"/>
      <c r="BO306" s="264"/>
      <c r="BP306" s="265"/>
      <c r="BQ306" s="264"/>
      <c r="BR306" s="265"/>
      <c r="BS306" s="264"/>
      <c r="BT306" s="265"/>
      <c r="BU306" s="264"/>
      <c r="BV306" s="265"/>
      <c r="BW306" s="224">
        <f>EXP(LN(BW55)+0.5*LN('Ecoinvent 3.10'!$E$30)^2)</f>
        <v>3.7139330626329801</v>
      </c>
      <c r="BX306" s="50">
        <f>EXP(LN(BX55)+0.5*LN('Ecoinvent 3.10'!$E$30)^2)</f>
        <v>3.7139330626329792</v>
      </c>
      <c r="BY306" s="264"/>
      <c r="BZ306" s="265"/>
      <c r="CA306" s="156"/>
      <c r="CB306" s="156"/>
      <c r="CC306" s="150" t="s">
        <v>579</v>
      </c>
      <c r="CD306" s="264"/>
      <c r="CE306" s="265"/>
      <c r="CF306" s="264"/>
      <c r="CG306" s="265"/>
      <c r="CH306" s="264"/>
      <c r="CI306" s="265"/>
      <c r="CJ306" s="264"/>
      <c r="CK306" s="265"/>
      <c r="CL306" s="264"/>
      <c r="CM306" s="265"/>
      <c r="CN306" s="264"/>
      <c r="CO306" s="265"/>
      <c r="CP306" s="224">
        <f>EXP(LN(CP55)+0.5*LN('Ecoinvent 3.10'!$E$30)^2)</f>
        <v>10.379824681777437</v>
      </c>
      <c r="CQ306" s="50">
        <f>EXP(LN(CQ55)+0.5*LN('Ecoinvent 3.10'!$E$30)^2)</f>
        <v>10.379824681777437</v>
      </c>
      <c r="CR306" s="264"/>
      <c r="CS306" s="265"/>
      <c r="CV306" s="150" t="s">
        <v>579</v>
      </c>
      <c r="CW306" s="264"/>
      <c r="CX306" s="265"/>
      <c r="CY306" s="264"/>
      <c r="CZ306" s="265"/>
      <c r="DA306" s="264"/>
      <c r="DB306" s="265"/>
      <c r="DC306" s="264"/>
      <c r="DD306" s="265"/>
      <c r="DE306" s="264"/>
      <c r="DF306" s="265"/>
      <c r="DG306" s="264"/>
      <c r="DH306" s="265"/>
      <c r="DI306" s="224">
        <f>EXP(LN(DI55)+0.5*LN('Ecoinvent 3.10'!$E$30)^2)</f>
        <v>1.7373409885758979E-2</v>
      </c>
      <c r="DJ306" s="50">
        <f>EXP(LN(DJ55)+0.5*LN('Ecoinvent 3.10'!$E$30)^2)</f>
        <v>1.7373409885758979E-2</v>
      </c>
      <c r="DK306" s="264"/>
      <c r="DL306" s="265"/>
      <c r="DO306" s="150" t="s">
        <v>579</v>
      </c>
      <c r="DP306" s="264"/>
      <c r="DQ306" s="265"/>
      <c r="DR306" s="264"/>
      <c r="DS306" s="265"/>
      <c r="DT306" s="264"/>
      <c r="DU306" s="265"/>
      <c r="DV306" s="264"/>
      <c r="DW306" s="265"/>
      <c r="DX306" s="264"/>
      <c r="DY306" s="265"/>
      <c r="DZ306" s="264"/>
      <c r="EA306" s="265"/>
      <c r="EB306" s="224">
        <f>EXP(LN(EB55)+0.5*LN('Ecoinvent 3.10'!$E$30)^2)</f>
        <v>1.1041187696002668E-2</v>
      </c>
      <c r="EC306" s="50">
        <f>EXP(LN(EC55)+0.5*LN('Ecoinvent 3.10'!$E$30)^2)</f>
        <v>1.1041187696002668E-2</v>
      </c>
      <c r="ED306" s="264"/>
      <c r="EE306" s="265"/>
      <c r="EH306" s="150" t="s">
        <v>579</v>
      </c>
      <c r="EI306" s="264"/>
      <c r="EJ306" s="265"/>
      <c r="EK306" s="264"/>
      <c r="EL306" s="265"/>
      <c r="EM306" s="264"/>
      <c r="EN306" s="265"/>
      <c r="EO306" s="264"/>
      <c r="EP306" s="265"/>
      <c r="EQ306" s="264"/>
      <c r="ER306" s="265"/>
      <c r="ES306" s="264"/>
      <c r="ET306" s="265"/>
      <c r="EU306" s="224">
        <f>EXP(LN(EU55)+0.5*LN('Ecoinvent 3.10'!$E$30)^2)</f>
        <v>9.315907048248034E-3</v>
      </c>
      <c r="EV306" s="50">
        <f>EXP(LN(EV55)+0.5*LN('Ecoinvent 3.10'!$E$30)^2)</f>
        <v>9.3159070482480254E-3</v>
      </c>
      <c r="EW306" s="264"/>
      <c r="EX306" s="265"/>
      <c r="FA306" s="150" t="s">
        <v>579</v>
      </c>
      <c r="FB306" s="264"/>
      <c r="FC306" s="265"/>
      <c r="FD306" s="264"/>
      <c r="FE306" s="265"/>
      <c r="FF306" s="264"/>
      <c r="FG306" s="265"/>
      <c r="FH306" s="264"/>
      <c r="FI306" s="265"/>
      <c r="FJ306" s="264"/>
      <c r="FK306" s="265"/>
      <c r="FL306" s="264"/>
      <c r="FM306" s="265"/>
      <c r="FN306" s="224">
        <f>EXP(LN(FN55)+0.5*LN('Ecoinvent 3.10'!$E$30)^2)</f>
        <v>1.4557157326416433E-3</v>
      </c>
      <c r="FO306" s="50">
        <f>EXP(LN(FO55)+0.5*LN('Ecoinvent 3.10'!$E$30)^2)</f>
        <v>1.4557157326416433E-3</v>
      </c>
      <c r="FP306" s="264"/>
      <c r="FQ306" s="265"/>
      <c r="FT306" s="150" t="s">
        <v>579</v>
      </c>
      <c r="FU306" s="264"/>
      <c r="FV306" s="265"/>
      <c r="FW306" s="264"/>
      <c r="FX306" s="265"/>
      <c r="FY306" s="264"/>
      <c r="FZ306" s="265"/>
      <c r="GA306" s="264"/>
      <c r="GB306" s="265"/>
      <c r="GC306" s="264"/>
      <c r="GD306" s="265"/>
      <c r="GE306" s="264"/>
      <c r="GF306" s="265"/>
      <c r="GG306" s="224">
        <f>EXP(LN(GG55)+0.5*LN('Ecoinvent 3.10'!$E$30)^2)</f>
        <v>6.5728857475859243E-2</v>
      </c>
      <c r="GH306" s="50">
        <f>EXP(LN(GH55)+0.5*LN('Ecoinvent 3.10'!$E$30)^2)</f>
        <v>6.5728857475859215E-2</v>
      </c>
      <c r="GI306" s="264"/>
      <c r="GJ306" s="265"/>
      <c r="GM306" s="150" t="s">
        <v>579</v>
      </c>
      <c r="GN306" s="264"/>
      <c r="GO306" s="265"/>
      <c r="GP306" s="264"/>
      <c r="GQ306" s="265"/>
      <c r="GR306" s="264"/>
      <c r="GS306" s="265"/>
      <c r="GT306" s="264"/>
      <c r="GU306" s="265"/>
      <c r="GV306" s="264"/>
      <c r="GW306" s="265"/>
      <c r="GX306" s="264"/>
      <c r="GY306" s="265"/>
      <c r="GZ306" s="224">
        <f>EXP(LN(GZ55)+0.5*LN('Ecoinvent 3.10'!$E$30)^2)</f>
        <v>0.31667630051928153</v>
      </c>
      <c r="HA306" s="50">
        <f>EXP(LN(HA55)+0.5*LN('Ecoinvent 3.10'!$E$30)^2)</f>
        <v>0.31667630051928147</v>
      </c>
      <c r="HB306" s="264"/>
      <c r="HC306" s="265"/>
      <c r="HF306" s="150" t="s">
        <v>579</v>
      </c>
      <c r="HG306" s="264"/>
      <c r="HH306" s="265"/>
      <c r="HI306" s="264"/>
      <c r="HJ306" s="265"/>
      <c r="HK306" s="264"/>
      <c r="HL306" s="265"/>
      <c r="HM306" s="264"/>
      <c r="HN306" s="265"/>
      <c r="HO306" s="264"/>
      <c r="HP306" s="265"/>
      <c r="HQ306" s="264"/>
      <c r="HR306" s="265"/>
      <c r="HS306" s="489">
        <v>0.01</v>
      </c>
      <c r="HT306" s="489">
        <v>0.01</v>
      </c>
      <c r="HU306" s="264"/>
      <c r="HV306" s="265"/>
      <c r="HY306" s="150" t="s">
        <v>117</v>
      </c>
      <c r="HZ306" s="264"/>
      <c r="IA306" s="265"/>
      <c r="IB306" s="264"/>
      <c r="IC306" s="265"/>
      <c r="ID306" s="264"/>
      <c r="IE306" s="265"/>
      <c r="IF306" s="264"/>
      <c r="IG306" s="265"/>
      <c r="IH306" s="264"/>
      <c r="II306" s="265"/>
      <c r="IJ306" s="264"/>
      <c r="IK306" s="265"/>
      <c r="IL306" s="264"/>
      <c r="IM306" s="264"/>
      <c r="IN306" s="264"/>
      <c r="IO306" s="264"/>
    </row>
    <row r="307" spans="2:249" ht="12.75" customHeight="1" x14ac:dyDescent="0.2">
      <c r="B307" s="248"/>
      <c r="C307" s="248"/>
      <c r="D307" s="248"/>
      <c r="E307" s="248"/>
      <c r="F307" s="248"/>
      <c r="G307" s="248"/>
      <c r="H307" s="248"/>
      <c r="I307" s="248"/>
      <c r="J307" s="248"/>
      <c r="K307" s="248"/>
      <c r="L307" s="248"/>
      <c r="M307" s="248"/>
      <c r="N307" s="248"/>
      <c r="O307" s="248"/>
      <c r="P307" s="248"/>
      <c r="Q307" s="248"/>
      <c r="R307" s="248"/>
      <c r="S307" s="248"/>
      <c r="T307" s="248"/>
      <c r="U307" s="248"/>
      <c r="V307" s="248"/>
      <c r="W307" s="248"/>
      <c r="X307" s="248"/>
      <c r="Y307" s="248"/>
      <c r="Z307" s="248"/>
      <c r="AA307" s="248"/>
      <c r="AB307" s="248"/>
      <c r="AC307" s="248"/>
      <c r="AD307" s="248"/>
      <c r="AE307" s="248"/>
      <c r="AF307" s="248"/>
      <c r="AG307" s="248"/>
      <c r="AH307" s="248"/>
      <c r="AI307" s="248"/>
      <c r="AJ307" s="248"/>
      <c r="AK307" s="248"/>
      <c r="AL307" s="248"/>
      <c r="AM307" s="248"/>
      <c r="AN307" s="140"/>
      <c r="AO307" s="248"/>
      <c r="AP307" s="726"/>
      <c r="AQ307" s="150" t="s">
        <v>648</v>
      </c>
      <c r="AR307" s="264"/>
      <c r="AS307" s="265"/>
      <c r="AT307" s="264"/>
      <c r="AU307" s="265"/>
      <c r="AV307" s="264"/>
      <c r="AW307" s="265"/>
      <c r="AX307" s="264"/>
      <c r="AY307" s="265"/>
      <c r="AZ307" s="264"/>
      <c r="BA307" s="265"/>
      <c r="BB307" s="264"/>
      <c r="BC307" s="265"/>
      <c r="BD307" s="264"/>
      <c r="BE307" s="265"/>
      <c r="BF307" s="224">
        <f>EXP(LN(BF56)+0.5*LN('Ecoinvent 3.10'!$E$31)^2)</f>
        <v>281.00894105406627</v>
      </c>
      <c r="BG307" s="50">
        <f>EXP(LN(BG56)+0.5*LN('Ecoinvent 3.10'!$E$31)^2)</f>
        <v>143.62679209430055</v>
      </c>
      <c r="BI307" s="156"/>
      <c r="BJ307" s="150" t="s">
        <v>648</v>
      </c>
      <c r="BK307" s="264"/>
      <c r="BL307" s="265"/>
      <c r="BM307" s="264"/>
      <c r="BN307" s="265"/>
      <c r="BO307" s="264"/>
      <c r="BP307" s="265"/>
      <c r="BQ307" s="264"/>
      <c r="BR307" s="265"/>
      <c r="BS307" s="264"/>
      <c r="BT307" s="265"/>
      <c r="BU307" s="264"/>
      <c r="BV307" s="265"/>
      <c r="BW307" s="264"/>
      <c r="BX307" s="265"/>
      <c r="BY307" s="224">
        <f>EXP(LN(BY56)+0.5*LN('Ecoinvent 3.10'!$E$31)^2)</f>
        <v>75.789520113338213</v>
      </c>
      <c r="BZ307" s="50">
        <f>EXP(LN(BZ56)+0.5*LN('Ecoinvent 3.10'!$E$31)^2)</f>
        <v>38.736865835706197</v>
      </c>
      <c r="CA307" s="156"/>
      <c r="CB307" s="156"/>
      <c r="CC307" s="150" t="s">
        <v>648</v>
      </c>
      <c r="CD307" s="264"/>
      <c r="CE307" s="265"/>
      <c r="CF307" s="264"/>
      <c r="CG307" s="265"/>
      <c r="CH307" s="264"/>
      <c r="CI307" s="265"/>
      <c r="CJ307" s="264"/>
      <c r="CK307" s="265"/>
      <c r="CL307" s="264"/>
      <c r="CM307" s="265"/>
      <c r="CN307" s="264"/>
      <c r="CO307" s="265"/>
      <c r="CP307" s="264"/>
      <c r="CQ307" s="265"/>
      <c r="CR307" s="224">
        <f>EXP(LN(CR56)+0.5*LN('Ecoinvent 3.10'!$E$31)^2)</f>
        <v>598.331698812642</v>
      </c>
      <c r="CS307" s="50">
        <f>EXP(LN(CS56)+0.5*LN('Ecoinvent 3.10'!$E$31)^2)</f>
        <v>305.81397939312814</v>
      </c>
      <c r="CV307" s="150" t="s">
        <v>648</v>
      </c>
      <c r="CW307" s="264"/>
      <c r="CX307" s="265"/>
      <c r="CY307" s="264"/>
      <c r="CZ307" s="265"/>
      <c r="DA307" s="264"/>
      <c r="DB307" s="265"/>
      <c r="DC307" s="264"/>
      <c r="DD307" s="265"/>
      <c r="DE307" s="264"/>
      <c r="DF307" s="265"/>
      <c r="DG307" s="264"/>
      <c r="DH307" s="265"/>
      <c r="DI307" s="264"/>
      <c r="DJ307" s="265"/>
      <c r="DK307" s="224">
        <f>EXP(LN(DK56)+0.5*LN('Ecoinvent 3.10'!$E$31)^2)</f>
        <v>0.3679498797183432</v>
      </c>
      <c r="DL307" s="50">
        <f>EXP(LN(DL56)+0.5*LN('Ecoinvent 3.10'!$E$31)^2)</f>
        <v>0.1880632718560421</v>
      </c>
      <c r="DO307" s="150" t="s">
        <v>648</v>
      </c>
      <c r="DP307" s="264"/>
      <c r="DQ307" s="265"/>
      <c r="DR307" s="264"/>
      <c r="DS307" s="265"/>
      <c r="DT307" s="264"/>
      <c r="DU307" s="265"/>
      <c r="DV307" s="264"/>
      <c r="DW307" s="265"/>
      <c r="DX307" s="264"/>
      <c r="DY307" s="265"/>
      <c r="DZ307" s="264"/>
      <c r="EA307" s="265"/>
      <c r="EB307" s="264"/>
      <c r="EC307" s="265"/>
      <c r="ED307" s="224">
        <f>EXP(LN(ED56)+0.5*LN('Ecoinvent 3.10'!$E$31)^2)</f>
        <v>147.40269053743046</v>
      </c>
      <c r="EE307" s="50">
        <f>EXP(LN(EE56)+0.5*LN('Ecoinvent 3.10'!$E$31)^2)</f>
        <v>75.339152941353348</v>
      </c>
      <c r="EH307" s="150" t="s">
        <v>648</v>
      </c>
      <c r="EI307" s="264"/>
      <c r="EJ307" s="265"/>
      <c r="EK307" s="264"/>
      <c r="EL307" s="265"/>
      <c r="EM307" s="264"/>
      <c r="EN307" s="265"/>
      <c r="EO307" s="264"/>
      <c r="EP307" s="265"/>
      <c r="EQ307" s="264"/>
      <c r="ER307" s="265"/>
      <c r="ES307" s="264"/>
      <c r="ET307" s="265"/>
      <c r="EU307" s="264"/>
      <c r="EV307" s="265"/>
      <c r="EW307" s="224">
        <f>EXP(LN(EW56)+0.5*LN('Ecoinvent 3.10'!$E$31)^2)</f>
        <v>0.67297609078538034</v>
      </c>
      <c r="EX307" s="50">
        <f>EXP(LN(EX56)+0.5*LN('Ecoinvent 3.10'!$E$31)^2)</f>
        <v>0.34396555751252772</v>
      </c>
      <c r="FA307" s="150" t="s">
        <v>648</v>
      </c>
      <c r="FB307" s="264"/>
      <c r="FC307" s="265"/>
      <c r="FD307" s="264"/>
      <c r="FE307" s="265"/>
      <c r="FF307" s="264"/>
      <c r="FG307" s="265"/>
      <c r="FH307" s="264"/>
      <c r="FI307" s="265"/>
      <c r="FJ307" s="264"/>
      <c r="FK307" s="265"/>
      <c r="FL307" s="264"/>
      <c r="FM307" s="265"/>
      <c r="FN307" s="264"/>
      <c r="FO307" s="265"/>
      <c r="FP307" s="224">
        <f>EXP(LN(FP56)+0.5*LN('Ecoinvent 3.10'!$E$31)^2)</f>
        <v>3.7639239306864712E-2</v>
      </c>
      <c r="FQ307" s="50">
        <f>EXP(LN(FQ56)+0.5*LN('Ecoinvent 3.10'!$E$31)^2)</f>
        <v>1.9237833423508623E-2</v>
      </c>
      <c r="FT307" s="150" t="s">
        <v>648</v>
      </c>
      <c r="FU307" s="264"/>
      <c r="FV307" s="265"/>
      <c r="FW307" s="264"/>
      <c r="FX307" s="265"/>
      <c r="FY307" s="264"/>
      <c r="FZ307" s="265"/>
      <c r="GA307" s="264"/>
      <c r="GB307" s="265"/>
      <c r="GC307" s="264"/>
      <c r="GD307" s="265"/>
      <c r="GE307" s="264"/>
      <c r="GF307" s="265"/>
      <c r="GG307" s="264"/>
      <c r="GH307" s="265"/>
      <c r="GI307" s="224">
        <f>EXP(LN(GI56)+0.5*LN('Ecoinvent 3.10'!$E$31)^2)</f>
        <v>5.2207963674447315</v>
      </c>
      <c r="GJ307" s="50">
        <f>EXP(LN(GJ56)+0.5*LN('Ecoinvent 3.10'!$E$31)^2)</f>
        <v>2.668407032249529</v>
      </c>
      <c r="GM307" s="150" t="s">
        <v>648</v>
      </c>
      <c r="GN307" s="264"/>
      <c r="GO307" s="265"/>
      <c r="GP307" s="264"/>
      <c r="GQ307" s="265"/>
      <c r="GR307" s="264"/>
      <c r="GS307" s="265"/>
      <c r="GT307" s="264"/>
      <c r="GU307" s="265"/>
      <c r="GV307" s="264"/>
      <c r="GW307" s="265"/>
      <c r="GX307" s="264"/>
      <c r="GY307" s="265"/>
      <c r="GZ307" s="264"/>
      <c r="HA307" s="265"/>
      <c r="HB307" s="224">
        <f>EXP(LN(HB56)+0.5*LN('Ecoinvent 3.10'!$E$31)^2)</f>
        <v>13.872666086041621</v>
      </c>
      <c r="HC307" s="50">
        <f>EXP(LN(HC56)+0.5*LN('Ecoinvent 3.10'!$E$31)^2)</f>
        <v>7.0904737773101605</v>
      </c>
      <c r="HF307" s="150" t="s">
        <v>648</v>
      </c>
      <c r="HG307" s="264"/>
      <c r="HH307" s="265"/>
      <c r="HI307" s="264"/>
      <c r="HJ307" s="265"/>
      <c r="HK307" s="264"/>
      <c r="HL307" s="265"/>
      <c r="HM307" s="264"/>
      <c r="HN307" s="265"/>
      <c r="HO307" s="264"/>
      <c r="HP307" s="265"/>
      <c r="HQ307" s="264"/>
      <c r="HR307" s="265"/>
      <c r="HS307" s="264"/>
      <c r="HT307" s="265"/>
      <c r="HU307" s="224">
        <f>EXP(LN(HU56)+0.5*LN('Ecoinvent 3.10'!$E$31)^2)</f>
        <v>121.06923400222784</v>
      </c>
      <c r="HV307" s="50">
        <f>EXP(LN(HV56)+0.5*LN('Ecoinvent 3.10'!$E$31)^2)</f>
        <v>61.879830712249792</v>
      </c>
      <c r="HY307" s="150"/>
      <c r="HZ307" s="264"/>
      <c r="IA307" s="265"/>
      <c r="IB307" s="264"/>
      <c r="IC307" s="265"/>
      <c r="ID307" s="264"/>
      <c r="IE307" s="265"/>
      <c r="IF307" s="264"/>
      <c r="IG307" s="265"/>
      <c r="IH307" s="264"/>
      <c r="II307" s="265"/>
      <c r="IJ307" s="264"/>
      <c r="IK307" s="265"/>
      <c r="IL307" s="264"/>
      <c r="IM307" s="264"/>
      <c r="IN307" s="264"/>
      <c r="IO307" s="264"/>
    </row>
    <row r="308" spans="2:249" ht="12.75" customHeight="1" x14ac:dyDescent="0.2">
      <c r="B308" s="248"/>
      <c r="C308" s="248"/>
      <c r="D308" s="248"/>
      <c r="E308" s="248"/>
      <c r="F308" s="248"/>
      <c r="G308" s="248"/>
      <c r="H308" s="248"/>
      <c r="I308" s="248"/>
      <c r="J308" s="248"/>
      <c r="K308" s="248"/>
      <c r="L308" s="248"/>
      <c r="M308" s="248"/>
      <c r="N308" s="248"/>
      <c r="O308" s="248"/>
      <c r="P308" s="248"/>
      <c r="Q308" s="248"/>
      <c r="R308" s="248"/>
      <c r="S308" s="248"/>
      <c r="T308" s="248"/>
      <c r="U308" s="248"/>
      <c r="V308" s="248"/>
      <c r="W308" s="248"/>
      <c r="X308" s="248"/>
      <c r="Y308" s="248"/>
      <c r="Z308" s="248"/>
      <c r="AA308" s="248"/>
      <c r="AB308" s="248"/>
      <c r="AC308" s="248"/>
      <c r="AD308" s="248"/>
      <c r="AE308" s="248"/>
      <c r="AF308" s="248"/>
      <c r="AG308" s="248"/>
      <c r="AH308" s="248"/>
      <c r="AI308" s="248"/>
      <c r="AJ308" s="248"/>
      <c r="AK308" s="248"/>
      <c r="AL308" s="248"/>
      <c r="AM308" s="248"/>
      <c r="AN308" s="140"/>
      <c r="AO308" s="248"/>
      <c r="AP308" s="726"/>
      <c r="AQ308" s="150" t="s">
        <v>66</v>
      </c>
      <c r="AR308" s="224">
        <f>EXP(LN(AR57)+0.5*LN('Ecoinvent 3.10'!$E$21)^2)</f>
        <v>0.4243222065025874</v>
      </c>
      <c r="AS308" s="50">
        <f>EXP(LN(AS57)+0.5*LN('Ecoinvent 3.10'!$E$21)^2)</f>
        <v>0.20992782848022734</v>
      </c>
      <c r="AT308" s="224">
        <f>EXP(LN(AT57)+0.5*LN('Ecoinvent 3.10'!$E$21)^2)</f>
        <v>0.42432220650258734</v>
      </c>
      <c r="AU308" s="50">
        <f>EXP(LN(AU57)+0.5*LN('Ecoinvent 3.10'!$E$21)^2)</f>
        <v>0.20992782848022734</v>
      </c>
      <c r="AV308" s="224">
        <f>EXP(LN(AV57)+0.5*LN('Ecoinvent 3.10'!$E$21)^2)</f>
        <v>0.42432220650258756</v>
      </c>
      <c r="AW308" s="50">
        <f>EXP(LN(AW57)+0.5*LN('Ecoinvent 3.10'!$E$21)^2)</f>
        <v>0.20992782848022742</v>
      </c>
      <c r="AX308" s="224">
        <f>EXP(LN(AX57)+0.5*LN('Ecoinvent 3.10'!$E$21)^2)</f>
        <v>0.33064068039162636</v>
      </c>
      <c r="AY308" s="50">
        <f>EXP(LN(AY57)+0.5*LN('Ecoinvent 3.10'!$E$21)^2)</f>
        <v>0.1635801260884889</v>
      </c>
      <c r="AZ308" s="224">
        <f>EXP(LN(AZ57)+0.5*LN('Ecoinvent 3.10'!$E$21)^2)</f>
        <v>0.27084396159739615</v>
      </c>
      <c r="BA308" s="50">
        <f>EXP(LN(BA57)+0.5*LN('Ecoinvent 3.10'!$E$21)^2)</f>
        <v>0.13399648626397495</v>
      </c>
      <c r="BB308" s="224">
        <f>EXP(LN(BB57)+0.5*LN('Ecoinvent 3.10'!$E$21)^2)</f>
        <v>0.47736248231541079</v>
      </c>
      <c r="BC308" s="50">
        <f>EXP(LN(BC57)+0.5*LN('Ecoinvent 3.10'!$E$21)^2)</f>
        <v>0.23616880704025589</v>
      </c>
      <c r="BD308" s="224">
        <f>EXP(LN(BD57)+0.5*LN('Ecoinvent 3.10'!$E$21)^2)</f>
        <v>0.52373483774033625</v>
      </c>
      <c r="BE308" s="50">
        <f>EXP(LN(BE57)+0.5*LN('Ecoinvent 3.10'!$E$21)^2)</f>
        <v>0.25911091972416639</v>
      </c>
      <c r="BF308" s="264"/>
      <c r="BG308" s="265"/>
      <c r="BI308" s="156"/>
      <c r="BJ308" s="150" t="s">
        <v>66</v>
      </c>
      <c r="BK308" s="224">
        <f>EXP(LN(BK57)+0.5*LN('Ecoinvent 3.10'!$E$21)^2)</f>
        <v>4.5401083058069613E-2</v>
      </c>
      <c r="BL308" s="50">
        <f>EXP(LN(BL57)+0.5*LN('Ecoinvent 3.10'!$E$21)^2)</f>
        <v>2.2461588460308112E-2</v>
      </c>
      <c r="BM308" s="224">
        <f>EXP(LN(BM57)+0.5*LN('Ecoinvent 3.10'!$E$21)^2)</f>
        <v>4.5401083058069593E-2</v>
      </c>
      <c r="BN308" s="50">
        <f>EXP(LN(BN57)+0.5*LN('Ecoinvent 3.10'!$E$21)^2)</f>
        <v>2.2461588460308112E-2</v>
      </c>
      <c r="BO308" s="224">
        <f>EXP(LN(BO57)+0.5*LN('Ecoinvent 3.10'!$E$21)^2)</f>
        <v>4.5401083058069613E-2</v>
      </c>
      <c r="BP308" s="50">
        <f>EXP(LN(BP57)+0.5*LN('Ecoinvent 3.10'!$E$21)^2)</f>
        <v>2.2461588460308112E-2</v>
      </c>
      <c r="BQ308" s="224">
        <f>EXP(LN(BQ57)+0.5*LN('Ecoinvent 3.10'!$E$21)^2)</f>
        <v>3.5377467317976301E-2</v>
      </c>
      <c r="BR308" s="50">
        <f>EXP(LN(BR57)+0.5*LN('Ecoinvent 3.10'!$E$21)^2)</f>
        <v>1.7502536462577756E-2</v>
      </c>
      <c r="BS308" s="224">
        <f>EXP(LN(BS57)+0.5*LN('Ecoinvent 3.10'!$E$21)^2)</f>
        <v>2.897941471791677E-2</v>
      </c>
      <c r="BT308" s="50">
        <f>EXP(LN(BT57)+0.5*LN('Ecoinvent 3.10'!$E$21)^2)</f>
        <v>1.4337184123600933E-2</v>
      </c>
      <c r="BU308" s="224">
        <f>EXP(LN(BU57)+0.5*LN('Ecoinvent 3.10'!$E$21)^2)</f>
        <v>5.1076218440328315E-2</v>
      </c>
      <c r="BV308" s="50">
        <f>EXP(LN(BV57)+0.5*LN('Ecoinvent 3.10'!$E$21)^2)</f>
        <v>2.5269287017846635E-2</v>
      </c>
      <c r="BW308" s="224">
        <f>EXP(LN(BW57)+0.5*LN('Ecoinvent 3.10'!$E$21)^2)</f>
        <v>5.6037908231674469E-2</v>
      </c>
      <c r="BX308" s="50">
        <f>EXP(LN(BX57)+0.5*LN('Ecoinvent 3.10'!$E$21)^2)</f>
        <v>2.7724017756723153E-2</v>
      </c>
      <c r="BY308" s="264"/>
      <c r="BZ308" s="265"/>
      <c r="CA308" s="156"/>
      <c r="CB308" s="156"/>
      <c r="CC308" s="150" t="s">
        <v>66</v>
      </c>
      <c r="CD308" s="224">
        <f>EXP(LN(CD57)+0.5*LN('Ecoinvent 3.10'!$E$21)^2)</f>
        <v>0.26459544262107904</v>
      </c>
      <c r="CE308" s="50">
        <f>EXP(LN(CE57)+0.5*LN('Ecoinvent 3.10'!$E$21)^2)</f>
        <v>0.13090511371779695</v>
      </c>
      <c r="CF308" s="224">
        <f>EXP(LN(CF57)+0.5*LN('Ecoinvent 3.10'!$E$21)^2)</f>
        <v>0.26459544262107904</v>
      </c>
      <c r="CG308" s="50">
        <f>EXP(LN(CG57)+0.5*LN('Ecoinvent 3.10'!$E$21)^2)</f>
        <v>0.13090511371779695</v>
      </c>
      <c r="CH308" s="224">
        <f>EXP(LN(CH57)+0.5*LN('Ecoinvent 3.10'!$E$21)^2)</f>
        <v>0.26459544262107909</v>
      </c>
      <c r="CI308" s="50">
        <f>EXP(LN(CI57)+0.5*LN('Ecoinvent 3.10'!$E$21)^2)</f>
        <v>0.13090511371779695</v>
      </c>
      <c r="CJ308" s="224">
        <f>EXP(LN(CJ57)+0.5*LN('Ecoinvent 3.10'!$E$21)^2)</f>
        <v>0.20617826697746408</v>
      </c>
      <c r="CK308" s="50">
        <f>EXP(LN(CK57)+0.5*LN('Ecoinvent 3.10'!$E$21)^2)</f>
        <v>0.10200398471516646</v>
      </c>
      <c r="CL308" s="224">
        <f>EXP(LN(CL57)+0.5*LN('Ecoinvent 3.10'!$E$21)^2)</f>
        <v>0.16889070805600787</v>
      </c>
      <c r="CM308" s="50">
        <f>EXP(LN(CM57)+0.5*LN('Ecoinvent 3.10'!$E$21)^2)</f>
        <v>8.3556455564551269E-2</v>
      </c>
      <c r="CN308" s="224">
        <f>EXP(LN(CN57)+0.5*LN('Ecoinvent 3.10'!$E$21)^2)</f>
        <v>0.29766987294871389</v>
      </c>
      <c r="CO308" s="50">
        <f>EXP(LN(CO57)+0.5*LN('Ecoinvent 3.10'!$E$21)^2)</f>
        <v>0.1472682529325216</v>
      </c>
      <c r="CP308" s="224">
        <f>EXP(LN(CP57)+0.5*LN('Ecoinvent 3.10'!$E$21)^2)</f>
        <v>0.32658637489230319</v>
      </c>
      <c r="CQ308" s="50">
        <f>EXP(LN(CQ57)+0.5*LN('Ecoinvent 3.10'!$E$21)^2)</f>
        <v>0.1615743117888237</v>
      </c>
      <c r="CR308" s="264"/>
      <c r="CS308" s="265"/>
      <c r="CV308" s="150" t="s">
        <v>66</v>
      </c>
      <c r="CW308" s="224">
        <f>EXP(LN(CW57)+0.5*LN('Ecoinvent 3.10'!$E$21)^2)</f>
        <v>1.1313368139033923E-4</v>
      </c>
      <c r="CX308" s="50">
        <f>EXP(LN(CX57)+0.5*LN('Ecoinvent 3.10'!$E$21)^2)</f>
        <v>5.5971400266799309E-5</v>
      </c>
      <c r="CY308" s="224">
        <f>EXP(LN(CY57)+0.5*LN('Ecoinvent 3.10'!$E$21)^2)</f>
        <v>1.1313368139033904E-4</v>
      </c>
      <c r="CZ308" s="50">
        <f>EXP(LN(CZ57)+0.5*LN('Ecoinvent 3.10'!$E$21)^2)</f>
        <v>5.5971400266799309E-5</v>
      </c>
      <c r="DA308" s="224">
        <f>EXP(LN(DA57)+0.5*LN('Ecoinvent 3.10'!$E$21)^2)</f>
        <v>1.1313368139033923E-4</v>
      </c>
      <c r="DB308" s="50">
        <f>EXP(LN(DB57)+0.5*LN('Ecoinvent 3.10'!$E$21)^2)</f>
        <v>5.5971400266799309E-5</v>
      </c>
      <c r="DC308" s="224">
        <f>EXP(LN(DC57)+0.5*LN('Ecoinvent 3.10'!$E$21)^2)</f>
        <v>8.8156115369095381E-5</v>
      </c>
      <c r="DD308" s="50">
        <f>EXP(LN(DD57)+0.5*LN('Ecoinvent 3.10'!$E$21)^2)</f>
        <v>4.3614078129973499E-5</v>
      </c>
      <c r="DE308" s="224">
        <f>EXP(LN(DE57)+0.5*LN('Ecoinvent 3.10'!$E$21)^2)</f>
        <v>7.2212988121493109E-5</v>
      </c>
      <c r="DF308" s="50">
        <f>EXP(LN(DF57)+0.5*LN('Ecoinvent 3.10'!$E$21)^2)</f>
        <v>3.5726425702212383E-5</v>
      </c>
      <c r="DG308" s="224">
        <f>EXP(LN(DG57)+0.5*LN('Ecoinvent 3.10'!$E$21)^2)</f>
        <v>1.2727539156413145E-4</v>
      </c>
      <c r="DH308" s="50">
        <f>EXP(LN(DH57)+0.5*LN('Ecoinvent 3.10'!$E$21)^2)</f>
        <v>6.2967825300149248E-5</v>
      </c>
      <c r="DI308" s="224">
        <f>EXP(LN(DI57)+0.5*LN('Ecoinvent 3.10'!$E$21)^2)</f>
        <v>1.3963928674464701E-4</v>
      </c>
      <c r="DJ308" s="50">
        <f>EXP(LN(DJ57)+0.5*LN('Ecoinvent 3.10'!$E$21)^2)</f>
        <v>6.908469975787799E-5</v>
      </c>
      <c r="DK308" s="264"/>
      <c r="DL308" s="265"/>
      <c r="DO308" s="150" t="s">
        <v>66</v>
      </c>
      <c r="DP308" s="224">
        <f>EXP(LN(DP57)+0.5*LN('Ecoinvent 3.10'!$E$21)^2)</f>
        <v>4.140329863069158E-4</v>
      </c>
      <c r="DQ308" s="50">
        <f>EXP(LN(DQ57)+0.5*LN('Ecoinvent 3.10'!$E$21)^2)</f>
        <v>2.0483737217289499E-4</v>
      </c>
      <c r="DR308" s="224">
        <f>EXP(LN(DR57)+0.5*LN('Ecoinvent 3.10'!$E$21)^2)</f>
        <v>4.140329863069158E-4</v>
      </c>
      <c r="DS308" s="50">
        <f>EXP(LN(DS57)+0.5*LN('Ecoinvent 3.10'!$E$21)^2)</f>
        <v>2.0483737217289499E-4</v>
      </c>
      <c r="DT308" s="224">
        <f>EXP(LN(DT57)+0.5*LN('Ecoinvent 3.10'!$E$21)^2)</f>
        <v>4.140329863069158E-4</v>
      </c>
      <c r="DU308" s="50">
        <f>EXP(LN(DU57)+0.5*LN('Ecoinvent 3.10'!$E$21)^2)</f>
        <v>2.0483737217289499E-4</v>
      </c>
      <c r="DV308" s="224">
        <f>EXP(LN(DV57)+0.5*LN('Ecoinvent 3.10'!$E$21)^2)</f>
        <v>3.2262310621318095E-4</v>
      </c>
      <c r="DW308" s="50">
        <f>EXP(LN(DW57)+0.5*LN('Ecoinvent 3.10'!$E$21)^2)</f>
        <v>1.5961353675810006E-4</v>
      </c>
      <c r="DX308" s="224">
        <f>EXP(LN(DX57)+0.5*LN('Ecoinvent 3.10'!$E$21)^2)</f>
        <v>2.6427637423845661E-4</v>
      </c>
      <c r="DY308" s="50">
        <f>EXP(LN(DY57)+0.5*LN('Ecoinvent 3.10'!$E$21)^2)</f>
        <v>1.3074725883376298E-4</v>
      </c>
      <c r="DZ308" s="224">
        <f>EXP(LN(DZ57)+0.5*LN('Ecoinvent 3.10'!$E$21)^2)</f>
        <v>4.6578710959528007E-4</v>
      </c>
      <c r="EA308" s="50">
        <f>EXP(LN(EA57)+0.5*LN('Ecoinvent 3.10'!$E$21)^2)</f>
        <v>2.3044204369450694E-4</v>
      </c>
      <c r="EB308" s="224">
        <f>EXP(LN(EB57)+0.5*LN('Ecoinvent 3.10'!$E$21)^2)</f>
        <v>5.1103500024167893E-4</v>
      </c>
      <c r="EC308" s="50">
        <f>EXP(LN(EC57)+0.5*LN('Ecoinvent 3.10'!$E$21)^2)</f>
        <v>2.5282784222483036E-4</v>
      </c>
      <c r="ED308" s="264"/>
      <c r="EE308" s="265"/>
      <c r="EH308" s="150" t="s">
        <v>66</v>
      </c>
      <c r="EI308" s="224">
        <f>EXP(LN(EI57)+0.5*LN('Ecoinvent 3.10'!$E$21)^2)</f>
        <v>6.59923862874109E-5</v>
      </c>
      <c r="EJ308" s="50">
        <f>EXP(LN(EJ57)+0.5*LN('Ecoinvent 3.10'!$E$21)^2)</f>
        <v>3.2648864794824276E-5</v>
      </c>
      <c r="EK308" s="224">
        <f>EXP(LN(EK57)+0.5*LN('Ecoinvent 3.10'!$E$21)^2)</f>
        <v>6.5992386287410778E-5</v>
      </c>
      <c r="EL308" s="50">
        <f>EXP(LN(EL57)+0.5*LN('Ecoinvent 3.10'!$E$21)^2)</f>
        <v>3.2648864794824276E-5</v>
      </c>
      <c r="EM308" s="224">
        <f>EXP(LN(EM57)+0.5*LN('Ecoinvent 3.10'!$E$21)^2)</f>
        <v>6.59923862874109E-5</v>
      </c>
      <c r="EN308" s="50">
        <f>EXP(LN(EN57)+0.5*LN('Ecoinvent 3.10'!$E$21)^2)</f>
        <v>3.2648864794824276E-5</v>
      </c>
      <c r="EO308" s="224">
        <f>EXP(LN(EO57)+0.5*LN('Ecoinvent 3.10'!$E$21)^2)</f>
        <v>5.1422638665514913E-5</v>
      </c>
      <c r="EP308" s="50">
        <f>EXP(LN(EP57)+0.5*LN('Ecoinvent 3.10'!$E$21)^2)</f>
        <v>2.5440673866096848E-5</v>
      </c>
      <c r="EQ308" s="224">
        <f>EXP(LN(EQ57)+0.5*LN('Ecoinvent 3.10'!$E$21)^2)</f>
        <v>4.2122799757921842E-5</v>
      </c>
      <c r="ER308" s="50">
        <f>EXP(LN(ER57)+0.5*LN('Ecoinvent 3.10'!$E$21)^2)</f>
        <v>2.0839700932866594E-5</v>
      </c>
      <c r="ES308" s="224">
        <f>EXP(LN(ES57)+0.5*LN('Ecoinvent 3.10'!$E$21)^2)</f>
        <v>7.4241434573337151E-5</v>
      </c>
      <c r="ET308" s="50">
        <f>EXP(LN(ET57)+0.5*LN('Ecoinvent 3.10'!$E$21)^2)</f>
        <v>3.6729972894177323E-5</v>
      </c>
      <c r="EU308" s="224">
        <f>EXP(LN(EU57)+0.5*LN('Ecoinvent 3.10'!$E$21)^2)</f>
        <v>8.145345964617558E-5</v>
      </c>
      <c r="EV308" s="50">
        <f>EXP(LN(EV57)+0.5*LN('Ecoinvent 3.10'!$E$21)^2)</f>
        <v>4.0298027403897463E-5</v>
      </c>
      <c r="EW308" s="264"/>
      <c r="EX308" s="265"/>
      <c r="FA308" s="150" t="s">
        <v>66</v>
      </c>
      <c r="FB308" s="224">
        <f>EXP(LN(FB57)+0.5*LN('Ecoinvent 3.10'!$E$21)^2)</f>
        <v>2.1497588296362223E-6</v>
      </c>
      <c r="FC308" s="50">
        <f>EXP(LN(FC57)+0.5*LN('Ecoinvent 3.10'!$E$21)^2)</f>
        <v>1.0635648946621309E-6</v>
      </c>
      <c r="FD308" s="224">
        <f>EXP(LN(FD57)+0.5*LN('Ecoinvent 3.10'!$E$21)^2)</f>
        <v>2.1497588296362223E-6</v>
      </c>
      <c r="FE308" s="50">
        <f>EXP(LN(FE57)+0.5*LN('Ecoinvent 3.10'!$E$21)^2)</f>
        <v>1.0635648946621309E-6</v>
      </c>
      <c r="FF308" s="224">
        <f>EXP(LN(FF57)+0.5*LN('Ecoinvent 3.10'!$E$21)^2)</f>
        <v>2.1497588296362223E-6</v>
      </c>
      <c r="FG308" s="50">
        <f>EXP(LN(FG57)+0.5*LN('Ecoinvent 3.10'!$E$21)^2)</f>
        <v>1.0635648946621309E-6</v>
      </c>
      <c r="FH308" s="224">
        <f>EXP(LN(FH57)+0.5*LN('Ecoinvent 3.10'!$E$21)^2)</f>
        <v>1.6751367503658881E-6</v>
      </c>
      <c r="FI308" s="50">
        <f>EXP(LN(FI57)+0.5*LN('Ecoinvent 3.10'!$E$21)^2)</f>
        <v>8.2875186597049191E-7</v>
      </c>
      <c r="FJ308" s="224">
        <f>EXP(LN(FJ57)+0.5*LN('Ecoinvent 3.10'!$E$21)^2)</f>
        <v>1.3721864870018437E-6</v>
      </c>
      <c r="FK308" s="50">
        <f>EXP(LN(FK57)+0.5*LN('Ecoinvent 3.10'!$E$21)^2)</f>
        <v>6.788712093588069E-7</v>
      </c>
      <c r="FL308" s="224">
        <f>EXP(LN(FL57)+0.5*LN('Ecoinvent 3.10'!$E$21)^2)</f>
        <v>2.4184786833407508E-6</v>
      </c>
      <c r="FM308" s="50">
        <f>EXP(LN(FM57)+0.5*LN('Ecoinvent 3.10'!$E$21)^2)</f>
        <v>1.1965105064948977E-6</v>
      </c>
      <c r="FN308" s="224">
        <f>EXP(LN(FN57)+0.5*LN('Ecoinvent 3.10'!$E$21)^2)</f>
        <v>2.6534166125795658E-6</v>
      </c>
      <c r="FO308" s="50">
        <f>EXP(LN(FO57)+0.5*LN('Ecoinvent 3.10'!$E$21)^2)</f>
        <v>1.3127429556972587E-6</v>
      </c>
      <c r="FP308" s="264"/>
      <c r="FQ308" s="265"/>
      <c r="FT308" s="150" t="s">
        <v>66</v>
      </c>
      <c r="FU308" s="224">
        <f>EXP(LN(FU57)+0.5*LN('Ecoinvent 3.10'!$E$21)^2)</f>
        <v>8.0348231181380069E-4</v>
      </c>
      <c r="FV308" s="50">
        <f>EXP(LN(FV57)+0.5*LN('Ecoinvent 3.10'!$E$21)^2)</f>
        <v>3.9751230163419612E-4</v>
      </c>
      <c r="FW308" s="224">
        <f>EXP(LN(FW57)+0.5*LN('Ecoinvent 3.10'!$E$21)^2)</f>
        <v>8.0348231181380069E-4</v>
      </c>
      <c r="FX308" s="50">
        <f>EXP(LN(FX57)+0.5*LN('Ecoinvent 3.10'!$E$21)^2)</f>
        <v>3.9751230163419612E-4</v>
      </c>
      <c r="FY308" s="224">
        <f>EXP(LN(FY57)+0.5*LN('Ecoinvent 3.10'!$E$21)^2)</f>
        <v>8.0348231181380145E-4</v>
      </c>
      <c r="FZ308" s="50">
        <f>EXP(LN(FZ57)+0.5*LN('Ecoinvent 3.10'!$E$21)^2)</f>
        <v>3.9751230163419612E-4</v>
      </c>
      <c r="GA308" s="224">
        <f>EXP(LN(GA57)+0.5*LN('Ecoinvent 3.10'!$E$21)^2)</f>
        <v>6.2609011310166317E-4</v>
      </c>
      <c r="GB308" s="50">
        <f>EXP(LN(GB57)+0.5*LN('Ecoinvent 3.10'!$E$21)^2)</f>
        <v>3.0974984542924354E-4</v>
      </c>
      <c r="GC308" s="224">
        <f>EXP(LN(GC57)+0.5*LN('Ecoinvent 3.10'!$E$21)^2)</f>
        <v>5.1286105009391522E-4</v>
      </c>
      <c r="GD308" s="50">
        <f>EXP(LN(GD57)+0.5*LN('Ecoinvent 3.10'!$E$21)^2)</f>
        <v>2.5373125636225303E-4</v>
      </c>
      <c r="GE308" s="224">
        <f>EXP(LN(GE57)+0.5*LN('Ecoinvent 3.10'!$E$21)^2)</f>
        <v>9.0391760079052612E-4</v>
      </c>
      <c r="GF308" s="50">
        <f>EXP(LN(GF57)+0.5*LN('Ecoinvent 3.10'!$E$21)^2)</f>
        <v>4.4720133933847078E-4</v>
      </c>
      <c r="GG308" s="224">
        <f>EXP(LN(GG57)+0.5*LN('Ecoinvent 3.10'!$E$21)^2)</f>
        <v>9.9172673915303398E-4</v>
      </c>
      <c r="GH308" s="50">
        <f>EXP(LN(GH57)+0.5*LN('Ecoinvent 3.10'!$E$21)^2)</f>
        <v>4.9064375515992203E-4</v>
      </c>
      <c r="GI308" s="264"/>
      <c r="GJ308" s="265"/>
      <c r="GM308" s="150" t="s">
        <v>66</v>
      </c>
      <c r="GN308" s="224">
        <f>EXP(LN(GN57)+0.5*LN('Ecoinvent 3.10'!$E$21)^2)</f>
        <v>4.7919144561648919E-3</v>
      </c>
      <c r="GO308" s="50">
        <f>EXP(LN(GO57)+0.5*LN('Ecoinvent 3.10'!$E$21)^2)</f>
        <v>2.3707366256815756E-3</v>
      </c>
      <c r="GP308" s="224">
        <f>EXP(LN(GP57)+0.5*LN('Ecoinvent 3.10'!$E$21)^2)</f>
        <v>4.7919144561648875E-3</v>
      </c>
      <c r="GQ308" s="50">
        <f>EXP(LN(GQ57)+0.5*LN('Ecoinvent 3.10'!$E$21)^2)</f>
        <v>2.3707366256815756E-3</v>
      </c>
      <c r="GR308" s="224">
        <f>EXP(LN(GR57)+0.5*LN('Ecoinvent 3.10'!$E$21)^2)</f>
        <v>4.7919144561648919E-3</v>
      </c>
      <c r="GS308" s="50">
        <f>EXP(LN(GS57)+0.5*LN('Ecoinvent 3.10'!$E$21)^2)</f>
        <v>2.3707366256815756E-3</v>
      </c>
      <c r="GT308" s="224">
        <f>EXP(LN(GT57)+0.5*LN('Ecoinvent 3.10'!$E$21)^2)</f>
        <v>3.7339593164921214E-3</v>
      </c>
      <c r="GU308" s="50">
        <f>EXP(LN(GU57)+0.5*LN('Ecoinvent 3.10'!$E$21)^2)</f>
        <v>1.8473272407908388E-3</v>
      </c>
      <c r="GV308" s="224">
        <f>EXP(LN(GV57)+0.5*LN('Ecoinvent 3.10'!$E$21)^2)</f>
        <v>3.0586688018073771E-3</v>
      </c>
      <c r="GW308" s="50">
        <f>EXP(LN(GW57)+0.5*LN('Ecoinvent 3.10'!$E$21)^2)</f>
        <v>1.5132361440520707E-3</v>
      </c>
      <c r="GX308" s="224">
        <f>EXP(LN(GX57)+0.5*LN('Ecoinvent 3.10'!$E$21)^2)</f>
        <v>5.3909037631855007E-3</v>
      </c>
      <c r="GY308" s="50">
        <f>EXP(LN(GY57)+0.5*LN('Ecoinvent 3.10'!$E$21)^2)</f>
        <v>2.6670787038917737E-3</v>
      </c>
      <c r="GZ308" s="224">
        <f>EXP(LN(GZ57)+0.5*LN('Ecoinvent 3.10'!$E$21)^2)</f>
        <v>5.9145915573235184E-3</v>
      </c>
      <c r="HA308" s="50">
        <f>EXP(LN(HA57)+0.5*LN('Ecoinvent 3.10'!$E$21)^2)</f>
        <v>2.9261663494126902E-3</v>
      </c>
      <c r="HB308" s="264"/>
      <c r="HC308" s="265"/>
      <c r="HF308" s="150" t="s">
        <v>66</v>
      </c>
      <c r="HG308" s="224">
        <f>EXP(LN(HG57)+0.5*LN('Ecoinvent 3.10'!$E$21)^2)</f>
        <v>1.3351514616104874E-2</v>
      </c>
      <c r="HH308" s="50">
        <f>EXP(LN(HH57)+0.5*LN('Ecoinvent 3.10'!$E$21)^2)</f>
        <v>6.6054861784939894E-3</v>
      </c>
      <c r="HI308" s="224">
        <f>EXP(LN(HI57)+0.5*LN('Ecoinvent 3.10'!$E$21)^2)</f>
        <v>1.3351514616104874E-2</v>
      </c>
      <c r="HJ308" s="50">
        <f>EXP(LN(HJ57)+0.5*LN('Ecoinvent 3.10'!$E$21)^2)</f>
        <v>6.6054861784939894E-3</v>
      </c>
      <c r="HK308" s="224">
        <f>EXP(LN(HK57)+0.5*LN('Ecoinvent 3.10'!$E$21)^2)</f>
        <v>1.3351514616104874E-2</v>
      </c>
      <c r="HL308" s="50">
        <f>EXP(LN(HL57)+0.5*LN('Ecoinvent 3.10'!$E$21)^2)</f>
        <v>6.6054861784939894E-3</v>
      </c>
      <c r="HM308" s="224">
        <f>EXP(LN(HM57)+0.5*LN('Ecoinvent 3.10'!$E$21)^2)</f>
        <v>1.0403777622938856E-2</v>
      </c>
      <c r="HN308" s="50">
        <f>EXP(LN(HN57)+0.5*LN('Ecoinvent 3.10'!$E$21)^2)</f>
        <v>5.1471320871381756E-3</v>
      </c>
      <c r="HO308" s="224">
        <f>EXP(LN(HO57)+0.5*LN('Ecoinvent 3.10'!$E$21)^2)</f>
        <v>8.522243371981833E-3</v>
      </c>
      <c r="HP308" s="50">
        <f>EXP(LN(HP57)+0.5*LN('Ecoinvent 3.10'!$E$21)^2)</f>
        <v>4.2162677735068013E-3</v>
      </c>
      <c r="HQ308" s="224">
        <f>EXP(LN(HQ57)+0.5*LN('Ecoinvent 3.10'!$E$21)^2)</f>
        <v>1.5020453943117988E-2</v>
      </c>
      <c r="HR308" s="50">
        <f>EXP(LN(HR57)+0.5*LN('Ecoinvent 3.10'!$E$21)^2)</f>
        <v>7.4311719508057409E-3</v>
      </c>
      <c r="HS308" s="224">
        <f>EXP(LN(HS57)+0.5*LN('Ecoinvent 3.10'!$E$21)^2)</f>
        <v>1.6479583754735155E-2</v>
      </c>
      <c r="HT308" s="50">
        <f>EXP(LN(HT57)+0.5*LN('Ecoinvent 3.10'!$E$21)^2)</f>
        <v>8.1530572260268656E-3</v>
      </c>
      <c r="HU308" s="264"/>
      <c r="HV308" s="265"/>
      <c r="HY308" s="150" t="s">
        <v>66</v>
      </c>
      <c r="HZ308" s="224">
        <f>EXP(LN(HZ57)+0.5*LN('Ecoinvent 3.10'!$E$21)^2)</f>
        <v>5.6640103260467715E-5</v>
      </c>
      <c r="IA308" s="50">
        <f>EXP(LN(IA57)+0.5*LN('Ecoinvent 3.10'!$E$21)^2)</f>
        <v>2.8021945823599764E-5</v>
      </c>
      <c r="IB308" s="224">
        <f>EXP(LN(IB57)+0.5*LN('Ecoinvent 3.10'!$E$21)^2)</f>
        <v>5.6640103260467613E-5</v>
      </c>
      <c r="IC308" s="50">
        <f>EXP(LN(IC57)+0.5*LN('Ecoinvent 3.10'!$E$21)^2)</f>
        <v>2.8021945823599764E-5</v>
      </c>
      <c r="ID308" s="224">
        <f>EXP(LN(ID57)+0.5*LN('Ecoinvent 3.10'!$E$21)^2)</f>
        <v>5.6640103260467715E-5</v>
      </c>
      <c r="IE308" s="50">
        <f>EXP(LN(IE57)+0.5*LN('Ecoinvent 3.10'!$E$21)^2)</f>
        <v>2.8021945823599764E-5</v>
      </c>
      <c r="IF308" s="224">
        <f>EXP(LN(IF57)+0.5*LN('Ecoinvent 3.10'!$E$21)^2)</f>
        <v>4.4135145397766984E-5</v>
      </c>
      <c r="IG308" s="50">
        <f>EXP(LN(IG57)+0.5*LN('Ecoinvent 3.10'!$E$21)^2)</f>
        <v>2.1835282459947877E-5</v>
      </c>
      <c r="IH308" s="224">
        <f>EXP(LN(IH57)+0.5*LN('Ecoinvent 3.10'!$E$21)^2)</f>
        <v>3.6153257400298535E-5</v>
      </c>
      <c r="II308" s="50">
        <f>EXP(LN(II57)+0.5*LN('Ecoinvent 3.10'!$E$21)^2)</f>
        <v>1.7886348398042432E-5</v>
      </c>
      <c r="IJ308" s="224">
        <f>EXP(LN(IJ57)+0.5*LN('Ecoinvent 3.10'!$E$21)^2)</f>
        <v>6.3720116168026092E-5</v>
      </c>
      <c r="IK308" s="50">
        <f>EXP(LN(IK57)+0.5*LN('Ecoinvent 3.10'!$E$21)^2)</f>
        <v>3.1524689051549744E-5</v>
      </c>
      <c r="IL308" s="224"/>
      <c r="IM308" s="224"/>
      <c r="IN308" s="224"/>
      <c r="IO308" s="224"/>
    </row>
    <row r="309" spans="2:249" ht="12.75" customHeight="1" x14ac:dyDescent="0.2">
      <c r="B309" s="248"/>
      <c r="C309" s="248"/>
      <c r="D309" s="248"/>
      <c r="E309" s="248"/>
      <c r="F309" s="248"/>
      <c r="G309" s="248"/>
      <c r="H309" s="248"/>
      <c r="I309" s="248"/>
      <c r="J309" s="248"/>
      <c r="K309" s="248"/>
      <c r="L309" s="248"/>
      <c r="M309" s="248"/>
      <c r="N309" s="248"/>
      <c r="O309" s="248"/>
      <c r="P309" s="248"/>
      <c r="Q309" s="248"/>
      <c r="R309" s="248"/>
      <c r="S309" s="248"/>
      <c r="T309" s="248"/>
      <c r="U309" s="248"/>
      <c r="V309" s="248"/>
      <c r="W309" s="248"/>
      <c r="X309" s="248"/>
      <c r="Y309" s="248"/>
      <c r="Z309" s="248"/>
      <c r="AA309" s="248"/>
      <c r="AB309" s="248"/>
      <c r="AC309" s="248"/>
      <c r="AD309" s="248"/>
      <c r="AE309" s="248"/>
      <c r="AF309" s="248"/>
      <c r="AG309" s="248"/>
      <c r="AH309" s="248"/>
      <c r="AI309" s="248"/>
      <c r="AJ309" s="248"/>
      <c r="AK309" s="248"/>
      <c r="AL309" s="248"/>
      <c r="AM309" s="248"/>
      <c r="AN309" s="140"/>
      <c r="AO309" s="248"/>
      <c r="AP309" s="726"/>
      <c r="AQ309" s="150" t="s">
        <v>69</v>
      </c>
      <c r="AR309" s="224">
        <f>EXP(LN(AR58)+0.5*LN('Ecoinvent 3.10'!$E$25)^2)</f>
        <v>0.92240770061042232</v>
      </c>
      <c r="AS309" s="50">
        <f>EXP(LN(AS58)+0.5*LN('Ecoinvent 3.10'!$E$25)^2)</f>
        <v>0.91269814586715425</v>
      </c>
      <c r="AT309" s="224">
        <f>EXP(LN(AT58)+0.5*LN('Ecoinvent 3.10'!$E$25)^2)</f>
        <v>0.92240770061042221</v>
      </c>
      <c r="AU309" s="50">
        <f>EXP(LN(AU58)+0.5*LN('Ecoinvent 3.10'!$E$25)^2)</f>
        <v>0.91269814586715425</v>
      </c>
      <c r="AV309" s="224">
        <f>EXP(LN(AV58)+0.5*LN('Ecoinvent 3.10'!$E$25)^2)</f>
        <v>0.92240770061042254</v>
      </c>
      <c r="AW309" s="50">
        <f>EXP(LN(AW58)+0.5*LN('Ecoinvent 3.10'!$E$25)^2)</f>
        <v>0.91269814586715448</v>
      </c>
      <c r="AX309" s="224">
        <f>EXP(LN(AX58)+0.5*LN('Ecoinvent 3.10'!$E$25)^2)</f>
        <v>0.71875924722890017</v>
      </c>
      <c r="AY309" s="50">
        <f>EXP(LN(AY58)+0.5*LN('Ecoinvent 3.10'!$E$25)^2)</f>
        <v>0.71119336041596459</v>
      </c>
      <c r="AZ309" s="224">
        <f>EXP(LN(AZ58)+0.5*LN('Ecoinvent 3.10'!$E$25)^2)</f>
        <v>0.58877087273005668</v>
      </c>
      <c r="BA309" s="50">
        <f>EXP(LN(BA58)+0.5*LN('Ecoinvent 3.10'!$E$25)^2)</f>
        <v>0.58257328459605628</v>
      </c>
      <c r="BB309" s="224">
        <f>EXP(LN(BB58)+0.5*LN('Ecoinvent 3.10'!$E$25)^2)</f>
        <v>1.0377086631867249</v>
      </c>
      <c r="BC309" s="50">
        <f>EXP(LN(BC58)+0.5*LN('Ecoinvent 3.10'!$E$25)^2)</f>
        <v>1.026785414100549</v>
      </c>
      <c r="BD309" s="224">
        <f>EXP(LN(BD58)+0.5*LN('Ecoinvent 3.10'!$E$25)^2)</f>
        <v>1.1385146476105779</v>
      </c>
      <c r="BE309" s="50">
        <f>EXP(LN(BE58)+0.5*LN('Ecoinvent 3.10'!$E$25)^2)</f>
        <v>1.1265302828988879</v>
      </c>
      <c r="BF309" s="264"/>
      <c r="BG309" s="265"/>
      <c r="BI309" s="156"/>
      <c r="BJ309" s="150" t="s">
        <v>69</v>
      </c>
      <c r="BK309" s="224">
        <f>EXP(LN(BK58)+0.5*LN('Ecoinvent 3.10'!$E$25)^2)</f>
        <v>0.14860962242940126</v>
      </c>
      <c r="BL309" s="50">
        <f>EXP(LN(BL58)+0.5*LN('Ecoinvent 3.10'!$E$25)^2)</f>
        <v>0.14704531061435488</v>
      </c>
      <c r="BM309" s="224">
        <f>EXP(LN(BM58)+0.5*LN('Ecoinvent 3.10'!$E$25)^2)</f>
        <v>0.14860962242940126</v>
      </c>
      <c r="BN309" s="50">
        <f>EXP(LN(BN58)+0.5*LN('Ecoinvent 3.10'!$E$25)^2)</f>
        <v>0.14704531061435488</v>
      </c>
      <c r="BO309" s="224">
        <f>EXP(LN(BO58)+0.5*LN('Ecoinvent 3.10'!$E$25)^2)</f>
        <v>0.14860962242940132</v>
      </c>
      <c r="BP309" s="50">
        <f>EXP(LN(BP58)+0.5*LN('Ecoinvent 3.10'!$E$25)^2)</f>
        <v>0.14704531061435491</v>
      </c>
      <c r="BQ309" s="224">
        <f>EXP(LN(BQ58)+0.5*LN('Ecoinvent 3.10'!$E$25)^2)</f>
        <v>0.11579970578914381</v>
      </c>
      <c r="BR309" s="50">
        <f>EXP(LN(BR58)+0.5*LN('Ecoinvent 3.10'!$E$25)^2)</f>
        <v>0.11458076151767914</v>
      </c>
      <c r="BS309" s="224">
        <f>EXP(LN(BS58)+0.5*LN('Ecoinvent 3.10'!$E$25)^2)</f>
        <v>9.4857205806000822E-2</v>
      </c>
      <c r="BT309" s="50">
        <f>EXP(LN(BT58)+0.5*LN('Ecoinvent 3.10'!$E$25)^2)</f>
        <v>9.3858708902779753E-2</v>
      </c>
      <c r="BU309" s="224">
        <f>EXP(LN(BU58)+0.5*LN('Ecoinvent 3.10'!$E$25)^2)</f>
        <v>0.16718582523307643</v>
      </c>
      <c r="BV309" s="50">
        <f>EXP(LN(BV58)+0.5*LN('Ecoinvent 3.10'!$E$25)^2)</f>
        <v>0.16542597444114929</v>
      </c>
      <c r="BW309" s="224">
        <f>EXP(LN(BW58)+0.5*LN('Ecoinvent 3.10'!$E$25)^2)</f>
        <v>0.18342673397000381</v>
      </c>
      <c r="BX309" s="50">
        <f>EXP(LN(BX58)+0.5*LN('Ecoinvent 3.10'!$E$25)^2)</f>
        <v>0.18149592624400379</v>
      </c>
      <c r="BY309" s="264"/>
      <c r="BZ309" s="265"/>
      <c r="CA309" s="156"/>
      <c r="CB309" s="156"/>
      <c r="CC309" s="150" t="s">
        <v>69</v>
      </c>
      <c r="CD309" s="224">
        <f>EXP(LN(CD58)+0.5*LN('Ecoinvent 3.10'!$E$25)^2)</f>
        <v>1.1030932809524689</v>
      </c>
      <c r="CE309" s="50">
        <f>EXP(LN(CE58)+0.5*LN('Ecoinvent 3.10'!$E$25)^2)</f>
        <v>1.0914817727319159</v>
      </c>
      <c r="CF309" s="224">
        <f>EXP(LN(CF58)+0.5*LN('Ecoinvent 3.10'!$E$25)^2)</f>
        <v>1.1030932809524687</v>
      </c>
      <c r="CG309" s="50">
        <f>EXP(LN(CG58)+0.5*LN('Ecoinvent 3.10'!$E$25)^2)</f>
        <v>1.0914817727319159</v>
      </c>
      <c r="CH309" s="224">
        <f>EXP(LN(CH58)+0.5*LN('Ecoinvent 3.10'!$E$25)^2)</f>
        <v>1.1030932809524692</v>
      </c>
      <c r="CI309" s="50">
        <f>EXP(LN(CI58)+0.5*LN('Ecoinvent 3.10'!$E$25)^2)</f>
        <v>1.0914817727319162</v>
      </c>
      <c r="CJ309" s="224">
        <f>EXP(LN(CJ58)+0.5*LN('Ecoinvent 3.10'!$E$25)^2)</f>
        <v>0.85955320593698825</v>
      </c>
      <c r="CK309" s="50">
        <f>EXP(LN(CK58)+0.5*LN('Ecoinvent 3.10'!$E$25)^2)</f>
        <v>0.85050527745344118</v>
      </c>
      <c r="CL309" s="224">
        <f>EXP(LN(CL58)+0.5*LN('Ecoinvent 3.10'!$E$25)^2)</f>
        <v>0.70410209422497994</v>
      </c>
      <c r="CM309" s="50">
        <f>EXP(LN(CM58)+0.5*LN('Ecoinvent 3.10'!$E$25)^2)</f>
        <v>0.69669049323313814</v>
      </c>
      <c r="CN309" s="224">
        <f>EXP(LN(CN58)+0.5*LN('Ecoinvent 3.10'!$E$25)^2)</f>
        <v>1.2409799410715272</v>
      </c>
      <c r="CO309" s="50">
        <f>EXP(LN(CO58)+0.5*LN('Ecoinvent 3.10'!$E$25)^2)</f>
        <v>1.2279169943234058</v>
      </c>
      <c r="CP309" s="224">
        <f>EXP(LN(CP58)+0.5*LN('Ecoinvent 3.10'!$E$25)^2)</f>
        <v>1.3615322782041896</v>
      </c>
      <c r="CQ309" s="50">
        <f>EXP(LN(CQ58)+0.5*LN('Ecoinvent 3.10'!$E$25)^2)</f>
        <v>1.3472003594862509</v>
      </c>
      <c r="CR309" s="264"/>
      <c r="CS309" s="265"/>
      <c r="CV309" s="150" t="s">
        <v>69</v>
      </c>
      <c r="CW309" s="224">
        <f>EXP(LN(CW58)+0.5*LN('Ecoinvent 3.10'!$E$25)^2)</f>
        <v>4.7666578651354562E-4</v>
      </c>
      <c r="CX309" s="50">
        <f>EXP(LN(CX58)+0.5*LN('Ecoinvent 3.10'!$E$25)^2)</f>
        <v>4.716482519186658E-4</v>
      </c>
      <c r="CY309" s="224">
        <f>EXP(LN(CY58)+0.5*LN('Ecoinvent 3.10'!$E$25)^2)</f>
        <v>4.7666578651354519E-4</v>
      </c>
      <c r="CZ309" s="50">
        <f>EXP(LN(CZ58)+0.5*LN('Ecoinvent 3.10'!$E$25)^2)</f>
        <v>4.716482519186658E-4</v>
      </c>
      <c r="DA309" s="224">
        <f>EXP(LN(DA58)+0.5*LN('Ecoinvent 3.10'!$E$25)^2)</f>
        <v>4.7666578651354562E-4</v>
      </c>
      <c r="DB309" s="50">
        <f>EXP(LN(DB58)+0.5*LN('Ecoinvent 3.10'!$E$25)^2)</f>
        <v>4.716482519186658E-4</v>
      </c>
      <c r="DC309" s="224">
        <f>EXP(LN(DC58)+0.5*LN('Ecoinvent 3.10'!$E$25)^2)</f>
        <v>3.7142788559497042E-4</v>
      </c>
      <c r="DD309" s="50">
        <f>EXP(LN(DD58)+0.5*LN('Ecoinvent 3.10'!$E$25)^2)</f>
        <v>3.6751811837818123E-4</v>
      </c>
      <c r="DE309" s="224">
        <f>EXP(LN(DE58)+0.5*LN('Ecoinvent 3.10'!$E$25)^2)</f>
        <v>3.0425475734907132E-4</v>
      </c>
      <c r="DF309" s="50">
        <f>EXP(LN(DF58)+0.5*LN('Ecoinvent 3.10'!$E$25)^2)</f>
        <v>3.0105207569276532E-4</v>
      </c>
      <c r="DG309" s="224">
        <f>EXP(LN(DG58)+0.5*LN('Ecoinvent 3.10'!$E$25)^2)</f>
        <v>5.3624900982773859E-4</v>
      </c>
      <c r="DH309" s="50">
        <f>EXP(LN(DH58)+0.5*LN('Ecoinvent 3.10'!$E$25)^2)</f>
        <v>5.306042834084992E-4</v>
      </c>
      <c r="DI309" s="224">
        <f>EXP(LN(DI58)+0.5*LN('Ecoinvent 3.10'!$E$25)^2)</f>
        <v>5.8834177078243293E-4</v>
      </c>
      <c r="DJ309" s="50">
        <f>EXP(LN(DJ58)+0.5*LN('Ecoinvent 3.10'!$E$25)^2)</f>
        <v>5.8214869951103883E-4</v>
      </c>
      <c r="DK309" s="264"/>
      <c r="DL309" s="265"/>
      <c r="DO309" s="150" t="s">
        <v>69</v>
      </c>
      <c r="DP309" s="224">
        <f>EXP(LN(DP58)+0.5*LN('Ecoinvent 3.10'!$E$25)^2)</f>
        <v>9.8260997136951286E-3</v>
      </c>
      <c r="DQ309" s="50">
        <f>EXP(LN(DQ58)+0.5*LN('Ecoinvent 3.10'!$E$25)^2)</f>
        <v>9.7226670851299161E-3</v>
      </c>
      <c r="DR309" s="224">
        <f>EXP(LN(DR58)+0.5*LN('Ecoinvent 3.10'!$E$25)^2)</f>
        <v>9.8260997136951286E-3</v>
      </c>
      <c r="DS309" s="50">
        <f>EXP(LN(DS58)+0.5*LN('Ecoinvent 3.10'!$E$25)^2)</f>
        <v>9.7226670851299161E-3</v>
      </c>
      <c r="DT309" s="224">
        <f>EXP(LN(DT58)+0.5*LN('Ecoinvent 3.10'!$E$25)^2)</f>
        <v>9.8260997136951373E-3</v>
      </c>
      <c r="DU309" s="50">
        <f>EXP(LN(DU58)+0.5*LN('Ecoinvent 3.10'!$E$25)^2)</f>
        <v>9.7226670851299161E-3</v>
      </c>
      <c r="DV309" s="224">
        <f>EXP(LN(DV58)+0.5*LN('Ecoinvent 3.10'!$E$25)^2)</f>
        <v>7.6567010756065897E-3</v>
      </c>
      <c r="DW309" s="50">
        <f>EXP(LN(DW58)+0.5*LN('Ecoinvent 3.10'!$E$25)^2)</f>
        <v>7.5761042221791581E-3</v>
      </c>
      <c r="DX309" s="224">
        <f>EXP(LN(DX58)+0.5*LN('Ecoinvent 3.10'!$E$25)^2)</f>
        <v>6.2719785406564633E-3</v>
      </c>
      <c r="DY309" s="50">
        <f>EXP(LN(DY58)+0.5*LN('Ecoinvent 3.10'!$E$25)^2)</f>
        <v>6.2059577139127169E-3</v>
      </c>
      <c r="DZ309" s="224">
        <f>EXP(LN(DZ58)+0.5*LN('Ecoinvent 3.10'!$E$25)^2)</f>
        <v>1.1054362177907024E-2</v>
      </c>
      <c r="EA309" s="50">
        <f>EXP(LN(EA58)+0.5*LN('Ecoinvent 3.10'!$E$25)^2)</f>
        <v>1.093800047077116E-2</v>
      </c>
      <c r="EB309" s="224">
        <f>EXP(LN(EB58)+0.5*LN('Ecoinvent 3.10'!$E$25)^2)</f>
        <v>1.2128214503760844E-2</v>
      </c>
      <c r="EC309" s="50">
        <f>EXP(LN(EC58)+0.5*LN('Ecoinvent 3.10'!$E$25)^2)</f>
        <v>1.2000549087931781E-2</v>
      </c>
      <c r="ED309" s="264"/>
      <c r="EE309" s="265"/>
      <c r="EH309" s="150" t="s">
        <v>69</v>
      </c>
      <c r="EI309" s="224">
        <f>EXP(LN(EI58)+0.5*LN('Ecoinvent 3.10'!$E$25)^2)</f>
        <v>1.1533857708393308E-3</v>
      </c>
      <c r="EJ309" s="50">
        <f>EXP(LN(EJ58)+0.5*LN('Ecoinvent 3.10'!$E$25)^2)</f>
        <v>1.1412448679883895E-3</v>
      </c>
      <c r="EK309" s="224">
        <f>EXP(LN(EK58)+0.5*LN('Ecoinvent 3.10'!$E$25)^2)</f>
        <v>1.1533857708393308E-3</v>
      </c>
      <c r="EL309" s="50">
        <f>EXP(LN(EL58)+0.5*LN('Ecoinvent 3.10'!$E$25)^2)</f>
        <v>1.1412448679883895E-3</v>
      </c>
      <c r="EM309" s="224">
        <f>EXP(LN(EM58)+0.5*LN('Ecoinvent 3.10'!$E$25)^2)</f>
        <v>1.1533857708393308E-3</v>
      </c>
      <c r="EN309" s="50">
        <f>EXP(LN(EN58)+0.5*LN('Ecoinvent 3.10'!$E$25)^2)</f>
        <v>1.1412448679883895E-3</v>
      </c>
      <c r="EO309" s="224">
        <f>EXP(LN(EO58)+0.5*LN('Ecoinvent 3.10'!$E$25)^2)</f>
        <v>8.9874215909558199E-4</v>
      </c>
      <c r="EP309" s="50">
        <f>EXP(LN(EP58)+0.5*LN('Ecoinvent 3.10'!$E$25)^2)</f>
        <v>8.8928171531562847E-4</v>
      </c>
      <c r="EQ309" s="224">
        <f>EXP(LN(EQ58)+0.5*LN('Ecoinvent 3.10'!$E$25)^2)</f>
        <v>7.3620368351446632E-4</v>
      </c>
      <c r="ER309" s="50">
        <f>EXP(LN(ER58)+0.5*LN('Ecoinvent 3.10'!$E$25)^2)</f>
        <v>7.2845417105641937E-4</v>
      </c>
      <c r="ES309" s="224">
        <f>EXP(LN(ES58)+0.5*LN('Ecoinvent 3.10'!$E$25)^2)</f>
        <v>1.2975589921942466E-3</v>
      </c>
      <c r="ET309" s="50">
        <f>EXP(LN(ET58)+0.5*LN('Ecoinvent 3.10'!$E$25)^2)</f>
        <v>1.2839004764869386E-3</v>
      </c>
      <c r="EU309" s="224">
        <f>EXP(LN(EU58)+0.5*LN('Ecoinvent 3.10'!$E$25)^2)</f>
        <v>1.4236075800074012E-3</v>
      </c>
      <c r="EV309" s="50">
        <f>EXP(LN(EV58)+0.5*LN('Ecoinvent 3.10'!$E$25)^2)</f>
        <v>1.408622237059955E-3</v>
      </c>
      <c r="EW309" s="264"/>
      <c r="EX309" s="265"/>
      <c r="FA309" s="150" t="s">
        <v>69</v>
      </c>
      <c r="FB309" s="224">
        <f>EXP(LN(FB58)+0.5*LN('Ecoinvent 3.10'!$E$25)^2)</f>
        <v>4.4455163847698464E-5</v>
      </c>
      <c r="FC309" s="50">
        <f>EXP(LN(FC58)+0.5*LN('Ecoinvent 3.10'!$E$25)^2)</f>
        <v>4.3987214754564796E-5</v>
      </c>
      <c r="FD309" s="224">
        <f>EXP(LN(FD58)+0.5*LN('Ecoinvent 3.10'!$E$25)^2)</f>
        <v>4.4455163847698464E-5</v>
      </c>
      <c r="FE309" s="50">
        <f>EXP(LN(FE58)+0.5*LN('Ecoinvent 3.10'!$E$25)^2)</f>
        <v>4.3987214754564796E-5</v>
      </c>
      <c r="FF309" s="224">
        <f>EXP(LN(FF58)+0.5*LN('Ecoinvent 3.10'!$E$25)^2)</f>
        <v>4.4455163847698464E-5</v>
      </c>
      <c r="FG309" s="50">
        <f>EXP(LN(FG58)+0.5*LN('Ecoinvent 3.10'!$E$25)^2)</f>
        <v>4.3987214754564796E-5</v>
      </c>
      <c r="FH309" s="224">
        <f>EXP(LN(FH58)+0.5*LN('Ecoinvent 3.10'!$E$25)^2)</f>
        <v>3.4640387413790962E-5</v>
      </c>
      <c r="FI309" s="50">
        <f>EXP(LN(FI58)+0.5*LN('Ecoinvent 3.10'!$E$25)^2)</f>
        <v>3.4275751756803746E-5</v>
      </c>
      <c r="FJ309" s="224">
        <f>EXP(LN(FJ58)+0.5*LN('Ecoinvent 3.10'!$E$25)^2)</f>
        <v>2.8375636498530929E-5</v>
      </c>
      <c r="FK309" s="50">
        <f>EXP(LN(FK58)+0.5*LN('Ecoinvent 3.10'!$E$25)^2)</f>
        <v>2.8076945588020076E-5</v>
      </c>
      <c r="FL309" s="224">
        <f>EXP(LN(FL58)+0.5*LN('Ecoinvent 3.10'!$E$25)^2)</f>
        <v>5.0012059328660787E-5</v>
      </c>
      <c r="FM309" s="50">
        <f>EXP(LN(FM58)+0.5*LN('Ecoinvent 3.10'!$E$25)^2)</f>
        <v>4.9485616598885412E-5</v>
      </c>
      <c r="FN309" s="224">
        <f>EXP(LN(FN58)+0.5*LN('Ecoinvent 3.10'!$E$25)^2)</f>
        <v>5.4870373663444955E-5</v>
      </c>
      <c r="FO309" s="50">
        <f>EXP(LN(FO58)+0.5*LN('Ecoinvent 3.10'!$E$25)^2)</f>
        <v>5.4292790782777112E-5</v>
      </c>
      <c r="FP309" s="264"/>
      <c r="FQ309" s="265"/>
      <c r="FT309" s="150" t="s">
        <v>69</v>
      </c>
      <c r="FU309" s="224">
        <f>EXP(LN(FU58)+0.5*LN('Ecoinvent 3.10'!$E$25)^2)</f>
        <v>5.9412648163704677E-3</v>
      </c>
      <c r="FV309" s="50">
        <f>EXP(LN(FV58)+0.5*LN('Ecoinvent 3.10'!$E$25)^2)</f>
        <v>5.8787251867244575E-3</v>
      </c>
      <c r="FW309" s="224">
        <f>EXP(LN(FW58)+0.5*LN('Ecoinvent 3.10'!$E$25)^2)</f>
        <v>5.9412648163704677E-3</v>
      </c>
      <c r="FX309" s="50">
        <f>EXP(LN(FX58)+0.5*LN('Ecoinvent 3.10'!$E$25)^2)</f>
        <v>5.8787251867244575E-3</v>
      </c>
      <c r="FY309" s="224">
        <f>EXP(LN(FY58)+0.5*LN('Ecoinvent 3.10'!$E$25)^2)</f>
        <v>5.9412648163704677E-3</v>
      </c>
      <c r="FZ309" s="50">
        <f>EXP(LN(FZ58)+0.5*LN('Ecoinvent 3.10'!$E$25)^2)</f>
        <v>5.8787251867244627E-3</v>
      </c>
      <c r="GA309" s="224">
        <f>EXP(LN(GA58)+0.5*LN('Ecoinvent 3.10'!$E$25)^2)</f>
        <v>4.6295569997691927E-3</v>
      </c>
      <c r="GB309" s="50">
        <f>EXP(LN(GB58)+0.5*LN('Ecoinvent 3.10'!$E$25)^2)</f>
        <v>4.5808248208242539E-3</v>
      </c>
      <c r="GC309" s="224">
        <f>EXP(LN(GC58)+0.5*LN('Ecoinvent 3.10'!$E$25)^2)</f>
        <v>3.7922966913002975E-3</v>
      </c>
      <c r="GD309" s="50">
        <f>EXP(LN(GD58)+0.5*LN('Ecoinvent 3.10'!$E$25)^2)</f>
        <v>3.7523777787602944E-3</v>
      </c>
      <c r="GE309" s="224">
        <f>EXP(LN(GE58)+0.5*LN('Ecoinvent 3.10'!$E$25)^2)</f>
        <v>6.6839229184167724E-3</v>
      </c>
      <c r="GF309" s="50">
        <f>EXP(LN(GF58)+0.5*LN('Ecoinvent 3.10'!$E$25)^2)</f>
        <v>6.6135658350650172E-3</v>
      </c>
      <c r="GG309" s="224">
        <f>EXP(LN(GG58)+0.5*LN('Ecoinvent 3.10'!$E$25)^2)</f>
        <v>7.3332182876344049E-3</v>
      </c>
      <c r="GH309" s="50">
        <f>EXP(LN(GH58)+0.5*LN('Ecoinvent 3.10'!$E$25)^2)</f>
        <v>7.2560265161856216E-3</v>
      </c>
      <c r="GI309" s="264"/>
      <c r="GJ309" s="265"/>
      <c r="GM309" s="150" t="s">
        <v>69</v>
      </c>
      <c r="GN309" s="224">
        <f>EXP(LN(GN58)+0.5*LN('Ecoinvent 3.10'!$E$25)^2)</f>
        <v>2.3376861734917855E-2</v>
      </c>
      <c r="GO309" s="50">
        <f>EXP(LN(GO58)+0.5*LN('Ecoinvent 3.10'!$E$25)^2)</f>
        <v>2.3130789506129238E-2</v>
      </c>
      <c r="GP309" s="224">
        <f>EXP(LN(GP58)+0.5*LN('Ecoinvent 3.10'!$E$25)^2)</f>
        <v>2.3376861734917844E-2</v>
      </c>
      <c r="GQ309" s="50">
        <f>EXP(LN(GQ58)+0.5*LN('Ecoinvent 3.10'!$E$25)^2)</f>
        <v>2.3130789506129238E-2</v>
      </c>
      <c r="GR309" s="224">
        <f>EXP(LN(GR58)+0.5*LN('Ecoinvent 3.10'!$E$25)^2)</f>
        <v>2.3376861734917855E-2</v>
      </c>
      <c r="GS309" s="50">
        <f>EXP(LN(GS58)+0.5*LN('Ecoinvent 3.10'!$E$25)^2)</f>
        <v>2.3130789506129238E-2</v>
      </c>
      <c r="GT309" s="224">
        <f>EXP(LN(GT58)+0.5*LN('Ecoinvent 3.10'!$E$25)^2)</f>
        <v>1.82157364168191E-2</v>
      </c>
      <c r="GU309" s="50">
        <f>EXP(LN(GU58)+0.5*LN('Ecoinvent 3.10'!$E$25)^2)</f>
        <v>1.8023991822957844E-2</v>
      </c>
      <c r="GV309" s="224">
        <f>EXP(LN(GV58)+0.5*LN('Ecoinvent 3.10'!$E$25)^2)</f>
        <v>1.4921401107394374E-2</v>
      </c>
      <c r="GW309" s="50">
        <f>EXP(LN(GW58)+0.5*LN('Ecoinvent 3.10'!$E$25)^2)</f>
        <v>1.4764333727316538E-2</v>
      </c>
      <c r="GX309" s="224">
        <f>EXP(LN(GX58)+0.5*LN('Ecoinvent 3.10'!$E$25)^2)</f>
        <v>2.6298969451782585E-2</v>
      </c>
      <c r="GY309" s="50">
        <f>EXP(LN(GY58)+0.5*LN('Ecoinvent 3.10'!$E$25)^2)</f>
        <v>2.6022138194395399E-2</v>
      </c>
      <c r="GZ309" s="224">
        <f>EXP(LN(GZ58)+0.5*LN('Ecoinvent 3.10'!$E$25)^2)</f>
        <v>2.8853726484241466E-2</v>
      </c>
      <c r="HA309" s="50">
        <f>EXP(LN(HA58)+0.5*LN('Ecoinvent 3.10'!$E$25)^2)</f>
        <v>2.8550003047565237E-2</v>
      </c>
      <c r="HB309" s="264"/>
      <c r="HC309" s="265"/>
      <c r="HF309" s="150" t="s">
        <v>69</v>
      </c>
      <c r="HG309" s="224">
        <f>EXP(LN(HG58)+0.5*LN('Ecoinvent 3.10'!$E$25)^2)</f>
        <v>0.15268710929201471</v>
      </c>
      <c r="HH309" s="50">
        <f>EXP(LN(HH58)+0.5*LN('Ecoinvent 3.10'!$E$25)^2)</f>
        <v>0.151079876562625</v>
      </c>
      <c r="HI309" s="224">
        <f>EXP(LN(HI58)+0.5*LN('Ecoinvent 3.10'!$E$25)^2)</f>
        <v>0.15268710929201468</v>
      </c>
      <c r="HJ309" s="50">
        <f>EXP(LN(HJ58)+0.5*LN('Ecoinvent 3.10'!$E$25)^2)</f>
        <v>0.151079876562625</v>
      </c>
      <c r="HK309" s="224">
        <f>EXP(LN(HK58)+0.5*LN('Ecoinvent 3.10'!$E$25)^2)</f>
        <v>0.15268710929201473</v>
      </c>
      <c r="HL309" s="50">
        <f>EXP(LN(HL58)+0.5*LN('Ecoinvent 3.10'!$E$25)^2)</f>
        <v>0.15107987656262503</v>
      </c>
      <c r="HM309" s="224">
        <f>EXP(LN(HM58)+0.5*LN('Ecoinvent 3.10'!$E$25)^2)</f>
        <v>0.11897696827949192</v>
      </c>
      <c r="HN309" s="50">
        <f>EXP(LN(HN58)+0.5*LN('Ecoinvent 3.10'!$E$25)^2)</f>
        <v>0.11772457913970784</v>
      </c>
      <c r="HO309" s="224">
        <f>EXP(LN(HO58)+0.5*LN('Ecoinvent 3.10'!$E$25)^2)</f>
        <v>9.7459856994902991E-2</v>
      </c>
      <c r="HP309" s="50">
        <f>EXP(LN(HP58)+0.5*LN('Ecoinvent 3.10'!$E$25)^2)</f>
        <v>9.6433963763377734E-2</v>
      </c>
      <c r="HQ309" s="224">
        <f>EXP(LN(HQ58)+0.5*LN('Ecoinvent 3.10'!$E$25)^2)</f>
        <v>0.17177299795351653</v>
      </c>
      <c r="HR309" s="50">
        <f>EXP(LN(HR58)+0.5*LN('Ecoinvent 3.10'!$E$25)^2)</f>
        <v>0.16996486113295323</v>
      </c>
      <c r="HS309" s="224">
        <f>EXP(LN(HS58)+0.5*LN('Ecoinvent 3.10'!$E$25)^2)</f>
        <v>0.18845951775471523</v>
      </c>
      <c r="HT309" s="50">
        <f>EXP(LN(HT58)+0.5*LN('Ecoinvent 3.10'!$E$25)^2)</f>
        <v>0.18647573335729722</v>
      </c>
      <c r="HU309" s="264"/>
      <c r="HV309" s="265"/>
      <c r="HY309" s="150" t="s">
        <v>69</v>
      </c>
      <c r="HZ309" s="224">
        <f>EXP(LN(HZ58)+0.5*LN('Ecoinvent 3.10'!$E$25)^2)</f>
        <v>2.3428094879964108E-4</v>
      </c>
      <c r="IA309" s="50">
        <f>EXP(LN(IA58)+0.5*LN('Ecoinvent 3.10'!$E$25)^2)</f>
        <v>2.3181483354911813E-4</v>
      </c>
      <c r="IB309" s="224">
        <f>EXP(LN(IB58)+0.5*LN('Ecoinvent 3.10'!$E$25)^2)</f>
        <v>2.3428094879964108E-4</v>
      </c>
      <c r="IC309" s="50">
        <f>EXP(LN(IC58)+0.5*LN('Ecoinvent 3.10'!$E$25)^2)</f>
        <v>2.3181483354911813E-4</v>
      </c>
      <c r="ID309" s="224">
        <f>EXP(LN(ID58)+0.5*LN('Ecoinvent 3.10'!$E$25)^2)</f>
        <v>2.3428094879964108E-4</v>
      </c>
      <c r="IE309" s="50">
        <f>EXP(LN(IE58)+0.5*LN('Ecoinvent 3.10'!$E$25)^2)</f>
        <v>2.3181483354911854E-4</v>
      </c>
      <c r="IF309" s="224">
        <f>EXP(LN(IF58)+0.5*LN('Ecoinvent 3.10'!$E$25)^2)</f>
        <v>1.8255658348023955E-4</v>
      </c>
      <c r="IG309" s="50">
        <f>EXP(LN(IG58)+0.5*LN('Ecoinvent 3.10'!$E$25)^2)</f>
        <v>1.8063493523307912E-4</v>
      </c>
      <c r="IH309" s="224">
        <f>EXP(LN(IH58)+0.5*LN('Ecoinvent 3.10'!$E$25)^2)</f>
        <v>1.4954103114870704E-4</v>
      </c>
      <c r="II309" s="50">
        <f>EXP(LN(II58)+0.5*LN('Ecoinvent 3.10'!$E$25)^2)</f>
        <v>1.4796691503135223E-4</v>
      </c>
      <c r="IJ309" s="224">
        <f>EXP(LN(IJ58)+0.5*LN('Ecoinvent 3.10'!$E$25)^2)</f>
        <v>2.6356606739959585E-4</v>
      </c>
      <c r="IK309" s="50">
        <f>EXP(LN(IK58)+0.5*LN('Ecoinvent 3.10'!$E$25)^2)</f>
        <v>2.60791687742758E-4</v>
      </c>
      <c r="IL309" s="224"/>
      <c r="IM309" s="224"/>
      <c r="IN309" s="224"/>
      <c r="IO309" s="224"/>
    </row>
    <row r="310" spans="2:249" ht="12.75" customHeight="1" x14ac:dyDescent="0.2"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248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248"/>
      <c r="AJ310" s="248"/>
      <c r="AK310" s="248"/>
      <c r="AL310" s="248"/>
      <c r="AM310" s="248"/>
      <c r="AN310" s="140"/>
      <c r="AO310" s="248"/>
      <c r="AP310" s="726"/>
      <c r="AQ310" s="150" t="s">
        <v>70</v>
      </c>
      <c r="AR310" s="224">
        <f>EXP(LN(AR59)+0.5*LN('Ecoinvent 3.10'!$E$26)^2)</f>
        <v>1.6050154038108953E-3</v>
      </c>
      <c r="AS310" s="50">
        <f>EXP(LN(AS59)+0.5*LN('Ecoinvent 3.10'!$E$26)^2)</f>
        <v>1.5881205048234107E-3</v>
      </c>
      <c r="AT310" s="224">
        <f>EXP(LN(AT59)+0.5*LN('Ecoinvent 3.10'!$E$26)^2)</f>
        <v>1.6050154038108938E-3</v>
      </c>
      <c r="AU310" s="50">
        <f>EXP(LN(AU59)+0.5*LN('Ecoinvent 3.10'!$E$26)^2)</f>
        <v>1.5881205048234107E-3</v>
      </c>
      <c r="AV310" s="224">
        <f>EXP(LN(AV59)+0.5*LN('Ecoinvent 3.10'!$E$26)^2)</f>
        <v>1.6050154038108953E-3</v>
      </c>
      <c r="AW310" s="50">
        <f>EXP(LN(AW59)+0.5*LN('Ecoinvent 3.10'!$E$26)^2)</f>
        <v>1.5881205048234122E-3</v>
      </c>
      <c r="AX310" s="224">
        <f>EXP(LN(AX59)+0.5*LN('Ecoinvent 3.10'!$E$26)^2)</f>
        <v>1.2506613536188787E-3</v>
      </c>
      <c r="AY310" s="50">
        <f>EXP(LN(AY59)+0.5*LN('Ecoinvent 3.10'!$E$26)^2)</f>
        <v>1.2374964972649957E-3</v>
      </c>
      <c r="AZ310" s="224">
        <f>EXP(LN(AZ59)+0.5*LN('Ecoinvent 3.10'!$E$26)^2)</f>
        <v>1.0244779173261031E-3</v>
      </c>
      <c r="BA310" s="50">
        <f>EXP(LN(BA59)+0.5*LN('Ecoinvent 3.10'!$E$26)^2)</f>
        <v>1.0136939392489863E-3</v>
      </c>
      <c r="BB310" s="224">
        <f>EXP(LN(BB59)+0.5*LN('Ecoinvent 3.10'!$E$26)^2)</f>
        <v>1.8056423292872562E-3</v>
      </c>
      <c r="BC310" s="50">
        <f>EXP(LN(BC59)+0.5*LN('Ecoinvent 3.10'!$E$26)^2)</f>
        <v>1.7866355679263376E-3</v>
      </c>
      <c r="BD310" s="224">
        <f>EXP(LN(BD59)+0.5*LN('Ecoinvent 3.10'!$E$26)^2)</f>
        <v>1.9810475841323047E-3</v>
      </c>
      <c r="BE310" s="50">
        <f>EXP(LN(BE59)+0.5*LN('Ecoinvent 3.10'!$E$26)^2)</f>
        <v>1.9601944516677542E-3</v>
      </c>
      <c r="BF310" s="264"/>
      <c r="BG310" s="265"/>
      <c r="BI310" s="156"/>
      <c r="BJ310" s="150" t="s">
        <v>70</v>
      </c>
      <c r="BK310" s="224">
        <f>EXP(LN(BK59)+0.5*LN('Ecoinvent 3.10'!$E$26)^2)</f>
        <v>3.9099174384599027E-4</v>
      </c>
      <c r="BL310" s="50">
        <f>EXP(LN(BL59)+0.5*LN('Ecoinvent 3.10'!$E$26)^2)</f>
        <v>3.8687604127919038E-4</v>
      </c>
      <c r="BM310" s="224">
        <f>EXP(LN(BM59)+0.5*LN('Ecoinvent 3.10'!$E$26)^2)</f>
        <v>3.9099174384599027E-4</v>
      </c>
      <c r="BN310" s="50">
        <f>EXP(LN(BN59)+0.5*LN('Ecoinvent 3.10'!$E$26)^2)</f>
        <v>3.8687604127919038E-4</v>
      </c>
      <c r="BO310" s="224">
        <f>EXP(LN(BO59)+0.5*LN('Ecoinvent 3.10'!$E$26)^2)</f>
        <v>3.9099174384599027E-4</v>
      </c>
      <c r="BP310" s="50">
        <f>EXP(LN(BP59)+0.5*LN('Ecoinvent 3.10'!$E$26)^2)</f>
        <v>3.8687604127919038E-4</v>
      </c>
      <c r="BQ310" s="224">
        <f>EXP(LN(BQ59)+0.5*LN('Ecoinvent 3.10'!$E$26)^2)</f>
        <v>3.0466889130856397E-4</v>
      </c>
      <c r="BR310" s="50">
        <f>EXP(LN(BR59)+0.5*LN('Ecoinvent 3.10'!$E$26)^2)</f>
        <v>3.0146185034742116E-4</v>
      </c>
      <c r="BS310" s="224">
        <f>EXP(LN(BS59)+0.5*LN('Ecoinvent 3.10'!$E$26)^2)</f>
        <v>2.4956919819956819E-4</v>
      </c>
      <c r="BT310" s="50">
        <f>EXP(LN(BT59)+0.5*LN('Ecoinvent 3.10'!$E$26)^2)</f>
        <v>2.469421540079938E-4</v>
      </c>
      <c r="BU310" s="224">
        <f>EXP(LN(BU59)+0.5*LN('Ecoinvent 3.10'!$E$26)^2)</f>
        <v>4.3986571182673921E-4</v>
      </c>
      <c r="BV310" s="50">
        <f>EXP(LN(BV59)+0.5*LN('Ecoinvent 3.10'!$E$26)^2)</f>
        <v>4.3523554643908931E-4</v>
      </c>
      <c r="BW310" s="224">
        <f>EXP(LN(BW59)+0.5*LN('Ecoinvent 3.10'!$E$26)^2)</f>
        <v>4.8259552383276508E-4</v>
      </c>
      <c r="BX310" s="50">
        <f>EXP(LN(BX59)+0.5*LN('Ecoinvent 3.10'!$E$26)^2)</f>
        <v>4.7751557095031494E-4</v>
      </c>
      <c r="BY310" s="264"/>
      <c r="BZ310" s="265"/>
      <c r="CA310" s="156"/>
      <c r="CB310" s="156"/>
      <c r="CC310" s="150" t="s">
        <v>70</v>
      </c>
      <c r="CD310" s="224">
        <f>EXP(LN(CD59)+0.5*LN('Ecoinvent 3.10'!$E$26)^2)</f>
        <v>5.3723542342296506E-3</v>
      </c>
      <c r="CE310" s="50">
        <f>EXP(LN(CE59)+0.5*LN('Ecoinvent 3.10'!$E$26)^2)</f>
        <v>5.3158031370272281E-3</v>
      </c>
      <c r="CF310" s="224">
        <f>EXP(LN(CF59)+0.5*LN('Ecoinvent 3.10'!$E$26)^2)</f>
        <v>5.3723542342296454E-3</v>
      </c>
      <c r="CG310" s="50">
        <f>EXP(LN(CG59)+0.5*LN('Ecoinvent 3.10'!$E$26)^2)</f>
        <v>5.3158031370272281E-3</v>
      </c>
      <c r="CH310" s="224">
        <f>EXP(LN(CH59)+0.5*LN('Ecoinvent 3.10'!$E$26)^2)</f>
        <v>5.3723542342296506E-3</v>
      </c>
      <c r="CI310" s="50">
        <f>EXP(LN(CI59)+0.5*LN('Ecoinvent 3.10'!$E$26)^2)</f>
        <v>5.3158031370272333E-3</v>
      </c>
      <c r="CJ310" s="224">
        <f>EXP(LN(CJ59)+0.5*LN('Ecoinvent 3.10'!$E$26)^2)</f>
        <v>4.1862500526464791E-3</v>
      </c>
      <c r="CK310" s="50">
        <f>EXP(LN(CK59)+0.5*LN('Ecoinvent 3.10'!$E$26)^2)</f>
        <v>4.1421842626186206E-3</v>
      </c>
      <c r="CL310" s="224">
        <f>EXP(LN(CL59)+0.5*LN('Ecoinvent 3.10'!$E$26)^2)</f>
        <v>3.4291622771678615E-3</v>
      </c>
      <c r="CM310" s="50">
        <f>EXP(LN(CM59)+0.5*LN('Ecoinvent 3.10'!$E$26)^2)</f>
        <v>3.3930658321450419E-3</v>
      </c>
      <c r="CN310" s="224">
        <f>EXP(LN(CN59)+0.5*LN('Ecoinvent 3.10'!$E$26)^2)</f>
        <v>6.0438985135083537E-3</v>
      </c>
      <c r="CO310" s="50">
        <f>EXP(LN(CO59)+0.5*LN('Ecoinvent 3.10'!$E$26)^2)</f>
        <v>5.9802785291556337E-3</v>
      </c>
      <c r="CP310" s="224">
        <f>EXP(LN(CP59)+0.5*LN('Ecoinvent 3.10'!$E$26)^2)</f>
        <v>6.6310200833920255E-3</v>
      </c>
      <c r="CQ310" s="50">
        <f>EXP(LN(CQ59)+0.5*LN('Ecoinvent 3.10'!$E$26)^2)</f>
        <v>6.5612198719878986E-3</v>
      </c>
      <c r="CR310" s="264"/>
      <c r="CS310" s="265"/>
      <c r="CV310" s="150" t="s">
        <v>70</v>
      </c>
      <c r="CW310" s="224">
        <f>EXP(LN(CW59)+0.5*LN('Ecoinvent 3.10'!$E$26)^2)</f>
        <v>2.9004273825645943E-6</v>
      </c>
      <c r="CX310" s="50">
        <f>EXP(LN(CX59)+0.5*LN('Ecoinvent 3.10'!$E$26)^2)</f>
        <v>2.8698965680112826E-6</v>
      </c>
      <c r="CY310" s="224">
        <f>EXP(LN(CY59)+0.5*LN('Ecoinvent 3.10'!$E$26)^2)</f>
        <v>2.9004273825645943E-6</v>
      </c>
      <c r="CZ310" s="50">
        <f>EXP(LN(CZ59)+0.5*LN('Ecoinvent 3.10'!$E$26)^2)</f>
        <v>2.8698965680112826E-6</v>
      </c>
      <c r="DA310" s="224">
        <f>EXP(LN(DA59)+0.5*LN('Ecoinvent 3.10'!$E$26)^2)</f>
        <v>2.9004273825645943E-6</v>
      </c>
      <c r="DB310" s="50">
        <f>EXP(LN(DB59)+0.5*LN('Ecoinvent 3.10'!$E$26)^2)</f>
        <v>2.8698965680112826E-6</v>
      </c>
      <c r="DC310" s="224">
        <f>EXP(LN(DC59)+0.5*LN('Ecoinvent 3.10'!$E$26)^2)</f>
        <v>2.2600732851152691E-6</v>
      </c>
      <c r="DD310" s="50">
        <f>EXP(LN(DD59)+0.5*LN('Ecoinvent 3.10'!$E$26)^2)</f>
        <v>2.2362830400087926E-6</v>
      </c>
      <c r="DE310" s="224">
        <f>EXP(LN(DE59)+0.5*LN('Ecoinvent 3.10'!$E$26)^2)</f>
        <v>1.8513366271688928E-6</v>
      </c>
      <c r="DF310" s="50">
        <f>EXP(LN(DF59)+0.5*LN('Ecoinvent 3.10'!$E$26)^2)</f>
        <v>1.8318488731986908E-6</v>
      </c>
      <c r="DG310" s="224">
        <f>EXP(LN(DG59)+0.5*LN('Ecoinvent 3.10'!$E$26)^2)</f>
        <v>3.2629808053851697E-6</v>
      </c>
      <c r="DH310" s="50">
        <f>EXP(LN(DH59)+0.5*LN('Ecoinvent 3.10'!$E$26)^2)</f>
        <v>3.2286336390126941E-6</v>
      </c>
      <c r="DI310" s="224">
        <f>EXP(LN(DI59)+0.5*LN('Ecoinvent 3.10'!$E$26)^2)</f>
        <v>3.5799560836225845E-6</v>
      </c>
      <c r="DJ310" s="50">
        <f>EXP(LN(DJ59)+0.5*LN('Ecoinvent 3.10'!$E$26)^2)</f>
        <v>3.5422723353739257E-6</v>
      </c>
      <c r="DK310" s="264"/>
      <c r="DL310" s="265"/>
      <c r="DO310" s="150" t="s">
        <v>70</v>
      </c>
      <c r="DP310" s="224">
        <f>EXP(LN(DP59)+0.5*LN('Ecoinvent 3.10'!$E$26)^2)</f>
        <v>5.78471104222124E-5</v>
      </c>
      <c r="DQ310" s="50">
        <f>EXP(LN(DQ59)+0.5*LN('Ecoinvent 3.10'!$E$26)^2)</f>
        <v>5.7238193470399643E-5</v>
      </c>
      <c r="DR310" s="224">
        <f>EXP(LN(DR59)+0.5*LN('Ecoinvent 3.10'!$E$26)^2)</f>
        <v>5.78471104222124E-5</v>
      </c>
      <c r="DS310" s="50">
        <f>EXP(LN(DS59)+0.5*LN('Ecoinvent 3.10'!$E$26)^2)</f>
        <v>5.7238193470399643E-5</v>
      </c>
      <c r="DT310" s="224">
        <f>EXP(LN(DT59)+0.5*LN('Ecoinvent 3.10'!$E$26)^2)</f>
        <v>5.78471104222124E-5</v>
      </c>
      <c r="DU310" s="50">
        <f>EXP(LN(DU59)+0.5*LN('Ecoinvent 3.10'!$E$26)^2)</f>
        <v>5.7238193470399643E-5</v>
      </c>
      <c r="DV310" s="224">
        <f>EXP(LN(DV59)+0.5*LN('Ecoinvent 3.10'!$E$26)^2)</f>
        <v>4.5075670458866822E-5</v>
      </c>
      <c r="DW310" s="50">
        <f>EXP(LN(DW59)+0.5*LN('Ecoinvent 3.10'!$E$26)^2)</f>
        <v>4.4601189717194539E-5</v>
      </c>
      <c r="DX310" s="224">
        <f>EXP(LN(DX59)+0.5*LN('Ecoinvent 3.10'!$E$26)^2)</f>
        <v>3.6923687503539821E-5</v>
      </c>
      <c r="DY310" s="50">
        <f>EXP(LN(DY59)+0.5*LN('Ecoinvent 3.10'!$E$26)^2)</f>
        <v>3.653501710876572E-5</v>
      </c>
      <c r="DZ310" s="224">
        <f>EXP(LN(DZ59)+0.5*LN('Ecoinvent 3.10'!$E$26)^2)</f>
        <v>6.5077999224988979E-5</v>
      </c>
      <c r="EA310" s="50">
        <f>EXP(LN(EA59)+0.5*LN('Ecoinvent 3.10'!$E$26)^2)</f>
        <v>6.4392967654199623E-5</v>
      </c>
      <c r="EB310" s="224">
        <f>EXP(LN(EB59)+0.5*LN('Ecoinvent 3.10'!$E$26)^2)</f>
        <v>7.1399862006845012E-5</v>
      </c>
      <c r="EC310" s="50">
        <f>EXP(LN(EC59)+0.5*LN('Ecoinvent 3.10'!$E$26)^2)</f>
        <v>7.0648284512036115E-5</v>
      </c>
      <c r="ED310" s="264"/>
      <c r="EE310" s="265"/>
      <c r="EH310" s="150" t="s">
        <v>70</v>
      </c>
      <c r="EI310" s="224">
        <f>EXP(LN(EI59)+0.5*LN('Ecoinvent 3.10'!$E$26)^2)</f>
        <v>1.9163060340960641E-5</v>
      </c>
      <c r="EJ310" s="50">
        <f>EXP(LN(EJ59)+0.5*LN('Ecoinvent 3.10'!$E$26)^2)</f>
        <v>1.896134391631895E-5</v>
      </c>
      <c r="EK310" s="224">
        <f>EXP(LN(EK59)+0.5*LN('Ecoinvent 3.10'!$E$26)^2)</f>
        <v>1.9163060340960641E-5</v>
      </c>
      <c r="EL310" s="50">
        <f>EXP(LN(EL59)+0.5*LN('Ecoinvent 3.10'!$E$26)^2)</f>
        <v>1.896134391631895E-5</v>
      </c>
      <c r="EM310" s="224">
        <f>EXP(LN(EM59)+0.5*LN('Ecoinvent 3.10'!$E$26)^2)</f>
        <v>1.9163060340960641E-5</v>
      </c>
      <c r="EN310" s="50">
        <f>EXP(LN(EN59)+0.5*LN('Ecoinvent 3.10'!$E$26)^2)</f>
        <v>1.896134391631895E-5</v>
      </c>
      <c r="EO310" s="224">
        <f>EXP(LN(EO59)+0.5*LN('Ecoinvent 3.10'!$E$26)^2)</f>
        <v>1.4932254811138166E-5</v>
      </c>
      <c r="EP310" s="50">
        <f>EXP(LN(EP59)+0.5*LN('Ecoinvent 3.10'!$E$26)^2)</f>
        <v>1.4775073181547239E-5</v>
      </c>
      <c r="EQ310" s="224">
        <f>EXP(LN(EQ59)+0.5*LN('Ecoinvent 3.10'!$E$26)^2)</f>
        <v>1.2231740643166363E-5</v>
      </c>
      <c r="ER310" s="50">
        <f>EXP(LN(ER59)+0.5*LN('Ecoinvent 3.10'!$E$26)^2)</f>
        <v>1.2102985478501455E-5</v>
      </c>
      <c r="ES310" s="224">
        <f>EXP(LN(ES59)+0.5*LN('Ecoinvent 3.10'!$E$26)^2)</f>
        <v>2.155844288358073E-5</v>
      </c>
      <c r="ET310" s="50">
        <f>EXP(LN(ET59)+0.5*LN('Ecoinvent 3.10'!$E$26)^2)</f>
        <v>2.1331511905858827E-5</v>
      </c>
      <c r="EU310" s="224">
        <f>EXP(LN(EU59)+0.5*LN('Ecoinvent 3.10'!$E$26)^2)</f>
        <v>2.3652691620842845E-5</v>
      </c>
      <c r="EV310" s="50">
        <f>EXP(LN(EV59)+0.5*LN('Ecoinvent 3.10'!$E$26)^2)</f>
        <v>2.3403715919570815E-5</v>
      </c>
      <c r="EW310" s="264"/>
      <c r="EX310" s="265"/>
      <c r="FA310" s="150" t="s">
        <v>70</v>
      </c>
      <c r="FB310" s="224">
        <f>EXP(LN(FB59)+0.5*LN('Ecoinvent 3.10'!$E$26)^2)</f>
        <v>1.4420495799831347E-7</v>
      </c>
      <c r="FC310" s="50">
        <f>EXP(LN(FC59)+0.5*LN('Ecoinvent 3.10'!$E$26)^2)</f>
        <v>1.4268701107201546E-7</v>
      </c>
      <c r="FD310" s="224">
        <f>EXP(LN(FD59)+0.5*LN('Ecoinvent 3.10'!$E$26)^2)</f>
        <v>1.4420495799831347E-7</v>
      </c>
      <c r="FE310" s="50">
        <f>EXP(LN(FE59)+0.5*LN('Ecoinvent 3.10'!$E$26)^2)</f>
        <v>1.4268701107201546E-7</v>
      </c>
      <c r="FF310" s="224">
        <f>EXP(LN(FF59)+0.5*LN('Ecoinvent 3.10'!$E$26)^2)</f>
        <v>1.4420495799831347E-7</v>
      </c>
      <c r="FG310" s="50">
        <f>EXP(LN(FG59)+0.5*LN('Ecoinvent 3.10'!$E$26)^2)</f>
        <v>1.4268701107201546E-7</v>
      </c>
      <c r="FH310" s="224">
        <f>EXP(LN(FH59)+0.5*LN('Ecoinvent 3.10'!$E$26)^2)</f>
        <v>1.1236749973894561E-7</v>
      </c>
      <c r="FI310" s="50">
        <f>EXP(LN(FI59)+0.5*LN('Ecoinvent 3.10'!$E$26)^2)</f>
        <v>1.1118468395222007E-7</v>
      </c>
      <c r="FJ310" s="224">
        <f>EXP(LN(FJ59)+0.5*LN('Ecoinvent 3.10'!$E$26)^2)</f>
        <v>9.2045717871264067E-8</v>
      </c>
      <c r="FK310" s="50">
        <f>EXP(LN(FK59)+0.5*LN('Ecoinvent 3.10'!$E$26)^2)</f>
        <v>9.1076815577882186E-8</v>
      </c>
      <c r="FL310" s="224">
        <f>EXP(LN(FL59)+0.5*LN('Ecoinvent 3.10'!$E$26)^2)</f>
        <v>1.6223057774810272E-7</v>
      </c>
      <c r="FM310" s="50">
        <f>EXP(LN(FM59)+0.5*LN('Ecoinvent 3.10'!$E$26)^2)</f>
        <v>1.6052288745601745E-7</v>
      </c>
      <c r="FN310" s="224">
        <f>EXP(LN(FN59)+0.5*LN('Ecoinvent 3.10'!$E$26)^2)</f>
        <v>1.7799011958648977E-7</v>
      </c>
      <c r="FO310" s="50">
        <f>EXP(LN(FO59)+0.5*LN('Ecoinvent 3.10'!$E$26)^2)</f>
        <v>1.7611653938031619E-7</v>
      </c>
      <c r="FP310" s="264"/>
      <c r="FQ310" s="265"/>
      <c r="FT310" s="150" t="s">
        <v>70</v>
      </c>
      <c r="FU310" s="224">
        <f>EXP(LN(FU59)+0.5*LN('Ecoinvent 3.10'!$E$26)^2)</f>
        <v>3.0208134305352978E-5</v>
      </c>
      <c r="FV310" s="50">
        <f>EXP(LN(FV59)+0.5*LN('Ecoinvent 3.10'!$E$26)^2)</f>
        <v>2.9890153944243997E-5</v>
      </c>
      <c r="FW310" s="224">
        <f>EXP(LN(FW59)+0.5*LN('Ecoinvent 3.10'!$E$26)^2)</f>
        <v>3.0208134305352978E-5</v>
      </c>
      <c r="FX310" s="50">
        <f>EXP(LN(FX59)+0.5*LN('Ecoinvent 3.10'!$E$26)^2)</f>
        <v>2.9890153944243997E-5</v>
      </c>
      <c r="FY310" s="224">
        <f>EXP(LN(FY59)+0.5*LN('Ecoinvent 3.10'!$E$26)^2)</f>
        <v>3.0208134305352978E-5</v>
      </c>
      <c r="FZ310" s="50">
        <f>EXP(LN(FZ59)+0.5*LN('Ecoinvent 3.10'!$E$26)^2)</f>
        <v>2.9890153944243997E-5</v>
      </c>
      <c r="GA310" s="224">
        <f>EXP(LN(GA59)+0.5*LN('Ecoinvent 3.10'!$E$26)^2)</f>
        <v>2.3538805952223065E-5</v>
      </c>
      <c r="GB310" s="50">
        <f>EXP(LN(GB59)+0.5*LN('Ecoinvent 3.10'!$E$26)^2)</f>
        <v>2.3291029047462865E-5</v>
      </c>
      <c r="GC310" s="224">
        <f>EXP(LN(GC59)+0.5*LN('Ecoinvent 3.10'!$E$26)^2)</f>
        <v>1.928178785448062E-5</v>
      </c>
      <c r="GD310" s="50">
        <f>EXP(LN(GD59)+0.5*LN('Ecoinvent 3.10'!$E$26)^2)</f>
        <v>1.9078821666538719E-5</v>
      </c>
      <c r="GE310" s="224">
        <f>EXP(LN(GE59)+0.5*LN('Ecoinvent 3.10'!$E$26)^2)</f>
        <v>3.3984151093522112E-5</v>
      </c>
      <c r="GF310" s="50">
        <f>EXP(LN(GF59)+0.5*LN('Ecoinvent 3.10'!$E$26)^2)</f>
        <v>3.3626423187274509E-5</v>
      </c>
      <c r="GG310" s="224">
        <f>EXP(LN(GG59)+0.5*LN('Ecoinvent 3.10'!$E$26)^2)</f>
        <v>3.7285468628321383E-5</v>
      </c>
      <c r="GH310" s="50">
        <f>EXP(LN(GH59)+0.5*LN('Ecoinvent 3.10'!$E$26)^2)</f>
        <v>3.689299001118116E-5</v>
      </c>
      <c r="GI310" s="264"/>
      <c r="GJ310" s="265"/>
      <c r="GM310" s="150" t="s">
        <v>70</v>
      </c>
      <c r="GN310" s="224">
        <f>EXP(LN(GN59)+0.5*LN('Ecoinvent 3.10'!$E$26)^2)</f>
        <v>1.3917734143555237E-4</v>
      </c>
      <c r="GO310" s="50">
        <f>EXP(LN(GO59)+0.5*LN('Ecoinvent 3.10'!$E$26)^2)</f>
        <v>1.3771231678886235E-4</v>
      </c>
      <c r="GP310" s="224">
        <f>EXP(LN(GP59)+0.5*LN('Ecoinvent 3.10'!$E$26)^2)</f>
        <v>1.3917734143555237E-4</v>
      </c>
      <c r="GQ310" s="50">
        <f>EXP(LN(GQ59)+0.5*LN('Ecoinvent 3.10'!$E$26)^2)</f>
        <v>1.3771231678886235E-4</v>
      </c>
      <c r="GR310" s="224">
        <f>EXP(LN(GR59)+0.5*LN('Ecoinvent 3.10'!$E$26)^2)</f>
        <v>1.3917734143555261E-4</v>
      </c>
      <c r="GS310" s="50">
        <f>EXP(LN(GS59)+0.5*LN('Ecoinvent 3.10'!$E$26)^2)</f>
        <v>1.3771231678886235E-4</v>
      </c>
      <c r="GT310" s="224">
        <f>EXP(LN(GT59)+0.5*LN('Ecoinvent 3.10'!$E$26)^2)</f>
        <v>1.0844987644328759E-4</v>
      </c>
      <c r="GU310" s="50">
        <f>EXP(LN(GU59)+0.5*LN('Ecoinvent 3.10'!$E$26)^2)</f>
        <v>1.0730829879651614E-4</v>
      </c>
      <c r="GV310" s="224">
        <f>EXP(LN(GV59)+0.5*LN('Ecoinvent 3.10'!$E$26)^2)</f>
        <v>8.8836600916310162E-5</v>
      </c>
      <c r="GW310" s="50">
        <f>EXP(LN(GW59)+0.5*LN('Ecoinvent 3.10'!$E$26)^2)</f>
        <v>8.7901478801401641E-5</v>
      </c>
      <c r="GX310" s="224">
        <f>EXP(LN(GX59)+0.5*LN('Ecoinvent 3.10'!$E$26)^2)</f>
        <v>1.5657450911499648E-4</v>
      </c>
      <c r="GY310" s="50">
        <f>EXP(LN(GY59)+0.5*LN('Ecoinvent 3.10'!$E$26)^2)</f>
        <v>1.5492635638747021E-4</v>
      </c>
      <c r="GZ310" s="224">
        <f>EXP(LN(GZ59)+0.5*LN('Ecoinvent 3.10'!$E$26)^2)</f>
        <v>1.7178460428616778E-4</v>
      </c>
      <c r="HA310" s="50">
        <f>EXP(LN(HA59)+0.5*LN('Ecoinvent 3.10'!$E$26)^2)</f>
        <v>1.6997634529368182E-4</v>
      </c>
      <c r="HB310" s="264"/>
      <c r="HC310" s="265"/>
      <c r="HF310" s="150" t="s">
        <v>70</v>
      </c>
      <c r="HG310" s="224">
        <f>EXP(LN(HG59)+0.5*LN('Ecoinvent 3.10'!$E$26)^2)</f>
        <v>6.3398706105642915E-4</v>
      </c>
      <c r="HH310" s="50">
        <f>EXP(LN(HH59)+0.5*LN('Ecoinvent 3.10'!$E$26)^2)</f>
        <v>6.2731351304530882E-4</v>
      </c>
      <c r="HI310" s="224">
        <f>EXP(LN(HI59)+0.5*LN('Ecoinvent 3.10'!$E$26)^2)</f>
        <v>6.339870610564286E-4</v>
      </c>
      <c r="HJ310" s="50">
        <f>EXP(LN(HJ59)+0.5*LN('Ecoinvent 3.10'!$E$26)^2)</f>
        <v>6.2731351304530882E-4</v>
      </c>
      <c r="HK310" s="224">
        <f>EXP(LN(HK59)+0.5*LN('Ecoinvent 3.10'!$E$26)^2)</f>
        <v>6.3398706105642915E-4</v>
      </c>
      <c r="HL310" s="50">
        <f>EXP(LN(HL59)+0.5*LN('Ecoinvent 3.10'!$E$26)^2)</f>
        <v>6.2731351304530882E-4</v>
      </c>
      <c r="HM310" s="224">
        <f>EXP(LN(HM59)+0.5*LN('Ecoinvent 3.10'!$E$26)^2)</f>
        <v>4.9401589173228219E-4</v>
      </c>
      <c r="HN310" s="50">
        <f>EXP(LN(HN59)+0.5*LN('Ecoinvent 3.10'!$E$26)^2)</f>
        <v>4.888157244508902E-4</v>
      </c>
      <c r="HO310" s="224">
        <f>EXP(LN(HO59)+0.5*LN('Ecoinvent 3.10'!$E$26)^2)</f>
        <v>4.0467259216367808E-4</v>
      </c>
      <c r="HP310" s="50">
        <f>EXP(LN(HP59)+0.5*LN('Ecoinvent 3.10'!$E$26)^2)</f>
        <v>4.0041288066721835E-4</v>
      </c>
      <c r="HQ310" s="224">
        <f>EXP(LN(HQ59)+0.5*LN('Ecoinvent 3.10'!$E$26)^2)</f>
        <v>7.1323544368848244E-4</v>
      </c>
      <c r="HR310" s="50">
        <f>EXP(LN(HR59)+0.5*LN('Ecoinvent 3.10'!$E$26)^2)</f>
        <v>7.0572770217597206E-4</v>
      </c>
      <c r="HS310" s="224">
        <f>EXP(LN(HS59)+0.5*LN('Ecoinvent 3.10'!$E$26)^2)</f>
        <v>7.8252117250393529E-4</v>
      </c>
      <c r="HT310" s="50">
        <f>EXP(LN(HT59)+0.5*LN('Ecoinvent 3.10'!$E$26)^2)</f>
        <v>7.7428410753020975E-4</v>
      </c>
      <c r="HU310" s="264"/>
      <c r="HV310" s="265"/>
      <c r="HY310" s="150" t="s">
        <v>70</v>
      </c>
      <c r="HZ310" s="224">
        <f>EXP(LN(HZ59)+0.5*LN('Ecoinvent 3.10'!$E$26)^2)</f>
        <v>1.0234197825187378E-6</v>
      </c>
      <c r="IA310" s="50">
        <f>EXP(LN(IA59)+0.5*LN('Ecoinvent 3.10'!$E$26)^2)</f>
        <v>1.0126469427027509E-6</v>
      </c>
      <c r="IB310" s="224">
        <f>EXP(LN(IB59)+0.5*LN('Ecoinvent 3.10'!$E$26)^2)</f>
        <v>1.0234197825187378E-6</v>
      </c>
      <c r="IC310" s="50">
        <f>EXP(LN(IC59)+0.5*LN('Ecoinvent 3.10'!$E$26)^2)</f>
        <v>1.0126469427027509E-6</v>
      </c>
      <c r="ID310" s="224">
        <f>EXP(LN(ID59)+0.5*LN('Ecoinvent 3.10'!$E$26)^2)</f>
        <v>1.0234197825187378E-6</v>
      </c>
      <c r="IE310" s="50">
        <f>EXP(LN(IE59)+0.5*LN('Ecoinvent 3.10'!$E$26)^2)</f>
        <v>1.0126469427027509E-6</v>
      </c>
      <c r="IF310" s="224">
        <f>EXP(LN(IF59)+0.5*LN('Ecoinvent 3.10'!$E$26)^2)</f>
        <v>7.9746996040421002E-7</v>
      </c>
      <c r="IG310" s="50">
        <f>EXP(LN(IG59)+0.5*LN('Ecoinvent 3.10'!$E$26)^2)</f>
        <v>7.8907553976837767E-7</v>
      </c>
      <c r="IH310" s="224">
        <f>EXP(LN(IH59)+0.5*LN('Ecoinvent 3.10'!$E$26)^2)</f>
        <v>6.5324666969281116E-7</v>
      </c>
      <c r="II310" s="50">
        <f>EXP(LN(II59)+0.5*LN('Ecoinvent 3.10'!$E$26)^2)</f>
        <v>6.4637038895920268E-7</v>
      </c>
      <c r="IJ310" s="224">
        <f>EXP(LN(IJ59)+0.5*LN('Ecoinvent 3.10'!$E$26)^2)</f>
        <v>1.1513472553335803E-6</v>
      </c>
      <c r="IK310" s="50">
        <f>EXP(LN(IK59)+0.5*LN('Ecoinvent 3.10'!$E$26)^2)</f>
        <v>1.1392278105405952E-6</v>
      </c>
      <c r="IL310" s="224"/>
      <c r="IM310" s="224"/>
      <c r="IN310" s="224"/>
      <c r="IO310" s="224"/>
    </row>
    <row r="311" spans="2:249" ht="12.75" customHeight="1" x14ac:dyDescent="0.2"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248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248"/>
      <c r="AJ311" s="248"/>
      <c r="AK311" s="248"/>
      <c r="AL311" s="248"/>
      <c r="AM311" s="248"/>
      <c r="AN311" s="141"/>
      <c r="AO311" s="248"/>
      <c r="AP311" s="726"/>
      <c r="AQ311" s="151" t="s">
        <v>60</v>
      </c>
      <c r="AR311" s="224">
        <f>EXP(LN(AR60)+0.5*LN('Ecoinvent 3.10'!$E$22)^2)</f>
        <v>5.971959280731622</v>
      </c>
      <c r="AS311" s="50">
        <f>EXP(LN(AS60)+0.5*LN('Ecoinvent 3.10'!$E$22)^2)</f>
        <v>3.052334743485051</v>
      </c>
      <c r="AT311" s="224">
        <f>EXP(LN(AT60)+0.5*LN('Ecoinvent 3.10'!$E$22)^2)</f>
        <v>7.8459045905937144</v>
      </c>
      <c r="AU311" s="50">
        <f>EXP(LN(AU60)+0.5*LN('Ecoinvent 3.10'!$E$22)^2)</f>
        <v>4.0101290129701201</v>
      </c>
      <c r="AV311" s="224">
        <f>EXP(LN(AV60)+0.5*LN('Ecoinvent 3.10'!$E$22)^2)</f>
        <v>7.6184400669111971</v>
      </c>
      <c r="AW311" s="50">
        <f>EXP(LN(AW60)+0.5*LN('Ecoinvent 3.10'!$E$22)^2)</f>
        <v>3.8938693675323899</v>
      </c>
      <c r="AX311" s="224">
        <f>EXP(LN(AX60)+0.5*LN('Ecoinvent 3.10'!$E$22)^2)</f>
        <v>6.3750988465118228</v>
      </c>
      <c r="AY311" s="50">
        <f>EXP(LN(AY60)+0.5*LN('Ecoinvent 3.10'!$E$22)^2)</f>
        <v>3.25838385488382</v>
      </c>
      <c r="AZ311" s="224">
        <f>EXP(LN(AZ60)+0.5*LN('Ecoinvent 3.10'!$E$22)^2)</f>
        <v>5.7578232494647512</v>
      </c>
      <c r="BA311" s="50">
        <f>EXP(LN(BA60)+0.5*LN('Ecoinvent 3.10'!$E$22)^2)</f>
        <v>2.9428874386153172</v>
      </c>
      <c r="BB311" s="224">
        <f>EXP(LN(BB60)+0.5*LN('Ecoinvent 3.10'!$E$22)^2)</f>
        <v>10.639755547946399</v>
      </c>
      <c r="BC311" s="50">
        <f>EXP(LN(BC60)+0.5*LN('Ecoinvent 3.10'!$E$22)^2)</f>
        <v>5.4380972800614895</v>
      </c>
      <c r="BD311" s="224">
        <f>EXP(LN(BD60)+0.5*LN('Ecoinvent 3.10'!$E$22)^2)</f>
        <v>12.207095062572886</v>
      </c>
      <c r="BE311" s="50">
        <f>EXP(LN(BE60)+0.5*LN('Ecoinvent 3.10'!$E$22)^2)</f>
        <v>6.2391819208705863</v>
      </c>
      <c r="BF311" s="264"/>
      <c r="BG311" s="265"/>
      <c r="BI311" s="156"/>
      <c r="BJ311" s="151" t="s">
        <v>60</v>
      </c>
      <c r="BK311" s="224">
        <f>EXP(LN(BK60)+0.5*LN('Ecoinvent 3.10'!$E$22)^2)</f>
        <v>0.82458664869081033</v>
      </c>
      <c r="BL311" s="50">
        <f>EXP(LN(BL60)+0.5*LN('Ecoinvent 3.10'!$E$22)^2)</f>
        <v>0.42145539821974742</v>
      </c>
      <c r="BM311" s="224">
        <f>EXP(LN(BM60)+0.5*LN('Ecoinvent 3.10'!$E$22)^2)</f>
        <v>1.0833342740931959</v>
      </c>
      <c r="BN311" s="50">
        <f>EXP(LN(BN60)+0.5*LN('Ecoinvent 3.10'!$E$22)^2)</f>
        <v>0.55370418453652215</v>
      </c>
      <c r="BO311" s="224">
        <f>EXP(LN(BO60)+0.5*LN('Ecoinvent 3.10'!$E$22)^2)</f>
        <v>1.0519267911445778</v>
      </c>
      <c r="BP311" s="50">
        <f>EXP(LN(BP60)+0.5*LN('Ecoinvent 3.10'!$E$22)^2)</f>
        <v>0.53765147102945099</v>
      </c>
      <c r="BQ311" s="224">
        <f>EXP(LN(BQ60)+0.5*LN('Ecoinvent 3.10'!$E$22)^2)</f>
        <v>0.88025070932396299</v>
      </c>
      <c r="BR311" s="50">
        <f>EXP(LN(BR60)+0.5*LN('Ecoinvent 3.10'!$E$22)^2)</f>
        <v>0.44990591809891439</v>
      </c>
      <c r="BS311" s="224">
        <f>EXP(LN(BS60)+0.5*LN('Ecoinvent 3.10'!$E$22)^2)</f>
        <v>0.79501951601527276</v>
      </c>
      <c r="BT311" s="50">
        <f>EXP(LN(BT60)+0.5*LN('Ecoinvent 3.10'!$E$22)^2)</f>
        <v>0.40634330818558378</v>
      </c>
      <c r="BU311" s="224">
        <f>EXP(LN(BU60)+0.5*LN('Ecoinvent 3.10'!$E$22)^2)</f>
        <v>1.4690991612212985</v>
      </c>
      <c r="BV311" s="50">
        <f>EXP(LN(BV60)+0.5*LN('Ecoinvent 3.10'!$E$22)^2)</f>
        <v>0.75087290462421896</v>
      </c>
      <c r="BW311" s="224">
        <f>EXP(LN(BW60)+0.5*LN('Ecoinvent 3.10'!$E$22)^2)</f>
        <v>1.6855117616716162</v>
      </c>
      <c r="BX311" s="50">
        <f>EXP(LN(BX60)+0.5*LN('Ecoinvent 3.10'!$E$22)^2)</f>
        <v>0.86148378929882596</v>
      </c>
      <c r="BY311" s="264"/>
      <c r="BZ311" s="265"/>
      <c r="CA311" s="156"/>
      <c r="CB311" s="156"/>
      <c r="CC311" s="151" t="s">
        <v>60</v>
      </c>
      <c r="CD311" s="224">
        <f>EXP(LN(CD60)+0.5*LN('Ecoinvent 3.10'!$E$22)^2)</f>
        <v>6.5917559352984982</v>
      </c>
      <c r="CE311" s="50">
        <f>EXP(LN(CE60)+0.5*LN('Ecoinvent 3.10'!$E$22)^2)</f>
        <v>3.3691197002636764</v>
      </c>
      <c r="CF311" s="224">
        <f>EXP(LN(CF60)+0.5*LN('Ecoinvent 3.10'!$E$22)^2)</f>
        <v>8.6601876740351589</v>
      </c>
      <c r="CG311" s="50">
        <f>EXP(LN(CG60)+0.5*LN('Ecoinvent 3.10'!$E$22)^2)</f>
        <v>4.4263181445068573</v>
      </c>
      <c r="CH311" s="224">
        <f>EXP(LN(CH60)+0.5*LN('Ecoinvent 3.10'!$E$22)^2)</f>
        <v>8.409115864337485</v>
      </c>
      <c r="CI311" s="50">
        <f>EXP(LN(CI60)+0.5*LN('Ecoinvent 3.10'!$E$22)^2)</f>
        <v>4.2979925528836063</v>
      </c>
      <c r="CJ311" s="224">
        <f>EXP(LN(CJ60)+0.5*LN('Ecoinvent 3.10'!$E$22)^2)</f>
        <v>7.0367351289878002</v>
      </c>
      <c r="CK311" s="50">
        <f>EXP(LN(CK60)+0.5*LN('Ecoinvent 3.10'!$E$22)^2)</f>
        <v>3.596553510371542</v>
      </c>
      <c r="CL311" s="224">
        <f>EXP(LN(CL60)+0.5*LN('Ecoinvent 3.10'!$E$22)^2)</f>
        <v>6.355395908595213</v>
      </c>
      <c r="CM311" s="50">
        <f>EXP(LN(CM60)+0.5*LN('Ecoinvent 3.10'!$E$22)^2)</f>
        <v>3.2483134643931084</v>
      </c>
      <c r="CN311" s="224">
        <f>EXP(LN(CN60)+0.5*LN('Ecoinvent 3.10'!$E$22)^2)</f>
        <v>11.74399698430439</v>
      </c>
      <c r="CO311" s="50">
        <f>EXP(LN(CO60)+0.5*LN('Ecoinvent 3.10'!$E$22)^2)</f>
        <v>6.0024873475333544</v>
      </c>
      <c r="CP311" s="224">
        <f>EXP(LN(CP60)+0.5*LN('Ecoinvent 3.10'!$E$22)^2)</f>
        <v>13.474002006525726</v>
      </c>
      <c r="CQ311" s="50">
        <f>EXP(LN(CQ60)+0.5*LN('Ecoinvent 3.10'!$E$22)^2)</f>
        <v>6.886712136668705</v>
      </c>
      <c r="CR311" s="264"/>
      <c r="CS311" s="265"/>
      <c r="CV311" s="151" t="s">
        <v>60</v>
      </c>
      <c r="CW311" s="224">
        <f>EXP(LN(CW60)+0.5*LN('Ecoinvent 3.10'!$E$22)^2)</f>
        <v>1.9487159898524838E-3</v>
      </c>
      <c r="CX311" s="50">
        <f>EXP(LN(CX60)+0.5*LN('Ecoinvent 3.10'!$E$22)^2)</f>
        <v>9.9601039481349079E-4</v>
      </c>
      <c r="CY311" s="224">
        <f>EXP(LN(CY60)+0.5*LN('Ecoinvent 3.10'!$E$22)^2)</f>
        <v>2.5602049531512996E-3</v>
      </c>
      <c r="CZ311" s="50">
        <f>EXP(LN(CZ60)+0.5*LN('Ecoinvent 3.10'!$E$22)^2)</f>
        <v>1.308549198277331E-3</v>
      </c>
      <c r="DA311" s="224">
        <f>EXP(LN(DA60)+0.5*LN('Ecoinvent 3.10'!$E$22)^2)</f>
        <v>2.4859807775353547E-3</v>
      </c>
      <c r="DB311" s="50">
        <f>EXP(LN(DB60)+0.5*LN('Ecoinvent 3.10'!$E$22)^2)</f>
        <v>1.2706123974069593E-3</v>
      </c>
      <c r="DC311" s="224">
        <f>EXP(LN(DC60)+0.5*LN('Ecoinvent 3.10'!$E$22)^2)</f>
        <v>2.0802648636890483E-3</v>
      </c>
      <c r="DD311" s="50">
        <f>EXP(LN(DD60)+0.5*LN('Ecoinvent 3.10'!$E$22)^2)</f>
        <v>1.0632464858855127E-3</v>
      </c>
      <c r="DE311" s="224">
        <f>EXP(LN(DE60)+0.5*LN('Ecoinvent 3.10'!$E$22)^2)</f>
        <v>1.8788410478916974E-3</v>
      </c>
      <c r="DF311" s="50">
        <f>EXP(LN(DF60)+0.5*LN('Ecoinvent 3.10'!$E$22)^2)</f>
        <v>9.6029653558908894E-4</v>
      </c>
      <c r="DG311" s="224">
        <f>EXP(LN(DG60)+0.5*LN('Ecoinvent 3.10'!$E$22)^2)</f>
        <v>3.4718692458774961E-3</v>
      </c>
      <c r="DH311" s="50">
        <f>EXP(LN(DH60)+0.5*LN('Ecoinvent 3.10'!$E$22)^2)</f>
        <v>1.7745109478929412E-3</v>
      </c>
      <c r="DI311" s="224">
        <f>EXP(LN(DI60)+0.5*LN('Ecoinvent 3.10'!$E$22)^2)</f>
        <v>3.9833093662974229E-3</v>
      </c>
      <c r="DJ311" s="50">
        <f>EXP(LN(DJ60)+0.5*LN('Ecoinvent 3.10'!$E$22)^2)</f>
        <v>2.03591367610757E-3</v>
      </c>
      <c r="DK311" s="264"/>
      <c r="DL311" s="265"/>
      <c r="DO311" s="151" t="s">
        <v>60</v>
      </c>
      <c r="DP311" s="224">
        <f>EXP(LN(DP60)+0.5*LN('Ecoinvent 3.10'!$E$22)^2)</f>
        <v>9.7677881412077273E-3</v>
      </c>
      <c r="DQ311" s="50">
        <f>EXP(LN(DQ60)+0.5*LN('Ecoinvent 3.10'!$E$22)^2)</f>
        <v>4.9924250499506165E-3</v>
      </c>
      <c r="DR311" s="224">
        <f>EXP(LN(DR60)+0.5*LN('Ecoinvent 3.10'!$E$22)^2)</f>
        <v>1.2832829263306655E-2</v>
      </c>
      <c r="DS311" s="50">
        <f>EXP(LN(DS60)+0.5*LN('Ecoinvent 3.10'!$E$22)^2)</f>
        <v>6.5590016234678469E-3</v>
      </c>
      <c r="DT311" s="224">
        <f>EXP(LN(DT60)+0.5*LN('Ecoinvent 3.10'!$E$22)^2)</f>
        <v>1.2460786325214262E-2</v>
      </c>
      <c r="DU311" s="50">
        <f>EXP(LN(DU60)+0.5*LN('Ecoinvent 3.10'!$E$22)^2)</f>
        <v>6.368846343998401E-3</v>
      </c>
      <c r="DV311" s="224">
        <f>EXP(LN(DV60)+0.5*LN('Ecoinvent 3.10'!$E$22)^2)</f>
        <v>1.0427166694337624E-2</v>
      </c>
      <c r="DW311" s="50">
        <f>EXP(LN(DW60)+0.5*LN('Ecoinvent 3.10'!$E$22)^2)</f>
        <v>5.3294407548836751E-3</v>
      </c>
      <c r="DX311" s="224">
        <f>EXP(LN(DX60)+0.5*LN('Ecoinvent 3.10'!$E$22)^2)</f>
        <v>9.417545400343362E-3</v>
      </c>
      <c r="DY311" s="50">
        <f>EXP(LN(DY60)+0.5*LN('Ecoinvent 3.10'!$E$22)^2)</f>
        <v>4.8134120935088296E-3</v>
      </c>
      <c r="DZ311" s="224">
        <f>EXP(LN(DZ60)+0.5*LN('Ecoinvent 3.10'!$E$22)^2)</f>
        <v>1.7402476001786783E-2</v>
      </c>
      <c r="EA311" s="50">
        <f>EXP(LN(EA60)+0.5*LN('Ecoinvent 3.10'!$E$22)^2)</f>
        <v>8.8945988453576902E-3</v>
      </c>
      <c r="EB311" s="224">
        <f>EXP(LN(EB60)+0.5*LN('Ecoinvent 3.10'!$E$22)^2)</f>
        <v>1.9966030039003751E-2</v>
      </c>
      <c r="EC311" s="50">
        <f>EXP(LN(EC60)+0.5*LN('Ecoinvent 3.10'!$E$22)^2)</f>
        <v>1.0204859797713033E-2</v>
      </c>
      <c r="ED311" s="264"/>
      <c r="EE311" s="265"/>
      <c r="EH311" s="151" t="s">
        <v>60</v>
      </c>
      <c r="EI311" s="224">
        <f>EXP(LN(EI60)+0.5*LN('Ecoinvent 3.10'!$E$22)^2)</f>
        <v>8.3424819459645208E-3</v>
      </c>
      <c r="EJ311" s="50">
        <f>EXP(LN(EJ60)+0.5*LN('Ecoinvent 3.10'!$E$22)^2)</f>
        <v>4.2639352168263077E-3</v>
      </c>
      <c r="EK311" s="224">
        <f>EXP(LN(EK60)+0.5*LN('Ecoinvent 3.10'!$E$22)^2)</f>
        <v>1.0960275232949917E-2</v>
      </c>
      <c r="EL311" s="50">
        <f>EXP(LN(EL60)+0.5*LN('Ecoinvent 3.10'!$E$22)^2)</f>
        <v>5.6019184523966245E-3</v>
      </c>
      <c r="EM311" s="224">
        <f>EXP(LN(EM60)+0.5*LN('Ecoinvent 3.10'!$E$22)^2)</f>
        <v>1.0642520440432925E-2</v>
      </c>
      <c r="EN311" s="50">
        <f>EXP(LN(EN60)+0.5*LN('Ecoinvent 3.10'!$E$22)^2)</f>
        <v>5.4395104473323854E-3</v>
      </c>
      <c r="EO311" s="224">
        <f>EXP(LN(EO60)+0.5*LN('Ecoinvent 3.10'!$E$22)^2)</f>
        <v>8.9056446185695626E-3</v>
      </c>
      <c r="EP311" s="50">
        <f>EXP(LN(EP60)+0.5*LN('Ecoinvent 3.10'!$E$22)^2)</f>
        <v>4.5517739161577767E-3</v>
      </c>
      <c r="EQ311" s="224">
        <f>EXP(LN(EQ60)+0.5*LN('Ecoinvent 3.10'!$E$22)^2)</f>
        <v>8.043346286987706E-3</v>
      </c>
      <c r="ER311" s="50">
        <f>EXP(LN(ER60)+0.5*LN('Ecoinvent 3.10'!$E$22)^2)</f>
        <v>4.1110436577937171E-3</v>
      </c>
      <c r="ES311" s="224">
        <f>EXP(LN(ES60)+0.5*LN('Ecoinvent 3.10'!$E$22)^2)</f>
        <v>1.4863123540478067E-2</v>
      </c>
      <c r="ET311" s="50">
        <f>EXP(LN(ET60)+0.5*LN('Ecoinvent 3.10'!$E$22)^2)</f>
        <v>7.5967075873554571E-3</v>
      </c>
      <c r="EU311" s="224">
        <f>EXP(LN(EU60)+0.5*LN('Ecoinvent 3.10'!$E$22)^2)</f>
        <v>1.7052606252819409E-2</v>
      </c>
      <c r="EV311" s="50">
        <f>EXP(LN(EV60)+0.5*LN('Ecoinvent 3.10'!$E$22)^2)</f>
        <v>8.7157765292188091E-3</v>
      </c>
      <c r="EW311" s="264"/>
      <c r="EX311" s="265"/>
      <c r="FA311" s="151" t="s">
        <v>60</v>
      </c>
      <c r="FB311" s="224">
        <f>EXP(LN(FB60)+0.5*LN('Ecoinvent 3.10'!$E$22)^2)</f>
        <v>1.8358458381792869E-4</v>
      </c>
      <c r="FC311" s="50">
        <f>EXP(LN(FC60)+0.5*LN('Ecoinvent 3.10'!$E$22)^2)</f>
        <v>9.3832120618052457E-5</v>
      </c>
      <c r="FD311" s="224">
        <f>EXP(LN(FD60)+0.5*LN('Ecoinvent 3.10'!$E$22)^2)</f>
        <v>2.4119171970691362E-4</v>
      </c>
      <c r="FE311" s="50">
        <f>EXP(LN(FE60)+0.5*LN('Ecoinvent 3.10'!$E$22)^2)</f>
        <v>1.2327576785020031E-4</v>
      </c>
      <c r="FF311" s="224">
        <f>EXP(LN(FF60)+0.5*LN('Ecoinvent 3.10'!$E$22)^2)</f>
        <v>2.3419921055697147E-4</v>
      </c>
      <c r="FG311" s="50">
        <f>EXP(LN(FG60)+0.5*LN('Ecoinvent 3.10'!$E$22)^2)</f>
        <v>1.1970181872911876E-4</v>
      </c>
      <c r="FH311" s="224">
        <f>EXP(LN(FH60)+0.5*LN('Ecoinvent 3.10'!$E$22)^2)</f>
        <v>1.9597753660364003E-4</v>
      </c>
      <c r="FI311" s="50">
        <f>EXP(LN(FI60)+0.5*LN('Ecoinvent 3.10'!$E$22)^2)</f>
        <v>1.0016629648630492E-4</v>
      </c>
      <c r="FJ311" s="224">
        <f>EXP(LN(FJ60)+0.5*LN('Ecoinvent 3.10'!$E$22)^2)</f>
        <v>1.7700180715577165E-4</v>
      </c>
      <c r="FK311" s="50">
        <f>EXP(LN(FK60)+0.5*LN('Ecoinvent 3.10'!$E$22)^2)</f>
        <v>9.0467590324061077E-5</v>
      </c>
      <c r="FL311" s="224">
        <f>EXP(LN(FL60)+0.5*LN('Ecoinvent 3.10'!$E$22)^2)</f>
        <v>3.2707776499690724E-4</v>
      </c>
      <c r="FM311" s="50">
        <f>EXP(LN(FM60)+0.5*LN('Ecoinvent 3.10'!$E$22)^2)</f>
        <v>1.6717307988730815E-4</v>
      </c>
      <c r="FN311" s="224">
        <f>EXP(LN(FN60)+0.5*LN('Ecoinvent 3.10'!$E$22)^2)</f>
        <v>3.7525950217359613E-4</v>
      </c>
      <c r="FO311" s="50">
        <f>EXP(LN(FO60)+0.5*LN('Ecoinvent 3.10'!$E$22)^2)</f>
        <v>1.9179930111094898E-4</v>
      </c>
      <c r="FP311" s="264"/>
      <c r="FQ311" s="265"/>
      <c r="FT311" s="151" t="s">
        <v>60</v>
      </c>
      <c r="FU311" s="224">
        <f>EXP(LN(FU60)+0.5*LN('Ecoinvent 3.10'!$E$22)^2)</f>
        <v>3.0777869314166373E-2</v>
      </c>
      <c r="FV311" s="50">
        <f>EXP(LN(FV60)+0.5*LN('Ecoinvent 3.10'!$E$22)^2)</f>
        <v>1.573091098279614E-2</v>
      </c>
      <c r="FW311" s="224">
        <f>EXP(LN(FW60)+0.5*LN('Ecoinvent 3.10'!$E$22)^2)</f>
        <v>4.043567860883468E-2</v>
      </c>
      <c r="FX311" s="50">
        <f>EXP(LN(FX60)+0.5*LN('Ecoinvent 3.10'!$E$22)^2)</f>
        <v>2.0667124622293274E-2</v>
      </c>
      <c r="FY311" s="224">
        <f>EXP(LN(FY60)+0.5*LN('Ecoinvent 3.10'!$E$22)^2)</f>
        <v>3.9263387731685223E-2</v>
      </c>
      <c r="FZ311" s="50">
        <f>EXP(LN(FZ60)+0.5*LN('Ecoinvent 3.10'!$E$22)^2)</f>
        <v>2.0067953729528014E-2</v>
      </c>
      <c r="GA311" s="224">
        <f>EXP(LN(GA60)+0.5*LN('Ecoinvent 3.10'!$E$22)^2)</f>
        <v>3.2855542032228284E-2</v>
      </c>
      <c r="GB311" s="50">
        <f>EXP(LN(GB60)+0.5*LN('Ecoinvent 3.10'!$E$22)^2)</f>
        <v>1.6792832594250014E-2</v>
      </c>
      <c r="GC311" s="224">
        <f>EXP(LN(GC60)+0.5*LN('Ecoinvent 3.10'!$E$22)^2)</f>
        <v>2.9674269896291815E-2</v>
      </c>
      <c r="GD311" s="50">
        <f>EXP(LN(GD60)+0.5*LN('Ecoinvent 3.10'!$E$22)^2)</f>
        <v>1.5166849058104701E-2</v>
      </c>
      <c r="GE311" s="224">
        <f>EXP(LN(GE60)+0.5*LN('Ecoinvent 3.10'!$E$22)^2)</f>
        <v>5.4834433792263347E-2</v>
      </c>
      <c r="GF311" s="50">
        <f>EXP(LN(GF60)+0.5*LN('Ecoinvent 3.10'!$E$22)^2)</f>
        <v>2.8026488382712367E-2</v>
      </c>
      <c r="GG311" s="224">
        <f>EXP(LN(GG60)+0.5*LN('Ecoinvent 3.10'!$E$22)^2)</f>
        <v>6.2912079416496944E-2</v>
      </c>
      <c r="GH311" s="50">
        <f>EXP(LN(GH60)+0.5*LN('Ecoinvent 3.10'!$E$22)^2)</f>
        <v>3.2155062812876216E-2</v>
      </c>
      <c r="GI311" s="264"/>
      <c r="GJ311" s="265"/>
      <c r="GM311" s="151" t="s">
        <v>60</v>
      </c>
      <c r="GN311" s="224">
        <f>EXP(LN(GN60)+0.5*LN('Ecoinvent 3.10'!$E$22)^2)</f>
        <v>0.15272000832255794</v>
      </c>
      <c r="GO311" s="50">
        <f>EXP(LN(GO60)+0.5*LN('Ecoinvent 3.10'!$E$22)^2)</f>
        <v>7.8056893142640707E-2</v>
      </c>
      <c r="GP311" s="224">
        <f>EXP(LN(GP60)+0.5*LN('Ecoinvent 3.10'!$E$22)^2)</f>
        <v>0.20064212732319125</v>
      </c>
      <c r="GQ311" s="50">
        <f>EXP(LN(GQ60)+0.5*LN('Ecoinvent 3.10'!$E$22)^2)</f>
        <v>0.10255042063185328</v>
      </c>
      <c r="GR311" s="224">
        <f>EXP(LN(GR60)+0.5*LN('Ecoinvent 3.10'!$E$22)^2)</f>
        <v>0.19482521158132349</v>
      </c>
      <c r="GS311" s="50">
        <f>EXP(LN(GS60)+0.5*LN('Ecoinvent 3.10'!$E$22)^2)</f>
        <v>9.9577330363787603E-2</v>
      </c>
      <c r="GT311" s="224">
        <f>EXP(LN(GT60)+0.5*LN('Ecoinvent 3.10'!$E$22)^2)</f>
        <v>0.16302943525380822</v>
      </c>
      <c r="GU311" s="50">
        <f>EXP(LN(GU60)+0.5*LN('Ecoinvent 3.10'!$E$22)^2)</f>
        <v>8.3326155796390855E-2</v>
      </c>
      <c r="GV311" s="224">
        <f>EXP(LN(GV60)+0.5*LN('Ecoinvent 3.10'!$E$22)^2)</f>
        <v>0.14724394009437178</v>
      </c>
      <c r="GW311" s="50">
        <f>EXP(LN(GW60)+0.5*LN('Ecoinvent 3.10'!$E$22)^2)</f>
        <v>7.5258013826012216E-2</v>
      </c>
      <c r="GX311" s="224">
        <f>EXP(LN(GX60)+0.5*LN('Ecoinvent 3.10'!$E$22)^2)</f>
        <v>0.2720888538331242</v>
      </c>
      <c r="GY311" s="50">
        <f>EXP(LN(GY60)+0.5*LN('Ecoinvent 3.10'!$E$22)^2)</f>
        <v>0.13906763640359679</v>
      </c>
      <c r="GZ311" s="224">
        <f>EXP(LN(GZ60)+0.5*LN('Ecoinvent 3.10'!$E$22)^2)</f>
        <v>0.31217018936572466</v>
      </c>
      <c r="HA311" s="50">
        <f>EXP(LN(HA60)+0.5*LN('Ecoinvent 3.10'!$E$22)^2)</f>
        <v>0.15955365234248148</v>
      </c>
      <c r="HB311" s="264"/>
      <c r="HC311" s="265"/>
      <c r="HF311" s="151" t="s">
        <v>60</v>
      </c>
      <c r="HG311" s="224">
        <f>EXP(LN(HG60)+0.5*LN('Ecoinvent 3.10'!$E$22)^2)</f>
        <v>0.67683627359623522</v>
      </c>
      <c r="HH311" s="50">
        <f>EXP(LN(HH60)+0.5*LN('Ecoinvent 3.10'!$E$22)^2)</f>
        <v>0.34593853983807576</v>
      </c>
      <c r="HI311" s="224">
        <f>EXP(LN(HI60)+0.5*LN('Ecoinvent 3.10'!$E$22)^2)</f>
        <v>0.88922120470963306</v>
      </c>
      <c r="HJ311" s="50">
        <f>EXP(LN(HJ60)+0.5*LN('Ecoinvent 3.10'!$E$22)^2)</f>
        <v>0.45449083796270112</v>
      </c>
      <c r="HK311" s="224">
        <f>EXP(LN(HK60)+0.5*LN('Ecoinvent 3.10'!$E$22)^2)</f>
        <v>0.86344135033564973</v>
      </c>
      <c r="HL311" s="50">
        <f>EXP(LN(HL60)+0.5*LN('Ecoinvent 3.10'!$E$22)^2)</f>
        <v>0.44131446794933221</v>
      </c>
      <c r="HM311" s="224">
        <f>EXP(LN(HM60)+0.5*LN('Ecoinvent 3.10'!$E$22)^2)</f>
        <v>0.7225263844317612</v>
      </c>
      <c r="HN311" s="50">
        <f>EXP(LN(HN60)+0.5*LN('Ecoinvent 3.10'!$E$22)^2)</f>
        <v>0.36929126315401123</v>
      </c>
      <c r="HO311" s="224">
        <f>EXP(LN(HO60)+0.5*LN('Ecoinvent 3.10'!$E$22)^2)</f>
        <v>0.65256701343684576</v>
      </c>
      <c r="HP311" s="50">
        <f>EXP(LN(HP60)+0.5*LN('Ecoinvent 3.10'!$E$22)^2)</f>
        <v>0.33353425131216563</v>
      </c>
      <c r="HQ311" s="224">
        <f>EXP(LN(HQ60)+0.5*LN('Ecoinvent 3.10'!$E$22)^2)</f>
        <v>1.2058642998926599</v>
      </c>
      <c r="HR311" s="50">
        <f>EXP(LN(HR60)+0.5*LN('Ecoinvent 3.10'!$E$22)^2)</f>
        <v>0.61633064216735922</v>
      </c>
      <c r="HS311" s="224">
        <f>EXP(LN(HS60)+0.5*LN('Ecoinvent 3.10'!$E$22)^2)</f>
        <v>1.383499844053631</v>
      </c>
      <c r="HT311" s="50">
        <f>EXP(LN(HT60)+0.5*LN('Ecoinvent 3.10'!$E$22)^2)</f>
        <v>0.70712214251630034</v>
      </c>
      <c r="HU311" s="264"/>
      <c r="HV311" s="265"/>
      <c r="HY311" s="151" t="s">
        <v>60</v>
      </c>
      <c r="HZ311" s="224">
        <f>EXP(LN(HZ60)+0.5*LN('Ecoinvent 3.10'!$E$22)^2)</f>
        <v>9.4661853620255402E-4</v>
      </c>
      <c r="IA311" s="50">
        <f>EXP(LN(IA60)+0.5*LN('Ecoinvent 3.10'!$E$22)^2)</f>
        <v>4.8382725183686054E-4</v>
      </c>
      <c r="IB311" s="224">
        <f>EXP(LN(IB60)+0.5*LN('Ecoinvent 3.10'!$E$22)^2)</f>
        <v>1.2436586335569974E-3</v>
      </c>
      <c r="IC311" s="50">
        <f>EXP(LN(IC60)+0.5*LN('Ecoinvent 3.10'!$E$22)^2)</f>
        <v>6.3564774604024318E-4</v>
      </c>
      <c r="ID311" s="224">
        <f>EXP(LN(ID60)+0.5*LN('Ecoinvent 3.10'!$E$22)^2)</f>
        <v>1.2076031073344586E-3</v>
      </c>
      <c r="IE311" s="50">
        <f>EXP(LN(IE60)+0.5*LN('Ecoinvent 3.10'!$E$22)^2)</f>
        <v>6.1721936597094562E-4</v>
      </c>
      <c r="IF311" s="224">
        <f>EXP(LN(IF60)+0.5*LN('Ecoinvent 3.10'!$E$22)^2)</f>
        <v>1.0105204095585015E-3</v>
      </c>
      <c r="IG311" s="50">
        <f>EXP(LN(IG60)+0.5*LN('Ecoinvent 3.10'!$E$22)^2)</f>
        <v>5.164882093299008E-4</v>
      </c>
      <c r="IH311" s="224">
        <f>EXP(LN(IH60)+0.5*LN('Ecoinvent 3.10'!$E$22)^2)</f>
        <v>9.1267571661232466E-4</v>
      </c>
      <c r="II311" s="50">
        <f>EXP(LN(II60)+0.5*LN('Ecoinvent 3.10'!$E$22)^2)</f>
        <v>4.664786996018549E-4</v>
      </c>
      <c r="IJ311" s="224">
        <f>EXP(LN(IJ60)+0.5*LN('Ecoinvent 3.10'!$E$22)^2)</f>
        <v>1.6865134788923289E-3</v>
      </c>
      <c r="IK311" s="50">
        <f>EXP(LN(IK60)+0.5*LN('Ecoinvent 3.10'!$E$22)^2)</f>
        <v>8.6199577810052374E-4</v>
      </c>
      <c r="IL311" s="224"/>
      <c r="IM311" s="224"/>
      <c r="IN311" s="224"/>
      <c r="IO311" s="224"/>
    </row>
    <row r="312" spans="2:249" ht="12.75" customHeight="1" x14ac:dyDescent="0.2"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248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248"/>
      <c r="AJ312" s="248"/>
      <c r="AK312" s="248"/>
      <c r="AL312" s="248"/>
      <c r="AM312" s="248"/>
      <c r="AN312" s="122"/>
      <c r="AO312" s="248"/>
      <c r="AP312" s="726"/>
      <c r="AQ312" s="117" t="s">
        <v>621</v>
      </c>
      <c r="AR312" s="224">
        <f>EXP(LN(AR61)+0.5*LN('Ecoinvent 3.10'!$E$23)^2)</f>
        <v>17.593955790098832</v>
      </c>
      <c r="AS312" s="50">
        <f>EXP(LN(AS61)+0.5*LN('Ecoinvent 3.10'!$E$23)^2)</f>
        <v>11.752028189288318</v>
      </c>
      <c r="AT312" s="224">
        <f>EXP(LN(AT61)+0.5*LN('Ecoinvent 3.10'!$E$23)^2)</f>
        <v>20.375984296601608</v>
      </c>
      <c r="AU312" s="50">
        <f>EXP(LN(AU61)+0.5*LN('Ecoinvent 3.10'!$E$23)^2)</f>
        <v>13.580218350704421</v>
      </c>
      <c r="AV312" s="224">
        <f>EXP(LN(AV61)+0.5*LN('Ecoinvent 3.10'!$E$23)^2)</f>
        <v>20.038294191254074</v>
      </c>
      <c r="AW312" s="50">
        <f>EXP(LN(AW61)+0.5*LN('Ecoinvent 3.10'!$E$23)^2)</f>
        <v>13.358307710047475</v>
      </c>
      <c r="AX312" s="224">
        <f>EXP(LN(AX61)+0.5*LN('Ecoinvent 3.10'!$E$23)^2)</f>
        <v>16.280110273851029</v>
      </c>
      <c r="AY312" s="50">
        <f>EXP(LN(AY61)+0.5*LN('Ecoinvent 3.10'!$E$23)^2)</f>
        <v>10.847047399165174</v>
      </c>
      <c r="AZ312" s="224">
        <f>EXP(LN(AZ61)+0.5*LN('Ecoinvent 3.10'!$E$23)^2)</f>
        <v>14.143122275327743</v>
      </c>
      <c r="BA312" s="50">
        <f>EXP(LN(BA61)+0.5*LN('Ecoinvent 3.10'!$E$23)^2)</f>
        <v>9.4161917890543236</v>
      </c>
      <c r="BB312" s="224">
        <f>EXP(LN(BB61)+0.5*LN('Ecoinvent 3.10'!$E$23)^2)</f>
        <v>25.614700016651678</v>
      </c>
      <c r="BC312" s="50">
        <f>EXP(LN(BC61)+0.5*LN('Ecoinvent 3.10'!$E$23)^2)</f>
        <v>17.046588693354529</v>
      </c>
      <c r="BD312" s="264"/>
      <c r="BE312" s="265"/>
      <c r="BF312" s="264"/>
      <c r="BG312" s="265"/>
      <c r="BI312" s="156"/>
      <c r="BJ312" s="117" t="s">
        <v>621</v>
      </c>
      <c r="BK312" s="224">
        <f>EXP(LN(BK61)+0.5*LN('Ecoinvent 3.10'!$E$23)^2)</f>
        <v>4.0838726851722367</v>
      </c>
      <c r="BL312" s="50">
        <f>EXP(LN(BL61)+0.5*LN('Ecoinvent 3.10'!$E$23)^2)</f>
        <v>2.7278565144865063</v>
      </c>
      <c r="BM312" s="224">
        <f>EXP(LN(BM61)+0.5*LN('Ecoinvent 3.10'!$E$23)^2)</f>
        <v>4.7296313970061563</v>
      </c>
      <c r="BN312" s="50">
        <f>EXP(LN(BN61)+0.5*LN('Ecoinvent 3.10'!$E$23)^2)</f>
        <v>3.1522122394059391</v>
      </c>
      <c r="BO312" s="224">
        <f>EXP(LN(BO61)+0.5*LN('Ecoinvent 3.10'!$E$23)^2)</f>
        <v>4.6512474671080382</v>
      </c>
      <c r="BP312" s="50">
        <f>EXP(LN(BP61)+0.5*LN('Ecoinvent 3.10'!$E$23)^2)</f>
        <v>3.1007027997586043</v>
      </c>
      <c r="BQ312" s="224">
        <f>EXP(LN(BQ61)+0.5*LN('Ecoinvent 3.10'!$E$23)^2)</f>
        <v>3.7789055771293723</v>
      </c>
      <c r="BR312" s="50">
        <f>EXP(LN(BR61)+0.5*LN('Ecoinvent 3.10'!$E$23)^2)</f>
        <v>2.5177942423356705</v>
      </c>
      <c r="BS312" s="224">
        <f>EXP(LN(BS61)+0.5*LN('Ecoinvent 3.10'!$E$23)^2)</f>
        <v>3.2828723359510903</v>
      </c>
      <c r="BT312" s="50">
        <f>EXP(LN(BT61)+0.5*LN('Ecoinvent 3.10'!$E$23)^2)</f>
        <v>2.1856669929398533</v>
      </c>
      <c r="BU312" s="224">
        <f>EXP(LN(BU61)+0.5*LN('Ecoinvent 3.10'!$E$23)^2)</f>
        <v>5.9456312716071089</v>
      </c>
      <c r="BV312" s="50">
        <f>EXP(LN(BV61)+0.5*LN('Ecoinvent 3.10'!$E$23)^2)</f>
        <v>3.956818965029659</v>
      </c>
      <c r="BW312" s="264"/>
      <c r="BX312" s="265"/>
      <c r="BY312" s="264"/>
      <c r="BZ312" s="265"/>
      <c r="CA312" s="156"/>
      <c r="CB312" s="156"/>
      <c r="CC312" s="117" t="s">
        <v>621</v>
      </c>
      <c r="CD312" s="224">
        <f>EXP(LN(CD61)+0.5*LN('Ecoinvent 3.10'!$E$23)^2)</f>
        <v>41.895969504437709</v>
      </c>
      <c r="CE312" s="50">
        <f>EXP(LN(CE61)+0.5*LN('Ecoinvent 3.10'!$E$23)^2)</f>
        <v>27.984759113172107</v>
      </c>
      <c r="CF312" s="224">
        <f>EXP(LN(CF61)+0.5*LN('Ecoinvent 3.10'!$E$23)^2)</f>
        <v>48.520732170631803</v>
      </c>
      <c r="CG312" s="50">
        <f>EXP(LN(CG61)+0.5*LN('Ecoinvent 3.10'!$E$23)^2)</f>
        <v>32.338174579528221</v>
      </c>
      <c r="CH312" s="224">
        <f>EXP(LN(CH61)+0.5*LN('Ecoinvent 3.10'!$E$23)^2)</f>
        <v>47.716600653855338</v>
      </c>
      <c r="CI312" s="50">
        <f>EXP(LN(CI61)+0.5*LN('Ecoinvent 3.10'!$E$23)^2)</f>
        <v>31.809745297075132</v>
      </c>
      <c r="CJ312" s="224">
        <f>EXP(LN(CJ61)+0.5*LN('Ecoinvent 3.10'!$E$23)^2)</f>
        <v>38.76734781532118</v>
      </c>
      <c r="CK312" s="50">
        <f>EXP(LN(CK61)+0.5*LN('Ecoinvent 3.10'!$E$23)^2)</f>
        <v>25.82975497212281</v>
      </c>
      <c r="CL312" s="224">
        <f>EXP(LN(CL61)+0.5*LN('Ecoinvent 3.10'!$E$23)^2)</f>
        <v>33.678601140860103</v>
      </c>
      <c r="CM312" s="50">
        <f>EXP(LN(CM61)+0.5*LN('Ecoinvent 3.10'!$E$23)^2)</f>
        <v>22.422500587625976</v>
      </c>
      <c r="CN312" s="224">
        <f>EXP(LN(CN61)+0.5*LN('Ecoinvent 3.10'!$E$23)^2)</f>
        <v>60.995531850028023</v>
      </c>
      <c r="CO312" s="50">
        <f>EXP(LN(CO61)+0.5*LN('Ecoinvent 3.10'!$E$23)^2)</f>
        <v>40.592540334413435</v>
      </c>
      <c r="CP312" s="264"/>
      <c r="CQ312" s="265"/>
      <c r="CR312" s="264"/>
      <c r="CS312" s="265"/>
      <c r="CV312" s="117" t="s">
        <v>621</v>
      </c>
      <c r="CW312" s="224">
        <f>EXP(LN(CW61)+0.5*LN('Ecoinvent 3.10'!$E$23)^2)</f>
        <v>1.8320374015407016E-2</v>
      </c>
      <c r="CX312" s="50">
        <f>EXP(LN(CX61)+0.5*LN('Ecoinvent 3.10'!$E$23)^2)</f>
        <v>1.2237245246946193E-2</v>
      </c>
      <c r="CY312" s="224">
        <f>EXP(LN(CY61)+0.5*LN('Ecoinvent 3.10'!$E$23)^2)</f>
        <v>2.1217266753385665E-2</v>
      </c>
      <c r="CZ312" s="50">
        <f>EXP(LN(CZ61)+0.5*LN('Ecoinvent 3.10'!$E$23)^2)</f>
        <v>1.4140917617617882E-2</v>
      </c>
      <c r="DA312" s="224">
        <f>EXP(LN(DA61)+0.5*LN('Ecoinvent 3.10'!$E$23)^2)</f>
        <v>2.0865634118571928E-2</v>
      </c>
      <c r="DB312" s="50">
        <f>EXP(LN(DB61)+0.5*LN('Ecoinvent 3.10'!$E$23)^2)</f>
        <v>1.390984474331171E-2</v>
      </c>
      <c r="DC312" s="224">
        <f>EXP(LN(DC61)+0.5*LN('Ecoinvent 3.10'!$E$23)^2)</f>
        <v>1.6952282521754906E-2</v>
      </c>
      <c r="DD312" s="50">
        <f>EXP(LN(DD61)+0.5*LN('Ecoinvent 3.10'!$E$23)^2)</f>
        <v>1.1294899662495823E-2</v>
      </c>
      <c r="DE312" s="224">
        <f>EXP(LN(DE61)+0.5*LN('Ecoinvent 3.10'!$E$23)^2)</f>
        <v>1.47270626868037E-2</v>
      </c>
      <c r="DF312" s="50">
        <f>EXP(LN(DF61)+0.5*LN('Ecoinvent 3.10'!$E$23)^2)</f>
        <v>9.8049669690178608E-3</v>
      </c>
      <c r="DG312" s="224">
        <f>EXP(LN(DG61)+0.5*LN('Ecoinvent 3.10'!$E$23)^2)</f>
        <v>2.6672278263970495E-2</v>
      </c>
      <c r="DH312" s="50">
        <f>EXP(LN(DH61)+0.5*LN('Ecoinvent 3.10'!$E$23)^2)</f>
        <v>1.7750407257747753E-2</v>
      </c>
      <c r="DI312" s="264"/>
      <c r="DJ312" s="265"/>
      <c r="DK312" s="264"/>
      <c r="DL312" s="265"/>
      <c r="DO312" s="117" t="s">
        <v>621</v>
      </c>
      <c r="DP312" s="224">
        <f>EXP(LN(DP61)+0.5*LN('Ecoinvent 3.10'!$E$23)^2)</f>
        <v>5.1891526123147473</v>
      </c>
      <c r="DQ312" s="50">
        <f>EXP(LN(DQ61)+0.5*LN('Ecoinvent 3.10'!$E$23)^2)</f>
        <v>3.4661373772895812</v>
      </c>
      <c r="DR312" s="224">
        <f>EXP(LN(DR61)+0.5*LN('Ecoinvent 3.10'!$E$23)^2)</f>
        <v>6.0096827230120313</v>
      </c>
      <c r="DS312" s="50">
        <f>EXP(LN(DS61)+0.5*LN('Ecoinvent 3.10'!$E$23)^2)</f>
        <v>4.0053428786049388</v>
      </c>
      <c r="DT312" s="224">
        <f>EXP(LN(DT61)+0.5*LN('Ecoinvent 3.10'!$E$23)^2)</f>
        <v>5.9100845704860889</v>
      </c>
      <c r="DU312" s="50">
        <f>EXP(LN(DU61)+0.5*LN('Ecoinvent 3.10'!$E$23)^2)</f>
        <v>3.9398926640878913</v>
      </c>
      <c r="DV312" s="224">
        <f>EXP(LN(DV61)+0.5*LN('Ecoinvent 3.10'!$E$23)^2)</f>
        <v>4.8016476660620064</v>
      </c>
      <c r="DW312" s="50">
        <f>EXP(LN(DW61)+0.5*LN('Ecoinvent 3.10'!$E$23)^2)</f>
        <v>3.199222790985746</v>
      </c>
      <c r="DX312" s="224">
        <f>EXP(LN(DX61)+0.5*LN('Ecoinvent 3.10'!$E$23)^2)</f>
        <v>4.1713654835148111</v>
      </c>
      <c r="DY312" s="50">
        <f>EXP(LN(DY61)+0.5*LN('Ecoinvent 3.10'!$E$23)^2)</f>
        <v>2.7772069455651072</v>
      </c>
      <c r="DZ312" s="224">
        <f>EXP(LN(DZ61)+0.5*LN('Ecoinvent 3.10'!$E$23)^2)</f>
        <v>7.5547869444953255</v>
      </c>
      <c r="EA312" s="50">
        <f>EXP(LN(EA61)+0.5*LN('Ecoinvent 3.10'!$E$23)^2)</f>
        <v>5.027712431729304</v>
      </c>
      <c r="EB312" s="264"/>
      <c r="EC312" s="265"/>
      <c r="ED312" s="264"/>
      <c r="EE312" s="265"/>
      <c r="EH312" s="117" t="s">
        <v>621</v>
      </c>
      <c r="EI312" s="224">
        <f>EXP(LN(EI61)+0.5*LN('Ecoinvent 3.10'!$E$23)^2)</f>
        <v>3.7967055769030533E-2</v>
      </c>
      <c r="EJ312" s="50">
        <f>EXP(LN(EJ61)+0.5*LN('Ecoinvent 3.10'!$E$23)^2)</f>
        <v>2.536040870996312E-2</v>
      </c>
      <c r="EK312" s="224">
        <f>EXP(LN(EK61)+0.5*LN('Ecoinvent 3.10'!$E$23)^2)</f>
        <v>4.3970562468579298E-2</v>
      </c>
      <c r="EL312" s="50">
        <f>EXP(LN(EL61)+0.5*LN('Ecoinvent 3.10'!$E$23)^2)</f>
        <v>2.9305570255380879E-2</v>
      </c>
      <c r="EM312" s="224">
        <f>EXP(LN(EM61)+0.5*LN('Ecoinvent 3.10'!$E$23)^2)</f>
        <v>4.3241840672563737E-2</v>
      </c>
      <c r="EN312" s="50">
        <f>EXP(LN(EN61)+0.5*LN('Ecoinvent 3.10'!$E$23)^2)</f>
        <v>2.8826695932284936E-2</v>
      </c>
      <c r="EO312" s="224">
        <f>EXP(LN(EO61)+0.5*LN('Ecoinvent 3.10'!$E$23)^2)</f>
        <v>3.5131829479821408E-2</v>
      </c>
      <c r="EP312" s="50">
        <f>EXP(LN(EP61)+0.5*LN('Ecoinvent 3.10'!$E$23)^2)</f>
        <v>2.3407496213283828E-2</v>
      </c>
      <c r="EQ312" s="224">
        <f>EXP(LN(EQ61)+0.5*LN('Ecoinvent 3.10'!$E$23)^2)</f>
        <v>3.0520294502375239E-2</v>
      </c>
      <c r="ER312" s="50">
        <f>EXP(LN(ER61)+0.5*LN('Ecoinvent 3.10'!$E$23)^2)</f>
        <v>2.0319766802420994E-2</v>
      </c>
      <c r="ES312" s="224">
        <f>EXP(LN(ES61)+0.5*LN('Ecoinvent 3.10'!$E$23)^2)</f>
        <v>5.527550231690892E-2</v>
      </c>
      <c r="ET312" s="50">
        <f>EXP(LN(ET61)+0.5*LN('Ecoinvent 3.10'!$E$23)^2)</f>
        <v>3.678585937771537E-2</v>
      </c>
      <c r="EU312" s="264"/>
      <c r="EV312" s="265"/>
      <c r="EW312" s="264"/>
      <c r="EX312" s="265"/>
      <c r="FA312" s="117" t="s">
        <v>621</v>
      </c>
      <c r="FB312" s="224">
        <f>EXP(LN(FB61)+0.5*LN('Ecoinvent 3.10'!$E$23)^2)</f>
        <v>1.3439167097807217E-3</v>
      </c>
      <c r="FC312" s="50">
        <f>EXP(LN(FC61)+0.5*LN('Ecoinvent 3.10'!$E$23)^2)</f>
        <v>8.9768027417044772E-4</v>
      </c>
      <c r="FD312" s="224">
        <f>EXP(LN(FD61)+0.5*LN('Ecoinvent 3.10'!$E$23)^2)</f>
        <v>1.5564223362345192E-3</v>
      </c>
      <c r="FE312" s="50">
        <f>EXP(LN(FE61)+0.5*LN('Ecoinvent 3.10'!$E$23)^2)</f>
        <v>1.037326828697229E-3</v>
      </c>
      <c r="FF312" s="224">
        <f>EXP(LN(FF61)+0.5*LN('Ecoinvent 3.10'!$E$23)^2)</f>
        <v>1.5306278315353802E-3</v>
      </c>
      <c r="FG312" s="50">
        <f>EXP(LN(FG61)+0.5*LN('Ecoinvent 3.10'!$E$23)^2)</f>
        <v>1.0203761541806519E-3</v>
      </c>
      <c r="FH312" s="224">
        <f>EXP(LN(FH61)+0.5*LN('Ecoinvent 3.10'!$E$23)^2)</f>
        <v>1.2435584410422289E-3</v>
      </c>
      <c r="FI312" s="50">
        <f>EXP(LN(FI61)+0.5*LN('Ecoinvent 3.10'!$E$23)^2)</f>
        <v>8.2855319323498801E-4</v>
      </c>
      <c r="FJ312" s="224">
        <f>EXP(LN(FJ61)+0.5*LN('Ecoinvent 3.10'!$E$23)^2)</f>
        <v>1.0803243216617252E-3</v>
      </c>
      <c r="FK312" s="50">
        <f>EXP(LN(FK61)+0.5*LN('Ecoinvent 3.10'!$E$23)^2)</f>
        <v>7.1925709253695071E-4</v>
      </c>
      <c r="FL312" s="224">
        <f>EXP(LN(FL61)+0.5*LN('Ecoinvent 3.10'!$E$23)^2)</f>
        <v>1.9565823501597733E-3</v>
      </c>
      <c r="FM312" s="50">
        <f>EXP(LN(FM61)+0.5*LN('Ecoinvent 3.10'!$E$23)^2)</f>
        <v>1.3021059995302843E-3</v>
      </c>
      <c r="FN312" s="264"/>
      <c r="FO312" s="265"/>
      <c r="FP312" s="264"/>
      <c r="FQ312" s="265"/>
      <c r="FT312" s="117" t="s">
        <v>621</v>
      </c>
      <c r="FU312" s="224">
        <f>EXP(LN(FU61)+0.5*LN('Ecoinvent 3.10'!$E$23)^2)</f>
        <v>0.36046269150806198</v>
      </c>
      <c r="FV312" s="50">
        <f>EXP(LN(FV61)+0.5*LN('Ecoinvent 3.10'!$E$23)^2)</f>
        <v>0.24077403412445925</v>
      </c>
      <c r="FW312" s="224">
        <f>EXP(LN(FW61)+0.5*LN('Ecoinvent 3.10'!$E$23)^2)</f>
        <v>0.4174605318613091</v>
      </c>
      <c r="FX312" s="50">
        <f>EXP(LN(FX61)+0.5*LN('Ecoinvent 3.10'!$E$23)^2)</f>
        <v>0.27822975778516446</v>
      </c>
      <c r="FY312" s="224">
        <f>EXP(LN(FY61)+0.5*LN('Ecoinvent 3.10'!$E$23)^2)</f>
        <v>0.41054198064284397</v>
      </c>
      <c r="FZ312" s="50">
        <f>EXP(LN(FZ61)+0.5*LN('Ecoinvent 3.10'!$E$23)^2)</f>
        <v>0.27368328127017305</v>
      </c>
      <c r="GA312" s="224">
        <f>EXP(LN(GA61)+0.5*LN('Ecoinvent 3.10'!$E$23)^2)</f>
        <v>0.33354479443803509</v>
      </c>
      <c r="GB312" s="50">
        <f>EXP(LN(GB61)+0.5*LN('Ecoinvent 3.10'!$E$23)^2)</f>
        <v>0.22223290470122509</v>
      </c>
      <c r="GC312" s="224">
        <f>EXP(LN(GC61)+0.5*LN('Ecoinvent 3.10'!$E$23)^2)</f>
        <v>0.28976246061509658</v>
      </c>
      <c r="GD312" s="50">
        <f>EXP(LN(GD61)+0.5*LN('Ecoinvent 3.10'!$E$23)^2)</f>
        <v>0.19291771995634693</v>
      </c>
      <c r="GE312" s="224">
        <f>EXP(LN(GE61)+0.5*LN('Ecoinvent 3.10'!$E$23)^2)</f>
        <v>0.52479066222105109</v>
      </c>
      <c r="GF312" s="50">
        <f>EXP(LN(GF61)+0.5*LN('Ecoinvent 3.10'!$E$23)^2)</f>
        <v>0.34924830519896144</v>
      </c>
      <c r="GG312" s="264"/>
      <c r="GH312" s="265"/>
      <c r="GI312" s="264"/>
      <c r="GJ312" s="265"/>
      <c r="GM312" s="117" t="s">
        <v>621</v>
      </c>
      <c r="GN312" s="224">
        <f>EXP(LN(GN61)+0.5*LN('Ecoinvent 3.10'!$E$23)^2)</f>
        <v>0.79430548931851164</v>
      </c>
      <c r="GO312" s="50">
        <f>EXP(LN(GO61)+0.5*LN('Ecoinvent 3.10'!$E$23)^2)</f>
        <v>0.53056291676206158</v>
      </c>
      <c r="GP312" s="224">
        <f>EXP(LN(GP61)+0.5*LN('Ecoinvent 3.10'!$E$23)^2)</f>
        <v>0.91990433363294954</v>
      </c>
      <c r="GQ312" s="50">
        <f>EXP(LN(GQ61)+0.5*LN('Ecoinvent 3.10'!$E$23)^2)</f>
        <v>0.61309930016869219</v>
      </c>
      <c r="GR312" s="224">
        <f>EXP(LN(GR61)+0.5*LN('Ecoinvent 3.10'!$E$23)^2)</f>
        <v>0.9046588079782224</v>
      </c>
      <c r="GS312" s="50">
        <f>EXP(LN(GS61)+0.5*LN('Ecoinvent 3.10'!$E$23)^2)</f>
        <v>0.60308081188130014</v>
      </c>
      <c r="GT312" s="224">
        <f>EXP(LN(GT61)+0.5*LN('Ecoinvent 3.10'!$E$23)^2)</f>
        <v>0.73498996538958139</v>
      </c>
      <c r="GU312" s="50">
        <f>EXP(LN(GU61)+0.5*LN('Ecoinvent 3.10'!$E$23)^2)</f>
        <v>0.48970620336011311</v>
      </c>
      <c r="GV312" s="224">
        <f>EXP(LN(GV61)+0.5*LN('Ecoinvent 3.10'!$E$23)^2)</f>
        <v>0.63851244105761362</v>
      </c>
      <c r="GW312" s="50">
        <f>EXP(LN(GW61)+0.5*LN('Ecoinvent 3.10'!$E$23)^2)</f>
        <v>0.42510808346641471</v>
      </c>
      <c r="GX312" s="224">
        <f>EXP(LN(GX61)+0.5*LN('Ecoinvent 3.10'!$E$23)^2)</f>
        <v>1.1564140022406582</v>
      </c>
      <c r="GY312" s="50">
        <f>EXP(LN(GY61)+0.5*LN('Ecoinvent 3.10'!$E$23)^2)</f>
        <v>0.76959378179785198</v>
      </c>
      <c r="GZ312" s="264"/>
      <c r="HA312" s="265"/>
      <c r="HB312" s="264"/>
      <c r="HC312" s="265"/>
      <c r="HF312" s="117" t="s">
        <v>621</v>
      </c>
      <c r="HG312" s="224">
        <f>EXP(LN(HG61)+0.5*LN('Ecoinvent 3.10'!$E$23)^2)</f>
        <v>7.3394193479639007</v>
      </c>
      <c r="HH312" s="50">
        <f>EXP(LN(HH61)+0.5*LN('Ecoinvent 3.10'!$E$23)^2)</f>
        <v>4.902425815962296</v>
      </c>
      <c r="HI312" s="224">
        <f>EXP(LN(HI61)+0.5*LN('Ecoinvent 3.10'!$E$23)^2)</f>
        <v>8.499958460987262</v>
      </c>
      <c r="HJ312" s="50">
        <f>EXP(LN(HJ61)+0.5*LN('Ecoinvent 3.10'!$E$23)^2)</f>
        <v>5.6650658045205056</v>
      </c>
      <c r="HK312" s="224">
        <f>EXP(LN(HK61)+0.5*LN('Ecoinvent 3.10'!$E$23)^2)</f>
        <v>8.3590891009426986</v>
      </c>
      <c r="HL312" s="50">
        <f>EXP(LN(HL61)+0.5*LN('Ecoinvent 3.10'!$E$23)^2)</f>
        <v>5.5724945107769335</v>
      </c>
      <c r="HM312" s="224">
        <f>EXP(LN(HM61)+0.5*LN('Ecoinvent 3.10'!$E$23)^2)</f>
        <v>6.7913411717295729</v>
      </c>
      <c r="HN312" s="50">
        <f>EXP(LN(HN61)+0.5*LN('Ecoinvent 3.10'!$E$23)^2)</f>
        <v>4.5249079001617272</v>
      </c>
      <c r="HO312" s="224">
        <f>EXP(LN(HO61)+0.5*LN('Ecoinvent 3.10'!$E$23)^2)</f>
        <v>5.8998843981735698</v>
      </c>
      <c r="HP312" s="50">
        <f>EXP(LN(HP61)+0.5*LN('Ecoinvent 3.10'!$E$23)^2)</f>
        <v>3.9280182936242274</v>
      </c>
      <c r="HQ312" s="224">
        <f>EXP(LN(HQ61)+0.5*LN('Ecoinvent 3.10'!$E$23)^2)</f>
        <v>10.685318704750962</v>
      </c>
      <c r="HR312" s="50">
        <f>EXP(LN(HR61)+0.5*LN('Ecoinvent 3.10'!$E$23)^2)</f>
        <v>7.1110820309777596</v>
      </c>
      <c r="HS312" s="264"/>
      <c r="HT312" s="265"/>
      <c r="HU312" s="264"/>
      <c r="HV312" s="265"/>
      <c r="HY312" s="117" t="s">
        <v>195</v>
      </c>
      <c r="HZ312" s="224">
        <f>EXP(LN(HZ61)+0.5*LN('Ecoinvent 3.10'!$E$23)^2)</f>
        <v>7.6077800746025053E-3</v>
      </c>
      <c r="IA312" s="50">
        <f>EXP(LN(IA61)+0.5*LN('Ecoinvent 3.10'!$E$23)^2)</f>
        <v>5.0816795814019921E-3</v>
      </c>
      <c r="IB312" s="224">
        <f>EXP(LN(IB61)+0.5*LN('Ecoinvent 3.10'!$E$23)^2)</f>
        <v>8.8107534872479288E-3</v>
      </c>
      <c r="IC312" s="50">
        <f>EXP(LN(IC61)+0.5*LN('Ecoinvent 3.10'!$E$23)^2)</f>
        <v>5.8722049668546985E-3</v>
      </c>
      <c r="ID312" s="224">
        <f>EXP(LN(ID61)+0.5*LN('Ecoinvent 3.10'!$E$23)^2)</f>
        <v>8.6647333377430011E-3</v>
      </c>
      <c r="IE312" s="50">
        <f>EXP(LN(IE61)+0.5*LN('Ecoinvent 3.10'!$E$23)^2)</f>
        <v>5.7762488686086029E-3</v>
      </c>
      <c r="IF312" s="224">
        <f>EXP(LN(IF61)+0.5*LN('Ecoinvent 3.10'!$E$23)^2)</f>
        <v>7.0396618038244861E-3</v>
      </c>
      <c r="IG312" s="50">
        <f>EXP(LN(IG61)+0.5*LN('Ecoinvent 3.10'!$E$23)^2)</f>
        <v>4.6903579874900949E-3</v>
      </c>
      <c r="IH312" s="224">
        <f>EXP(LN(IH61)+0.5*LN('Ecoinvent 3.10'!$E$23)^2)</f>
        <v>6.1156095378764605E-3</v>
      </c>
      <c r="II312" s="50">
        <f>EXP(LN(II61)+0.5*LN('Ecoinvent 3.10'!$E$23)^2)</f>
        <v>4.071643530655979E-3</v>
      </c>
      <c r="IJ312" s="224">
        <f>EXP(LN(IJ61)+0.5*LN('Ecoinvent 3.10'!$E$23)^2)</f>
        <v>1.1076019897314307E-2</v>
      </c>
      <c r="IK312" s="50">
        <f>EXP(LN(IK61)+0.5*LN('Ecoinvent 3.10'!$E$23)^2)</f>
        <v>7.3710937635883683E-3</v>
      </c>
      <c r="IL312" s="224"/>
      <c r="IM312" s="224"/>
      <c r="IN312" s="224"/>
      <c r="IO312" s="224"/>
    </row>
    <row r="313" spans="2:249" ht="12.75" customHeight="1" x14ac:dyDescent="0.2">
      <c r="B313" s="248"/>
      <c r="C313" s="248"/>
      <c r="D313" s="248"/>
      <c r="E313" s="248"/>
      <c r="F313" s="248"/>
      <c r="G313" s="248"/>
      <c r="H313" s="248"/>
      <c r="I313" s="248"/>
      <c r="J313" s="248"/>
      <c r="K313" s="248"/>
      <c r="L313" s="248"/>
      <c r="M313" s="248"/>
      <c r="N313" s="248"/>
      <c r="O313" s="248"/>
      <c r="P313" s="248"/>
      <c r="Q313" s="248"/>
      <c r="R313" s="248"/>
      <c r="S313" s="248"/>
      <c r="T313" s="248"/>
      <c r="U313" s="248"/>
      <c r="V313" s="248"/>
      <c r="W313" s="248"/>
      <c r="X313" s="248"/>
      <c r="Y313" s="248"/>
      <c r="Z313" s="248"/>
      <c r="AA313" s="248"/>
      <c r="AB313" s="248"/>
      <c r="AC313" s="248"/>
      <c r="AD313" s="248"/>
      <c r="AE313" s="248"/>
      <c r="AF313" s="248"/>
      <c r="AG313" s="248"/>
      <c r="AH313" s="248"/>
      <c r="AI313" s="248"/>
      <c r="AJ313" s="248"/>
      <c r="AK313" s="248"/>
      <c r="AL313" s="248"/>
      <c r="AM313" s="248"/>
      <c r="AN313" s="122"/>
      <c r="AO313" s="248"/>
      <c r="AP313" s="726"/>
      <c r="AQ313" s="117" t="s">
        <v>622</v>
      </c>
      <c r="AR313" s="264"/>
      <c r="AS313" s="265"/>
      <c r="AT313" s="264"/>
      <c r="AU313" s="265"/>
      <c r="AV313" s="264"/>
      <c r="AW313" s="265"/>
      <c r="AX313" s="264"/>
      <c r="AY313" s="265"/>
      <c r="AZ313" s="264"/>
      <c r="BA313" s="265"/>
      <c r="BB313" s="264"/>
      <c r="BC313" s="265"/>
      <c r="BD313" s="224">
        <f>EXP(LN(BD62)+0.5*LN('Ecoinvent 3.10'!$E$23)^2)</f>
        <v>33.817103701533263</v>
      </c>
      <c r="BE313" s="50">
        <f>EXP(LN(BE62)+0.5*LN('Ecoinvent 3.10'!$E$23)^2)</f>
        <v>22.611664121623466</v>
      </c>
      <c r="BF313" s="264"/>
      <c r="BG313" s="265"/>
      <c r="BI313" s="156"/>
      <c r="BJ313" s="117" t="s">
        <v>622</v>
      </c>
      <c r="BK313" s="264"/>
      <c r="BL313" s="265"/>
      <c r="BM313" s="264"/>
      <c r="BN313" s="265"/>
      <c r="BO313" s="264"/>
      <c r="BP313" s="265"/>
      <c r="BQ313" s="264"/>
      <c r="BR313" s="265"/>
      <c r="BS313" s="264"/>
      <c r="BT313" s="265"/>
      <c r="BU313" s="264"/>
      <c r="BV313" s="265"/>
      <c r="BW313" s="224">
        <f>EXP(LN(BW62)+0.5*LN('Ecoinvent 3.10'!$E$23)^2)</f>
        <v>7.8495562763689746</v>
      </c>
      <c r="BX313" s="50">
        <f>EXP(LN(BX62)+0.5*LN('Ecoinvent 3.10'!$E$23)^2)</f>
        <v>5.2485727811453353</v>
      </c>
      <c r="BY313" s="264"/>
      <c r="BZ313" s="265"/>
      <c r="CA313" s="156"/>
      <c r="CB313" s="156"/>
      <c r="CC313" s="117" t="s">
        <v>622</v>
      </c>
      <c r="CD313" s="264"/>
      <c r="CE313" s="265"/>
      <c r="CF313" s="264"/>
      <c r="CG313" s="265"/>
      <c r="CH313" s="264"/>
      <c r="CI313" s="265"/>
      <c r="CJ313" s="264"/>
      <c r="CK313" s="265"/>
      <c r="CL313" s="264"/>
      <c r="CM313" s="265"/>
      <c r="CN313" s="264"/>
      <c r="CO313" s="265"/>
      <c r="CP313" s="224">
        <f>EXP(LN(CP62)+0.5*LN('Ecoinvent 3.10'!$E$23)^2)</f>
        <v>80.52767452133547</v>
      </c>
      <c r="CQ313" s="50">
        <f>EXP(LN(CQ62)+0.5*LN('Ecoinvent 3.10'!$E$23)^2)</f>
        <v>53.84449078911792</v>
      </c>
      <c r="CR313" s="264"/>
      <c r="CS313" s="265"/>
      <c r="CV313" s="117" t="s">
        <v>622</v>
      </c>
      <c r="CW313" s="264"/>
      <c r="CX313" s="265"/>
      <c r="CY313" s="264"/>
      <c r="CZ313" s="265"/>
      <c r="DA313" s="264"/>
      <c r="DB313" s="265"/>
      <c r="DC313" s="264"/>
      <c r="DD313" s="265"/>
      <c r="DE313" s="264"/>
      <c r="DF313" s="265"/>
      <c r="DG313" s="264"/>
      <c r="DH313" s="265"/>
      <c r="DI313" s="224">
        <f>EXP(LN(DI62)+0.5*LN('Ecoinvent 3.10'!$E$23)^2)</f>
        <v>3.5213342316032591E-2</v>
      </c>
      <c r="DJ313" s="50">
        <f>EXP(LN(DJ62)+0.5*LN('Ecoinvent 3.10'!$E$23)^2)</f>
        <v>2.3545253197238734E-2</v>
      </c>
      <c r="DK313" s="264"/>
      <c r="DL313" s="265"/>
      <c r="DO313" s="117" t="s">
        <v>622</v>
      </c>
      <c r="DP313" s="264"/>
      <c r="DQ313" s="265"/>
      <c r="DR313" s="264"/>
      <c r="DS313" s="265"/>
      <c r="DT313" s="264"/>
      <c r="DU313" s="265"/>
      <c r="DV313" s="264"/>
      <c r="DW313" s="265"/>
      <c r="DX313" s="264"/>
      <c r="DY313" s="265"/>
      <c r="DZ313" s="264"/>
      <c r="EA313" s="265"/>
      <c r="EB313" s="224">
        <f>EXP(LN(EB62)+0.5*LN('Ecoinvent 3.10'!$E$23)^2)</f>
        <v>9.9739998274000552</v>
      </c>
      <c r="EC313" s="50">
        <f>EXP(LN(EC62)+0.5*LN('Ecoinvent 3.10'!$E$23)^2)</f>
        <v>6.6690730240175782</v>
      </c>
      <c r="ED313" s="264"/>
      <c r="EE313" s="265"/>
      <c r="EH313" s="117" t="s">
        <v>622</v>
      </c>
      <c r="EI313" s="264"/>
      <c r="EJ313" s="265"/>
      <c r="EK313" s="264"/>
      <c r="EL313" s="265"/>
      <c r="EM313" s="264"/>
      <c r="EN313" s="265"/>
      <c r="EO313" s="264"/>
      <c r="EP313" s="265"/>
      <c r="EQ313" s="264"/>
      <c r="ER313" s="265"/>
      <c r="ES313" s="264"/>
      <c r="ET313" s="265"/>
      <c r="EU313" s="224">
        <f>EXP(LN(EU62)+0.5*LN('Ecoinvent 3.10'!$E$23)^2)</f>
        <v>7.2975962739757982E-2</v>
      </c>
      <c r="EV313" s="50">
        <f>EXP(LN(EV62)+0.5*LN('Ecoinvent 3.10'!$E$23)^2)</f>
        <v>4.8795070476384456E-2</v>
      </c>
      <c r="EW313" s="264"/>
      <c r="EX313" s="265"/>
      <c r="FA313" s="117" t="s">
        <v>622</v>
      </c>
      <c r="FB313" s="264"/>
      <c r="FC313" s="265"/>
      <c r="FD313" s="264"/>
      <c r="FE313" s="265"/>
      <c r="FF313" s="264"/>
      <c r="FG313" s="265"/>
      <c r="FH313" s="264"/>
      <c r="FI313" s="265"/>
      <c r="FJ313" s="264"/>
      <c r="FK313" s="265"/>
      <c r="FL313" s="264"/>
      <c r="FM313" s="265"/>
      <c r="FN313" s="224">
        <f>EXP(LN(FN62)+0.5*LN('Ecoinvent 3.10'!$E$23)^2)</f>
        <v>2.5831240730100043E-3</v>
      </c>
      <c r="FO313" s="50">
        <f>EXP(LN(FO62)+0.5*LN('Ecoinvent 3.10'!$E$23)^2)</f>
        <v>1.7271950442265091E-3</v>
      </c>
      <c r="FP313" s="264"/>
      <c r="FQ313" s="265"/>
      <c r="FT313" s="117" t="s">
        <v>622</v>
      </c>
      <c r="FU313" s="264"/>
      <c r="FV313" s="265"/>
      <c r="FW313" s="264"/>
      <c r="FX313" s="265"/>
      <c r="FY313" s="264"/>
      <c r="FZ313" s="265"/>
      <c r="GA313" s="264"/>
      <c r="GB313" s="265"/>
      <c r="GC313" s="264"/>
      <c r="GD313" s="265"/>
      <c r="GE313" s="264"/>
      <c r="GF313" s="265"/>
      <c r="GG313" s="224">
        <f>EXP(LN(GG62)+0.5*LN('Ecoinvent 3.10'!$E$23)^2)</f>
        <v>0.6928404484295595</v>
      </c>
      <c r="GH313" s="50">
        <f>EXP(LN(GH62)+0.5*LN('Ecoinvent 3.10'!$E$23)^2)</f>
        <v>0.46326485106570137</v>
      </c>
      <c r="GI313" s="264"/>
      <c r="GJ313" s="265"/>
      <c r="GM313" s="117" t="s">
        <v>622</v>
      </c>
      <c r="GN313" s="264"/>
      <c r="GO313" s="265"/>
      <c r="GP313" s="264"/>
      <c r="GQ313" s="265"/>
      <c r="GR313" s="264"/>
      <c r="GS313" s="265"/>
      <c r="GT313" s="264"/>
      <c r="GU313" s="265"/>
      <c r="GV313" s="264"/>
      <c r="GW313" s="265"/>
      <c r="GX313" s="264"/>
      <c r="GY313" s="265"/>
      <c r="GZ313" s="224">
        <f>EXP(LN(GZ62)+0.5*LN('Ecoinvent 3.10'!$E$23)^2)</f>
        <v>1.526723803529026</v>
      </c>
      <c r="HA313" s="50">
        <f>EXP(LN(HA62)+0.5*LN('Ecoinvent 3.10'!$E$23)^2)</f>
        <v>1.020837448309347</v>
      </c>
      <c r="HB313" s="264"/>
      <c r="HC313" s="265"/>
      <c r="HF313" s="117" t="s">
        <v>622</v>
      </c>
      <c r="HG313" s="264"/>
      <c r="HH313" s="265"/>
      <c r="HI313" s="264"/>
      <c r="HJ313" s="265"/>
      <c r="HK313" s="264"/>
      <c r="HL313" s="265"/>
      <c r="HM313" s="264"/>
      <c r="HN313" s="265"/>
      <c r="HO313" s="264"/>
      <c r="HP313" s="265"/>
      <c r="HQ313" s="264"/>
      <c r="HR313" s="265"/>
      <c r="HS313" s="224">
        <f>EXP(LN(HS62)+0.5*LN('Ecoinvent 3.10'!$E$23)^2)</f>
        <v>14.106998344216061</v>
      </c>
      <c r="HT313" s="50">
        <f>EXP(LN(HT62)+0.5*LN('Ecoinvent 3.10'!$E$23)^2)</f>
        <v>9.4325850947799932</v>
      </c>
      <c r="HU313" s="264"/>
      <c r="HV313" s="265"/>
      <c r="HY313" s="117"/>
      <c r="HZ313" s="224"/>
      <c r="IA313" s="224"/>
      <c r="IB313" s="224"/>
      <c r="IC313" s="224"/>
      <c r="ID313" s="224"/>
      <c r="IE313" s="224"/>
      <c r="IF313" s="224"/>
      <c r="IG313" s="224"/>
      <c r="IH313" s="224"/>
      <c r="II313" s="224"/>
      <c r="IJ313" s="224"/>
      <c r="IK313" s="224"/>
      <c r="IL313" s="224"/>
      <c r="IM313" s="224"/>
      <c r="IN313" s="224"/>
      <c r="IO313" s="224"/>
    </row>
    <row r="314" spans="2:249" ht="12.75" customHeight="1" x14ac:dyDescent="0.2">
      <c r="B314" s="248"/>
      <c r="C314" s="248"/>
      <c r="D314" s="248"/>
      <c r="E314" s="248"/>
      <c r="F314" s="248"/>
      <c r="G314" s="248"/>
      <c r="H314" s="248"/>
      <c r="I314" s="248"/>
      <c r="J314" s="248"/>
      <c r="K314" s="248"/>
      <c r="L314" s="248"/>
      <c r="M314" s="248"/>
      <c r="N314" s="248"/>
      <c r="O314" s="248"/>
      <c r="P314" s="248"/>
      <c r="Q314" s="248"/>
      <c r="R314" s="248"/>
      <c r="S314" s="248"/>
      <c r="T314" s="248"/>
      <c r="U314" s="248"/>
      <c r="V314" s="248"/>
      <c r="W314" s="248"/>
      <c r="X314" s="248"/>
      <c r="Y314" s="248"/>
      <c r="Z314" s="248"/>
      <c r="AA314" s="248"/>
      <c r="AB314" s="248"/>
      <c r="AC314" s="248"/>
      <c r="AD314" s="248"/>
      <c r="AE314" s="248"/>
      <c r="AF314" s="248"/>
      <c r="AG314" s="248"/>
      <c r="AH314" s="248"/>
      <c r="AI314" s="248"/>
      <c r="AJ314" s="248"/>
      <c r="AK314" s="248"/>
      <c r="AL314" s="248"/>
      <c r="AM314" s="248"/>
      <c r="AN314" s="122"/>
      <c r="AO314" s="248"/>
      <c r="AP314" s="726"/>
      <c r="AQ314" s="117" t="s">
        <v>623</v>
      </c>
      <c r="AR314" s="264"/>
      <c r="AS314" s="265"/>
      <c r="AT314" s="264"/>
      <c r="AU314" s="265"/>
      <c r="AV314" s="264"/>
      <c r="AW314" s="265"/>
      <c r="AX314" s="264"/>
      <c r="AY314" s="265"/>
      <c r="AZ314" s="264"/>
      <c r="BA314" s="265"/>
      <c r="BB314" s="264"/>
      <c r="BC314" s="265"/>
      <c r="BD314" s="264"/>
      <c r="BE314" s="265"/>
      <c r="BF314" s="224">
        <f>EXP(LN(BF63)+0.5*LN('Ecoinvent 3.10'!$E$24)^2)</f>
        <v>19.062922670011247</v>
      </c>
      <c r="BG314" s="50">
        <f>EXP(LN(BG63)+0.5*LN('Ecoinvent 3.10'!$E$24)^2)</f>
        <v>12.708615113340835</v>
      </c>
      <c r="BI314" s="156"/>
      <c r="BJ314" s="117" t="s">
        <v>623</v>
      </c>
      <c r="BK314" s="264"/>
      <c r="BL314" s="265"/>
      <c r="BM314" s="264"/>
      <c r="BN314" s="265"/>
      <c r="BO314" s="264"/>
      <c r="BP314" s="265"/>
      <c r="BQ314" s="264"/>
      <c r="BR314" s="265"/>
      <c r="BS314" s="264"/>
      <c r="BT314" s="265"/>
      <c r="BU314" s="264"/>
      <c r="BV314" s="265"/>
      <c r="BW314" s="264"/>
      <c r="BX314" s="265"/>
      <c r="BY314" s="224">
        <f>EXP(LN(BY63)+0.5*LN('Ecoinvent 3.10'!$E$24)^2)</f>
        <v>3.4741701301451937</v>
      </c>
      <c r="BZ314" s="50">
        <f>EXP(LN(BZ63)+0.5*LN('Ecoinvent 3.10'!$E$24)^2)</f>
        <v>2.3161134200967961</v>
      </c>
      <c r="CA314" s="156"/>
      <c r="CB314" s="156"/>
      <c r="CC314" s="117" t="s">
        <v>623</v>
      </c>
      <c r="CD314" s="264"/>
      <c r="CE314" s="265"/>
      <c r="CF314" s="264"/>
      <c r="CG314" s="265"/>
      <c r="CH314" s="264"/>
      <c r="CI314" s="265"/>
      <c r="CJ314" s="264"/>
      <c r="CK314" s="265"/>
      <c r="CL314" s="264"/>
      <c r="CM314" s="265"/>
      <c r="CN314" s="264"/>
      <c r="CO314" s="265"/>
      <c r="CP314" s="264"/>
      <c r="CQ314" s="265"/>
      <c r="CR314" s="224">
        <f>EXP(LN(CR63)+0.5*LN('Ecoinvent 3.10'!$E$24)^2)</f>
        <v>33.369705963159099</v>
      </c>
      <c r="CS314" s="50">
        <f>EXP(LN(CS63)+0.5*LN('Ecoinvent 3.10'!$E$24)^2)</f>
        <v>22.246470642106058</v>
      </c>
      <c r="CV314" s="117" t="s">
        <v>623</v>
      </c>
      <c r="CW314" s="264"/>
      <c r="CX314" s="265"/>
      <c r="CY314" s="264"/>
      <c r="CZ314" s="265"/>
      <c r="DA314" s="264"/>
      <c r="DB314" s="265"/>
      <c r="DC314" s="264"/>
      <c r="DD314" s="265"/>
      <c r="DE314" s="264"/>
      <c r="DF314" s="265"/>
      <c r="DG314" s="264"/>
      <c r="DH314" s="265"/>
      <c r="DI314" s="264"/>
      <c r="DJ314" s="265"/>
      <c r="DK314" s="224">
        <f>EXP(LN(DK63)+0.5*LN('Ecoinvent 3.10'!$E$24)^2)</f>
        <v>2.8827043218802501E-2</v>
      </c>
      <c r="DL314" s="50">
        <f>EXP(LN(DL63)+0.5*LN('Ecoinvent 3.10'!$E$24)^2)</f>
        <v>1.9218028812535006E-2</v>
      </c>
      <c r="DO314" s="117" t="s">
        <v>623</v>
      </c>
      <c r="DP314" s="264"/>
      <c r="DQ314" s="265"/>
      <c r="DR314" s="264"/>
      <c r="DS314" s="265"/>
      <c r="DT314" s="264"/>
      <c r="DU314" s="265"/>
      <c r="DV314" s="264"/>
      <c r="DW314" s="265"/>
      <c r="DX314" s="264"/>
      <c r="DY314" s="265"/>
      <c r="DZ314" s="264"/>
      <c r="EA314" s="265"/>
      <c r="EB314" s="264"/>
      <c r="EC314" s="265"/>
      <c r="ED314" s="224">
        <f>EXP(LN(ED63)+0.5*LN('Ecoinvent 3.10'!$E$24)^2)</f>
        <v>2.1840473228206401</v>
      </c>
      <c r="EE314" s="50">
        <f>EXP(LN(EE63)+0.5*LN('Ecoinvent 3.10'!$E$24)^2)</f>
        <v>1.4560315485470934</v>
      </c>
      <c r="EH314" s="117" t="s">
        <v>623</v>
      </c>
      <c r="EI314" s="264"/>
      <c r="EJ314" s="265"/>
      <c r="EK314" s="264"/>
      <c r="EL314" s="265"/>
      <c r="EM314" s="264"/>
      <c r="EN314" s="265"/>
      <c r="EO314" s="264"/>
      <c r="EP314" s="265"/>
      <c r="EQ314" s="264"/>
      <c r="ER314" s="265"/>
      <c r="ES314" s="264"/>
      <c r="ET314" s="265"/>
      <c r="EU314" s="264"/>
      <c r="EV314" s="265"/>
      <c r="EW314" s="224">
        <f>EXP(LN(EW63)+0.5*LN('Ecoinvent 3.10'!$E$24)^2)</f>
        <v>9.6032431238170346E-2</v>
      </c>
      <c r="EX314" s="50">
        <f>EXP(LN(EX63)+0.5*LN('Ecoinvent 3.10'!$E$24)^2)</f>
        <v>6.4021620825446907E-2</v>
      </c>
      <c r="FA314" s="117" t="s">
        <v>623</v>
      </c>
      <c r="FB314" s="264"/>
      <c r="FC314" s="265"/>
      <c r="FD314" s="264"/>
      <c r="FE314" s="265"/>
      <c r="FF314" s="264"/>
      <c r="FG314" s="265"/>
      <c r="FH314" s="264"/>
      <c r="FI314" s="265"/>
      <c r="FJ314" s="264"/>
      <c r="FK314" s="265"/>
      <c r="FL314" s="264"/>
      <c r="FM314" s="265"/>
      <c r="FN314" s="264"/>
      <c r="FO314" s="265"/>
      <c r="FP314" s="224">
        <f>EXP(LN(FP63)+0.5*LN('Ecoinvent 3.10'!$E$24)^2)</f>
        <v>2.3973564217068116E-3</v>
      </c>
      <c r="FQ314" s="50">
        <f>EXP(LN(FQ63)+0.5*LN('Ecoinvent 3.10'!$E$24)^2)</f>
        <v>1.5982376144712074E-3</v>
      </c>
      <c r="FT314" s="117" t="s">
        <v>623</v>
      </c>
      <c r="FU314" s="264"/>
      <c r="FV314" s="265"/>
      <c r="FW314" s="264"/>
      <c r="FX314" s="265"/>
      <c r="FY314" s="264"/>
      <c r="FZ314" s="265"/>
      <c r="GA314" s="264"/>
      <c r="GB314" s="265"/>
      <c r="GC314" s="264"/>
      <c r="GD314" s="265"/>
      <c r="GE314" s="264"/>
      <c r="GF314" s="265"/>
      <c r="GG314" s="264"/>
      <c r="GH314" s="265"/>
      <c r="GI314" s="224">
        <f>EXP(LN(GI63)+0.5*LN('Ecoinvent 3.10'!$E$24)^2)</f>
        <v>0.34688552272004552</v>
      </c>
      <c r="GJ314" s="50">
        <f>EXP(LN(GJ63)+0.5*LN('Ecoinvent 3.10'!$E$24)^2)</f>
        <v>0.23125701514669703</v>
      </c>
      <c r="GM314" s="117" t="s">
        <v>623</v>
      </c>
      <c r="GN314" s="264"/>
      <c r="GO314" s="265"/>
      <c r="GP314" s="264"/>
      <c r="GQ314" s="265"/>
      <c r="GR314" s="264"/>
      <c r="GS314" s="265"/>
      <c r="GT314" s="264"/>
      <c r="GU314" s="265"/>
      <c r="GV314" s="264"/>
      <c r="GW314" s="265"/>
      <c r="GX314" s="264"/>
      <c r="GY314" s="265"/>
      <c r="GZ314" s="264"/>
      <c r="HA314" s="265"/>
      <c r="HB314" s="224">
        <f>EXP(LN(HB63)+0.5*LN('Ecoinvent 3.10'!$E$24)^2)</f>
        <v>2.5404198734221257</v>
      </c>
      <c r="HC314" s="50">
        <f>EXP(LN(HC63)+0.5*LN('Ecoinvent 3.10'!$E$24)^2)</f>
        <v>1.6936132489480837</v>
      </c>
      <c r="HF314" s="117" t="s">
        <v>623</v>
      </c>
      <c r="HG314" s="264"/>
      <c r="HH314" s="265"/>
      <c r="HI314" s="264"/>
      <c r="HJ314" s="265"/>
      <c r="HK314" s="264"/>
      <c r="HL314" s="265"/>
      <c r="HM314" s="264"/>
      <c r="HN314" s="265"/>
      <c r="HO314" s="264"/>
      <c r="HP314" s="265"/>
      <c r="HQ314" s="264"/>
      <c r="HR314" s="265"/>
      <c r="HS314" s="264"/>
      <c r="HT314" s="265"/>
      <c r="HU314" s="224">
        <f>EXP(LN(HU63)+0.5*LN('Ecoinvent 3.10'!$E$24)^2)</f>
        <v>7.7132541720187815</v>
      </c>
      <c r="HV314" s="50">
        <f>EXP(LN(HV63)+0.5*LN('Ecoinvent 3.10'!$E$24)^2)</f>
        <v>5.1421694480125213</v>
      </c>
      <c r="HY314" s="117"/>
      <c r="HZ314" s="224"/>
      <c r="IA314" s="224"/>
      <c r="IB314" s="224"/>
      <c r="IC314" s="224"/>
      <c r="ID314" s="224"/>
      <c r="IE314" s="224"/>
      <c r="IF314" s="224"/>
      <c r="IG314" s="224"/>
      <c r="IH314" s="224"/>
      <c r="II314" s="224"/>
      <c r="IJ314" s="224"/>
      <c r="IK314" s="224"/>
      <c r="IL314" s="224"/>
      <c r="IM314" s="224"/>
      <c r="IN314" s="224"/>
      <c r="IO314" s="224"/>
    </row>
    <row r="315" spans="2:249" ht="12.75" customHeight="1" x14ac:dyDescent="0.2">
      <c r="B315" s="248"/>
      <c r="C315" s="248"/>
      <c r="D315" s="248"/>
      <c r="E315" s="248"/>
      <c r="F315" s="248"/>
      <c r="G315" s="248"/>
      <c r="H315" s="248"/>
      <c r="I315" s="248"/>
      <c r="J315" s="248"/>
      <c r="K315" s="248"/>
      <c r="L315" s="248"/>
      <c r="M315" s="248"/>
      <c r="N315" s="248"/>
      <c r="O315" s="248"/>
      <c r="P315" s="248"/>
      <c r="Q315" s="248"/>
      <c r="R315" s="248"/>
      <c r="S315" s="248"/>
      <c r="T315" s="248"/>
      <c r="U315" s="248"/>
      <c r="V315" s="248"/>
      <c r="W315" s="248"/>
      <c r="X315" s="248"/>
      <c r="Y315" s="248"/>
      <c r="Z315" s="248"/>
      <c r="AA315" s="248"/>
      <c r="AB315" s="248"/>
      <c r="AC315" s="248"/>
      <c r="AD315" s="248"/>
      <c r="AE315" s="248"/>
      <c r="AF315" s="248"/>
      <c r="AG315" s="248"/>
      <c r="AH315" s="248"/>
      <c r="AI315" s="248"/>
      <c r="AJ315" s="248"/>
      <c r="AK315" s="248"/>
      <c r="AL315" s="248"/>
      <c r="AM315" s="248"/>
      <c r="AN315" s="122"/>
      <c r="AO315" s="248"/>
      <c r="AP315" s="726"/>
      <c r="AQ315" s="151" t="s">
        <v>505</v>
      </c>
      <c r="AR315" s="224">
        <f>EXP(LN(AR64)+0.5*LN('Ecoinvent 3.10'!$E$33)^2)</f>
        <v>0.89136883959236846</v>
      </c>
      <c r="AS315" s="224">
        <f>EXP(LN(AS64)+0.5*LN('Ecoinvent 3.10'!$E$33)^2)</f>
        <v>0.7338084497861499</v>
      </c>
      <c r="AT315" s="224">
        <f>EXP(LN(AT64)+0.5*LN('Ecoinvent 3.10'!$E$33)^2)</f>
        <v>1.0151036946014984</v>
      </c>
      <c r="AU315" s="224">
        <f>EXP(LN(AU64)+0.5*LN('Ecoinvent 3.10'!$E$33)^2)</f>
        <v>0.82944047155518918</v>
      </c>
      <c r="AV315" s="224">
        <f>EXP(LN(AV64)+0.5*LN('Ecoinvent 3.10'!$E$33)^2)</f>
        <v>1.0207197918616209</v>
      </c>
      <c r="AW315" s="224">
        <f>EXP(LN(AW64)+0.5*LN('Ecoinvent 3.10'!$E$33)^2)</f>
        <v>0.83502575949594804</v>
      </c>
      <c r="AX315" s="224">
        <f>EXP(LN(AX64)+0.5*LN('Ecoinvent 3.10'!$E$33)^2)</f>
        <v>0.83131576867949886</v>
      </c>
      <c r="AY315" s="224">
        <f>EXP(LN(AY64)+0.5*LN('Ecoinvent 3.10'!$E$33)^2)</f>
        <v>0.67880456003275147</v>
      </c>
      <c r="AZ315" s="224">
        <f>EXP(LN(AZ64)+0.5*LN('Ecoinvent 3.10'!$E$33)^2)</f>
        <v>0.72155634315650663</v>
      </c>
      <c r="BA315" s="224">
        <f>EXP(LN(BA64)+0.5*LN('Ecoinvent 3.10'!$E$33)^2)</f>
        <v>0.58769107137543719</v>
      </c>
      <c r="BB315" s="224">
        <f>EXP(LN(BB64)+0.5*LN('Ecoinvent 3.10'!$E$33)^2)</f>
        <v>1.3116396733065747</v>
      </c>
      <c r="BC315" s="224">
        <f>EXP(LN(BC64)+0.5*LN('Ecoinvent 3.10'!$E$33)^2)</f>
        <v>1.066527913382977</v>
      </c>
      <c r="BD315" s="224">
        <f>EXP(LN(BD64)+0.5*LN('Ecoinvent 3.10'!$E$33)^2)</f>
        <v>1.7396517036904722</v>
      </c>
      <c r="BE315" s="50">
        <f>EXP(LN(BE64)+0.5*LN('Ecoinvent 3.10'!$E$33)^2)</f>
        <v>1.4239008357812069</v>
      </c>
      <c r="BF315" s="224">
        <f>EXP(LN(BF64)+0.5*LN('Ecoinvent 3.10'!$E$33)^2)</f>
        <v>0.55115779158255107</v>
      </c>
      <c r="BG315" s="224">
        <f>EXP(LN(BG64)+0.5*LN('Ecoinvent 3.10'!$E$33)^2)</f>
        <v>0.39934982695316862</v>
      </c>
      <c r="BI315" s="156"/>
      <c r="BJ315" s="151" t="s">
        <v>505</v>
      </c>
      <c r="BK315" s="224">
        <f>EXP(LN(BK64)+0.5*LN('Ecoinvent 3.10'!$E$33)^2)</f>
        <v>0.23390589254762426</v>
      </c>
      <c r="BL315" s="224">
        <f>EXP(LN(BL64)+0.5*LN('Ecoinvent 3.10'!$E$33)^2)</f>
        <v>0.1925601533083785</v>
      </c>
      <c r="BM315" s="224">
        <f>EXP(LN(BM64)+0.5*LN('Ecoinvent 3.10'!$E$33)^2)</f>
        <v>0.2663754050710786</v>
      </c>
      <c r="BN315" s="224">
        <f>EXP(LN(BN64)+0.5*LN('Ecoinvent 3.10'!$E$33)^2)</f>
        <v>0.21765514475799039</v>
      </c>
      <c r="BO315" s="224">
        <f>EXP(LN(BO64)+0.5*LN('Ecoinvent 3.10'!$E$33)^2)</f>
        <v>0.26784913646476738</v>
      </c>
      <c r="BP315" s="224">
        <f>EXP(LN(BP64)+0.5*LN('Ecoinvent 3.10'!$E$33)^2)</f>
        <v>0.21912079141613042</v>
      </c>
      <c r="BQ315" s="224">
        <f>EXP(LN(BQ64)+0.5*LN('Ecoinvent 3.10'!$E$33)^2)</f>
        <v>0.21814724525350943</v>
      </c>
      <c r="BR315" s="224">
        <f>EXP(LN(BR64)+0.5*LN('Ecoinvent 3.10'!$E$33)^2)</f>
        <v>0.17812647181212671</v>
      </c>
      <c r="BS315" s="224">
        <f>EXP(LN(BS64)+0.5*LN('Ecoinvent 3.10'!$E$33)^2)</f>
        <v>0.18934505333011814</v>
      </c>
      <c r="BT315" s="224">
        <f>EXP(LN(BT64)+0.5*LN('Ecoinvent 3.10'!$E$33)^2)</f>
        <v>0.15421719773736423</v>
      </c>
      <c r="BU315" s="224">
        <f>EXP(LN(BU64)+0.5*LN('Ecoinvent 3.10'!$E$33)^2)</f>
        <v>0.34419000851090031</v>
      </c>
      <c r="BV315" s="224">
        <f>EXP(LN(BV64)+0.5*LN('Ecoinvent 3.10'!$E$33)^2)</f>
        <v>0.27986973789759606</v>
      </c>
      <c r="BW315" s="224">
        <f>EXP(LN(BW64)+0.5*LN('Ecoinvent 3.10'!$E$33)^2)</f>
        <v>0.45650550748419821</v>
      </c>
      <c r="BX315" s="50">
        <f>EXP(LN(BX64)+0.5*LN('Ecoinvent 3.10'!$E$33)^2)</f>
        <v>0.37364868626664388</v>
      </c>
      <c r="BY315" s="224">
        <f>EXP(LN(BY64)+0.5*LN('Ecoinvent 3.10'!$E$33)^2)</f>
        <v>0.14463042620342212</v>
      </c>
      <c r="BZ315" s="224">
        <f>EXP(LN(BZ64)+0.5*LN('Ecoinvent 3.10'!$E$33)^2)</f>
        <v>0.10479419244107484</v>
      </c>
      <c r="CA315" s="156"/>
      <c r="CB315" s="156"/>
      <c r="CC315" s="151" t="s">
        <v>505</v>
      </c>
      <c r="CD315" s="224">
        <f>EXP(LN(CD64)+0.5*LN('Ecoinvent 3.10'!$E$33)^2)</f>
        <v>24.740260833124971</v>
      </c>
      <c r="CE315" s="224">
        <f>EXP(LN(CE64)+0.5*LN('Ecoinvent 3.10'!$E$33)^2)</f>
        <v>20.367115881639656</v>
      </c>
      <c r="CF315" s="224">
        <f>EXP(LN(CF64)+0.5*LN('Ecoinvent 3.10'!$E$33)^2)</f>
        <v>28.174565972706372</v>
      </c>
      <c r="CG315" s="224">
        <f>EXP(LN(CG64)+0.5*LN('Ecoinvent 3.10'!$E$33)^2)</f>
        <v>23.021416837063558</v>
      </c>
      <c r="CH315" s="224">
        <f>EXP(LN(CH64)+0.5*LN('Ecoinvent 3.10'!$E$33)^2)</f>
        <v>28.330442760078885</v>
      </c>
      <c r="CI315" s="224">
        <f>EXP(LN(CI64)+0.5*LN('Ecoinvent 3.10'!$E$33)^2)</f>
        <v>23.176438500761904</v>
      </c>
      <c r="CJ315" s="224">
        <f>EXP(LN(CJ64)+0.5*LN('Ecoinvent 3.10'!$E$33)^2)</f>
        <v>23.073466379221937</v>
      </c>
      <c r="CK315" s="224">
        <f>EXP(LN(CK64)+0.5*LN('Ecoinvent 3.10'!$E$33)^2)</f>
        <v>18.84046325604659</v>
      </c>
      <c r="CL315" s="224">
        <f>EXP(LN(CL64)+0.5*LN('Ecoinvent 3.10'!$E$33)^2)</f>
        <v>20.027054281650077</v>
      </c>
      <c r="CM315" s="224">
        <f>EXP(LN(CM64)+0.5*LN('Ecoinvent 3.10'!$E$33)^2)</f>
        <v>16.31157580264539</v>
      </c>
      <c r="CN315" s="224">
        <f>EXP(LN(CN64)+0.5*LN('Ecoinvent 3.10'!$E$33)^2)</f>
        <v>36.405028081887309</v>
      </c>
      <c r="CO315" s="224">
        <f>EXP(LN(CO64)+0.5*LN('Ecoinvent 3.10'!$E$33)^2)</f>
        <v>29.601863550637493</v>
      </c>
      <c r="CP315" s="224">
        <f>EXP(LN(CP64)+0.5*LN('Ecoinvent 3.10'!$E$33)^2)</f>
        <v>48.284655011919497</v>
      </c>
      <c r="CQ315" s="50">
        <f>EXP(LN(CQ64)+0.5*LN('Ecoinvent 3.10'!$E$33)^2)</f>
        <v>39.520876782995522</v>
      </c>
      <c r="CR315" s="224">
        <f>EXP(LN(CR64)+0.5*LN('Ecoinvent 3.10'!$E$33)^2)</f>
        <v>15.297581560285662</v>
      </c>
      <c r="CS315" s="224">
        <f>EXP(LN(CS64)+0.5*LN('Ecoinvent 3.10'!$E$33)^2)</f>
        <v>11.084097226242438</v>
      </c>
      <c r="CV315" s="151" t="s">
        <v>505</v>
      </c>
      <c r="CW315" s="224">
        <f>EXP(LN(CW64)+0.5*LN('Ecoinvent 3.10'!$E$33)^2)</f>
        <v>6.3315389180687391E-4</v>
      </c>
      <c r="CX315" s="224">
        <f>EXP(LN(CX64)+0.5*LN('Ecoinvent 3.10'!$E$33)^2)</f>
        <v>5.2123616530654364E-4</v>
      </c>
      <c r="CY315" s="224">
        <f>EXP(LN(CY64)+0.5*LN('Ecoinvent 3.10'!$E$33)^2)</f>
        <v>7.2104478671073541E-4</v>
      </c>
      <c r="CZ315" s="224">
        <f>EXP(LN(CZ64)+0.5*LN('Ecoinvent 3.10'!$E$33)^2)</f>
        <v>5.8916515729611906E-4</v>
      </c>
      <c r="DA315" s="224">
        <f>EXP(LN(DA64)+0.5*LN('Ecoinvent 3.10'!$E$33)^2)</f>
        <v>7.2503399261413979E-4</v>
      </c>
      <c r="DB315" s="224">
        <f>EXP(LN(DB64)+0.5*LN('Ecoinvent 3.10'!$E$33)^2)</f>
        <v>5.9313247883516955E-4</v>
      </c>
      <c r="DC315" s="224">
        <f>EXP(LN(DC64)+0.5*LN('Ecoinvent 3.10'!$E$33)^2)</f>
        <v>5.9049721157018774E-4</v>
      </c>
      <c r="DD315" s="224">
        <f>EXP(LN(DD64)+0.5*LN('Ecoinvent 3.10'!$E$33)^2)</f>
        <v>4.8216600117807079E-4</v>
      </c>
      <c r="DE315" s="224">
        <f>EXP(LN(DE64)+0.5*LN('Ecoinvent 3.10'!$E$33)^2)</f>
        <v>5.1253329321720846E-4</v>
      </c>
      <c r="DF315" s="224">
        <f>EXP(LN(DF64)+0.5*LN('Ecoinvent 3.10'!$E$33)^2)</f>
        <v>4.1744659729374607E-4</v>
      </c>
      <c r="DG315" s="224">
        <f>EXP(LN(DG64)+0.5*LN('Ecoinvent 3.10'!$E$33)^2)</f>
        <v>9.3167915111564358E-4</v>
      </c>
      <c r="DH315" s="224">
        <f>EXP(LN(DH64)+0.5*LN('Ecoinvent 3.10'!$E$33)^2)</f>
        <v>7.5757225189508181E-4</v>
      </c>
      <c r="DI315" s="224">
        <f>EXP(LN(DI64)+0.5*LN('Ecoinvent 3.10'!$E$33)^2)</f>
        <v>1.2357031092581072E-3</v>
      </c>
      <c r="DJ315" s="50">
        <f>EXP(LN(DJ64)+0.5*LN('Ecoinvent 3.10'!$E$33)^2)</f>
        <v>1.0114200942162377E-3</v>
      </c>
      <c r="DK315" s="224">
        <f>EXP(LN(DK64)+0.5*LN('Ecoinvent 3.10'!$E$33)^2)</f>
        <v>3.9149641006046417E-4</v>
      </c>
      <c r="DL315" s="224">
        <f>EXP(LN(DL64)+0.5*LN('Ecoinvent 3.10'!$E$33)^2)</f>
        <v>2.8366472541650739E-4</v>
      </c>
      <c r="DO315" s="151" t="s">
        <v>505</v>
      </c>
      <c r="DP315" s="224">
        <f>EXP(LN(DP64)+0.5*LN('Ecoinvent 3.10'!$E$33)^2)</f>
        <v>3.6577332618476843E-2</v>
      </c>
      <c r="DQ315" s="224">
        <f>EXP(LN(DQ64)+0.5*LN('Ecoinvent 3.10'!$E$33)^2)</f>
        <v>3.0111839851111911E-2</v>
      </c>
      <c r="DR315" s="224">
        <f>EXP(LN(DR64)+0.5*LN('Ecoinvent 3.10'!$E$33)^2)</f>
        <v>4.1654794099223333E-2</v>
      </c>
      <c r="DS315" s="224">
        <f>EXP(LN(DS64)+0.5*LN('Ecoinvent 3.10'!$E$33)^2)</f>
        <v>3.4036101182507814E-2</v>
      </c>
      <c r="DT315" s="224">
        <f>EXP(LN(DT64)+0.5*LN('Ecoinvent 3.10'!$E$33)^2)</f>
        <v>4.1885250727699545E-2</v>
      </c>
      <c r="DU315" s="224">
        <f>EXP(LN(DU64)+0.5*LN('Ecoinvent 3.10'!$E$33)^2)</f>
        <v>3.4265293550139304E-2</v>
      </c>
      <c r="DV315" s="224">
        <f>EXP(LN(DV64)+0.5*LN('Ecoinvent 3.10'!$E$33)^2)</f>
        <v>3.4113054025851235E-2</v>
      </c>
      <c r="DW315" s="224">
        <f>EXP(LN(DW64)+0.5*LN('Ecoinvent 3.10'!$E$33)^2)</f>
        <v>2.7854754476958447E-2</v>
      </c>
      <c r="DX315" s="224">
        <f>EXP(LN(DX64)+0.5*LN('Ecoinvent 3.10'!$E$33)^2)</f>
        <v>2.96090744866928E-2</v>
      </c>
      <c r="DY315" s="224">
        <f>EXP(LN(DY64)+0.5*LN('Ecoinvent 3.10'!$E$33)^2)</f>
        <v>2.4115911214081465E-2</v>
      </c>
      <c r="DZ315" s="224">
        <f>EXP(LN(DZ64)+0.5*LN('Ecoinvent 3.10'!$E$33)^2)</f>
        <v>5.3823152072563926E-2</v>
      </c>
      <c r="EA315" s="224">
        <f>EXP(LN(EA64)+0.5*LN('Ecoinvent 3.10'!$E$33)^2)</f>
        <v>4.3764987625705194E-2</v>
      </c>
      <c r="EB315" s="224">
        <f>EXP(LN(EB64)+0.5*LN('Ecoinvent 3.10'!$E$33)^2)</f>
        <v>7.1386631638689288E-2</v>
      </c>
      <c r="EC315" s="50">
        <f>EXP(LN(EC64)+0.5*LN('Ecoinvent 3.10'!$E$33)^2)</f>
        <v>5.8429790422014523E-2</v>
      </c>
      <c r="ED315" s="224">
        <f>EXP(LN(ED64)+0.5*LN('Ecoinvent 3.10'!$E$33)^2)</f>
        <v>2.2616767574239433E-2</v>
      </c>
      <c r="EE315" s="224">
        <f>EXP(LN(EE64)+0.5*LN('Ecoinvent 3.10'!$E$33)^2)</f>
        <v>1.6387325653292085E-2</v>
      </c>
      <c r="EH315" s="151" t="s">
        <v>505</v>
      </c>
      <c r="EI315" s="224">
        <f>EXP(LN(EI64)+0.5*LN('Ecoinvent 3.10'!$E$33)^2)</f>
        <v>4.2919438778133466E-3</v>
      </c>
      <c r="EJ315" s="224">
        <f>EXP(LN(EJ64)+0.5*LN('Ecoinvent 3.10'!$E$33)^2)</f>
        <v>3.533290085603226E-3</v>
      </c>
      <c r="EK315" s="224">
        <f>EXP(LN(EK64)+0.5*LN('Ecoinvent 3.10'!$E$33)^2)</f>
        <v>4.8877276093508065E-3</v>
      </c>
      <c r="EL315" s="224">
        <f>EXP(LN(EL64)+0.5*LN('Ecoinvent 3.10'!$E$33)^2)</f>
        <v>3.9937585831807763E-3</v>
      </c>
      <c r="EM315" s="224">
        <f>EXP(LN(EM64)+0.5*LN('Ecoinvent 3.10'!$E$33)^2)</f>
        <v>4.9147691360254559E-3</v>
      </c>
      <c r="EN315" s="224">
        <f>EXP(LN(EN64)+0.5*LN('Ecoinvent 3.10'!$E$33)^2)</f>
        <v>4.020651762881927E-3</v>
      </c>
      <c r="EO315" s="224">
        <f>EXP(LN(EO64)+0.5*LN('Ecoinvent 3.10'!$E$33)^2)</f>
        <v>4.002788144967389E-3</v>
      </c>
      <c r="EP315" s="224">
        <f>EXP(LN(EP64)+0.5*LN('Ecoinvent 3.10'!$E$33)^2)</f>
        <v>3.2684461765532104E-3</v>
      </c>
      <c r="EQ315" s="224">
        <f>EXP(LN(EQ64)+0.5*LN('Ecoinvent 3.10'!$E$33)^2)</f>
        <v>3.4742961521116071E-3</v>
      </c>
      <c r="ER315" s="224">
        <f>EXP(LN(ER64)+0.5*LN('Ecoinvent 3.10'!$E$33)^2)</f>
        <v>2.8297344306862488E-3</v>
      </c>
      <c r="ES315" s="224">
        <f>EXP(LN(ES64)+0.5*LN('Ecoinvent 3.10'!$E$33)^2)</f>
        <v>6.3155493166214627E-3</v>
      </c>
      <c r="ET315" s="224">
        <f>EXP(LN(ET64)+0.5*LN('Ecoinvent 3.10'!$E$33)^2)</f>
        <v>5.1353353909638988E-3</v>
      </c>
      <c r="EU315" s="224">
        <f>EXP(LN(EU64)+0.5*LN('Ecoinvent 3.10'!$E$33)^2)</f>
        <v>8.3764286427113321E-3</v>
      </c>
      <c r="EV315" s="50">
        <f>EXP(LN(EV64)+0.5*LN('Ecoinvent 3.10'!$E$33)^2)</f>
        <v>6.856087181081192E-3</v>
      </c>
      <c r="EW315" s="224">
        <f>EXP(LN(EW64)+0.5*LN('Ecoinvent 3.10'!$E$33)^2)</f>
        <v>2.6538265690032839E-3</v>
      </c>
      <c r="EX315" s="224">
        <f>EXP(LN(EX64)+0.5*LN('Ecoinvent 3.10'!$E$33)^2)</f>
        <v>1.922870722832642E-3</v>
      </c>
      <c r="FA315" s="151" t="s">
        <v>505</v>
      </c>
      <c r="FB315" s="224">
        <f>EXP(LN(FB64)+0.5*LN('Ecoinvent 3.10'!$E$33)^2)</f>
        <v>8.1238605051678367E-5</v>
      </c>
      <c r="FC315" s="224">
        <f>EXP(LN(FC64)+0.5*LN('Ecoinvent 3.10'!$E$33)^2)</f>
        <v>6.6878683871228085E-5</v>
      </c>
      <c r="FD315" s="224">
        <f>EXP(LN(FD64)+0.5*LN('Ecoinvent 3.10'!$E$33)^2)</f>
        <v>9.2515695489134468E-5</v>
      </c>
      <c r="FE315" s="224">
        <f>EXP(LN(FE64)+0.5*LN('Ecoinvent 3.10'!$E$33)^2)</f>
        <v>7.5594505764151E-5</v>
      </c>
      <c r="FF315" s="224">
        <f>EXP(LN(FF64)+0.5*LN('Ecoinvent 3.10'!$E$33)^2)</f>
        <v>9.3027541861793745E-5</v>
      </c>
      <c r="FG315" s="224">
        <f>EXP(LN(FG64)+0.5*LN('Ecoinvent 3.10'!$E$33)^2)</f>
        <v>7.610354420140078E-5</v>
      </c>
      <c r="FH315" s="224">
        <f>EXP(LN(FH64)+0.5*LN('Ecoinvent 3.10'!$E$33)^2)</f>
        <v>7.5765418764100575E-5</v>
      </c>
      <c r="FI315" s="224">
        <f>EXP(LN(FI64)+0.5*LN('Ecoinvent 3.10'!$E$33)^2)</f>
        <v>6.1865675700529713E-5</v>
      </c>
      <c r="FJ315" s="224">
        <f>EXP(LN(FJ64)+0.5*LN('Ecoinvent 3.10'!$E$33)^2)</f>
        <v>6.5762037195546798E-5</v>
      </c>
      <c r="FK315" s="224">
        <f>EXP(LN(FK64)+0.5*LN('Ecoinvent 3.10'!$E$33)^2)</f>
        <v>5.3561669108491945E-5</v>
      </c>
      <c r="FL315" s="224">
        <f>EXP(LN(FL64)+0.5*LN('Ecoinvent 3.10'!$E$33)^2)</f>
        <v>1.195417347532523E-4</v>
      </c>
      <c r="FM315" s="224">
        <f>EXP(LN(FM64)+0.5*LN('Ecoinvent 3.10'!$E$33)^2)</f>
        <v>9.7202455463366995E-5</v>
      </c>
      <c r="FN315" s="224">
        <f>EXP(LN(FN64)+0.5*LN('Ecoinvent 3.10'!$E$33)^2)</f>
        <v>1.5855039059725236E-4</v>
      </c>
      <c r="FO315" s="50">
        <f>EXP(LN(FO64)+0.5*LN('Ecoinvent 3.10'!$E$33)^2)</f>
        <v>1.297731225198356E-4</v>
      </c>
      <c r="FP315" s="224">
        <f>EXP(LN(FP64)+0.5*LN('Ecoinvent 3.10'!$E$33)^2)</f>
        <v>5.0232056767887777E-5</v>
      </c>
      <c r="FQ315" s="224">
        <f>EXP(LN(FQ64)+0.5*LN('Ecoinvent 3.10'!$E$33)^2)</f>
        <v>3.6396406771568179E-5</v>
      </c>
      <c r="FT315" s="151" t="s">
        <v>505</v>
      </c>
      <c r="FU315" s="224">
        <f>EXP(LN(FU64)+0.5*LN('Ecoinvent 3.10'!$E$33)^2)</f>
        <v>2.7541753991866182E-2</v>
      </c>
      <c r="FV315" s="224">
        <f>EXP(LN(FV64)+0.5*LN('Ecoinvent 3.10'!$E$33)^2)</f>
        <v>2.2673410717840698E-2</v>
      </c>
      <c r="FW315" s="224">
        <f>EXP(LN(FW64)+0.5*LN('Ecoinvent 3.10'!$E$33)^2)</f>
        <v>3.136494679995127E-2</v>
      </c>
      <c r="FX315" s="224">
        <f>EXP(LN(FX64)+0.5*LN('Ecoinvent 3.10'!$E$33)^2)</f>
        <v>2.5628274630867046E-2</v>
      </c>
      <c r="FY315" s="224">
        <f>EXP(LN(FY64)+0.5*LN('Ecoinvent 3.10'!$E$33)^2)</f>
        <v>3.1538474482614508E-2</v>
      </c>
      <c r="FZ315" s="224">
        <f>EXP(LN(FZ64)+0.5*LN('Ecoinvent 3.10'!$E$33)^2)</f>
        <v>2.5800850358899539E-2</v>
      </c>
      <c r="GA315" s="224">
        <f>EXP(LN(GA64)+0.5*LN('Ecoinvent 3.10'!$E$33)^2)</f>
        <v>2.5686218065464804E-2</v>
      </c>
      <c r="GB315" s="224">
        <f>EXP(LN(GB64)+0.5*LN('Ecoinvent 3.10'!$E$33)^2)</f>
        <v>2.0973885748046369E-2</v>
      </c>
      <c r="GC315" s="224">
        <f>EXP(LN(GC64)+0.5*LN('Ecoinvent 3.10'!$E$33)^2)</f>
        <v>2.2294841834021441E-2</v>
      </c>
      <c r="GD315" s="224">
        <f>EXP(LN(GD64)+0.5*LN('Ecoinvent 3.10'!$E$33)^2)</f>
        <v>1.8158636685617811E-2</v>
      </c>
      <c r="GE315" s="224">
        <f>EXP(LN(GE64)+0.5*LN('Ecoinvent 3.10'!$E$33)^2)</f>
        <v>4.0527395174259913E-2</v>
      </c>
      <c r="GF315" s="224">
        <f>EXP(LN(GF64)+0.5*LN('Ecoinvent 3.10'!$E$33)^2)</f>
        <v>3.2953866133895095E-2</v>
      </c>
      <c r="GG315" s="224">
        <f>EXP(LN(GG64)+0.5*LN('Ecoinvent 3.10'!$E$33)^2)</f>
        <v>5.3752225932067556E-2</v>
      </c>
      <c r="GH315" s="50">
        <f>EXP(LN(GH64)+0.5*LN('Ecoinvent 3.10'!$E$33)^2)</f>
        <v>4.3996070746463188E-2</v>
      </c>
      <c r="GI315" s="224">
        <f>EXP(LN(GI64)+0.5*LN('Ecoinvent 3.10'!$E$33)^2)</f>
        <v>1.702982158699733E-2</v>
      </c>
      <c r="GJ315" s="224">
        <f>EXP(LN(GJ64)+0.5*LN('Ecoinvent 3.10'!$E$33)^2)</f>
        <v>1.2339218292248533E-2</v>
      </c>
      <c r="GM315" s="151" t="s">
        <v>505</v>
      </c>
      <c r="GN315" s="224">
        <f>EXP(LN(GN64)+0.5*LN('Ecoinvent 3.10'!$E$33)^2)</f>
        <v>0.49184638901789418</v>
      </c>
      <c r="GO315" s="224">
        <f>EXP(LN(GO64)+0.5*LN('Ecoinvent 3.10'!$E$33)^2)</f>
        <v>0.40490649911341886</v>
      </c>
      <c r="GP315" s="224">
        <f>EXP(LN(GP64)+0.5*LN('Ecoinvent 3.10'!$E$33)^2)</f>
        <v>0.56012176384446366</v>
      </c>
      <c r="GQ315" s="224">
        <f>EXP(LN(GQ64)+0.5*LN('Ecoinvent 3.10'!$E$33)^2)</f>
        <v>0.45767507536642393</v>
      </c>
      <c r="GR315" s="224">
        <f>EXP(LN(GR64)+0.5*LN('Ecoinvent 3.10'!$E$33)^2)</f>
        <v>0.56322065740577287</v>
      </c>
      <c r="GS315" s="224">
        <f>EXP(LN(GS64)+0.5*LN('Ecoinvent 3.10'!$E$33)^2)</f>
        <v>0.46075696872332411</v>
      </c>
      <c r="GT315" s="224">
        <f>EXP(LN(GT64)+0.5*LN('Ecoinvent 3.10'!$E$33)^2)</f>
        <v>0.45870984131061965</v>
      </c>
      <c r="GU315" s="224">
        <f>EXP(LN(GU64)+0.5*LN('Ecoinvent 3.10'!$E$33)^2)</f>
        <v>0.3745560276189035</v>
      </c>
      <c r="GV315" s="224">
        <f>EXP(LN(GV64)+0.5*LN('Ecoinvent 3.10'!$E$33)^2)</f>
        <v>0.39814593700266787</v>
      </c>
      <c r="GW315" s="224">
        <f>EXP(LN(GW64)+0.5*LN('Ecoinvent 3.10'!$E$33)^2)</f>
        <v>0.32428072249670897</v>
      </c>
      <c r="GX315" s="224">
        <f>EXP(LN(GX64)+0.5*LN('Ecoinvent 3.10'!$E$33)^2)</f>
        <v>0.7237466785393476</v>
      </c>
      <c r="GY315" s="224">
        <f>EXP(LN(GY64)+0.5*LN('Ecoinvent 3.10'!$E$33)^2)</f>
        <v>0.58849701681752364</v>
      </c>
      <c r="GZ315" s="224">
        <f>EXP(LN(GZ64)+0.5*LN('Ecoinvent 3.10'!$E$33)^2)</f>
        <v>0.95991846540235737</v>
      </c>
      <c r="HA315" s="50">
        <f>EXP(LN(HA64)+0.5*LN('Ecoinvent 3.10'!$E$33)^2)</f>
        <v>0.78569101060209878</v>
      </c>
      <c r="HB315" s="224">
        <f>EXP(LN(HB64)+0.5*LN('Ecoinvent 3.10'!$E$33)^2)</f>
        <v>0.30412210695285757</v>
      </c>
      <c r="HC315" s="224">
        <f>EXP(LN(HC64)+0.5*LN('Ecoinvent 3.10'!$E$33)^2)</f>
        <v>0.22035633468145588</v>
      </c>
      <c r="HF315" s="151" t="s">
        <v>505</v>
      </c>
      <c r="HG315" s="224">
        <f>EXP(LN(HG64)+0.5*LN('Ecoinvent 3.10'!$E$33)^2)</f>
        <v>0.21556585770288919</v>
      </c>
      <c r="HH315" s="224">
        <f>EXP(LN(HH64)+0.5*LN('Ecoinvent 3.10'!$E$33)^2)</f>
        <v>0.17746194486686115</v>
      </c>
      <c r="HI315" s="224">
        <f>EXP(LN(HI64)+0.5*LN('Ecoinvent 3.10'!$E$33)^2)</f>
        <v>0.24548950879213258</v>
      </c>
      <c r="HJ315" s="224">
        <f>EXP(LN(HJ64)+0.5*LN('Ecoinvent 3.10'!$E$33)^2)</f>
        <v>0.20058929449008983</v>
      </c>
      <c r="HK315" s="224">
        <f>EXP(LN(HK64)+0.5*LN('Ecoinvent 3.10'!$E$33)^2)</f>
        <v>0.24684768822251826</v>
      </c>
      <c r="HL315" s="224">
        <f>EXP(LN(HL64)+0.5*LN('Ecoinvent 3.10'!$E$33)^2)</f>
        <v>0.20194002309085388</v>
      </c>
      <c r="HM315" s="224">
        <f>EXP(LN(HM64)+0.5*LN('Ecoinvent 3.10'!$E$33)^2)</f>
        <v>0.20104281049277448</v>
      </c>
      <c r="HN315" s="224">
        <f>EXP(LN(HN64)+0.5*LN('Ecoinvent 3.10'!$E$33)^2)</f>
        <v>0.16415997586701506</v>
      </c>
      <c r="HO315" s="224">
        <f>EXP(LN(HO64)+0.5*LN('Ecoinvent 3.10'!$E$33)^2)</f>
        <v>0.17449893364527289</v>
      </c>
      <c r="HP315" s="224">
        <f>EXP(LN(HP64)+0.5*LN('Ecoinvent 3.10'!$E$33)^2)</f>
        <v>0.14212537418663951</v>
      </c>
      <c r="HQ315" s="224">
        <f>EXP(LN(HQ64)+0.5*LN('Ecoinvent 3.10'!$E$33)^2)</f>
        <v>0.31720284422638229</v>
      </c>
      <c r="HR315" s="224">
        <f>EXP(LN(HR64)+0.5*LN('Ecoinvent 3.10'!$E$33)^2)</f>
        <v>0.25792578133829858</v>
      </c>
      <c r="HS315" s="224">
        <f>EXP(LN(HS64)+0.5*LN('Ecoinvent 3.10'!$E$33)^2)</f>
        <v>0.42071193758783915</v>
      </c>
      <c r="HT315" s="50">
        <f>EXP(LN(HT64)+0.5*LN('Ecoinvent 3.10'!$E$33)^2)</f>
        <v>0.34435173332893848</v>
      </c>
      <c r="HU315" s="224">
        <f>EXP(LN(HU64)+0.5*LN('Ecoinvent 3.10'!$E$33)^2)</f>
        <v>0.13329027984246816</v>
      </c>
      <c r="HV315" s="224">
        <f>EXP(LN(HV64)+0.5*LN('Ecoinvent 3.10'!$E$33)^2)</f>
        <v>9.657751555464765E-2</v>
      </c>
      <c r="HY315" s="151" t="s">
        <v>505</v>
      </c>
      <c r="HZ315" s="224">
        <f>EXP(LN(HZ64)+0.5*LN('Ecoinvent 3.10'!$E$33)^2)</f>
        <v>3.4412222230916574E-4</v>
      </c>
      <c r="IA315" s="224">
        <f>EXP(LN(IA64)+0.5*LN('Ecoinvent 3.10'!$E$33)^2)</f>
        <v>2.8329439315506408E-4</v>
      </c>
      <c r="IB315" s="224">
        <f>EXP(LN(IB64)+0.5*LN('Ecoinvent 3.10'!$E$33)^2)</f>
        <v>3.9189135153104468E-4</v>
      </c>
      <c r="IC315" s="224">
        <f>EXP(LN(IC64)+0.5*LN('Ecoinvent 3.10'!$E$33)^2)</f>
        <v>3.2021413097103917E-4</v>
      </c>
      <c r="ID315" s="224">
        <f>EXP(LN(ID64)+0.5*LN('Ecoinvent 3.10'!$E$33)^2)</f>
        <v>3.9405950435848888E-4</v>
      </c>
      <c r="IE315" s="224">
        <f>EXP(LN(IE64)+0.5*LN('Ecoinvent 3.10'!$E$33)^2)</f>
        <v>3.22370389539927E-4</v>
      </c>
      <c r="IF315" s="224">
        <f>EXP(LN(IF64)+0.5*LN('Ecoinvent 3.10'!$E$33)^2)</f>
        <v>3.2093810895326524E-4</v>
      </c>
      <c r="IG315" s="224">
        <f>EXP(LN(IG64)+0.5*LN('Ecoinvent 3.10'!$E$33)^2)</f>
        <v>2.6205956876267891E-4</v>
      </c>
      <c r="IH315" s="224">
        <f>EXP(LN(IH64)+0.5*LN('Ecoinvent 3.10'!$E$33)^2)</f>
        <v>2.7856433981004243E-4</v>
      </c>
      <c r="II315" s="224">
        <f>EXP(LN(II64)+0.5*LN('Ecoinvent 3.10'!$E$33)^2)</f>
        <v>2.2688425770577201E-4</v>
      </c>
      <c r="IJ315" s="224">
        <f>EXP(LN(IJ64)+0.5*LN('Ecoinvent 3.10'!$E$33)^2)</f>
        <v>5.063721539262468E-4</v>
      </c>
      <c r="IK315" s="224">
        <f>EXP(LN(IK64)+0.5*LN('Ecoinvent 3.10'!$E$33)^2)</f>
        <v>4.1174420666976363E-4</v>
      </c>
      <c r="IL315" s="224"/>
      <c r="IM315" s="224"/>
      <c r="IN315" s="224"/>
      <c r="IO315" s="224"/>
    </row>
    <row r="316" spans="2:249" ht="12.75" customHeight="1" x14ac:dyDescent="0.2">
      <c r="B316" s="248"/>
      <c r="C316" s="248"/>
      <c r="D316" s="248"/>
      <c r="E316" s="248"/>
      <c r="F316" s="248"/>
      <c r="G316" s="248"/>
      <c r="H316" s="248"/>
      <c r="I316" s="248"/>
      <c r="J316" s="248"/>
      <c r="K316" s="248"/>
      <c r="L316" s="248"/>
      <c r="M316" s="248"/>
      <c r="N316" s="248"/>
      <c r="O316" s="248"/>
      <c r="P316" s="248"/>
      <c r="Q316" s="248"/>
      <c r="R316" s="248"/>
      <c r="S316" s="248"/>
      <c r="T316" s="248"/>
      <c r="U316" s="248"/>
      <c r="V316" s="248"/>
      <c r="W316" s="248"/>
      <c r="X316" s="248"/>
      <c r="Y316" s="248"/>
      <c r="Z316" s="248"/>
      <c r="AA316" s="248"/>
      <c r="AB316" s="248"/>
      <c r="AC316" s="248"/>
      <c r="AD316" s="248"/>
      <c r="AE316" s="248"/>
      <c r="AF316" s="248"/>
      <c r="AG316" s="248"/>
      <c r="AH316" s="248"/>
      <c r="AI316" s="248"/>
      <c r="AJ316" s="248"/>
      <c r="AK316" s="248"/>
      <c r="AL316" s="248"/>
      <c r="AM316" s="248"/>
      <c r="AN316" s="94"/>
      <c r="AO316" s="248"/>
      <c r="AP316" s="726"/>
      <c r="AQ316" s="117" t="s">
        <v>446</v>
      </c>
      <c r="AR316" s="259">
        <f>AR317+AR318</f>
        <v>53.962840936520209</v>
      </c>
      <c r="AS316" s="57">
        <f t="shared" ref="AS316:BC316" si="3127">AS317+AS318</f>
        <v>45.232713037058005</v>
      </c>
      <c r="AT316" s="259">
        <f t="shared" si="3127"/>
        <v>62.895560931530852</v>
      </c>
      <c r="AU316" s="57">
        <f t="shared" si="3127"/>
        <v>51.427077251275897</v>
      </c>
      <c r="AV316" s="259">
        <f t="shared" si="3127"/>
        <v>61.811283344473679</v>
      </c>
      <c r="AW316" s="57">
        <f t="shared" si="3127"/>
        <v>50.675188656615276</v>
      </c>
      <c r="AX316" s="259">
        <f t="shared" si="3127"/>
        <v>55.813096011948147</v>
      </c>
      <c r="AY316" s="57">
        <f t="shared" si="3127"/>
        <v>46.494620873280297</v>
      </c>
      <c r="AZ316" s="259">
        <f t="shared" si="3127"/>
        <v>52.825075969317609</v>
      </c>
      <c r="BA316" s="57">
        <f t="shared" si="3127"/>
        <v>44.409092230871877</v>
      </c>
      <c r="BB316" s="259">
        <f t="shared" si="3127"/>
        <v>76.254051279791952</v>
      </c>
      <c r="BC316" s="57">
        <f t="shared" si="3127"/>
        <v>60.702544468577273</v>
      </c>
      <c r="BD316" s="259">
        <f t="shared" ref="BD316:BG316" si="3128">BD317+BD318</f>
        <v>87.664506617688772</v>
      </c>
      <c r="BE316" s="57">
        <f t="shared" si="3128"/>
        <v>69.820243207384891</v>
      </c>
      <c r="BF316" s="259">
        <f t="shared" si="3128"/>
        <v>42.685349487728317</v>
      </c>
      <c r="BG316" s="57">
        <f t="shared" si="3128"/>
        <v>30.347348792805043</v>
      </c>
      <c r="BI316" s="156"/>
      <c r="BJ316" s="117" t="s">
        <v>446</v>
      </c>
      <c r="BK316" s="259">
        <f>BK317+BK318</f>
        <v>7.5564150222069486</v>
      </c>
      <c r="BL316" s="57">
        <f t="shared" ref="BL316:BZ316" si="3129">BL317+BL318</f>
        <v>6.1892826072245803</v>
      </c>
      <c r="BM316" s="259">
        <f t="shared" si="3129"/>
        <v>8.972955225002341</v>
      </c>
      <c r="BN316" s="57">
        <f t="shared" si="3129"/>
        <v>7.1769578975440025</v>
      </c>
      <c r="BO316" s="259">
        <f t="shared" si="3129"/>
        <v>8.8010117638937011</v>
      </c>
      <c r="BP316" s="57">
        <f t="shared" si="3129"/>
        <v>7.0570712134005724</v>
      </c>
      <c r="BQ316" s="259">
        <f t="shared" si="3129"/>
        <v>7.8526305980038682</v>
      </c>
      <c r="BR316" s="57">
        <f t="shared" si="3129"/>
        <v>6.3933267138544192</v>
      </c>
      <c r="BS316" s="259">
        <f t="shared" si="3129"/>
        <v>7.3805838043228178</v>
      </c>
      <c r="BT316" s="57">
        <f t="shared" si="3129"/>
        <v>6.0626048300409652</v>
      </c>
      <c r="BU316" s="259">
        <f t="shared" si="3129"/>
        <v>11.089728444740079</v>
      </c>
      <c r="BV316" s="57">
        <f t="shared" si="3129"/>
        <v>8.6542884463368281</v>
      </c>
      <c r="BW316" s="259">
        <f t="shared" si="3129"/>
        <v>12.744531530397643</v>
      </c>
      <c r="BX316" s="57">
        <f t="shared" si="3129"/>
        <v>9.9501045956842358</v>
      </c>
      <c r="BY316" s="259">
        <f t="shared" si="3129"/>
        <v>6.8549931741412324</v>
      </c>
      <c r="BZ316" s="57">
        <f t="shared" si="3129"/>
        <v>4.942455181516431</v>
      </c>
      <c r="CA316" s="156"/>
      <c r="CB316" s="156"/>
      <c r="CC316" s="117" t="s">
        <v>446</v>
      </c>
      <c r="CD316" s="259">
        <f>CD317+CD318</f>
        <v>31.392850141106521</v>
      </c>
      <c r="CE316" s="57">
        <f t="shared" ref="CE316:CS316" si="3130">CE317+CE318</f>
        <v>26.114036888189876</v>
      </c>
      <c r="CF316" s="259">
        <f t="shared" si="3130"/>
        <v>36.818619617833221</v>
      </c>
      <c r="CG316" s="57">
        <f t="shared" si="3130"/>
        <v>29.883959641718086</v>
      </c>
      <c r="CH316" s="259">
        <f t="shared" si="3130"/>
        <v>36.160025120363279</v>
      </c>
      <c r="CI316" s="57">
        <f t="shared" si="3130"/>
        <v>29.426356274673026</v>
      </c>
      <c r="CJ316" s="259">
        <f t="shared" si="3130"/>
        <v>32.520580981164727</v>
      </c>
      <c r="CK316" s="57">
        <f t="shared" si="3130"/>
        <v>26.88596332210404</v>
      </c>
      <c r="CL316" s="259">
        <f t="shared" si="3130"/>
        <v>30.708121359987807</v>
      </c>
      <c r="CM316" s="57">
        <f t="shared" si="3130"/>
        <v>25.619203296077313</v>
      </c>
      <c r="CN316" s="259">
        <f t="shared" si="3130"/>
        <v>44.930406002938071</v>
      </c>
      <c r="CO316" s="57">
        <f t="shared" si="3130"/>
        <v>35.526819268476807</v>
      </c>
      <c r="CP316" s="259">
        <f t="shared" si="3130"/>
        <v>51.647263472458732</v>
      </c>
      <c r="CQ316" s="57">
        <f t="shared" si="3130"/>
        <v>40.85740353300227</v>
      </c>
      <c r="CR316" s="259">
        <f t="shared" si="3130"/>
        <v>26.046196261049943</v>
      </c>
      <c r="CS316" s="57">
        <f t="shared" si="3130"/>
        <v>18.612911894012548</v>
      </c>
      <c r="CV316" s="117" t="s">
        <v>446</v>
      </c>
      <c r="CW316" s="259">
        <f>CW317+CW318</f>
        <v>1.7980867966935397E-2</v>
      </c>
      <c r="CX316" s="57">
        <f t="shared" ref="CX316:DL316" si="3131">CX317+CX318</f>
        <v>1.5592967671398316E-2</v>
      </c>
      <c r="CY316" s="259">
        <f t="shared" si="3131"/>
        <v>2.0360490137568844E-2</v>
      </c>
      <c r="CZ316" s="57">
        <f t="shared" si="3131"/>
        <v>1.7223728219874297E-2</v>
      </c>
      <c r="DA316" s="259">
        <f t="shared" si="3131"/>
        <v>2.0071645195969507E-2</v>
      </c>
      <c r="DB316" s="57">
        <f t="shared" si="3131"/>
        <v>1.7025782116833209E-2</v>
      </c>
      <c r="DC316" s="259">
        <f t="shared" si="3131"/>
        <v>1.8463663305488976E-2</v>
      </c>
      <c r="DD316" s="57">
        <f t="shared" si="3131"/>
        <v>1.5914967954032959E-2</v>
      </c>
      <c r="DE316" s="259">
        <f t="shared" si="3131"/>
        <v>1.7661225610519277E-2</v>
      </c>
      <c r="DF316" s="57">
        <f t="shared" si="3131"/>
        <v>1.5359400195337082E-2</v>
      </c>
      <c r="DG316" s="259">
        <f t="shared" si="3131"/>
        <v>2.3924875422221631E-2</v>
      </c>
      <c r="DH316" s="57">
        <f t="shared" si="3131"/>
        <v>1.9671466353952071E-2</v>
      </c>
      <c r="DI316" s="259">
        <f t="shared" si="3131"/>
        <v>2.7521625168015228E-2</v>
      </c>
      <c r="DJ316" s="57">
        <f t="shared" si="3131"/>
        <v>2.2640885634939913E-2</v>
      </c>
      <c r="DK316" s="259">
        <f t="shared" si="3131"/>
        <v>1.1061335353344467E-2</v>
      </c>
      <c r="DL316" s="57">
        <f t="shared" si="3131"/>
        <v>7.6160482824482864E-3</v>
      </c>
      <c r="DO316" s="117" t="s">
        <v>446</v>
      </c>
      <c r="DP316" s="259">
        <f>DP317+DP318</f>
        <v>4.5687092464178847E-2</v>
      </c>
      <c r="DQ316" s="57">
        <f t="shared" ref="DQ316:EE316" si="3132">DQ317+DQ318</f>
        <v>3.7531439511913414E-2</v>
      </c>
      <c r="DR316" s="259">
        <f t="shared" si="3132"/>
        <v>5.4125441885453186E-2</v>
      </c>
      <c r="DS316" s="57">
        <f t="shared" si="3132"/>
        <v>4.3411414961986028E-2</v>
      </c>
      <c r="DT316" s="259">
        <f t="shared" si="3132"/>
        <v>5.3101172328772241E-2</v>
      </c>
      <c r="DU316" s="57">
        <f t="shared" si="3132"/>
        <v>4.2697687721400722E-2</v>
      </c>
      <c r="DV316" s="259">
        <f t="shared" si="3132"/>
        <v>4.7449766013093711E-2</v>
      </c>
      <c r="DW316" s="57">
        <f t="shared" si="3132"/>
        <v>3.8744287490487556E-2</v>
      </c>
      <c r="DX316" s="259">
        <f t="shared" si="3132"/>
        <v>4.4636572566393765E-2</v>
      </c>
      <c r="DY316" s="57">
        <f t="shared" si="3132"/>
        <v>3.6774173506306414E-2</v>
      </c>
      <c r="DZ316" s="259">
        <f t="shared" si="3132"/>
        <v>6.6736165740001657E-2</v>
      </c>
      <c r="EA316" s="57">
        <f t="shared" si="3132"/>
        <v>5.2207561980529241E-2</v>
      </c>
      <c r="EB316" s="259">
        <f t="shared" si="3132"/>
        <v>7.6697899151401933E-2</v>
      </c>
      <c r="EC316" s="57">
        <f t="shared" si="3132"/>
        <v>6.0027713362657317E-2</v>
      </c>
      <c r="ED316" s="259">
        <f t="shared" si="3132"/>
        <v>4.0777428230294635E-2</v>
      </c>
      <c r="EE316" s="57">
        <f t="shared" si="3132"/>
        <v>2.9354805456248845E-2</v>
      </c>
      <c r="EH316" s="117" t="s">
        <v>446</v>
      </c>
      <c r="EI316" s="259">
        <f>EI317+EI318</f>
        <v>7.4474249425327821E-2</v>
      </c>
      <c r="EJ316" s="57">
        <f t="shared" ref="EJ316:EX316" si="3133">EJ317+EJ318</f>
        <v>6.5036777740613033E-2</v>
      </c>
      <c r="EK316" s="259">
        <f t="shared" si="3133"/>
        <v>8.3811566012480174E-2</v>
      </c>
      <c r="EL316" s="57">
        <f t="shared" si="3133"/>
        <v>7.1414592779726005E-2</v>
      </c>
      <c r="EM316" s="259">
        <f t="shared" si="3133"/>
        <v>8.2678177402475461E-2</v>
      </c>
      <c r="EN316" s="57">
        <f t="shared" si="3133"/>
        <v>7.0640436430353254E-2</v>
      </c>
      <c r="EO316" s="259">
        <f t="shared" si="3133"/>
        <v>7.6357691484232743E-2</v>
      </c>
      <c r="EP316" s="57">
        <f t="shared" si="3133"/>
        <v>6.6284864619259892E-2</v>
      </c>
      <c r="EQ316" s="259">
        <f t="shared" si="3133"/>
        <v>7.3202024839516683E-2</v>
      </c>
      <c r="ER316" s="57">
        <f t="shared" si="3133"/>
        <v>6.4104896376034823E-2</v>
      </c>
      <c r="ES316" s="259">
        <f t="shared" si="3133"/>
        <v>9.7804000656955173E-2</v>
      </c>
      <c r="ET316" s="57">
        <f t="shared" si="3133"/>
        <v>8.099397621464792E-2</v>
      </c>
      <c r="EU316" s="259">
        <f t="shared" si="3133"/>
        <v>0.11252278978366413</v>
      </c>
      <c r="EV316" s="57">
        <f t="shared" si="3133"/>
        <v>9.3233208254648342E-2</v>
      </c>
      <c r="EW316" s="259">
        <f t="shared" si="3133"/>
        <v>4.3066406784730102E-2</v>
      </c>
      <c r="EX316" s="57">
        <f t="shared" si="3133"/>
        <v>2.9375229567963901E-2</v>
      </c>
      <c r="FA316" s="117" t="s">
        <v>446</v>
      </c>
      <c r="FB316" s="259">
        <f>FB317+FB318</f>
        <v>4.3617833471510442E-3</v>
      </c>
      <c r="FC316" s="57">
        <f t="shared" ref="FC316:FQ316" si="3134">FC317+FC318</f>
        <v>3.8212987306591359E-3</v>
      </c>
      <c r="FD316" s="259">
        <f t="shared" si="3134"/>
        <v>4.8946209937450642E-3</v>
      </c>
      <c r="FE316" s="57">
        <f t="shared" si="3134"/>
        <v>4.1846498716500103E-3</v>
      </c>
      <c r="FF316" s="259">
        <f t="shared" si="3134"/>
        <v>4.8299437265672211E-3</v>
      </c>
      <c r="FG316" s="57">
        <f t="shared" si="3134"/>
        <v>4.140545332536715E-3</v>
      </c>
      <c r="FH316" s="259">
        <f t="shared" si="3134"/>
        <v>4.4689492582658304E-3</v>
      </c>
      <c r="FI316" s="57">
        <f t="shared" si="3134"/>
        <v>3.8920817726249132E-3</v>
      </c>
      <c r="FJ316" s="259">
        <f t="shared" si="3134"/>
        <v>4.288669832886261E-3</v>
      </c>
      <c r="FK316" s="57">
        <f t="shared" si="3134"/>
        <v>3.7676811620698416E-3</v>
      </c>
      <c r="FL316" s="259">
        <f t="shared" si="3134"/>
        <v>5.6932836723226242E-3</v>
      </c>
      <c r="FM316" s="57">
        <f t="shared" si="3134"/>
        <v>4.7305815627226204E-3</v>
      </c>
      <c r="FN316" s="259">
        <f t="shared" si="3134"/>
        <v>6.5505035514026406E-3</v>
      </c>
      <c r="FO316" s="57">
        <f t="shared" si="3134"/>
        <v>5.4457908562923884E-3</v>
      </c>
      <c r="FP316" s="259">
        <f t="shared" si="3134"/>
        <v>2.4479887217809847E-3</v>
      </c>
      <c r="FQ316" s="57">
        <f t="shared" si="3134"/>
        <v>1.6617773562692436E-3</v>
      </c>
      <c r="FT316" s="117" t="s">
        <v>446</v>
      </c>
      <c r="FU316" s="259">
        <f>FU317+FU318</f>
        <v>0.17340064562165114</v>
      </c>
      <c r="FV316" s="57">
        <f t="shared" ref="FV316:GJ316" si="3135">FV317+FV318</f>
        <v>0.15060751255419291</v>
      </c>
      <c r="FW316" s="259">
        <f t="shared" si="3135"/>
        <v>0.19607978752344127</v>
      </c>
      <c r="FX316" s="57">
        <f t="shared" si="3135"/>
        <v>0.16613865377902351</v>
      </c>
      <c r="FY316" s="259">
        <f t="shared" si="3135"/>
        <v>0.19332693225969907</v>
      </c>
      <c r="FZ316" s="57">
        <f t="shared" si="3135"/>
        <v>0.16425344206961029</v>
      </c>
      <c r="GA316" s="259">
        <f t="shared" si="3135"/>
        <v>0.17799626232279683</v>
      </c>
      <c r="GB316" s="57">
        <f t="shared" si="3135"/>
        <v>0.15366837090931046</v>
      </c>
      <c r="GC316" s="259">
        <f t="shared" si="3135"/>
        <v>0.17034494322937241</v>
      </c>
      <c r="GD316" s="57">
        <f t="shared" si="3135"/>
        <v>0.1483734991695391</v>
      </c>
      <c r="GE316" s="259">
        <f t="shared" si="3135"/>
        <v>0.23005364067131934</v>
      </c>
      <c r="GF316" s="57">
        <f t="shared" si="3135"/>
        <v>0.18945390450783015</v>
      </c>
      <c r="GG316" s="259">
        <f t="shared" si="3135"/>
        <v>0.26464678115072843</v>
      </c>
      <c r="GH316" s="57">
        <f t="shared" si="3135"/>
        <v>0.21805889828896741</v>
      </c>
      <c r="GI316" s="259">
        <f t="shared" si="3135"/>
        <v>0.10524610768150246</v>
      </c>
      <c r="GJ316" s="57">
        <f t="shared" si="3135"/>
        <v>7.2321202869208082E-2</v>
      </c>
      <c r="GM316" s="117" t="s">
        <v>446</v>
      </c>
      <c r="GN316" s="259">
        <f>GN317+GN318</f>
        <v>0.76766963672989208</v>
      </c>
      <c r="GO316" s="57">
        <f t="shared" ref="GO316:HC316" si="3136">GO317+GO318</f>
        <v>0.65039482957301376</v>
      </c>
      <c r="GP316" s="259">
        <f t="shared" si="3136"/>
        <v>0.88682016442358191</v>
      </c>
      <c r="GQ316" s="57">
        <f t="shared" si="3136"/>
        <v>0.7327620042015891</v>
      </c>
      <c r="GR316" s="259">
        <f t="shared" si="3136"/>
        <v>0.87235735278989568</v>
      </c>
      <c r="GS316" s="57">
        <f t="shared" si="3136"/>
        <v>0.72276405493094464</v>
      </c>
      <c r="GT316" s="259">
        <f t="shared" si="3136"/>
        <v>0.79221542654537846</v>
      </c>
      <c r="GU316" s="57">
        <f t="shared" si="3136"/>
        <v>0.66703890280747558</v>
      </c>
      <c r="GV316" s="259">
        <f t="shared" si="3136"/>
        <v>0.75227362394526698</v>
      </c>
      <c r="GW316" s="57">
        <f t="shared" si="3136"/>
        <v>0.63922080026533656</v>
      </c>
      <c r="GX316" s="259">
        <f t="shared" si="3136"/>
        <v>1.0650810963560211</v>
      </c>
      <c r="GY316" s="57">
        <f t="shared" si="3136"/>
        <v>0.85617638236851468</v>
      </c>
      <c r="GZ316" s="259">
        <f t="shared" si="3136"/>
        <v>1.2246787116696778</v>
      </c>
      <c r="HA316" s="57">
        <f t="shared" si="3136"/>
        <v>0.98497187117071627</v>
      </c>
      <c r="HB316" s="259">
        <f t="shared" si="3136"/>
        <v>0.56525181843921712</v>
      </c>
      <c r="HC316" s="57">
        <f t="shared" si="3136"/>
        <v>0.39857442391760078</v>
      </c>
      <c r="HF316" s="117" t="s">
        <v>446</v>
      </c>
      <c r="HG316" s="259">
        <f>HG317+HG318</f>
        <v>5.9323876692291746</v>
      </c>
      <c r="HH316" s="57">
        <f t="shared" ref="HH316:HV316" si="3137">HH317+HH318</f>
        <v>5.1836503155994667</v>
      </c>
      <c r="HI316" s="259">
        <f t="shared" si="3137"/>
        <v>6.6727073953470022</v>
      </c>
      <c r="HJ316" s="57">
        <f t="shared" si="3137"/>
        <v>5.6891741851815878</v>
      </c>
      <c r="HK316" s="259">
        <f t="shared" si="3137"/>
        <v>6.5828453951125603</v>
      </c>
      <c r="HL316" s="57">
        <f t="shared" si="3137"/>
        <v>5.6278123377469358</v>
      </c>
      <c r="HM316" s="259">
        <f t="shared" si="3137"/>
        <v>6.0816411467562563</v>
      </c>
      <c r="HN316" s="57">
        <f t="shared" si="3137"/>
        <v>5.2824978220233847</v>
      </c>
      <c r="HO316" s="259">
        <f t="shared" si="3137"/>
        <v>5.8313911643656837</v>
      </c>
      <c r="HP316" s="57">
        <f t="shared" si="3137"/>
        <v>5.1096566030550052</v>
      </c>
      <c r="HQ316" s="259">
        <f t="shared" si="3137"/>
        <v>7.7821575813058868</v>
      </c>
      <c r="HR316" s="57">
        <f t="shared" si="3137"/>
        <v>6.4485088582615688</v>
      </c>
      <c r="HS316" s="259">
        <f t="shared" si="3137"/>
        <v>8.9534197639031223</v>
      </c>
      <c r="HT316" s="57">
        <f t="shared" si="3137"/>
        <v>7.4230497694094604</v>
      </c>
      <c r="HU316" s="259">
        <f t="shared" si="3137"/>
        <v>3.4121964235368631</v>
      </c>
      <c r="HV316" s="57">
        <f t="shared" si="3137"/>
        <v>2.3254619192607344</v>
      </c>
      <c r="HY316" s="117" t="s">
        <v>446</v>
      </c>
      <c r="HZ316" s="259">
        <f>HZ317+HZ318</f>
        <v>7.3785806082200785E-3</v>
      </c>
      <c r="IA316" s="57">
        <f t="shared" ref="IA316:IK316" si="3138">IA317+IA318</f>
        <v>6.4007342051649804E-3</v>
      </c>
      <c r="IB316" s="259">
        <f t="shared" si="3138"/>
        <v>8.3527324536990608E-3</v>
      </c>
      <c r="IC316" s="57">
        <f t="shared" si="3138"/>
        <v>7.0682275219225814E-3</v>
      </c>
      <c r="ID316" s="259">
        <f t="shared" si="3138"/>
        <v>8.2344872816760683E-3</v>
      </c>
      <c r="IE316" s="57">
        <f t="shared" si="3138"/>
        <v>6.9872053872004625E-3</v>
      </c>
      <c r="IF316" s="259">
        <f t="shared" si="3138"/>
        <v>7.5761741249980195E-3</v>
      </c>
      <c r="IG316" s="57">
        <f t="shared" si="3138"/>
        <v>6.532482695404576E-3</v>
      </c>
      <c r="IH316" s="259">
        <f t="shared" si="3138"/>
        <v>7.2476465448765761E-3</v>
      </c>
      <c r="II316" s="57">
        <f t="shared" si="3138"/>
        <v>6.3050485619036726E-3</v>
      </c>
      <c r="IJ316" s="259">
        <f t="shared" si="3138"/>
        <v>9.8119220348078084E-3</v>
      </c>
      <c r="IK316" s="57">
        <f t="shared" si="3138"/>
        <v>8.0701502746939879E-3</v>
      </c>
      <c r="IL316" s="259"/>
      <c r="IM316" s="259"/>
      <c r="IN316" s="259"/>
      <c r="IO316" s="259"/>
    </row>
    <row r="317" spans="2:249" ht="12.75" customHeight="1" x14ac:dyDescent="0.2">
      <c r="B317" s="248"/>
      <c r="C317" s="248"/>
      <c r="D317" s="248"/>
      <c r="E317" s="248"/>
      <c r="F317" s="248"/>
      <c r="G317" s="248"/>
      <c r="H317" s="248"/>
      <c r="I317" s="248"/>
      <c r="J317" s="248"/>
      <c r="K317" s="248"/>
      <c r="L317" s="248"/>
      <c r="M317" s="248"/>
      <c r="N317" s="248"/>
      <c r="O317" s="248"/>
      <c r="P317" s="248"/>
      <c r="Q317" s="248"/>
      <c r="R317" s="248"/>
      <c r="S317" s="248"/>
      <c r="T317" s="248"/>
      <c r="U317" s="248"/>
      <c r="V317" s="248"/>
      <c r="W317" s="248"/>
      <c r="X317" s="248"/>
      <c r="Y317" s="248"/>
      <c r="Z317" s="248"/>
      <c r="AA317" s="248"/>
      <c r="AB317" s="248"/>
      <c r="AC317" s="248"/>
      <c r="AD317" s="248"/>
      <c r="AE317" s="248"/>
      <c r="AF317" s="248"/>
      <c r="AG317" s="248"/>
      <c r="AH317" s="248"/>
      <c r="AI317" s="248"/>
      <c r="AJ317" s="248"/>
      <c r="AK317" s="248"/>
      <c r="AL317" s="248"/>
      <c r="AM317" s="248"/>
      <c r="AN317" s="94"/>
      <c r="AO317" s="248"/>
      <c r="AP317" s="726"/>
      <c r="AQ317" s="123" t="s">
        <v>431</v>
      </c>
      <c r="AR317" s="224">
        <f>EXP(LN(AR66)+0.5*LN('Ecoinvent 3.10'!$E$34)^2)</f>
        <v>41.334681254947604</v>
      </c>
      <c r="AS317" s="50">
        <f>EXP(LN(AS66)+0.5*LN('Ecoinvent 3.10'!$E$34)^2)</f>
        <v>36.282018614591124</v>
      </c>
      <c r="AT317" s="224">
        <f>EXP(LN(AT66)+0.5*LN('Ecoinvent 3.10'!$E$34)^2)</f>
        <v>46.304802127116687</v>
      </c>
      <c r="AU317" s="50">
        <f>EXP(LN(AU66)+0.5*LN('Ecoinvent 3.10'!$E$34)^2)</f>
        <v>39.667738120344808</v>
      </c>
      <c r="AV317" s="224">
        <f>EXP(LN(AV66)+0.5*LN('Ecoinvent 3.10'!$E$34)^2)</f>
        <v>45.701515483220099</v>
      </c>
      <c r="AW317" s="50">
        <f>EXP(LN(AW66)+0.5*LN('Ecoinvent 3.10'!$E$34)^2)</f>
        <v>39.256770377238411</v>
      </c>
      <c r="AX317" s="224">
        <f>EXP(LN(AX66)+0.5*LN('Ecoinvent 3.10'!$E$34)^2)</f>
        <v>42.332467220772273</v>
      </c>
      <c r="AY317" s="50">
        <f>EXP(LN(AY66)+0.5*LN('Ecoinvent 3.10'!$E$34)^2)</f>
        <v>36.939706145000734</v>
      </c>
      <c r="AZ317" s="224">
        <f>EXP(LN(AZ66)+0.5*LN('Ecoinvent 3.10'!$E$34)^2)</f>
        <v>40.649723125383879</v>
      </c>
      <c r="BA317" s="50">
        <f>EXP(LN(BA66)+0.5*LN('Ecoinvent 3.10'!$E$34)^2)</f>
        <v>35.77934208993981</v>
      </c>
      <c r="BB317" s="224">
        <f>EXP(LN(BB66)+0.5*LN('Ecoinvent 3.10'!$E$34)^2)</f>
        <v>53.755483269478127</v>
      </c>
      <c r="BC317" s="50">
        <f>EXP(LN(BC66)+0.5*LN('Ecoinvent 3.10'!$E$34)^2)</f>
        <v>44.755818082367249</v>
      </c>
      <c r="BD317" s="224">
        <f>EXP(LN(BD66)+0.5*LN('Ecoinvent 3.10'!$E$34)^2)</f>
        <v>61.85168063347983</v>
      </c>
      <c r="BE317" s="50">
        <f>EXP(LN(BE66)+0.5*LN('Ecoinvent 3.10'!$E$34)^2)</f>
        <v>51.524408866446699</v>
      </c>
      <c r="BF317" s="224">
        <f>EXP(LN(BF66)+0.5*LN('Ecoinvent 3.10'!$E$34)^2)</f>
        <v>22.778166378758872</v>
      </c>
      <c r="BG317" s="50">
        <f>EXP(LN(BG66)+0.5*LN('Ecoinvent 3.10'!$E$34)^2)</f>
        <v>15.416108856150601</v>
      </c>
      <c r="BI317" s="156"/>
      <c r="BJ317" s="123" t="s">
        <v>431</v>
      </c>
      <c r="BK317" s="224">
        <f>EXP(LN(BK66)+0.5*LN('Ecoinvent 3.10'!$E$34)^2)</f>
        <v>4.932026583456433</v>
      </c>
      <c r="BL317" s="50">
        <f>EXP(LN(BL66)+0.5*LN('Ecoinvent 3.10'!$E$34)^2)</f>
        <v>4.329146249003812</v>
      </c>
      <c r="BM317" s="224">
        <f>EXP(LN(BM66)+0.5*LN('Ecoinvent 3.10'!$E$34)^2)</f>
        <v>5.5250580892115551</v>
      </c>
      <c r="BN317" s="50">
        <f>EXP(LN(BN66)+0.5*LN('Ecoinvent 3.10'!$E$34)^2)</f>
        <v>4.7331280410372383</v>
      </c>
      <c r="BO317" s="224">
        <f>EXP(LN(BO66)+0.5*LN('Ecoinvent 3.10'!$E$34)^2)</f>
        <v>5.4530743294532531</v>
      </c>
      <c r="BP317" s="50">
        <f>EXP(LN(BP66)+0.5*LN('Ecoinvent 3.10'!$E$34)^2)</f>
        <v>4.6840916441809952</v>
      </c>
      <c r="BQ317" s="224">
        <f>EXP(LN(BQ66)+0.5*LN('Ecoinvent 3.10'!$E$34)^2)</f>
        <v>5.0510817390458564</v>
      </c>
      <c r="BR317" s="50">
        <f>EXP(LN(BR66)+0.5*LN('Ecoinvent 3.10'!$E$34)^2)</f>
        <v>4.4076210862374916</v>
      </c>
      <c r="BS317" s="224">
        <f>EXP(LN(BS66)+0.5*LN('Ecoinvent 3.10'!$E$34)^2)</f>
        <v>4.8502978365301823</v>
      </c>
      <c r="BT317" s="50">
        <f>EXP(LN(BT66)+0.5*LN('Ecoinvent 3.10'!$E$34)^2)</f>
        <v>4.2691672215336762</v>
      </c>
      <c r="BU317" s="224">
        <f>EXP(LN(BU66)+0.5*LN('Ecoinvent 3.10'!$E$34)^2)</f>
        <v>6.41406839105308</v>
      </c>
      <c r="BV317" s="50">
        <f>EXP(LN(BV66)+0.5*LN('Ecoinvent 3.10'!$E$34)^2)</f>
        <v>5.3402343466759907</v>
      </c>
      <c r="BW317" s="224">
        <f>EXP(LN(BW66)+0.5*LN('Ecoinvent 3.10'!$E$34)^2)</f>
        <v>7.3801012576882048</v>
      </c>
      <c r="BX317" s="50">
        <f>EXP(LN(BX66)+0.5*LN('Ecoinvent 3.10'!$E$34)^2)</f>
        <v>6.1478580821468496</v>
      </c>
      <c r="BY317" s="224">
        <f>EXP(LN(BY66)+0.5*LN('Ecoinvent 3.10'!$E$34)^2)</f>
        <v>2.7178756117536382</v>
      </c>
      <c r="BZ317" s="50">
        <f>EXP(LN(BZ66)+0.5*LN('Ecoinvent 3.10'!$E$34)^2)</f>
        <v>1.8394398210798371</v>
      </c>
      <c r="CA317" s="156"/>
      <c r="CB317" s="156"/>
      <c r="CC317" s="123" t="s">
        <v>431</v>
      </c>
      <c r="CD317" s="224">
        <f>EXP(LN(CD66)+0.5*LN('Ecoinvent 3.10'!$E$34)^2)</f>
        <v>22.862415076351855</v>
      </c>
      <c r="CE317" s="50">
        <f>EXP(LN(CE66)+0.5*LN('Ecoinvent 3.10'!$E$34)^2)</f>
        <v>20.067762571059365</v>
      </c>
      <c r="CF317" s="224">
        <f>EXP(LN(CF66)+0.5*LN('Ecoinvent 3.10'!$E$34)^2)</f>
        <v>25.611413324537658</v>
      </c>
      <c r="CG317" s="50">
        <f>EXP(LN(CG66)+0.5*LN('Ecoinvent 3.10'!$E$34)^2)</f>
        <v>21.940420647099977</v>
      </c>
      <c r="CH317" s="224">
        <f>EXP(LN(CH66)+0.5*LN('Ecoinvent 3.10'!$E$34)^2)</f>
        <v>25.277732520814702</v>
      </c>
      <c r="CI317" s="50">
        <f>EXP(LN(CI66)+0.5*LN('Ecoinvent 3.10'!$E$34)^2)</f>
        <v>21.71311237132209</v>
      </c>
      <c r="CJ317" s="224">
        <f>EXP(LN(CJ66)+0.5*LN('Ecoinvent 3.10'!$E$34)^2)</f>
        <v>23.4142953912705</v>
      </c>
      <c r="CK317" s="50">
        <f>EXP(LN(CK66)+0.5*LN('Ecoinvent 3.10'!$E$34)^2)</f>
        <v>20.431532772117006</v>
      </c>
      <c r="CL317" s="224">
        <f>EXP(LN(CL66)+0.5*LN('Ecoinvent 3.10'!$E$34)^2)</f>
        <v>22.483561373055593</v>
      </c>
      <c r="CM317" s="50">
        <f>EXP(LN(CM66)+0.5*LN('Ecoinvent 3.10'!$E$34)^2)</f>
        <v>19.789729718094261</v>
      </c>
      <c r="CN317" s="224">
        <f>EXP(LN(CN66)+0.5*LN('Ecoinvent 3.10'!$E$34)^2)</f>
        <v>29.732421632974184</v>
      </c>
      <c r="CO317" s="50">
        <f>EXP(LN(CO66)+0.5*LN('Ecoinvent 3.10'!$E$34)^2)</f>
        <v>24.754662646837218</v>
      </c>
      <c r="CP317" s="224">
        <f>EXP(LN(CP66)+0.5*LN('Ecoinvent 3.10'!$E$34)^2)</f>
        <v>34.210468131850149</v>
      </c>
      <c r="CQ317" s="50">
        <f>EXP(LN(CQ66)+0.5*LN('Ecoinvent 3.10'!$E$34)^2)</f>
        <v>28.498403430348684</v>
      </c>
      <c r="CR317" s="224">
        <f>EXP(LN(CR66)+0.5*LN('Ecoinvent 3.10'!$E$34)^2)</f>
        <v>12.598715621329596</v>
      </c>
      <c r="CS317" s="50">
        <f>EXP(LN(CS66)+0.5*LN('Ecoinvent 3.10'!$E$34)^2)</f>
        <v>8.526725471951039</v>
      </c>
      <c r="CV317" s="123" t="s">
        <v>431</v>
      </c>
      <c r="CW317" s="224">
        <f>EXP(LN(CW66)+0.5*LN('Ecoinvent 3.10'!$E$34)^2)</f>
        <v>1.6856683042695948E-2</v>
      </c>
      <c r="CX317" s="50">
        <f>EXP(LN(CX66)+0.5*LN('Ecoinvent 3.10'!$E$34)^2)</f>
        <v>1.4796158319526206E-2</v>
      </c>
      <c r="CY317" s="224">
        <f>EXP(LN(CY66)+0.5*LN('Ecoinvent 3.10'!$E$34)^2)</f>
        <v>1.8883546433979829E-2</v>
      </c>
      <c r="CZ317" s="50">
        <f>EXP(LN(CZ66)+0.5*LN('Ecoinvent 3.10'!$E$34)^2)</f>
        <v>1.6176887500137255E-2</v>
      </c>
      <c r="DA317" s="224">
        <f>EXP(LN(DA66)+0.5*LN('Ecoinvent 3.10'!$E$34)^2)</f>
        <v>1.8637520302138329E-2</v>
      </c>
      <c r="DB317" s="50">
        <f>EXP(LN(DB66)+0.5*LN('Ecoinvent 3.10'!$E$34)^2)</f>
        <v>1.6009290877253231E-2</v>
      </c>
      <c r="DC317" s="224">
        <f>EXP(LN(DC66)+0.5*LN('Ecoinvent 3.10'!$E$34)^2)</f>
        <v>1.7263589815887603E-2</v>
      </c>
      <c r="DD317" s="50">
        <f>EXP(LN(DD66)+0.5*LN('Ecoinvent 3.10'!$E$34)^2)</f>
        <v>1.5064369659366184E-2</v>
      </c>
      <c r="DE317" s="224">
        <f>EXP(LN(DE66)+0.5*LN('Ecoinvent 3.10'!$E$34)^2)</f>
        <v>1.6577350488602722E-2</v>
      </c>
      <c r="DF317" s="50">
        <f>EXP(LN(DF66)+0.5*LN('Ecoinvent 3.10'!$E$34)^2)</f>
        <v>1.4591161967993021E-2</v>
      </c>
      <c r="DG317" s="224">
        <f>EXP(LN(DG66)+0.5*LN('Ecoinvent 3.10'!$E$34)^2)</f>
        <v>2.1922006309703326E-2</v>
      </c>
      <c r="DH317" s="50">
        <f>EXP(LN(DH66)+0.5*LN('Ecoinvent 3.10'!$E$34)^2)</f>
        <v>1.8251855749842553E-2</v>
      </c>
      <c r="DI317" s="224">
        <f>EXP(LN(DI66)+0.5*LN('Ecoinvent 3.10'!$E$34)^2)</f>
        <v>2.5223713947759713E-2</v>
      </c>
      <c r="DJ317" s="50">
        <f>EXP(LN(DJ66)+0.5*LN('Ecoinvent 3.10'!$E$34)^2)</f>
        <v>2.1012152576355105E-2</v>
      </c>
      <c r="DK317" s="224">
        <f>EXP(LN(DK66)+0.5*LN('Ecoinvent 3.10'!$E$34)^2)</f>
        <v>9.2891566907770066E-3</v>
      </c>
      <c r="DL317" s="50">
        <f>EXP(LN(DL66)+0.5*LN('Ecoinvent 3.10'!$E$34)^2)</f>
        <v>6.2868383848665521E-3</v>
      </c>
      <c r="DO317" s="123" t="s">
        <v>431</v>
      </c>
      <c r="DP317" s="224">
        <f>EXP(LN(DP66)+0.5*LN('Ecoinvent 3.10'!$E$34)^2)</f>
        <v>3.0471933060563748E-2</v>
      </c>
      <c r="DQ317" s="50">
        <f>EXP(LN(DQ66)+0.5*LN('Ecoinvent 3.10'!$E$34)^2)</f>
        <v>2.6747109423847677E-2</v>
      </c>
      <c r="DR317" s="224">
        <f>EXP(LN(DR66)+0.5*LN('Ecoinvent 3.10'!$E$34)^2)</f>
        <v>3.413590689371189E-2</v>
      </c>
      <c r="DS317" s="50">
        <f>EXP(LN(DS66)+0.5*LN('Ecoinvent 3.10'!$E$34)^2)</f>
        <v>2.9243062338177271E-2</v>
      </c>
      <c r="DT317" s="224">
        <f>EXP(LN(DT66)+0.5*LN('Ecoinvent 3.10'!$E$34)^2)</f>
        <v>3.3691163891685041E-2</v>
      </c>
      <c r="DU317" s="50">
        <f>EXP(LN(DU66)+0.5*LN('Ecoinvent 3.10'!$E$34)^2)</f>
        <v>2.8940096857912666E-2</v>
      </c>
      <c r="DV317" s="224">
        <f>EXP(LN(DV66)+0.5*LN('Ecoinvent 3.10'!$E$34)^2)</f>
        <v>3.1207501020356347E-2</v>
      </c>
      <c r="DW317" s="50">
        <f>EXP(LN(DW66)+0.5*LN('Ecoinvent 3.10'!$E$34)^2)</f>
        <v>2.7231956767360465E-2</v>
      </c>
      <c r="DX317" s="224">
        <f>EXP(LN(DX66)+0.5*LN('Ecoinvent 3.10'!$E$34)^2)</f>
        <v>2.9966981827370051E-2</v>
      </c>
      <c r="DY317" s="50">
        <f>EXP(LN(DY66)+0.5*LN('Ecoinvent 3.10'!$E$34)^2)</f>
        <v>2.6376536216428575E-2</v>
      </c>
      <c r="DZ317" s="224">
        <f>EXP(LN(DZ66)+0.5*LN('Ecoinvent 3.10'!$E$34)^2)</f>
        <v>3.9628550120480881E-2</v>
      </c>
      <c r="EA317" s="50">
        <f>EXP(LN(EA66)+0.5*LN('Ecoinvent 3.10'!$E$34)^2)</f>
        <v>3.2993995629600328E-2</v>
      </c>
      <c r="EB317" s="224">
        <f>EXP(LN(EB66)+0.5*LN('Ecoinvent 3.10'!$E$34)^2)</f>
        <v>4.5597068000159509E-2</v>
      </c>
      <c r="EC317" s="50">
        <f>EXP(LN(EC66)+0.5*LN('Ecoinvent 3.10'!$E$34)^2)</f>
        <v>3.7983801744583504E-2</v>
      </c>
      <c r="ED317" s="224">
        <f>EXP(LN(ED66)+0.5*LN('Ecoinvent 3.10'!$E$34)^2)</f>
        <v>1.6792067582542303E-2</v>
      </c>
      <c r="EE317" s="50">
        <f>EXP(LN(EE66)+0.5*LN('Ecoinvent 3.10'!$E$34)^2)</f>
        <v>1.136475770120416E-2</v>
      </c>
      <c r="EH317" s="123" t="s">
        <v>431</v>
      </c>
      <c r="EI317" s="224">
        <f>EXP(LN(EI66)+0.5*LN('Ecoinvent 3.10'!$E$34)^2)</f>
        <v>7.249820501827127E-2</v>
      </c>
      <c r="EJ317" s="50">
        <f>EXP(LN(EJ66)+0.5*LN('Ecoinvent 3.10'!$E$34)^2)</f>
        <v>6.3636180179386645E-2</v>
      </c>
      <c r="EK317" s="224">
        <f>EXP(LN(EK66)+0.5*LN('Ecoinvent 3.10'!$E$34)^2)</f>
        <v>8.1215457238837843E-2</v>
      </c>
      <c r="EL317" s="50">
        <f>EXP(LN(EL66)+0.5*LN('Ecoinvent 3.10'!$E$34)^2)</f>
        <v>6.9574500723061108E-2</v>
      </c>
      <c r="EM317" s="224">
        <f>EXP(LN(EM66)+0.5*LN('Ecoinvent 3.10'!$E$34)^2)</f>
        <v>8.0157333709972731E-2</v>
      </c>
      <c r="EN317" s="50">
        <f>EXP(LN(EN66)+0.5*LN('Ecoinvent 3.10'!$E$34)^2)</f>
        <v>6.8853691398033143E-2</v>
      </c>
      <c r="EO317" s="224">
        <f>EXP(LN(EO66)+0.5*LN('Ecoinvent 3.10'!$E$34)^2)</f>
        <v>7.4248253387304008E-2</v>
      </c>
      <c r="EP317" s="50">
        <f>EXP(LN(EP66)+0.5*LN('Ecoinvent 3.10'!$E$34)^2)</f>
        <v>6.4789719144003444E-2</v>
      </c>
      <c r="EQ317" s="224">
        <f>EXP(LN(EQ66)+0.5*LN('Ecoinvent 3.10'!$E$34)^2)</f>
        <v>7.1296835287130586E-2</v>
      </c>
      <c r="ER317" s="50">
        <f>EXP(LN(ER66)+0.5*LN('Ecoinvent 3.10'!$E$34)^2)</f>
        <v>6.2754519921327148E-2</v>
      </c>
      <c r="ES317" s="224">
        <f>EXP(LN(ES66)+0.5*LN('Ecoinvent 3.10'!$E$34)^2)</f>
        <v>9.428344258637289E-2</v>
      </c>
      <c r="ET317" s="50">
        <f>EXP(LN(ET66)+0.5*LN('Ecoinvent 3.10'!$E$34)^2)</f>
        <v>7.849864512279342E-2</v>
      </c>
      <c r="EU317" s="224">
        <f>EXP(LN(EU66)+0.5*LN('Ecoinvent 3.10'!$E$34)^2)</f>
        <v>0.10848361925505166</v>
      </c>
      <c r="EV317" s="50">
        <f>EXP(LN(EV66)+0.5*LN('Ecoinvent 3.10'!$E$34)^2)</f>
        <v>9.037029061395678E-2</v>
      </c>
      <c r="EW317" s="224">
        <f>EXP(LN(EW66)+0.5*LN('Ecoinvent 3.10'!$E$34)^2)</f>
        <v>3.995134656735478E-2</v>
      </c>
      <c r="EX317" s="50">
        <f>EXP(LN(EX66)+0.5*LN('Ecoinvent 3.10'!$E$34)^2)</f>
        <v>2.7038800989989883E-2</v>
      </c>
      <c r="FA317" s="123" t="s">
        <v>431</v>
      </c>
      <c r="FB317" s="224">
        <f>EXP(LN(FB66)+0.5*LN('Ecoinvent 3.10'!$E$34)^2)</f>
        <v>4.3185245873992193E-3</v>
      </c>
      <c r="FC317" s="50">
        <f>EXP(LN(FC66)+0.5*LN('Ecoinvent 3.10'!$E$34)^2)</f>
        <v>3.7906374190035271E-3</v>
      </c>
      <c r="FD317" s="224">
        <f>EXP(LN(FD66)+0.5*LN('Ecoinvent 3.10'!$E$34)^2)</f>
        <v>4.8377880372955269E-3</v>
      </c>
      <c r="FE317" s="50">
        <f>EXP(LN(FE66)+0.5*LN('Ecoinvent 3.10'!$E$34)^2)</f>
        <v>4.1443673254095252E-3</v>
      </c>
      <c r="FF317" s="224">
        <f>EXP(LN(FF66)+0.5*LN('Ecoinvent 3.10'!$E$34)^2)</f>
        <v>4.7747584426351096E-3</v>
      </c>
      <c r="FG317" s="50">
        <f>EXP(LN(FG66)+0.5*LN('Ecoinvent 3.10'!$E$34)^2)</f>
        <v>4.1014306376366983E-3</v>
      </c>
      <c r="FH317" s="224">
        <f>EXP(LN(FH66)+0.5*LN('Ecoinvent 3.10'!$E$34)^2)</f>
        <v>4.4227702981571807E-3</v>
      </c>
      <c r="FI317" s="50">
        <f>EXP(LN(FI66)+0.5*LN('Ecoinvent 3.10'!$E$34)^2)</f>
        <v>3.85935065652389E-3</v>
      </c>
      <c r="FJ317" s="224">
        <f>EXP(LN(FJ66)+0.5*LN('Ecoinvent 3.10'!$E$34)^2)</f>
        <v>4.2469621987693135E-3</v>
      </c>
      <c r="FK317" s="50">
        <f>EXP(LN(FK66)+0.5*LN('Ecoinvent 3.10'!$E$34)^2)</f>
        <v>3.7381192704341506E-3</v>
      </c>
      <c r="FL317" s="224">
        <f>EXP(LN(FL66)+0.5*LN('Ecoinvent 3.10'!$E$34)^2)</f>
        <v>5.6162130481889703E-3</v>
      </c>
      <c r="FM317" s="50">
        <f>EXP(LN(FM66)+0.5*LN('Ecoinvent 3.10'!$E$34)^2)</f>
        <v>4.6759547902582395E-3</v>
      </c>
      <c r="FN317" s="224">
        <f>EXP(LN(FN66)+0.5*LN('Ecoinvent 3.10'!$E$34)^2)</f>
        <v>6.4620796744543655E-3</v>
      </c>
      <c r="FO317" s="50">
        <f>EXP(LN(FO66)+0.5*LN('Ecoinvent 3.10'!$E$34)^2)</f>
        <v>5.3831170287378686E-3</v>
      </c>
      <c r="FP317" s="224">
        <f>EXP(LN(FP66)+0.5*LN('Ecoinvent 3.10'!$E$34)^2)</f>
        <v>2.3797950915798146E-3</v>
      </c>
      <c r="FQ317" s="50">
        <f>EXP(LN(FQ66)+0.5*LN('Ecoinvent 3.10'!$E$34)^2)</f>
        <v>1.610629212952755E-3</v>
      </c>
      <c r="FT317" s="123" t="s">
        <v>431</v>
      </c>
      <c r="FU317" s="224">
        <f>EXP(LN(FU66)+0.5*LN('Ecoinvent 3.10'!$E$34)^2)</f>
        <v>0.16394940446566575</v>
      </c>
      <c r="FV317" s="50">
        <f>EXP(LN(FV66)+0.5*LN('Ecoinvent 3.10'!$E$34)^2)</f>
        <v>0.1439085814642011</v>
      </c>
      <c r="FW317" s="224">
        <f>EXP(LN(FW66)+0.5*LN('Ecoinvent 3.10'!$E$34)^2)</f>
        <v>0.18366283474685274</v>
      </c>
      <c r="FX317" s="50">
        <f>EXP(LN(FX66)+0.5*LN('Ecoinvent 3.10'!$E$34)^2)</f>
        <v>0.15733766038300043</v>
      </c>
      <c r="FY317" s="224">
        <f>EXP(LN(FY66)+0.5*LN('Ecoinvent 3.10'!$E$34)^2)</f>
        <v>0.18126996553905894</v>
      </c>
      <c r="FZ317" s="50">
        <f>EXP(LN(FZ66)+0.5*LN('Ecoinvent 3.10'!$E$34)^2)</f>
        <v>0.15570760265202832</v>
      </c>
      <c r="GA317" s="224">
        <f>EXP(LN(GA66)+0.5*LN('Ecoinvent 3.10'!$E$34)^2)</f>
        <v>0.16790701124802293</v>
      </c>
      <c r="GB317" s="50">
        <f>EXP(LN(GB66)+0.5*LN('Ecoinvent 3.10'!$E$34)^2)</f>
        <v>0.14651722572276171</v>
      </c>
      <c r="GC317" s="224">
        <f>EXP(LN(GC66)+0.5*LN('Ecoinvent 3.10'!$E$34)^2)</f>
        <v>0.16123259441617621</v>
      </c>
      <c r="GD317" s="50">
        <f>EXP(LN(GD66)+0.5*LN('Ecoinvent 3.10'!$E$34)^2)</f>
        <v>0.14191477107657197</v>
      </c>
      <c r="GE317" s="224">
        <f>EXP(LN(GE66)+0.5*LN('Ecoinvent 3.10'!$E$34)^2)</f>
        <v>0.21321513076238113</v>
      </c>
      <c r="GF317" s="50">
        <f>EXP(LN(GF66)+0.5*LN('Ecoinvent 3.10'!$E$34)^2)</f>
        <v>0.17751896224189442</v>
      </c>
      <c r="GG317" s="224">
        <f>EXP(LN(GG66)+0.5*LN('Ecoinvent 3.10'!$E$34)^2)</f>
        <v>0.24532779489731232</v>
      </c>
      <c r="GH317" s="50">
        <f>EXP(LN(GH66)+0.5*LN('Ecoinvent 3.10'!$E$34)^2)</f>
        <v>0.20436582290297167</v>
      </c>
      <c r="GI317" s="224">
        <f>EXP(LN(GI66)+0.5*LN('Ecoinvent 3.10'!$E$34)^2)</f>
        <v>9.0347057222568222E-2</v>
      </c>
      <c r="GJ317" s="50">
        <f>EXP(LN(GJ66)+0.5*LN('Ecoinvent 3.10'!$E$34)^2)</f>
        <v>6.1146276913439102E-2</v>
      </c>
      <c r="GM317" s="123" t="s">
        <v>431</v>
      </c>
      <c r="GN317" s="224">
        <f>EXP(LN(GN66)+0.5*LN('Ecoinvent 3.10'!$E$34)^2)</f>
        <v>0.62897037302754699</v>
      </c>
      <c r="GO317" s="50">
        <f>EXP(LN(GO66)+0.5*LN('Ecoinvent 3.10'!$E$34)^2)</f>
        <v>0.55208638579934088</v>
      </c>
      <c r="GP317" s="224">
        <f>EXP(LN(GP66)+0.5*LN('Ecoinvent 3.10'!$E$34)^2)</f>
        <v>0.70459836105239737</v>
      </c>
      <c r="GQ317" s="50">
        <f>EXP(LN(GQ66)+0.5*LN('Ecoinvent 3.10'!$E$34)^2)</f>
        <v>0.60360528459925955</v>
      </c>
      <c r="GR317" s="224">
        <f>EXP(LN(GR66)+0.5*LN('Ecoinvent 3.10'!$E$34)^2)</f>
        <v>0.69541843238393208</v>
      </c>
      <c r="GS317" s="50">
        <f>EXP(LN(GS66)+0.5*LN('Ecoinvent 3.10'!$E$34)^2)</f>
        <v>0.59735178204798522</v>
      </c>
      <c r="GT317" s="224">
        <f>EXP(LN(GT66)+0.5*LN('Ecoinvent 3.10'!$E$34)^2)</f>
        <v>0.64415321204003539</v>
      </c>
      <c r="GU317" s="50">
        <f>EXP(LN(GU66)+0.5*LN('Ecoinvent 3.10'!$E$34)^2)</f>
        <v>0.56209410713111685</v>
      </c>
      <c r="GV317" s="224">
        <f>EXP(LN(GV66)+0.5*LN('Ecoinvent 3.10'!$E$34)^2)</f>
        <v>0.61854768783487057</v>
      </c>
      <c r="GW317" s="50">
        <f>EXP(LN(GW66)+0.5*LN('Ecoinvent 3.10'!$E$34)^2)</f>
        <v>0.54443739392077661</v>
      </c>
      <c r="GX317" s="224">
        <f>EXP(LN(GX66)+0.5*LN('Ecoinvent 3.10'!$E$34)^2)</f>
        <v>0.8179718661851958</v>
      </c>
      <c r="GY317" s="50">
        <f>EXP(LN(GY66)+0.5*LN('Ecoinvent 3.10'!$E$34)^2)</f>
        <v>0.68102820052713253</v>
      </c>
      <c r="GZ317" s="224">
        <f>EXP(LN(GZ66)+0.5*LN('Ecoinvent 3.10'!$E$34)^2)</f>
        <v>0.94116788757779457</v>
      </c>
      <c r="HA317" s="50">
        <f>EXP(LN(HA66)+0.5*LN('Ecoinvent 3.10'!$E$34)^2)</f>
        <v>0.7840226579919205</v>
      </c>
      <c r="HB317" s="224">
        <f>EXP(LN(HB66)+0.5*LN('Ecoinvent 3.10'!$E$34)^2)</f>
        <v>0.34660462761924987</v>
      </c>
      <c r="HC317" s="50">
        <f>EXP(LN(HC66)+0.5*LN('Ecoinvent 3.10'!$E$34)^2)</f>
        <v>0.23457966636009098</v>
      </c>
      <c r="HF317" s="123" t="s">
        <v>431</v>
      </c>
      <c r="HG317" s="224">
        <f>EXP(LN(HG66)+0.5*LN('Ecoinvent 3.10'!$E$34)^2)</f>
        <v>5.7928686968402738</v>
      </c>
      <c r="HH317" s="50">
        <f>EXP(LN(HH66)+0.5*LN('Ecoinvent 3.10'!$E$34)^2)</f>
        <v>5.0847608717312589</v>
      </c>
      <c r="HI317" s="224">
        <f>EXP(LN(HI66)+0.5*LN('Ecoinvent 3.10'!$E$34)^2)</f>
        <v>6.489408666323035</v>
      </c>
      <c r="HJ317" s="50">
        <f>EXP(LN(HJ66)+0.5*LN('Ecoinvent 3.10'!$E$34)^2)</f>
        <v>5.5592541530557522</v>
      </c>
      <c r="HK317" s="224">
        <f>EXP(LN(HK66)+0.5*LN('Ecoinvent 3.10'!$E$34)^2)</f>
        <v>6.4048607707412328</v>
      </c>
      <c r="HL317" s="50">
        <f>EXP(LN(HL66)+0.5*LN('Ecoinvent 3.10'!$E$34)^2)</f>
        <v>5.5016588819136221</v>
      </c>
      <c r="HM317" s="224">
        <f>EXP(LN(HM66)+0.5*LN('Ecoinvent 3.10'!$E$34)^2)</f>
        <v>5.9327038887925632</v>
      </c>
      <c r="HN317" s="50">
        <f>EXP(LN(HN66)+0.5*LN('Ecoinvent 3.10'!$E$34)^2)</f>
        <v>5.1769328056023127</v>
      </c>
      <c r="HO317" s="224">
        <f>EXP(LN(HO66)+0.5*LN('Ecoinvent 3.10'!$E$34)^2)</f>
        <v>5.6968749117927375</v>
      </c>
      <c r="HP317" s="50">
        <f>EXP(LN(HP66)+0.5*LN('Ecoinvent 3.10'!$E$34)^2)</f>
        <v>5.0143130294864235</v>
      </c>
      <c r="HQ317" s="224">
        <f>EXP(LN(HQ66)+0.5*LN('Ecoinvent 3.10'!$E$34)^2)</f>
        <v>7.5335879426433925</v>
      </c>
      <c r="HR317" s="50">
        <f>EXP(LN(HR66)+0.5*LN('Ecoinvent 3.10'!$E$34)^2)</f>
        <v>6.272325555668588</v>
      </c>
      <c r="HS317" s="224">
        <f>EXP(LN(HS66)+0.5*LN('Ecoinvent 3.10'!$E$34)^2)</f>
        <v>8.6682333989393037</v>
      </c>
      <c r="HT317" s="50">
        <f>EXP(LN(HT66)+0.5*LN('Ecoinvent 3.10'!$E$34)^2)</f>
        <v>7.2209129521208641</v>
      </c>
      <c r="HU317" s="224">
        <f>EXP(LN(HU66)+0.5*LN('Ecoinvent 3.10'!$E$34)^2)</f>
        <v>3.1922570340647765</v>
      </c>
      <c r="HV317" s="50">
        <f>EXP(LN(HV66)+0.5*LN('Ecoinvent 3.10'!$E$34)^2)</f>
        <v>2.1604979573705472</v>
      </c>
      <c r="HY317" s="123" t="s">
        <v>431</v>
      </c>
      <c r="HZ317" s="224">
        <f>EXP(LN(HZ66)+0.5*LN('Ecoinvent 3.10'!$E$34)^2)</f>
        <v>6.9293711401133473E-3</v>
      </c>
      <c r="IA317" s="50">
        <f>EXP(LN(IA66)+0.5*LN('Ecoinvent 3.10'!$E$34)^2)</f>
        <v>6.0823396978030393E-3</v>
      </c>
      <c r="IB317" s="224">
        <f>EXP(LN(IB66)+0.5*LN('Ecoinvent 3.10'!$E$34)^2)</f>
        <v>7.7625652301333654E-3</v>
      </c>
      <c r="IC317" s="50">
        <f>EXP(LN(IC66)+0.5*LN('Ecoinvent 3.10'!$E$34)^2)</f>
        <v>6.6499237777910844E-3</v>
      </c>
      <c r="ID317" s="224">
        <f>EXP(LN(ID66)+0.5*LN('Ecoinvent 3.10'!$E$34)^2)</f>
        <v>7.6614298897239698E-3</v>
      </c>
      <c r="IE317" s="50">
        <f>EXP(LN(IE66)+0.5*LN('Ecoinvent 3.10'!$E$34)^2)</f>
        <v>6.5810288950403388E-3</v>
      </c>
      <c r="IF317" s="224">
        <f>EXP(LN(IF66)+0.5*LN('Ecoinvent 3.10'!$E$34)^2)</f>
        <v>7.0966405871172025E-3</v>
      </c>
      <c r="IG317" s="50">
        <f>EXP(LN(IG66)+0.5*LN('Ecoinvent 3.10'!$E$34)^2)</f>
        <v>6.1925948359598717E-3</v>
      </c>
      <c r="IH317" s="224">
        <f>EXP(LN(IH66)+0.5*LN('Ecoinvent 3.10'!$E$34)^2)</f>
        <v>6.8145443421054001E-3</v>
      </c>
      <c r="II317" s="50">
        <f>EXP(LN(II66)+0.5*LN('Ecoinvent 3.10'!$E$34)^2)</f>
        <v>5.9980706990596603E-3</v>
      </c>
      <c r="IJ317" s="224">
        <f>EXP(LN(IJ66)+0.5*LN('Ecoinvent 3.10'!$E$34)^2)</f>
        <v>9.0116019546124335E-3</v>
      </c>
      <c r="IK317" s="50">
        <f>EXP(LN(IK66)+0.5*LN('Ecoinvent 3.10'!$E$34)^2)</f>
        <v>7.5028926014760874E-3</v>
      </c>
      <c r="IL317" s="224"/>
      <c r="IM317" s="224"/>
      <c r="IN317" s="224"/>
      <c r="IO317" s="224"/>
    </row>
    <row r="318" spans="2:249" ht="13.5" customHeight="1" thickBot="1" x14ac:dyDescent="0.25">
      <c r="B318" s="248"/>
      <c r="C318" s="248"/>
      <c r="D318" s="248"/>
      <c r="E318" s="248"/>
      <c r="F318" s="248"/>
      <c r="G318" s="248"/>
      <c r="H318" s="248"/>
      <c r="I318" s="248"/>
      <c r="J318" s="248"/>
      <c r="K318" s="248"/>
      <c r="L318" s="248"/>
      <c r="M318" s="248"/>
      <c r="N318" s="248"/>
      <c r="O318" s="248"/>
      <c r="P318" s="248"/>
      <c r="Q318" s="248"/>
      <c r="R318" s="248"/>
      <c r="S318" s="248"/>
      <c r="T318" s="248"/>
      <c r="U318" s="248"/>
      <c r="V318" s="248"/>
      <c r="W318" s="248"/>
      <c r="X318" s="248"/>
      <c r="Y318" s="248"/>
      <c r="Z318" s="248"/>
      <c r="AA318" s="248"/>
      <c r="AB318" s="248"/>
      <c r="AC318" s="248"/>
      <c r="AD318" s="248"/>
      <c r="AE318" s="248"/>
      <c r="AF318" s="248"/>
      <c r="AG318" s="248"/>
      <c r="AH318" s="248"/>
      <c r="AI318" s="248"/>
      <c r="AJ318" s="248"/>
      <c r="AK318" s="248"/>
      <c r="AL318" s="248"/>
      <c r="AM318" s="248"/>
      <c r="AN318" s="94"/>
      <c r="AO318" s="248"/>
      <c r="AP318" s="726"/>
      <c r="AQ318" s="159" t="s">
        <v>432</v>
      </c>
      <c r="AR318" s="260">
        <f>EXP(LN(AR67)+0.5*LN('Ecoinvent 3.10'!$E$35)^2)</f>
        <v>12.628159681572608</v>
      </c>
      <c r="AS318" s="217">
        <f>EXP(LN(AS67)+0.5*LN('Ecoinvent 3.10'!$E$35)^2)</f>
        <v>8.9506944224668779</v>
      </c>
      <c r="AT318" s="260">
        <f>EXP(LN(AT67)+0.5*LN('Ecoinvent 3.10'!$E$35)^2)</f>
        <v>16.590758804414165</v>
      </c>
      <c r="AU318" s="217">
        <f>EXP(LN(AU67)+0.5*LN('Ecoinvent 3.10'!$E$35)^2)</f>
        <v>11.759339130931089</v>
      </c>
      <c r="AV318" s="260">
        <f>EXP(LN(AV67)+0.5*LN('Ecoinvent 3.10'!$E$35)^2)</f>
        <v>16.109767861253577</v>
      </c>
      <c r="AW318" s="217">
        <f>EXP(LN(AW67)+0.5*LN('Ecoinvent 3.10'!$E$35)^2)</f>
        <v>11.418418279376862</v>
      </c>
      <c r="AX318" s="260">
        <f>EXP(LN(AX67)+0.5*LN('Ecoinvent 3.10'!$E$35)^2)</f>
        <v>13.480628791175876</v>
      </c>
      <c r="AY318" s="217">
        <f>EXP(LN(AY67)+0.5*LN('Ecoinvent 3.10'!$E$35)^2)</f>
        <v>9.554914728279563</v>
      </c>
      <c r="AZ318" s="260">
        <f>EXP(LN(AZ67)+0.5*LN('Ecoinvent 3.10'!$E$35)^2)</f>
        <v>12.17535284393373</v>
      </c>
      <c r="BA318" s="217">
        <f>EXP(LN(BA67)+0.5*LN('Ecoinvent 3.10'!$E$35)^2)</f>
        <v>8.6297501409320656</v>
      </c>
      <c r="BB318" s="260">
        <f>EXP(LN(BB67)+0.5*LN('Ecoinvent 3.10'!$E$35)^2)</f>
        <v>22.498568010313818</v>
      </c>
      <c r="BC318" s="217">
        <f>EXP(LN(BC67)+0.5*LN('Ecoinvent 3.10'!$E$35)^2)</f>
        <v>15.946726386210027</v>
      </c>
      <c r="BD318" s="260">
        <f>EXP(LN(BD67)+0.5*LN('Ecoinvent 3.10'!$E$35)^2)</f>
        <v>25.812825984208949</v>
      </c>
      <c r="BE318" s="217">
        <f>EXP(LN(BE67)+0.5*LN('Ecoinvent 3.10'!$E$35)^2)</f>
        <v>18.295834340938185</v>
      </c>
      <c r="BF318" s="260">
        <f>EXP(LN(BF67)+0.5*LN('Ecoinvent 3.10'!$E$35)^2)</f>
        <v>19.907183108969445</v>
      </c>
      <c r="BG318" s="217">
        <f>EXP(LN(BG67)+0.5*LN('Ecoinvent 3.10'!$E$35)^2)</f>
        <v>14.931239936654443</v>
      </c>
      <c r="BI318" s="156"/>
      <c r="BJ318" s="159" t="s">
        <v>432</v>
      </c>
      <c r="BK318" s="260">
        <f>EXP(LN(BK67)+0.5*LN('Ecoinvent 3.10'!$E$35)^2)</f>
        <v>2.6243884387505161</v>
      </c>
      <c r="BL318" s="217">
        <f>EXP(LN(BL67)+0.5*LN('Ecoinvent 3.10'!$E$35)^2)</f>
        <v>1.8601363582207679</v>
      </c>
      <c r="BM318" s="260">
        <f>EXP(LN(BM67)+0.5*LN('Ecoinvent 3.10'!$E$35)^2)</f>
        <v>3.4478971357907851</v>
      </c>
      <c r="BN318" s="217">
        <f>EXP(LN(BN67)+0.5*LN('Ecoinvent 3.10'!$E$35)^2)</f>
        <v>2.4438298565067642</v>
      </c>
      <c r="BO318" s="260">
        <f>EXP(LN(BO67)+0.5*LN('Ecoinvent 3.10'!$E$35)^2)</f>
        <v>3.3479374344404489</v>
      </c>
      <c r="BP318" s="217">
        <f>EXP(LN(BP67)+0.5*LN('Ecoinvent 3.10'!$E$35)^2)</f>
        <v>2.3729795692195772</v>
      </c>
      <c r="BQ318" s="260">
        <f>EXP(LN(BQ67)+0.5*LN('Ecoinvent 3.10'!$E$35)^2)</f>
        <v>2.8015488589580113</v>
      </c>
      <c r="BR318" s="217">
        <f>EXP(LN(BR67)+0.5*LN('Ecoinvent 3.10'!$E$35)^2)</f>
        <v>1.9857056276169276</v>
      </c>
      <c r="BS318" s="260">
        <f>EXP(LN(BS67)+0.5*LN('Ecoinvent 3.10'!$E$35)^2)</f>
        <v>2.5302859677926359</v>
      </c>
      <c r="BT318" s="217">
        <f>EXP(LN(BT67)+0.5*LN('Ecoinvent 3.10'!$E$35)^2)</f>
        <v>1.7934376085072887</v>
      </c>
      <c r="BU318" s="260">
        <f>EXP(LN(BU67)+0.5*LN('Ecoinvent 3.10'!$E$35)^2)</f>
        <v>4.6756600536869994</v>
      </c>
      <c r="BV318" s="217">
        <f>EXP(LN(BV67)+0.5*LN('Ecoinvent 3.10'!$E$35)^2)</f>
        <v>3.3140540996608374</v>
      </c>
      <c r="BW318" s="260">
        <f>EXP(LN(BW67)+0.5*LN('Ecoinvent 3.10'!$E$35)^2)</f>
        <v>5.3644302727094377</v>
      </c>
      <c r="BX318" s="217">
        <f>EXP(LN(BX67)+0.5*LN('Ecoinvent 3.10'!$E$35)^2)</f>
        <v>3.8022465135373857</v>
      </c>
      <c r="BY318" s="260">
        <f>EXP(LN(BY67)+0.5*LN('Ecoinvent 3.10'!$E$35)^2)</f>
        <v>4.1371175623875942</v>
      </c>
      <c r="BZ318" s="217">
        <f>EXP(LN(BZ67)+0.5*LN('Ecoinvent 3.10'!$E$35)^2)</f>
        <v>3.1030153604365935</v>
      </c>
      <c r="CA318" s="156"/>
      <c r="CB318" s="156"/>
      <c r="CC318" s="159" t="s">
        <v>432</v>
      </c>
      <c r="CD318" s="260">
        <f>EXP(LN(CD67)+0.5*LN('Ecoinvent 3.10'!$E$35)^2)</f>
        <v>8.5304350647546663</v>
      </c>
      <c r="CE318" s="217">
        <f>EXP(LN(CE67)+0.5*LN('Ecoinvent 3.10'!$E$35)^2)</f>
        <v>6.0462743171305098</v>
      </c>
      <c r="CF318" s="260">
        <f>EXP(LN(CF67)+0.5*LN('Ecoinvent 3.10'!$E$35)^2)</f>
        <v>11.207206293295561</v>
      </c>
      <c r="CG318" s="217">
        <f>EXP(LN(CG67)+0.5*LN('Ecoinvent 3.10'!$E$35)^2)</f>
        <v>7.9435389946181099</v>
      </c>
      <c r="CH318" s="260">
        <f>EXP(LN(CH67)+0.5*LN('Ecoinvent 3.10'!$E$35)^2)</f>
        <v>10.882292599548578</v>
      </c>
      <c r="CI318" s="217">
        <f>EXP(LN(CI67)+0.5*LN('Ecoinvent 3.10'!$E$35)^2)</f>
        <v>7.7132439033509366</v>
      </c>
      <c r="CJ318" s="260">
        <f>EXP(LN(CJ67)+0.5*LN('Ecoinvent 3.10'!$E$35)^2)</f>
        <v>9.106285589894231</v>
      </c>
      <c r="CK318" s="217">
        <f>EXP(LN(CK67)+0.5*LN('Ecoinvent 3.10'!$E$35)^2)</f>
        <v>6.454430549987034</v>
      </c>
      <c r="CL318" s="260">
        <f>EXP(LN(CL67)+0.5*LN('Ecoinvent 3.10'!$E$35)^2)</f>
        <v>8.2245599869322135</v>
      </c>
      <c r="CM318" s="217">
        <f>EXP(LN(CM67)+0.5*LN('Ecoinvent 3.10'!$E$35)^2)</f>
        <v>5.8294735779830527</v>
      </c>
      <c r="CN318" s="260">
        <f>EXP(LN(CN67)+0.5*LN('Ecoinvent 3.10'!$E$35)^2)</f>
        <v>15.197984369963887</v>
      </c>
      <c r="CO318" s="217">
        <f>EXP(LN(CO67)+0.5*LN('Ecoinvent 3.10'!$E$35)^2)</f>
        <v>10.77215662163959</v>
      </c>
      <c r="CP318" s="260">
        <f>EXP(LN(CP67)+0.5*LN('Ecoinvent 3.10'!$E$35)^2)</f>
        <v>17.436795340608583</v>
      </c>
      <c r="CQ318" s="217">
        <f>EXP(LN(CQ67)+0.5*LN('Ecoinvent 3.10'!$E$35)^2)</f>
        <v>12.359000102653582</v>
      </c>
      <c r="CR318" s="260">
        <f>EXP(LN(CR67)+0.5*LN('Ecoinvent 3.10'!$E$35)^2)</f>
        <v>13.447480639720347</v>
      </c>
      <c r="CS318" s="217">
        <f>EXP(LN(CS67)+0.5*LN('Ecoinvent 3.10'!$E$35)^2)</f>
        <v>10.086186422061511</v>
      </c>
      <c r="CV318" s="159" t="s">
        <v>432</v>
      </c>
      <c r="CW318" s="260">
        <f>EXP(LN(CW67)+0.5*LN('Ecoinvent 3.10'!$E$35)^2)</f>
        <v>1.1241849242394494E-3</v>
      </c>
      <c r="CX318" s="217">
        <f>EXP(LN(CX67)+0.5*LN('Ecoinvent 3.10'!$E$35)^2)</f>
        <v>7.9680935187211054E-4</v>
      </c>
      <c r="CY318" s="260">
        <f>EXP(LN(CY67)+0.5*LN('Ecoinvent 3.10'!$E$35)^2)</f>
        <v>1.4769437035890142E-3</v>
      </c>
      <c r="CZ318" s="217">
        <f>EXP(LN(CZ67)+0.5*LN('Ecoinvent 3.10'!$E$35)^2)</f>
        <v>1.0468407197370419E-3</v>
      </c>
      <c r="DA318" s="260">
        <f>EXP(LN(DA67)+0.5*LN('Ecoinvent 3.10'!$E$35)^2)</f>
        <v>1.434124893831177E-3</v>
      </c>
      <c r="DB318" s="217">
        <f>EXP(LN(DB67)+0.5*LN('Ecoinvent 3.10'!$E$35)^2)</f>
        <v>1.0164912395799772E-3</v>
      </c>
      <c r="DC318" s="260">
        <f>EXP(LN(DC67)+0.5*LN('Ecoinvent 3.10'!$E$35)^2)</f>
        <v>1.2000734896013714E-3</v>
      </c>
      <c r="DD318" s="217">
        <f>EXP(LN(DD67)+0.5*LN('Ecoinvent 3.10'!$E$35)^2)</f>
        <v>8.5059829466677291E-4</v>
      </c>
      <c r="DE318" s="260">
        <f>EXP(LN(DE67)+0.5*LN('Ecoinvent 3.10'!$E$35)^2)</f>
        <v>1.083875121916553E-3</v>
      </c>
      <c r="DF318" s="217">
        <f>EXP(LN(DF67)+0.5*LN('Ecoinvent 3.10'!$E$35)^2)</f>
        <v>7.6823822734406163E-4</v>
      </c>
      <c r="DG318" s="260">
        <f>EXP(LN(DG67)+0.5*LN('Ecoinvent 3.10'!$E$35)^2)</f>
        <v>2.0028691125183033E-3</v>
      </c>
      <c r="DH318" s="217">
        <f>EXP(LN(DH67)+0.5*LN('Ecoinvent 3.10'!$E$35)^2)</f>
        <v>1.4196106041095178E-3</v>
      </c>
      <c r="DI318" s="260">
        <f>EXP(LN(DI67)+0.5*LN('Ecoinvent 3.10'!$E$35)^2)</f>
        <v>2.2979112202555162E-3</v>
      </c>
      <c r="DJ318" s="217">
        <f>EXP(LN(DJ67)+0.5*LN('Ecoinvent 3.10'!$E$35)^2)</f>
        <v>1.6287330585848078E-3</v>
      </c>
      <c r="DK318" s="260">
        <f>EXP(LN(DK67)+0.5*LN('Ecoinvent 3.10'!$E$35)^2)</f>
        <v>1.7721786625674596E-3</v>
      </c>
      <c r="DL318" s="217">
        <f>EXP(LN(DL67)+0.5*LN('Ecoinvent 3.10'!$E$35)^2)</f>
        <v>1.3292098975817342E-3</v>
      </c>
      <c r="DO318" s="159" t="s">
        <v>432</v>
      </c>
      <c r="DP318" s="260">
        <f>EXP(LN(DP67)+0.5*LN('Ecoinvent 3.10'!$E$35)^2)</f>
        <v>1.5215159403615097E-2</v>
      </c>
      <c r="DQ318" s="217">
        <f>EXP(LN(DQ67)+0.5*LN('Ecoinvent 3.10'!$E$35)^2)</f>
        <v>1.0784330088065737E-2</v>
      </c>
      <c r="DR318" s="260">
        <f>EXP(LN(DR67)+0.5*LN('Ecoinvent 3.10'!$E$35)^2)</f>
        <v>1.9989534991741296E-2</v>
      </c>
      <c r="DS318" s="217">
        <f>EXP(LN(DS67)+0.5*LN('Ecoinvent 3.10'!$E$35)^2)</f>
        <v>1.4168352623808757E-2</v>
      </c>
      <c r="DT318" s="260">
        <f>EXP(LN(DT67)+0.5*LN('Ecoinvent 3.10'!$E$35)^2)</f>
        <v>1.9410008437087199E-2</v>
      </c>
      <c r="DU318" s="217">
        <f>EXP(LN(DU67)+0.5*LN('Ecoinvent 3.10'!$E$35)^2)</f>
        <v>1.3757590863488054E-2</v>
      </c>
      <c r="DV318" s="260">
        <f>EXP(LN(DV67)+0.5*LN('Ecoinvent 3.10'!$E$35)^2)</f>
        <v>1.624226499273736E-2</v>
      </c>
      <c r="DW318" s="217">
        <f>EXP(LN(DW67)+0.5*LN('Ecoinvent 3.10'!$E$35)^2)</f>
        <v>1.1512330723127094E-2</v>
      </c>
      <c r="DX318" s="260">
        <f>EXP(LN(DX67)+0.5*LN('Ecoinvent 3.10'!$E$35)^2)</f>
        <v>1.4669590739023715E-2</v>
      </c>
      <c r="DY318" s="217">
        <f>EXP(LN(DY67)+0.5*LN('Ecoinvent 3.10'!$E$35)^2)</f>
        <v>1.039763728987784E-2</v>
      </c>
      <c r="DZ318" s="260">
        <f>EXP(LN(DZ67)+0.5*LN('Ecoinvent 3.10'!$E$35)^2)</f>
        <v>2.7107615619520783E-2</v>
      </c>
      <c r="EA318" s="217">
        <f>EXP(LN(EA67)+0.5*LN('Ecoinvent 3.10'!$E$35)^2)</f>
        <v>1.9213566350928909E-2</v>
      </c>
      <c r="EB318" s="260">
        <f>EXP(LN(EB67)+0.5*LN('Ecoinvent 3.10'!$E$35)^2)</f>
        <v>3.1100831151242431E-2</v>
      </c>
      <c r="EC318" s="217">
        <f>EXP(LN(EC67)+0.5*LN('Ecoinvent 3.10'!$E$35)^2)</f>
        <v>2.2043911618073817E-2</v>
      </c>
      <c r="ED318" s="260">
        <f>EXP(LN(ED67)+0.5*LN('Ecoinvent 3.10'!$E$35)^2)</f>
        <v>2.3985360647752328E-2</v>
      </c>
      <c r="EE318" s="217">
        <f>EXP(LN(EE67)+0.5*LN('Ecoinvent 3.10'!$E$35)^2)</f>
        <v>1.7990047755044685E-2</v>
      </c>
      <c r="EH318" s="159" t="s">
        <v>432</v>
      </c>
      <c r="EI318" s="260">
        <f>EXP(LN(EI67)+0.5*LN('Ecoinvent 3.10'!$E$35)^2)</f>
        <v>1.9760444070565583E-3</v>
      </c>
      <c r="EJ318" s="217">
        <f>EXP(LN(EJ67)+0.5*LN('Ecoinvent 3.10'!$E$35)^2)</f>
        <v>1.4005975612263889E-3</v>
      </c>
      <c r="EK318" s="260">
        <f>EXP(LN(EK67)+0.5*LN('Ecoinvent 3.10'!$E$35)^2)</f>
        <v>2.5961087736423288E-3</v>
      </c>
      <c r="EL318" s="217">
        <f>EXP(LN(EL67)+0.5*LN('Ecoinvent 3.10'!$E$35)^2)</f>
        <v>1.8400920566648991E-3</v>
      </c>
      <c r="EM318" s="260">
        <f>EXP(LN(EM67)+0.5*LN('Ecoinvent 3.10'!$E$35)^2)</f>
        <v>2.5208436925027327E-3</v>
      </c>
      <c r="EN318" s="217">
        <f>EXP(LN(EN67)+0.5*LN('Ecoinvent 3.10'!$E$35)^2)</f>
        <v>1.7867450323201144E-3</v>
      </c>
      <c r="EO318" s="260">
        <f>EXP(LN(EO67)+0.5*LN('Ecoinvent 3.10'!$E$35)^2)</f>
        <v>2.1094380969287341E-3</v>
      </c>
      <c r="EP318" s="217">
        <f>EXP(LN(EP67)+0.5*LN('Ecoinvent 3.10'!$E$35)^2)</f>
        <v>1.495145475256446E-3</v>
      </c>
      <c r="EQ318" s="260">
        <f>EXP(LN(EQ67)+0.5*LN('Ecoinvent 3.10'!$E$35)^2)</f>
        <v>1.9051895523860911E-3</v>
      </c>
      <c r="ER318" s="217">
        <f>EXP(LN(ER67)+0.5*LN('Ecoinvent 3.10'!$E$35)^2)</f>
        <v>1.3503764547076697E-3</v>
      </c>
      <c r="ES318" s="260">
        <f>EXP(LN(ES67)+0.5*LN('Ecoinvent 3.10'!$E$35)^2)</f>
        <v>3.5205580705822801E-3</v>
      </c>
      <c r="ET318" s="217">
        <f>EXP(LN(ET67)+0.5*LN('Ecoinvent 3.10'!$E$35)^2)</f>
        <v>2.4953310918545009E-3</v>
      </c>
      <c r="EU318" s="260">
        <f>EXP(LN(EU67)+0.5*LN('Ecoinvent 3.10'!$E$35)^2)</f>
        <v>4.0391705286124688E-3</v>
      </c>
      <c r="EV318" s="217">
        <f>EXP(LN(EV67)+0.5*LN('Ecoinvent 3.10'!$E$35)^2)</f>
        <v>2.8629176406915662E-3</v>
      </c>
      <c r="EW318" s="260">
        <f>EXP(LN(EW67)+0.5*LN('Ecoinvent 3.10'!$E$35)^2)</f>
        <v>3.1150602173753233E-3</v>
      </c>
      <c r="EX318" s="217">
        <f>EXP(LN(EX67)+0.5*LN('Ecoinvent 3.10'!$E$35)^2)</f>
        <v>2.3364285779740191E-3</v>
      </c>
      <c r="FA318" s="159" t="s">
        <v>432</v>
      </c>
      <c r="FB318" s="260">
        <f>EXP(LN(FB67)+0.5*LN('Ecoinvent 3.10'!$E$35)^2)</f>
        <v>4.3258759751824419E-5</v>
      </c>
      <c r="FC318" s="217">
        <f>EXP(LN(FC67)+0.5*LN('Ecoinvent 3.10'!$E$35)^2)</f>
        <v>3.0661311655608686E-5</v>
      </c>
      <c r="FD318" s="260">
        <f>EXP(LN(FD67)+0.5*LN('Ecoinvent 3.10'!$E$35)^2)</f>
        <v>5.6832956449537288E-5</v>
      </c>
      <c r="FE318" s="217">
        <f>EXP(LN(FE67)+0.5*LN('Ecoinvent 3.10'!$E$35)^2)</f>
        <v>4.0282546240484924E-5</v>
      </c>
      <c r="FF318" s="260">
        <f>EXP(LN(FF67)+0.5*LN('Ecoinvent 3.10'!$E$35)^2)</f>
        <v>5.5185283932111791E-5</v>
      </c>
      <c r="FG318" s="217">
        <f>EXP(LN(FG67)+0.5*LN('Ecoinvent 3.10'!$E$35)^2)</f>
        <v>3.9114694900016685E-5</v>
      </c>
      <c r="FH318" s="260">
        <f>EXP(LN(FH67)+0.5*LN('Ecoinvent 3.10'!$E$35)^2)</f>
        <v>4.6178960108650078E-5</v>
      </c>
      <c r="FI318" s="217">
        <f>EXP(LN(FI67)+0.5*LN('Ecoinvent 3.10'!$E$35)^2)</f>
        <v>3.2731116101023288E-5</v>
      </c>
      <c r="FJ318" s="260">
        <f>EXP(LN(FJ67)+0.5*LN('Ecoinvent 3.10'!$E$35)^2)</f>
        <v>4.1707634116947745E-5</v>
      </c>
      <c r="FK318" s="217">
        <f>EXP(LN(FK67)+0.5*LN('Ecoinvent 3.10'!$E$35)^2)</f>
        <v>2.956189163569112E-5</v>
      </c>
      <c r="FL318" s="260">
        <f>EXP(LN(FL67)+0.5*LN('Ecoinvent 3.10'!$E$35)^2)</f>
        <v>7.707062413365408E-5</v>
      </c>
      <c r="FM318" s="217">
        <f>EXP(LN(FM67)+0.5*LN('Ecoinvent 3.10'!$E$35)^2)</f>
        <v>5.4626772464381199E-5</v>
      </c>
      <c r="FN318" s="260">
        <f>EXP(LN(FN67)+0.5*LN('Ecoinvent 3.10'!$E$35)^2)</f>
        <v>8.8423876948275217E-5</v>
      </c>
      <c r="FO318" s="217">
        <f>EXP(LN(FO67)+0.5*LN('Ecoinvent 3.10'!$E$35)^2)</f>
        <v>6.2673827554519989E-5</v>
      </c>
      <c r="FP318" s="260">
        <f>EXP(LN(FP67)+0.5*LN('Ecoinvent 3.10'!$E$35)^2)</f>
        <v>6.8193630201169938E-5</v>
      </c>
      <c r="FQ318" s="217">
        <f>EXP(LN(FQ67)+0.5*LN('Ecoinvent 3.10'!$E$35)^2)</f>
        <v>5.1148143316488694E-5</v>
      </c>
      <c r="FT318" s="159" t="s">
        <v>432</v>
      </c>
      <c r="FU318" s="260">
        <f>EXP(LN(FU67)+0.5*LN('Ecoinvent 3.10'!$E$35)^2)</f>
        <v>9.4512411559853887E-3</v>
      </c>
      <c r="FV318" s="217">
        <f>EXP(LN(FV67)+0.5*LN('Ecoinvent 3.10'!$E$35)^2)</f>
        <v>6.6989310899918109E-3</v>
      </c>
      <c r="FW318" s="260">
        <f>EXP(LN(FW67)+0.5*LN('Ecoinvent 3.10'!$E$35)^2)</f>
        <v>1.2416952776588512E-2</v>
      </c>
      <c r="FX318" s="217">
        <f>EXP(LN(FX67)+0.5*LN('Ecoinvent 3.10'!$E$35)^2)</f>
        <v>8.8009933960230772E-3</v>
      </c>
      <c r="FY318" s="260">
        <f>EXP(LN(FY67)+0.5*LN('Ecoinvent 3.10'!$E$35)^2)</f>
        <v>1.205696672064014E-2</v>
      </c>
      <c r="FZ318" s="217">
        <f>EXP(LN(FZ67)+0.5*LN('Ecoinvent 3.10'!$E$35)^2)</f>
        <v>8.5458394175819616E-3</v>
      </c>
      <c r="GA318" s="260">
        <f>EXP(LN(GA67)+0.5*LN('Ecoinvent 3.10'!$E$35)^2)</f>
        <v>1.0089251074773906E-2</v>
      </c>
      <c r="GB318" s="217">
        <f>EXP(LN(GB67)+0.5*LN('Ecoinvent 3.10'!$E$35)^2)</f>
        <v>7.1511451865487342E-3</v>
      </c>
      <c r="GC318" s="260">
        <f>EXP(LN(GC67)+0.5*LN('Ecoinvent 3.10'!$E$35)^2)</f>
        <v>9.1123488131962006E-3</v>
      </c>
      <c r="GD318" s="217">
        <f>EXP(LN(GD67)+0.5*LN('Ecoinvent 3.10'!$E$35)^2)</f>
        <v>6.4587280929671292E-3</v>
      </c>
      <c r="GE318" s="260">
        <f>EXP(LN(GE67)+0.5*LN('Ecoinvent 3.10'!$E$35)^2)</f>
        <v>1.6838509908938211E-2</v>
      </c>
      <c r="GF318" s="217">
        <f>EXP(LN(GF67)+0.5*LN('Ecoinvent 3.10'!$E$35)^2)</f>
        <v>1.1934942265935725E-2</v>
      </c>
      <c r="GG318" s="260">
        <f>EXP(LN(GG67)+0.5*LN('Ecoinvent 3.10'!$E$35)^2)</f>
        <v>1.9318986253416111E-2</v>
      </c>
      <c r="GH318" s="217">
        <f>EXP(LN(GH67)+0.5*LN('Ecoinvent 3.10'!$E$35)^2)</f>
        <v>1.3693075385995748E-2</v>
      </c>
      <c r="GI318" s="260">
        <f>EXP(LN(GI67)+0.5*LN('Ecoinvent 3.10'!$E$35)^2)</f>
        <v>1.4899050458934237E-2</v>
      </c>
      <c r="GJ318" s="217">
        <f>EXP(LN(GJ67)+0.5*LN('Ecoinvent 3.10'!$E$35)^2)</f>
        <v>1.1174925955768985E-2</v>
      </c>
      <c r="GM318" s="159" t="s">
        <v>432</v>
      </c>
      <c r="GN318" s="260">
        <f>EXP(LN(GN67)+0.5*LN('Ecoinvent 3.10'!$E$35)^2)</f>
        <v>0.13869926370234509</v>
      </c>
      <c r="GO318" s="217">
        <f>EXP(LN(GO67)+0.5*LN('Ecoinvent 3.10'!$E$35)^2)</f>
        <v>9.8308443773672843E-2</v>
      </c>
      <c r="GP318" s="260">
        <f>EXP(LN(GP67)+0.5*LN('Ecoinvent 3.10'!$E$35)^2)</f>
        <v>0.18222180337118452</v>
      </c>
      <c r="GQ318" s="217">
        <f>EXP(LN(GQ67)+0.5*LN('Ecoinvent 3.10'!$E$35)^2)</f>
        <v>0.12915671960232958</v>
      </c>
      <c r="GR318" s="260">
        <f>EXP(LN(GR67)+0.5*LN('Ecoinvent 3.10'!$E$35)^2)</f>
        <v>0.1769389204059636</v>
      </c>
      <c r="GS318" s="217">
        <f>EXP(LN(GS67)+0.5*LN('Ecoinvent 3.10'!$E$35)^2)</f>
        <v>0.12541227288295936</v>
      </c>
      <c r="GT318" s="260">
        <f>EXP(LN(GT67)+0.5*LN('Ecoinvent 3.10'!$E$35)^2)</f>
        <v>0.14806221450534304</v>
      </c>
      <c r="GU318" s="217">
        <f>EXP(LN(GU67)+0.5*LN('Ecoinvent 3.10'!$E$35)^2)</f>
        <v>0.10494479567635871</v>
      </c>
      <c r="GV318" s="260">
        <f>EXP(LN(GV67)+0.5*LN('Ecoinvent 3.10'!$E$35)^2)</f>
        <v>0.13372593611039638</v>
      </c>
      <c r="GW318" s="217">
        <f>EXP(LN(GW67)+0.5*LN('Ecoinvent 3.10'!$E$35)^2)</f>
        <v>9.4783406344559992E-2</v>
      </c>
      <c r="GX318" s="260">
        <f>EXP(LN(GX67)+0.5*LN('Ecoinvent 3.10'!$E$35)^2)</f>
        <v>0.24710923017082537</v>
      </c>
      <c r="GY318" s="217">
        <f>EXP(LN(GY67)+0.5*LN('Ecoinvent 3.10'!$E$35)^2)</f>
        <v>0.17514818184138217</v>
      </c>
      <c r="GZ318" s="260">
        <f>EXP(LN(GZ67)+0.5*LN('Ecoinvent 3.10'!$E$35)^2)</f>
        <v>0.28351082409188316</v>
      </c>
      <c r="HA318" s="217">
        <f>EXP(LN(HA67)+0.5*LN('Ecoinvent 3.10'!$E$35)^2)</f>
        <v>0.20094921317879572</v>
      </c>
      <c r="HB318" s="260">
        <f>EXP(LN(HB67)+0.5*LN('Ecoinvent 3.10'!$E$35)^2)</f>
        <v>0.21864719081996728</v>
      </c>
      <c r="HC318" s="217">
        <f>EXP(LN(HC67)+0.5*LN('Ecoinvent 3.10'!$E$35)^2)</f>
        <v>0.16399475755750983</v>
      </c>
      <c r="HF318" s="159" t="s">
        <v>432</v>
      </c>
      <c r="HG318" s="260">
        <f>EXP(LN(HG67)+0.5*LN('Ecoinvent 3.10'!$E$35)^2)</f>
        <v>0.13951897238890068</v>
      </c>
      <c r="HH318" s="217">
        <f>EXP(LN(HH67)+0.5*LN('Ecoinvent 3.10'!$E$35)^2)</f>
        <v>9.8889443868208138E-2</v>
      </c>
      <c r="HI318" s="260">
        <f>EXP(LN(HI67)+0.5*LN('Ecoinvent 3.10'!$E$35)^2)</f>
        <v>0.18329872902396757</v>
      </c>
      <c r="HJ318" s="217">
        <f>EXP(LN(HJ67)+0.5*LN('Ecoinvent 3.10'!$E$35)^2)</f>
        <v>0.1299200321258355</v>
      </c>
      <c r="HK318" s="260">
        <f>EXP(LN(HK67)+0.5*LN('Ecoinvent 3.10'!$E$35)^2)</f>
        <v>0.177984624371327</v>
      </c>
      <c r="HL318" s="217">
        <f>EXP(LN(HL67)+0.5*LN('Ecoinvent 3.10'!$E$35)^2)</f>
        <v>0.12615345583331339</v>
      </c>
      <c r="HM318" s="260">
        <f>EXP(LN(HM67)+0.5*LN('Ecoinvent 3.10'!$E$35)^2)</f>
        <v>0.14893725796369295</v>
      </c>
      <c r="HN318" s="217">
        <f>EXP(LN(HN67)+0.5*LN('Ecoinvent 3.10'!$E$35)^2)</f>
        <v>0.1055650164210724</v>
      </c>
      <c r="HO318" s="260">
        <f>EXP(LN(HO67)+0.5*LN('Ecoinvent 3.10'!$E$35)^2)</f>
        <v>0.13451625257294586</v>
      </c>
      <c r="HP318" s="217">
        <f>EXP(LN(HP67)+0.5*LN('Ecoinvent 3.10'!$E$35)^2)</f>
        <v>9.5343573568581474E-2</v>
      </c>
      <c r="HQ318" s="260">
        <f>EXP(LN(HQ67)+0.5*LN('Ecoinvent 3.10'!$E$35)^2)</f>
        <v>0.2485696386624939</v>
      </c>
      <c r="HR318" s="217">
        <f>EXP(LN(HR67)+0.5*LN('Ecoinvent 3.10'!$E$35)^2)</f>
        <v>0.17618330259298112</v>
      </c>
      <c r="HS318" s="260">
        <f>EXP(LN(HS67)+0.5*LN('Ecoinvent 3.10'!$E$35)^2)</f>
        <v>0.28518636496381866</v>
      </c>
      <c r="HT318" s="217">
        <f>EXP(LN(HT67)+0.5*LN('Ecoinvent 3.10'!$E$35)^2)</f>
        <v>0.20213681728859587</v>
      </c>
      <c r="HU318" s="260">
        <f>EXP(LN(HU67)+0.5*LN('Ecoinvent 3.10'!$E$35)^2)</f>
        <v>0.21993938947208647</v>
      </c>
      <c r="HV318" s="217">
        <f>EXP(LN(HV67)+0.5*LN('Ecoinvent 3.10'!$E$35)^2)</f>
        <v>0.16496396189018711</v>
      </c>
      <c r="HY318" s="159" t="s">
        <v>432</v>
      </c>
      <c r="HZ318" s="260">
        <f>EXP(LN(HZ67)+0.5*LN('Ecoinvent 3.10'!$E$35)^2)</f>
        <v>4.4920946810673149E-4</v>
      </c>
      <c r="IA318" s="217">
        <f>EXP(LN(IA67)+0.5*LN('Ecoinvent 3.10'!$E$35)^2)</f>
        <v>3.1839450736194114E-4</v>
      </c>
      <c r="IB318" s="260">
        <f>EXP(LN(IB67)+0.5*LN('Ecoinvent 3.10'!$E$35)^2)</f>
        <v>5.901672235656952E-4</v>
      </c>
      <c r="IC318" s="217">
        <f>EXP(LN(IC67)+0.5*LN('Ecoinvent 3.10'!$E$35)^2)</f>
        <v>4.1830374413149668E-4</v>
      </c>
      <c r="ID318" s="260">
        <f>EXP(LN(ID67)+0.5*LN('Ecoinvent 3.10'!$E$35)^2)</f>
        <v>5.7305739195209857E-4</v>
      </c>
      <c r="IE318" s="217">
        <f>EXP(LN(IE67)+0.5*LN('Ecoinvent 3.10'!$E$35)^2)</f>
        <v>4.0617649216012354E-4</v>
      </c>
      <c r="IF318" s="260">
        <f>EXP(LN(IF67)+0.5*LN('Ecoinvent 3.10'!$E$35)^2)</f>
        <v>4.7953353788081739E-4</v>
      </c>
      <c r="IG318" s="217">
        <f>EXP(LN(IG67)+0.5*LN('Ecoinvent 3.10'!$E$35)^2)</f>
        <v>3.3988785944470467E-4</v>
      </c>
      <c r="IH318" s="260">
        <f>EXP(LN(IH67)+0.5*LN('Ecoinvent 3.10'!$E$35)^2)</f>
        <v>4.3310220277117641E-4</v>
      </c>
      <c r="II318" s="217">
        <f>EXP(LN(II67)+0.5*LN('Ecoinvent 3.10'!$E$35)^2)</f>
        <v>3.0697786284401244E-4</v>
      </c>
      <c r="IJ318" s="260">
        <f>EXP(LN(IJ67)+0.5*LN('Ecoinvent 3.10'!$E$35)^2)</f>
        <v>8.003200801953756E-4</v>
      </c>
      <c r="IK318" s="217">
        <f>EXP(LN(IK67)+0.5*LN('Ecoinvent 3.10'!$E$35)^2)</f>
        <v>5.672576732179014E-4</v>
      </c>
      <c r="IL318" s="224"/>
      <c r="IM318" s="224"/>
      <c r="IN318" s="224"/>
      <c r="IO318" s="224"/>
    </row>
    <row r="319" spans="2:249" ht="15" customHeight="1" x14ac:dyDescent="0.25">
      <c r="B319" s="248"/>
      <c r="C319" s="248"/>
      <c r="D319" s="248"/>
      <c r="E319" s="248"/>
      <c r="F319" s="248"/>
      <c r="G319" s="248"/>
      <c r="H319" s="248"/>
      <c r="I319" s="248"/>
      <c r="J319" s="248"/>
      <c r="K319" s="248"/>
      <c r="L319" s="248"/>
      <c r="M319" s="248"/>
      <c r="N319" s="248"/>
      <c r="O319" s="248"/>
      <c r="P319" s="248"/>
      <c r="Q319" s="248"/>
      <c r="R319" s="248"/>
      <c r="S319" s="248"/>
      <c r="T319" s="248"/>
      <c r="U319" s="248"/>
      <c r="V319" s="248"/>
      <c r="W319" s="248"/>
      <c r="X319" s="248"/>
      <c r="Y319" s="248"/>
      <c r="Z319" s="248"/>
      <c r="AA319" s="248"/>
      <c r="AB319" s="248"/>
      <c r="AC319" s="248"/>
      <c r="AD319" s="248"/>
      <c r="AE319" s="248"/>
      <c r="AF319" s="248"/>
      <c r="AG319" s="248"/>
      <c r="AH319" s="248"/>
      <c r="AI319" s="248"/>
      <c r="AJ319" s="248"/>
      <c r="AK319" s="248"/>
      <c r="AL319" s="248"/>
      <c r="AM319" s="248"/>
      <c r="AN319" s="94"/>
      <c r="AO319" s="94"/>
      <c r="AP319" s="726"/>
      <c r="AQ319" s="155" t="s">
        <v>215</v>
      </c>
      <c r="AR319" s="132">
        <f>AR316+AR311+AR300+AR260+AR312+AR315</f>
        <v>465.10574568388989</v>
      </c>
      <c r="AS319" s="132">
        <f t="shared" ref="AS319:BC319" si="3139">AS316+AS311+AS300+AS260+AS312+AS315</f>
        <v>434.70809770022987</v>
      </c>
      <c r="AT319" s="132">
        <f t="shared" si="3139"/>
        <v>630.86591725200401</v>
      </c>
      <c r="AU319" s="132">
        <f t="shared" si="3139"/>
        <v>591.90181651307444</v>
      </c>
      <c r="AV319" s="132">
        <f t="shared" si="3139"/>
        <v>634.71791804755105</v>
      </c>
      <c r="AW319" s="132">
        <f t="shared" si="3139"/>
        <v>596.79019438582259</v>
      </c>
      <c r="AX319" s="132">
        <f t="shared" si="3139"/>
        <v>493.13357868204469</v>
      </c>
      <c r="AY319" s="132">
        <f t="shared" si="3139"/>
        <v>461.56843101054926</v>
      </c>
      <c r="AZ319" s="132">
        <f t="shared" si="3139"/>
        <v>426.21936933158884</v>
      </c>
      <c r="BA319" s="132">
        <f t="shared" si="3139"/>
        <v>397.90939372220743</v>
      </c>
      <c r="BB319" s="132">
        <f t="shared" si="3139"/>
        <v>356.74196422283489</v>
      </c>
      <c r="BC319" s="132">
        <f t="shared" si="3139"/>
        <v>304.60993413557486</v>
      </c>
      <c r="BD319" s="132">
        <f>BD316+BD311+BD300+BD260+BD313+BD315</f>
        <v>506.69534616766339</v>
      </c>
      <c r="BE319" s="132">
        <f>BE316+BE311+BE300+BE260+BE313+BE315</f>
        <v>452.06594032780419</v>
      </c>
      <c r="BF319" s="132">
        <f>BF316+BF311+BF300+BF260+BF314+BF315</f>
        <v>673.47605581858386</v>
      </c>
      <c r="BG319" s="132">
        <f>BG316+BG311+BG300+BG260+BG314+BG315</f>
        <v>505.50094306515973</v>
      </c>
      <c r="BI319" s="156"/>
      <c r="BJ319" s="155" t="s">
        <v>215</v>
      </c>
      <c r="BK319" s="132">
        <f>BK316+BK311+BK300+BK260+BK312+BK315</f>
        <v>70.261976241604344</v>
      </c>
      <c r="BL319" s="132">
        <f t="shared" ref="BL319:BV319" si="3140">BL316+BL311+BL300+BL260+BL312+BL315</f>
        <v>63.601377809465099</v>
      </c>
      <c r="BM319" s="132">
        <f t="shared" si="3140"/>
        <v>93.814721637993046</v>
      </c>
      <c r="BN319" s="132">
        <f t="shared" si="3140"/>
        <v>85.281609890976725</v>
      </c>
      <c r="BO319" s="132">
        <f t="shared" si="3140"/>
        <v>92.85590846113061</v>
      </c>
      <c r="BP319" s="132">
        <f t="shared" si="3140"/>
        <v>84.549184194447548</v>
      </c>
      <c r="BQ319" s="132">
        <f t="shared" si="3140"/>
        <v>73.823923583106122</v>
      </c>
      <c r="BR319" s="132">
        <f t="shared" si="3140"/>
        <v>66.91144063169655</v>
      </c>
      <c r="BS319" s="132">
        <f t="shared" si="3140"/>
        <v>64.240380601092014</v>
      </c>
      <c r="BT319" s="132">
        <f t="shared" si="3140"/>
        <v>58.041652380600809</v>
      </c>
      <c r="BU319" s="132">
        <f t="shared" si="3140"/>
        <v>72.130585585161839</v>
      </c>
      <c r="BV319" s="132">
        <f t="shared" si="3140"/>
        <v>60.716732645469421</v>
      </c>
      <c r="BW319" s="132">
        <f>BW316+BW311+BW300+BW260+BW313+BW315</f>
        <v>89.066387030664828</v>
      </c>
      <c r="BX319" s="132">
        <f>BX316+BX311+BX300+BX260+BX313+BX315</f>
        <v>76.379913899709592</v>
      </c>
      <c r="BY319" s="132">
        <f>BY316+BY311+BY300+BY260+BY314+BY315</f>
        <v>133.8055847564481</v>
      </c>
      <c r="BZ319" s="132">
        <f>BZ316+BZ311+BZ300+BZ260+BZ314+BZ315</f>
        <v>90.388784043233997</v>
      </c>
      <c r="CA319" s="156"/>
      <c r="CB319" s="156"/>
      <c r="CC319" s="155" t="s">
        <v>215</v>
      </c>
      <c r="CD319" s="132">
        <f>CD316+CD311+CD300+CD260+CD312+CD315</f>
        <v>2110.476292928257</v>
      </c>
      <c r="CE319" s="132">
        <f t="shared" ref="CE319:CO319" si="3141">CE316+CE311+CE300+CE260+CE312+CE315</f>
        <v>1848.7797870485351</v>
      </c>
      <c r="CF319" s="132">
        <f t="shared" si="3141"/>
        <v>2701.1996990591019</v>
      </c>
      <c r="CG319" s="132">
        <f t="shared" si="3141"/>
        <v>2360.1175795152785</v>
      </c>
      <c r="CH319" s="132">
        <f t="shared" si="3141"/>
        <v>2735.467931132393</v>
      </c>
      <c r="CI319" s="132">
        <f t="shared" si="3141"/>
        <v>2403.9263168370644</v>
      </c>
      <c r="CJ319" s="132">
        <f t="shared" si="3141"/>
        <v>2159.2976319720397</v>
      </c>
      <c r="CK319" s="132">
        <f t="shared" si="3141"/>
        <v>1882.3256968434564</v>
      </c>
      <c r="CL319" s="132">
        <f t="shared" si="3141"/>
        <v>1882.4759766272771</v>
      </c>
      <c r="CM319" s="132">
        <f t="shared" si="3141"/>
        <v>1632.8682332145765</v>
      </c>
      <c r="CN319" s="132">
        <f t="shared" si="3141"/>
        <v>1775.635733243475</v>
      </c>
      <c r="CO319" s="132">
        <f t="shared" si="3141"/>
        <v>1314.8585801706843</v>
      </c>
      <c r="CP319" s="132">
        <f>CP316+CP311+CP300+CP260+CP313+CP315</f>
        <v>1068.1926780352578</v>
      </c>
      <c r="CQ319" s="132">
        <f>CQ316+CQ311+CQ300+CQ260+CQ313+CQ315</f>
        <v>986.26793227798817</v>
      </c>
      <c r="CR319" s="132">
        <f>CR316+CR311+CR300+CR260+CR314+CR315</f>
        <v>2142.2707002728334</v>
      </c>
      <c r="CS319" s="132">
        <f>CS316+CS311+CS300+CS260+CS314+CS315</f>
        <v>1606.7530917174795</v>
      </c>
      <c r="CV319" s="155" t="s">
        <v>215</v>
      </c>
      <c r="CW319" s="132">
        <f>CW316+CW311+CW300+CW260+CW312+CW315</f>
        <v>0.59801066107436041</v>
      </c>
      <c r="CX319" s="132">
        <f t="shared" ref="CX319:DH319" si="3142">CX316+CX311+CX300+CX260+CX312+CX315</f>
        <v>0.49083501920165801</v>
      </c>
      <c r="CY319" s="132">
        <f t="shared" si="3142"/>
        <v>0.74771131813372516</v>
      </c>
      <c r="CZ319" s="132">
        <f t="shared" si="3142"/>
        <v>0.607855682150097</v>
      </c>
      <c r="DA319" s="132">
        <f t="shared" si="3142"/>
        <v>0.74719802238991895</v>
      </c>
      <c r="DB319" s="132">
        <f t="shared" si="3142"/>
        <v>0.6113067271052709</v>
      </c>
      <c r="DC319" s="132">
        <f t="shared" si="3142"/>
        <v>0.61260006858361549</v>
      </c>
      <c r="DD319" s="132">
        <f t="shared" si="3142"/>
        <v>0.49905535796304934</v>
      </c>
      <c r="DE319" s="132">
        <f t="shared" si="3142"/>
        <v>0.54383013609883113</v>
      </c>
      <c r="DF319" s="132">
        <f t="shared" si="3142"/>
        <v>0.44147393393526485</v>
      </c>
      <c r="DG319" s="132">
        <f t="shared" si="3142"/>
        <v>0.68079697711364984</v>
      </c>
      <c r="DH319" s="132">
        <f t="shared" si="3142"/>
        <v>0.491833829283366</v>
      </c>
      <c r="DI319" s="132">
        <f>DI316+DI311+DI300+DI260+DI313+DI315</f>
        <v>0.38684571642457366</v>
      </c>
      <c r="DJ319" s="132">
        <f>DJ316+DJ311+DJ300+DJ260+DJ313+DJ315</f>
        <v>0.3404710857051475</v>
      </c>
      <c r="DK319" s="132">
        <f>DK316+DK311+DK300+DK260+DK314+DK315</f>
        <v>0.86745327961300511</v>
      </c>
      <c r="DL319" s="132">
        <f>DL316+DL311+DL300+DL260+DL314+DL315</f>
        <v>0.58286827158188226</v>
      </c>
      <c r="DO319" s="155" t="s">
        <v>215</v>
      </c>
      <c r="DP319" s="132">
        <f>DP316+DP311+DP300+DP260+DP312+DP315</f>
        <v>27.453960614859465</v>
      </c>
      <c r="DQ319" s="132">
        <f t="shared" ref="DQ319:EA319" si="3143">DQ316+DQ311+DQ300+DQ260+DQ312+DQ315</f>
        <v>25.27991741249523</v>
      </c>
      <c r="DR319" s="132">
        <f t="shared" si="3143"/>
        <v>36.200038816835161</v>
      </c>
      <c r="DS319" s="132">
        <f t="shared" si="3143"/>
        <v>33.604117317879009</v>
      </c>
      <c r="DT319" s="132">
        <f t="shared" si="3143"/>
        <v>35.815220215230305</v>
      </c>
      <c r="DU319" s="132">
        <f t="shared" si="3143"/>
        <v>33.270366196207682</v>
      </c>
      <c r="DV319" s="132">
        <f t="shared" si="3143"/>
        <v>28.896701631670258</v>
      </c>
      <c r="DW319" s="132">
        <f t="shared" si="3143"/>
        <v>26.813536636501347</v>
      </c>
      <c r="DX319" s="132">
        <f t="shared" si="3143"/>
        <v>25.435735904377104</v>
      </c>
      <c r="DY319" s="132">
        <f t="shared" si="3143"/>
        <v>23.607565251243926</v>
      </c>
      <c r="DZ319" s="132">
        <f t="shared" si="3143"/>
        <v>23.23715039840474</v>
      </c>
      <c r="EA319" s="132">
        <f t="shared" si="3143"/>
        <v>19.908184151679315</v>
      </c>
      <c r="EB319" s="132">
        <f>EB316+EB311+EB300+EB260+EB313+EB315</f>
        <v>14.895061218400041</v>
      </c>
      <c r="EC319" s="132">
        <f>EC316+EC311+EC300+EC260+EC313+EC315</f>
        <v>11.432642863005494</v>
      </c>
      <c r="ED319" s="132">
        <f>ED316+ED311+ED300+ED260+ED314+ED315</f>
        <v>170.7566918577875</v>
      </c>
      <c r="EE319" s="132">
        <f>EE316+EE311+EE300+EE260+EE314+EE315</f>
        <v>97.542873198051851</v>
      </c>
      <c r="EH319" s="155" t="s">
        <v>215</v>
      </c>
      <c r="EI319" s="132">
        <f>EI316+EI311+EI300+EI260+EI312+EI315</f>
        <v>3.9113518862031227</v>
      </c>
      <c r="EJ319" s="132">
        <f t="shared" ref="EJ319:ET319" si="3144">EJ316+EJ311+EJ300+EJ260+EJ312+EJ315</f>
        <v>3.8434542528435478</v>
      </c>
      <c r="EK319" s="132">
        <f t="shared" si="3144"/>
        <v>5.7259157007746548</v>
      </c>
      <c r="EL319" s="132">
        <f t="shared" si="3144"/>
        <v>5.638728893218719</v>
      </c>
      <c r="EM319" s="132">
        <f t="shared" si="3144"/>
        <v>5.9033922319875778</v>
      </c>
      <c r="EN319" s="132">
        <f t="shared" si="3144"/>
        <v>5.8185302230202254</v>
      </c>
      <c r="EO319" s="132">
        <f t="shared" si="3144"/>
        <v>4.2806083008014717</v>
      </c>
      <c r="EP319" s="132">
        <f t="shared" si="3144"/>
        <v>4.2099509613759025</v>
      </c>
      <c r="EQ319" s="132">
        <f t="shared" si="3144"/>
        <v>3.5849307235371328</v>
      </c>
      <c r="ER319" s="132">
        <f t="shared" si="3144"/>
        <v>3.5215254939923688</v>
      </c>
      <c r="ES319" s="132">
        <f t="shared" si="3144"/>
        <v>1.1743954120671543</v>
      </c>
      <c r="ET319" s="132">
        <f t="shared" si="3144"/>
        <v>1.0576036726310787</v>
      </c>
      <c r="EU319" s="132">
        <f>EU316+EU311+EU300+EU260+EU313+EU315</f>
        <v>2.8808914767630203</v>
      </c>
      <c r="EV319" s="132">
        <f>EV316+EV311+EV300+EV260+EV313+EV315</f>
        <v>2.7914856924868627</v>
      </c>
      <c r="EW319" s="132">
        <f>EW316+EW311+EW300+EW260+EW314+EW315</f>
        <v>4.2643403416354273</v>
      </c>
      <c r="EX319" s="132">
        <f>EX316+EX311+EX300+EX260+EX314+EX315</f>
        <v>3.8504629266189845</v>
      </c>
      <c r="FA319" s="155" t="s">
        <v>215</v>
      </c>
      <c r="FB319" s="132">
        <f>FB316+FB311+FB300+FB260+FB312+FB315</f>
        <v>4.5179265132887156E-2</v>
      </c>
      <c r="FC319" s="132">
        <f t="shared" ref="FC319:FM319" si="3145">FC316+FC311+FC300+FC260+FC312+FC315</f>
        <v>3.3875940663971219E-2</v>
      </c>
      <c r="FD319" s="132">
        <f t="shared" si="3145"/>
        <v>5.9403471067360082E-2</v>
      </c>
      <c r="FE319" s="132">
        <f t="shared" si="3145"/>
        <v>4.4622979660042313E-2</v>
      </c>
      <c r="FF319" s="132">
        <f t="shared" si="3145"/>
        <v>5.8485625371902342E-2</v>
      </c>
      <c r="FG319" s="132">
        <f t="shared" si="3145"/>
        <v>4.4126888141508475E-2</v>
      </c>
      <c r="FH319" s="132">
        <f t="shared" si="3145"/>
        <v>4.804329856751844E-2</v>
      </c>
      <c r="FI319" s="132">
        <f t="shared" si="3145"/>
        <v>3.6040273887027942E-2</v>
      </c>
      <c r="FJ319" s="132">
        <f t="shared" si="3145"/>
        <v>4.2817333458879885E-2</v>
      </c>
      <c r="FK319" s="132">
        <f t="shared" si="3145"/>
        <v>3.1990747260528606E-2</v>
      </c>
      <c r="FL319" s="132">
        <f t="shared" si="3145"/>
        <v>5.8973022476134819E-2</v>
      </c>
      <c r="FM319" s="132">
        <f t="shared" si="3145"/>
        <v>3.8979854448491134E-2</v>
      </c>
      <c r="FN319" s="132">
        <f>FN316+FN311+FN300+FN260+FN313+FN315</f>
        <v>3.2737294282595135E-2</v>
      </c>
      <c r="FO319" s="132">
        <f>FO316+FO311+FO300+FO260+FO313+FO315</f>
        <v>2.8656355609730132E-2</v>
      </c>
      <c r="FP319" s="132">
        <f>FP316+FP311+FP300+FP260+FP314+FP315</f>
        <v>7.8306425162427543E-2</v>
      </c>
      <c r="FQ319" s="132">
        <f>FQ316+FQ311+FQ300+FQ260+FQ314+FQ315</f>
        <v>4.8727126467613423E-2</v>
      </c>
      <c r="FT319" s="155" t="s">
        <v>215</v>
      </c>
      <c r="FU319" s="132">
        <f>FU316+FU311+FU300+FU260+FU312+FU315</f>
        <v>22.112328169493324</v>
      </c>
      <c r="FV319" s="132">
        <f t="shared" ref="FV319:GF319" si="3146">FV316+FV311+FV300+FV260+FV312+FV315</f>
        <v>13.739716926461652</v>
      </c>
      <c r="FW319" s="132">
        <f t="shared" si="3146"/>
        <v>29.310760491737579</v>
      </c>
      <c r="FX319" s="132">
        <f t="shared" si="3146"/>
        <v>18.329727438120479</v>
      </c>
      <c r="FY319" s="132">
        <f t="shared" si="3146"/>
        <v>28.838747114547601</v>
      </c>
      <c r="FZ319" s="132">
        <f t="shared" si="3146"/>
        <v>18.174224966375302</v>
      </c>
      <c r="GA319" s="132">
        <f t="shared" si="3146"/>
        <v>23.583124930346369</v>
      </c>
      <c r="GB319" s="132">
        <f t="shared" si="3146"/>
        <v>14.662397231522398</v>
      </c>
      <c r="GC319" s="132">
        <f t="shared" si="3146"/>
        <v>21.038794515159235</v>
      </c>
      <c r="GD319" s="132">
        <f t="shared" si="3146"/>
        <v>12.985666262721242</v>
      </c>
      <c r="GE319" s="132">
        <f t="shared" si="3146"/>
        <v>32.395561097103943</v>
      </c>
      <c r="GF319" s="132">
        <f t="shared" si="3146"/>
        <v>17.517872634000213</v>
      </c>
      <c r="GG319" s="132">
        <f>GG316+GG311+GG300+GG260+GG313+GG315</f>
        <v>5.584802364475439</v>
      </c>
      <c r="GH319" s="132">
        <f>GH316+GH311+GH300+GH260+GH313+GH315</f>
        <v>4.7145539892755064</v>
      </c>
      <c r="GI319" s="132">
        <f>GI316+GI311+GI300+GI260+GI314+GI315</f>
        <v>25.667986756746611</v>
      </c>
      <c r="GJ319" s="132">
        <f>GJ316+GJ311+GJ300+GJ260+GJ314+GJ315</f>
        <v>15.260913112839312</v>
      </c>
      <c r="GM319" s="155" t="s">
        <v>215</v>
      </c>
      <c r="GN319" s="132">
        <f>GN316+GN311+GN300+GN260+GN312+GN315</f>
        <v>17.240846504475787</v>
      </c>
      <c r="GO319" s="132">
        <f t="shared" ref="GO319:GY319" si="3147">GO316+GO311+GO300+GO260+GO312+GO315</f>
        <v>13.700177141702673</v>
      </c>
      <c r="GP319" s="132">
        <f t="shared" si="3147"/>
        <v>23.15667594694149</v>
      </c>
      <c r="GQ319" s="132">
        <f t="shared" si="3147"/>
        <v>18.557302897214484</v>
      </c>
      <c r="GR319" s="132">
        <f t="shared" si="3147"/>
        <v>22.916814205193308</v>
      </c>
      <c r="GS319" s="132">
        <f t="shared" si="3147"/>
        <v>18.444050200362419</v>
      </c>
      <c r="GT319" s="132">
        <f t="shared" si="3147"/>
        <v>18.107238614472667</v>
      </c>
      <c r="GU319" s="132">
        <f t="shared" si="3147"/>
        <v>14.373257078640034</v>
      </c>
      <c r="GV319" s="132">
        <f t="shared" si="3147"/>
        <v>15.783583066325214</v>
      </c>
      <c r="GW319" s="132">
        <f t="shared" si="3147"/>
        <v>12.421596139176684</v>
      </c>
      <c r="GX319" s="132">
        <f t="shared" si="3147"/>
        <v>19.974581577552428</v>
      </c>
      <c r="GY319" s="132">
        <f t="shared" si="3147"/>
        <v>13.770957358727889</v>
      </c>
      <c r="GZ319" s="132">
        <f>GZ316+GZ311+GZ300+GZ260+GZ313+GZ315</f>
        <v>19.488447272586949</v>
      </c>
      <c r="HA319" s="132">
        <f>HA316+HA311+HA300+HA260+HA313+HA315</f>
        <v>14.709456841526078</v>
      </c>
      <c r="HB319" s="132">
        <f>HB316+HB311+HB300+HB260+HB314+HB315</f>
        <v>30.416180451118162</v>
      </c>
      <c r="HC319" s="132">
        <f>HC316+HC311+HC300+HC260+HC314+HC315</f>
        <v>19.726816564147946</v>
      </c>
      <c r="HF319" s="155" t="s">
        <v>215</v>
      </c>
      <c r="HG319" s="132">
        <f>HG316+HG311+HG300+HG260+HG312+HG315</f>
        <v>389.73234684634667</v>
      </c>
      <c r="HH319" s="132">
        <f t="shared" ref="HH319:HR319" si="3148">HH316+HH311+HH300+HH260+HH312+HH315</f>
        <v>261.27931017779798</v>
      </c>
      <c r="HI319" s="132">
        <f t="shared" si="3148"/>
        <v>522.51998518647167</v>
      </c>
      <c r="HJ319" s="132">
        <f t="shared" si="3148"/>
        <v>354.13432102823515</v>
      </c>
      <c r="HK319" s="132">
        <f t="shared" si="3148"/>
        <v>516.90232995358531</v>
      </c>
      <c r="HL319" s="132">
        <f t="shared" si="3148"/>
        <v>353.36296315718545</v>
      </c>
      <c r="HM319" s="132">
        <f t="shared" si="3148"/>
        <v>416.37071160342805</v>
      </c>
      <c r="HN319" s="132">
        <f t="shared" si="3148"/>
        <v>279.58781160043907</v>
      </c>
      <c r="HO319" s="132">
        <f t="shared" si="3148"/>
        <v>368.46137460139568</v>
      </c>
      <c r="HP319" s="132">
        <f t="shared" si="3148"/>
        <v>244.99925529187331</v>
      </c>
      <c r="HQ319" s="132">
        <f t="shared" si="3148"/>
        <v>515.6288784156153</v>
      </c>
      <c r="HR319" s="132">
        <f t="shared" si="3148"/>
        <v>287.55649187348325</v>
      </c>
      <c r="HS319" s="132">
        <f>HS316+HS311+HS300+HS260+HS313+HS315</f>
        <v>123.0204034300037</v>
      </c>
      <c r="HT319" s="132">
        <f>HT316+HT311+HT300+HT260+HT313+HT315</f>
        <v>108.54081738591573</v>
      </c>
      <c r="HU319" s="132">
        <f>HU316+HU311+HU300+HU260+HU314+HU315</f>
        <v>478.31041851545496</v>
      </c>
      <c r="HV319" s="132">
        <f>HV316+HV311+HV300+HV260+HV314+HV315</f>
        <v>298.26907936892428</v>
      </c>
      <c r="HY319" s="155" t="s">
        <v>215</v>
      </c>
      <c r="HZ319" s="132">
        <f>HZ316+HZ311+HZ300+HZ260+HZ312+HZ315</f>
        <v>0.21022279332979038</v>
      </c>
      <c r="IA319" s="132">
        <f t="shared" ref="IA319:IK319" si="3149">IA316+IA311+IA300+IA260+IA312+IA315</f>
        <v>0.17390225985418323</v>
      </c>
      <c r="IB319" s="132">
        <f t="shared" si="3149"/>
        <v>0.26547007694405161</v>
      </c>
      <c r="IC319" s="132">
        <f t="shared" si="3149"/>
        <v>0.21815089224317075</v>
      </c>
      <c r="ID319" s="132">
        <f t="shared" si="3149"/>
        <v>0.26476045668398424</v>
      </c>
      <c r="IE319" s="132">
        <f t="shared" si="3149"/>
        <v>0.21877498903883352</v>
      </c>
      <c r="IF319" s="132">
        <f t="shared" si="3149"/>
        <v>0.21593581170690648</v>
      </c>
      <c r="IG319" s="132">
        <f t="shared" si="3149"/>
        <v>0.17752595243696762</v>
      </c>
      <c r="IH319" s="132">
        <f t="shared" si="3149"/>
        <v>0.19107984655752844</v>
      </c>
      <c r="II319" s="132">
        <f t="shared" si="3149"/>
        <v>0.15647049633637272</v>
      </c>
      <c r="IJ319" s="132">
        <f t="shared" si="3149"/>
        <v>0.23902584173877225</v>
      </c>
      <c r="IK319" s="132">
        <f t="shared" si="3149"/>
        <v>0.17514665449104236</v>
      </c>
      <c r="IL319" s="132"/>
      <c r="IM319" s="132"/>
      <c r="IN319" s="132"/>
      <c r="IO319" s="132"/>
    </row>
    <row r="320" spans="2:249" ht="46.5" customHeight="1" x14ac:dyDescent="0.2">
      <c r="B320" s="248"/>
      <c r="C320" s="248"/>
      <c r="D320" s="248"/>
      <c r="E320" s="248"/>
      <c r="F320" s="248"/>
      <c r="G320" s="248"/>
      <c r="H320" s="248"/>
      <c r="I320" s="248"/>
      <c r="J320" s="248"/>
      <c r="K320" s="248"/>
      <c r="L320" s="248"/>
      <c r="M320" s="248"/>
      <c r="N320" s="248"/>
      <c r="O320" s="248"/>
      <c r="P320" s="248"/>
      <c r="Q320" s="248"/>
      <c r="R320" s="248"/>
      <c r="S320" s="248"/>
      <c r="T320" s="248"/>
      <c r="U320" s="248"/>
      <c r="V320" s="248"/>
      <c r="W320" s="248"/>
      <c r="X320" s="248"/>
      <c r="Y320" s="248"/>
      <c r="Z320" s="248"/>
      <c r="AA320" s="248"/>
      <c r="AB320" s="248"/>
      <c r="AC320" s="248"/>
      <c r="AD320" s="248"/>
      <c r="AE320" s="248"/>
      <c r="AF320" s="248"/>
      <c r="AG320" s="248"/>
      <c r="AH320" s="248"/>
      <c r="AI320" s="248"/>
      <c r="AJ320" s="248"/>
      <c r="AK320" s="248"/>
      <c r="AL320" s="248"/>
      <c r="AM320" s="248"/>
      <c r="AN320" s="122"/>
      <c r="AO320" s="24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158"/>
      <c r="BD320" s="158"/>
      <c r="BE320" s="158"/>
      <c r="BF320" s="158"/>
      <c r="BG320" s="158"/>
      <c r="BH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158"/>
      <c r="BV320" s="158"/>
      <c r="BW320" s="158"/>
      <c r="BX320" s="158"/>
      <c r="BY320" s="158"/>
      <c r="BZ320" s="158"/>
    </row>
    <row r="321" spans="2:249" ht="12.75" customHeight="1" x14ac:dyDescent="0.2">
      <c r="B321" s="248"/>
      <c r="C321" s="248"/>
      <c r="D321" s="248"/>
      <c r="E321" s="248"/>
      <c r="F321" s="248"/>
      <c r="G321" s="248"/>
      <c r="H321" s="248"/>
      <c r="I321" s="248"/>
      <c r="J321" s="248"/>
      <c r="K321" s="248"/>
      <c r="L321" s="248"/>
      <c r="M321" s="248"/>
      <c r="N321" s="248"/>
      <c r="O321" s="248"/>
      <c r="P321" s="248"/>
      <c r="Q321" s="248"/>
      <c r="R321" s="248"/>
      <c r="S321" s="248"/>
      <c r="T321" s="248"/>
      <c r="U321" s="248"/>
      <c r="V321" s="248"/>
      <c r="W321" s="248"/>
      <c r="X321" s="248"/>
      <c r="Y321" s="248"/>
      <c r="Z321" s="248"/>
      <c r="AA321" s="248"/>
      <c r="AB321" s="248"/>
      <c r="AC321" s="248"/>
      <c r="AD321" s="248"/>
      <c r="AE321" s="248"/>
      <c r="AF321" s="248"/>
      <c r="AG321" s="248"/>
      <c r="AH321" s="248"/>
      <c r="AI321" s="248"/>
      <c r="AJ321" s="248"/>
      <c r="AK321" s="248"/>
      <c r="AL321" s="248"/>
      <c r="AM321" s="248"/>
      <c r="AN321" s="141"/>
      <c r="AO321" s="248"/>
      <c r="AP321" s="249"/>
      <c r="AQ321" s="708" t="s">
        <v>222</v>
      </c>
      <c r="AR321" s="708"/>
      <c r="AS321" s="708"/>
      <c r="AT321" s="708"/>
      <c r="AU321" s="708"/>
      <c r="AV321" s="708"/>
      <c r="AW321" s="708"/>
      <c r="AX321" s="708"/>
      <c r="AY321" s="708"/>
      <c r="AZ321" s="708"/>
      <c r="BA321" s="708"/>
      <c r="BB321" s="708"/>
      <c r="BC321" s="708"/>
      <c r="BD321" s="416"/>
      <c r="BE321" s="416"/>
      <c r="BF321" s="416"/>
      <c r="BG321" s="416"/>
      <c r="BH321" s="158"/>
      <c r="BI321" s="275"/>
      <c r="BJ321" s="708" t="s">
        <v>437</v>
      </c>
      <c r="BK321" s="708"/>
      <c r="BL321" s="708"/>
      <c r="BM321" s="708"/>
      <c r="BN321" s="708"/>
      <c r="BO321" s="708"/>
      <c r="BP321" s="708"/>
      <c r="BQ321" s="708"/>
      <c r="BR321" s="708"/>
      <c r="BS321" s="708"/>
      <c r="BT321" s="708"/>
      <c r="BU321" s="708"/>
      <c r="BV321" s="708"/>
      <c r="BW321" s="708"/>
      <c r="BX321" s="708"/>
      <c r="BY321" s="708"/>
      <c r="BZ321" s="708"/>
      <c r="CA321" s="105"/>
      <c r="CB321" s="275"/>
      <c r="CC321" s="708" t="s">
        <v>439</v>
      </c>
      <c r="CD321" s="708"/>
      <c r="CE321" s="708"/>
      <c r="CF321" s="708"/>
      <c r="CG321" s="708"/>
      <c r="CH321" s="708"/>
      <c r="CI321" s="708"/>
      <c r="CJ321" s="708"/>
      <c r="CK321" s="708"/>
      <c r="CL321" s="708"/>
      <c r="CM321" s="708"/>
      <c r="CN321" s="708"/>
      <c r="CO321" s="708"/>
      <c r="CP321" s="708"/>
      <c r="CQ321" s="708"/>
      <c r="CR321" s="708"/>
      <c r="CS321" s="708"/>
      <c r="CT321" s="105"/>
      <c r="CU321" s="275"/>
      <c r="CV321" s="708" t="s">
        <v>441</v>
      </c>
      <c r="CW321" s="708"/>
      <c r="CX321" s="708"/>
      <c r="CY321" s="708"/>
      <c r="CZ321" s="708"/>
      <c r="DA321" s="708"/>
      <c r="DB321" s="708"/>
      <c r="DC321" s="708"/>
      <c r="DD321" s="708"/>
      <c r="DE321" s="708"/>
      <c r="DF321" s="708"/>
      <c r="DG321" s="708"/>
      <c r="DH321" s="708"/>
      <c r="DI321" s="708"/>
      <c r="DJ321" s="708"/>
      <c r="DK321" s="708"/>
      <c r="DL321" s="708"/>
      <c r="DM321" s="105"/>
      <c r="DN321" s="275"/>
      <c r="DO321" s="708" t="s">
        <v>443</v>
      </c>
      <c r="DP321" s="708"/>
      <c r="DQ321" s="708"/>
      <c r="DR321" s="708"/>
      <c r="DS321" s="708"/>
      <c r="DT321" s="708"/>
      <c r="DU321" s="708"/>
      <c r="DV321" s="708"/>
      <c r="DW321" s="708"/>
      <c r="DX321" s="708"/>
      <c r="DY321" s="708"/>
      <c r="DZ321" s="708"/>
      <c r="EA321" s="708"/>
      <c r="EB321" s="708"/>
      <c r="EC321" s="708"/>
      <c r="ED321" s="708"/>
      <c r="EE321" s="708"/>
      <c r="EF321" s="105"/>
      <c r="EG321" s="275"/>
      <c r="EH321" s="708" t="s">
        <v>225</v>
      </c>
      <c r="EI321" s="708"/>
      <c r="EJ321" s="708"/>
      <c r="EK321" s="708"/>
      <c r="EL321" s="708"/>
      <c r="EM321" s="708"/>
      <c r="EN321" s="708"/>
      <c r="EO321" s="708"/>
      <c r="EP321" s="708"/>
      <c r="EQ321" s="708"/>
      <c r="ER321" s="708"/>
      <c r="ES321" s="708"/>
      <c r="ET321" s="708"/>
      <c r="EU321" s="708"/>
      <c r="EV321" s="708"/>
      <c r="EW321" s="708"/>
      <c r="EX321" s="708"/>
      <c r="EY321" s="105"/>
      <c r="EZ321" s="275"/>
      <c r="FA321" s="708" t="s">
        <v>433</v>
      </c>
      <c r="FB321" s="708"/>
      <c r="FC321" s="708"/>
      <c r="FD321" s="708"/>
      <c r="FE321" s="708"/>
      <c r="FF321" s="708"/>
      <c r="FG321" s="708"/>
      <c r="FH321" s="708"/>
      <c r="FI321" s="708"/>
      <c r="FJ321" s="708"/>
      <c r="FK321" s="708"/>
      <c r="FL321" s="708"/>
      <c r="FM321" s="708"/>
      <c r="FN321" s="708"/>
      <c r="FO321" s="708"/>
      <c r="FP321" s="708"/>
      <c r="FQ321" s="708"/>
      <c r="FR321" s="105"/>
      <c r="FS321" s="275"/>
      <c r="FT321" s="708" t="s">
        <v>426</v>
      </c>
      <c r="FU321" s="708"/>
      <c r="FV321" s="708"/>
      <c r="FW321" s="708"/>
      <c r="FX321" s="708"/>
      <c r="FY321" s="708"/>
      <c r="FZ321" s="708"/>
      <c r="GA321" s="708"/>
      <c r="GB321" s="708"/>
      <c r="GC321" s="708"/>
      <c r="GD321" s="708"/>
      <c r="GE321" s="708"/>
      <c r="GF321" s="708"/>
      <c r="GG321" s="708"/>
      <c r="GH321" s="708"/>
      <c r="GI321" s="708"/>
      <c r="GJ321" s="708"/>
      <c r="GK321" s="105"/>
      <c r="GL321" s="275"/>
      <c r="GM321" s="708" t="s">
        <v>434</v>
      </c>
      <c r="GN321" s="708"/>
      <c r="GO321" s="708"/>
      <c r="GP321" s="708"/>
      <c r="GQ321" s="708"/>
      <c r="GR321" s="708"/>
      <c r="GS321" s="708"/>
      <c r="GT321" s="708"/>
      <c r="GU321" s="708"/>
      <c r="GV321" s="708"/>
      <c r="GW321" s="708"/>
      <c r="GX321" s="708"/>
      <c r="GY321" s="708"/>
      <c r="GZ321" s="708"/>
      <c r="HA321" s="708"/>
      <c r="HB321" s="708"/>
      <c r="HC321" s="708"/>
      <c r="HD321" s="105"/>
      <c r="HE321" s="275"/>
      <c r="HF321" s="708" t="s">
        <v>435</v>
      </c>
      <c r="HG321" s="708"/>
      <c r="HH321" s="708"/>
      <c r="HI321" s="708"/>
      <c r="HJ321" s="708"/>
      <c r="HK321" s="708"/>
      <c r="HL321" s="708"/>
      <c r="HM321" s="708"/>
      <c r="HN321" s="708"/>
      <c r="HO321" s="708"/>
      <c r="HP321" s="708"/>
      <c r="HQ321" s="708"/>
      <c r="HR321" s="708"/>
      <c r="HS321" s="708"/>
      <c r="HT321" s="708"/>
      <c r="HU321" s="708"/>
      <c r="HV321" s="708"/>
      <c r="HW321" s="105"/>
      <c r="HX321" s="105"/>
      <c r="HY321" s="708" t="s">
        <v>435</v>
      </c>
      <c r="HZ321" s="708"/>
      <c r="IA321" s="708"/>
      <c r="IB321" s="708"/>
      <c r="IC321" s="708"/>
      <c r="ID321" s="708"/>
      <c r="IE321" s="708"/>
      <c r="IF321" s="708"/>
      <c r="IG321" s="708"/>
      <c r="IH321" s="708"/>
      <c r="II321" s="708"/>
      <c r="IJ321" s="708"/>
      <c r="IK321" s="708"/>
      <c r="IL321" s="417"/>
      <c r="IM321" s="417"/>
      <c r="IN321" s="417"/>
      <c r="IO321" s="417"/>
    </row>
    <row r="322" spans="2:249" ht="12.75" customHeight="1" x14ac:dyDescent="0.2">
      <c r="B322" s="248"/>
      <c r="C322" s="248"/>
      <c r="D322" s="248"/>
      <c r="E322" s="248"/>
      <c r="F322" s="248"/>
      <c r="G322" s="248"/>
      <c r="H322" s="248"/>
      <c r="I322" s="248"/>
      <c r="J322" s="248"/>
      <c r="K322" s="248"/>
      <c r="L322" s="248"/>
      <c r="M322" s="248"/>
      <c r="N322" s="248"/>
      <c r="O322" s="248"/>
      <c r="P322" s="248"/>
      <c r="Q322" s="248"/>
      <c r="R322" s="248"/>
      <c r="S322" s="248"/>
      <c r="T322" s="248"/>
      <c r="U322" s="248"/>
      <c r="V322" s="248"/>
      <c r="W322" s="248"/>
      <c r="X322" s="248"/>
      <c r="Y322" s="248"/>
      <c r="Z322" s="248"/>
      <c r="AA322" s="248"/>
      <c r="AB322" s="248"/>
      <c r="AC322" s="248"/>
      <c r="AD322" s="248"/>
      <c r="AE322" s="248"/>
      <c r="AF322" s="248"/>
      <c r="AG322" s="248"/>
      <c r="AH322" s="248"/>
      <c r="AI322" s="248"/>
      <c r="AJ322" s="248"/>
      <c r="AK322" s="248"/>
      <c r="AL322" s="248"/>
      <c r="AM322" s="248"/>
      <c r="AN322" s="122"/>
      <c r="AO322" s="248"/>
      <c r="AP322" s="249"/>
      <c r="AQ322" s="708"/>
      <c r="AR322" s="708"/>
      <c r="AS322" s="708"/>
      <c r="AT322" s="708"/>
      <c r="AU322" s="708"/>
      <c r="AV322" s="708"/>
      <c r="AW322" s="708"/>
      <c r="AX322" s="708"/>
      <c r="AY322" s="708"/>
      <c r="AZ322" s="708"/>
      <c r="BA322" s="708"/>
      <c r="BB322" s="708"/>
      <c r="BC322" s="708"/>
      <c r="BD322" s="416"/>
      <c r="BE322" s="416"/>
      <c r="BF322" s="416"/>
      <c r="BG322" s="416"/>
      <c r="BH322" s="158"/>
      <c r="BI322" s="275"/>
      <c r="BJ322" s="708"/>
      <c r="BK322" s="708"/>
      <c r="BL322" s="708"/>
      <c r="BM322" s="708"/>
      <c r="BN322" s="708"/>
      <c r="BO322" s="708"/>
      <c r="BP322" s="708"/>
      <c r="BQ322" s="708"/>
      <c r="BR322" s="708"/>
      <c r="BS322" s="708"/>
      <c r="BT322" s="708"/>
      <c r="BU322" s="708"/>
      <c r="BV322" s="708"/>
      <c r="BW322" s="708"/>
      <c r="BX322" s="708"/>
      <c r="BY322" s="708"/>
      <c r="BZ322" s="708"/>
      <c r="CA322" s="105"/>
      <c r="CB322" s="275"/>
      <c r="CC322" s="708"/>
      <c r="CD322" s="708"/>
      <c r="CE322" s="708"/>
      <c r="CF322" s="708"/>
      <c r="CG322" s="708"/>
      <c r="CH322" s="708"/>
      <c r="CI322" s="708"/>
      <c r="CJ322" s="708"/>
      <c r="CK322" s="708"/>
      <c r="CL322" s="708"/>
      <c r="CM322" s="708"/>
      <c r="CN322" s="708"/>
      <c r="CO322" s="708"/>
      <c r="CP322" s="708"/>
      <c r="CQ322" s="708"/>
      <c r="CR322" s="708"/>
      <c r="CS322" s="708"/>
      <c r="CT322" s="105"/>
      <c r="CU322" s="275"/>
      <c r="CV322" s="708"/>
      <c r="CW322" s="708"/>
      <c r="CX322" s="708"/>
      <c r="CY322" s="708"/>
      <c r="CZ322" s="708"/>
      <c r="DA322" s="708"/>
      <c r="DB322" s="708"/>
      <c r="DC322" s="708"/>
      <c r="DD322" s="708"/>
      <c r="DE322" s="708"/>
      <c r="DF322" s="708"/>
      <c r="DG322" s="708"/>
      <c r="DH322" s="708"/>
      <c r="DI322" s="708"/>
      <c r="DJ322" s="708"/>
      <c r="DK322" s="708"/>
      <c r="DL322" s="708"/>
      <c r="DM322" s="105"/>
      <c r="DN322" s="275"/>
      <c r="DO322" s="708"/>
      <c r="DP322" s="708"/>
      <c r="DQ322" s="708"/>
      <c r="DR322" s="708"/>
      <c r="DS322" s="708"/>
      <c r="DT322" s="708"/>
      <c r="DU322" s="708"/>
      <c r="DV322" s="708"/>
      <c r="DW322" s="708"/>
      <c r="DX322" s="708"/>
      <c r="DY322" s="708"/>
      <c r="DZ322" s="708"/>
      <c r="EA322" s="708"/>
      <c r="EB322" s="708"/>
      <c r="EC322" s="708"/>
      <c r="ED322" s="708"/>
      <c r="EE322" s="708"/>
      <c r="EF322" s="105"/>
      <c r="EG322" s="275"/>
      <c r="EH322" s="708"/>
      <c r="EI322" s="708"/>
      <c r="EJ322" s="708"/>
      <c r="EK322" s="708"/>
      <c r="EL322" s="708"/>
      <c r="EM322" s="708"/>
      <c r="EN322" s="708"/>
      <c r="EO322" s="708"/>
      <c r="EP322" s="708"/>
      <c r="EQ322" s="708"/>
      <c r="ER322" s="708"/>
      <c r="ES322" s="708"/>
      <c r="ET322" s="708"/>
      <c r="EU322" s="708"/>
      <c r="EV322" s="708"/>
      <c r="EW322" s="708"/>
      <c r="EX322" s="708"/>
      <c r="EY322" s="105"/>
      <c r="EZ322" s="275"/>
      <c r="FA322" s="708"/>
      <c r="FB322" s="708"/>
      <c r="FC322" s="708"/>
      <c r="FD322" s="708"/>
      <c r="FE322" s="708"/>
      <c r="FF322" s="708"/>
      <c r="FG322" s="708"/>
      <c r="FH322" s="708"/>
      <c r="FI322" s="708"/>
      <c r="FJ322" s="708"/>
      <c r="FK322" s="708"/>
      <c r="FL322" s="708"/>
      <c r="FM322" s="708"/>
      <c r="FN322" s="708"/>
      <c r="FO322" s="708"/>
      <c r="FP322" s="708"/>
      <c r="FQ322" s="708"/>
      <c r="FR322" s="105"/>
      <c r="FS322" s="275"/>
      <c r="FT322" s="708"/>
      <c r="FU322" s="708"/>
      <c r="FV322" s="708"/>
      <c r="FW322" s="708"/>
      <c r="FX322" s="708"/>
      <c r="FY322" s="708"/>
      <c r="FZ322" s="708"/>
      <c r="GA322" s="708"/>
      <c r="GB322" s="708"/>
      <c r="GC322" s="708"/>
      <c r="GD322" s="708"/>
      <c r="GE322" s="708"/>
      <c r="GF322" s="708"/>
      <c r="GG322" s="708"/>
      <c r="GH322" s="708"/>
      <c r="GI322" s="708"/>
      <c r="GJ322" s="708"/>
      <c r="GK322" s="105"/>
      <c r="GL322" s="275"/>
      <c r="GM322" s="708"/>
      <c r="GN322" s="708"/>
      <c r="GO322" s="708"/>
      <c r="GP322" s="708"/>
      <c r="GQ322" s="708"/>
      <c r="GR322" s="708"/>
      <c r="GS322" s="708"/>
      <c r="GT322" s="708"/>
      <c r="GU322" s="708"/>
      <c r="GV322" s="708"/>
      <c r="GW322" s="708"/>
      <c r="GX322" s="708"/>
      <c r="GY322" s="708"/>
      <c r="GZ322" s="708"/>
      <c r="HA322" s="708"/>
      <c r="HB322" s="708"/>
      <c r="HC322" s="708"/>
      <c r="HD322" s="105"/>
      <c r="HE322" s="275"/>
      <c r="HF322" s="708"/>
      <c r="HG322" s="708"/>
      <c r="HH322" s="708"/>
      <c r="HI322" s="708"/>
      <c r="HJ322" s="708"/>
      <c r="HK322" s="708"/>
      <c r="HL322" s="708"/>
      <c r="HM322" s="708"/>
      <c r="HN322" s="708"/>
      <c r="HO322" s="708"/>
      <c r="HP322" s="708"/>
      <c r="HQ322" s="708"/>
      <c r="HR322" s="708"/>
      <c r="HS322" s="708"/>
      <c r="HT322" s="708"/>
      <c r="HU322" s="708"/>
      <c r="HV322" s="708"/>
      <c r="HW322" s="105"/>
      <c r="HX322" s="105"/>
      <c r="HY322" s="708"/>
      <c r="HZ322" s="708"/>
      <c r="IA322" s="708"/>
      <c r="IB322" s="708"/>
      <c r="IC322" s="708"/>
      <c r="ID322" s="708"/>
      <c r="IE322" s="708"/>
      <c r="IF322" s="708"/>
      <c r="IG322" s="708"/>
      <c r="IH322" s="708"/>
      <c r="II322" s="708"/>
      <c r="IJ322" s="708"/>
      <c r="IK322" s="708"/>
      <c r="IL322" s="417"/>
      <c r="IM322" s="417"/>
      <c r="IN322" s="417"/>
      <c r="IO322" s="417"/>
    </row>
    <row r="323" spans="2:249" ht="12.75" customHeight="1" x14ac:dyDescent="0.2"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130"/>
      <c r="AO323" s="69"/>
      <c r="AP323" s="249"/>
      <c r="AQ323" s="3"/>
      <c r="AR323" s="715" t="s">
        <v>0</v>
      </c>
      <c r="AS323" s="712"/>
      <c r="AT323" s="711" t="s">
        <v>1</v>
      </c>
      <c r="AU323" s="712"/>
      <c r="AV323" s="711" t="s">
        <v>2</v>
      </c>
      <c r="AW323" s="712"/>
      <c r="AX323" s="713" t="s">
        <v>3</v>
      </c>
      <c r="AY323" s="714"/>
      <c r="AZ323" s="713" t="s">
        <v>200</v>
      </c>
      <c r="BA323" s="714"/>
      <c r="BB323" s="713" t="s">
        <v>5</v>
      </c>
      <c r="BC323" s="714"/>
      <c r="BD323" s="709" t="s">
        <v>634</v>
      </c>
      <c r="BE323" s="710"/>
      <c r="BF323" s="709" t="s">
        <v>582</v>
      </c>
      <c r="BG323" s="710"/>
      <c r="BH323" s="158"/>
      <c r="BI323" s="275"/>
      <c r="BJ323" s="3"/>
      <c r="BK323" s="715" t="s">
        <v>0</v>
      </c>
      <c r="BL323" s="712"/>
      <c r="BM323" s="711" t="s">
        <v>1</v>
      </c>
      <c r="BN323" s="712"/>
      <c r="BO323" s="711" t="s">
        <v>2</v>
      </c>
      <c r="BP323" s="712"/>
      <c r="BQ323" s="713" t="s">
        <v>3</v>
      </c>
      <c r="BR323" s="714"/>
      <c r="BS323" s="713" t="s">
        <v>200</v>
      </c>
      <c r="BT323" s="714"/>
      <c r="BU323" s="713" t="s">
        <v>5</v>
      </c>
      <c r="BV323" s="714"/>
      <c r="BW323" s="709" t="s">
        <v>634</v>
      </c>
      <c r="BX323" s="710"/>
      <c r="BY323" s="709" t="s">
        <v>582</v>
      </c>
      <c r="BZ323" s="710"/>
      <c r="CA323" s="105"/>
      <c r="CB323" s="275"/>
      <c r="CC323" s="3"/>
      <c r="CD323" s="715" t="s">
        <v>0</v>
      </c>
      <c r="CE323" s="712"/>
      <c r="CF323" s="711" t="s">
        <v>1</v>
      </c>
      <c r="CG323" s="712"/>
      <c r="CH323" s="711" t="s">
        <v>2</v>
      </c>
      <c r="CI323" s="712"/>
      <c r="CJ323" s="713" t="s">
        <v>3</v>
      </c>
      <c r="CK323" s="714"/>
      <c r="CL323" s="713" t="s">
        <v>200</v>
      </c>
      <c r="CM323" s="714"/>
      <c r="CN323" s="713" t="s">
        <v>5</v>
      </c>
      <c r="CO323" s="714"/>
      <c r="CP323" s="709" t="s">
        <v>634</v>
      </c>
      <c r="CQ323" s="710"/>
      <c r="CR323" s="709" t="s">
        <v>582</v>
      </c>
      <c r="CS323" s="710"/>
      <c r="CT323" s="105"/>
      <c r="CU323" s="275"/>
      <c r="CV323" s="3"/>
      <c r="CW323" s="715" t="s">
        <v>0</v>
      </c>
      <c r="CX323" s="712"/>
      <c r="CY323" s="711" t="s">
        <v>1</v>
      </c>
      <c r="CZ323" s="712"/>
      <c r="DA323" s="711" t="s">
        <v>2</v>
      </c>
      <c r="DB323" s="712"/>
      <c r="DC323" s="713" t="s">
        <v>3</v>
      </c>
      <c r="DD323" s="714"/>
      <c r="DE323" s="713" t="s">
        <v>200</v>
      </c>
      <c r="DF323" s="714"/>
      <c r="DG323" s="713" t="s">
        <v>5</v>
      </c>
      <c r="DH323" s="714"/>
      <c r="DI323" s="709" t="s">
        <v>634</v>
      </c>
      <c r="DJ323" s="710"/>
      <c r="DK323" s="709" t="s">
        <v>582</v>
      </c>
      <c r="DL323" s="710"/>
      <c r="DM323" s="105"/>
      <c r="DN323" s="275"/>
      <c r="DO323" s="3"/>
      <c r="DP323" s="715" t="s">
        <v>0</v>
      </c>
      <c r="DQ323" s="712"/>
      <c r="DR323" s="711" t="s">
        <v>1</v>
      </c>
      <c r="DS323" s="712"/>
      <c r="DT323" s="711" t="s">
        <v>2</v>
      </c>
      <c r="DU323" s="712"/>
      <c r="DV323" s="713" t="s">
        <v>3</v>
      </c>
      <c r="DW323" s="714"/>
      <c r="DX323" s="713" t="s">
        <v>200</v>
      </c>
      <c r="DY323" s="714"/>
      <c r="DZ323" s="713" t="s">
        <v>5</v>
      </c>
      <c r="EA323" s="714"/>
      <c r="EB323" s="709" t="s">
        <v>634</v>
      </c>
      <c r="EC323" s="710"/>
      <c r="ED323" s="709" t="s">
        <v>582</v>
      </c>
      <c r="EE323" s="710"/>
      <c r="EF323" s="105"/>
      <c r="EG323" s="275"/>
      <c r="EH323" s="3"/>
      <c r="EI323" s="715" t="s">
        <v>0</v>
      </c>
      <c r="EJ323" s="712"/>
      <c r="EK323" s="711" t="s">
        <v>1</v>
      </c>
      <c r="EL323" s="712"/>
      <c r="EM323" s="711" t="s">
        <v>2</v>
      </c>
      <c r="EN323" s="712"/>
      <c r="EO323" s="713" t="s">
        <v>3</v>
      </c>
      <c r="EP323" s="714"/>
      <c r="EQ323" s="713" t="s">
        <v>200</v>
      </c>
      <c r="ER323" s="714"/>
      <c r="ES323" s="713" t="s">
        <v>5</v>
      </c>
      <c r="ET323" s="714"/>
      <c r="EU323" s="709" t="s">
        <v>634</v>
      </c>
      <c r="EV323" s="710"/>
      <c r="EW323" s="709" t="s">
        <v>582</v>
      </c>
      <c r="EX323" s="710"/>
      <c r="EY323" s="105"/>
      <c r="EZ323" s="275"/>
      <c r="FA323" s="3"/>
      <c r="FB323" s="715" t="s">
        <v>0</v>
      </c>
      <c r="FC323" s="712"/>
      <c r="FD323" s="711" t="s">
        <v>1</v>
      </c>
      <c r="FE323" s="712"/>
      <c r="FF323" s="711" t="s">
        <v>2</v>
      </c>
      <c r="FG323" s="712"/>
      <c r="FH323" s="713" t="s">
        <v>3</v>
      </c>
      <c r="FI323" s="714"/>
      <c r="FJ323" s="713" t="s">
        <v>200</v>
      </c>
      <c r="FK323" s="714"/>
      <c r="FL323" s="713" t="s">
        <v>5</v>
      </c>
      <c r="FM323" s="714"/>
      <c r="FN323" s="709" t="s">
        <v>634</v>
      </c>
      <c r="FO323" s="710"/>
      <c r="FP323" s="709" t="s">
        <v>582</v>
      </c>
      <c r="FQ323" s="710"/>
      <c r="FR323" s="105"/>
      <c r="FS323" s="275"/>
      <c r="FT323" s="3"/>
      <c r="FU323" s="715" t="s">
        <v>0</v>
      </c>
      <c r="FV323" s="712"/>
      <c r="FW323" s="711" t="s">
        <v>1</v>
      </c>
      <c r="FX323" s="712"/>
      <c r="FY323" s="711" t="s">
        <v>2</v>
      </c>
      <c r="FZ323" s="712"/>
      <c r="GA323" s="713" t="s">
        <v>3</v>
      </c>
      <c r="GB323" s="714"/>
      <c r="GC323" s="713" t="s">
        <v>200</v>
      </c>
      <c r="GD323" s="714"/>
      <c r="GE323" s="713" t="s">
        <v>5</v>
      </c>
      <c r="GF323" s="714"/>
      <c r="GG323" s="709" t="s">
        <v>634</v>
      </c>
      <c r="GH323" s="710"/>
      <c r="GI323" s="709" t="s">
        <v>582</v>
      </c>
      <c r="GJ323" s="710"/>
      <c r="GK323" s="105"/>
      <c r="GL323" s="275"/>
      <c r="GM323" s="3"/>
      <c r="GN323" s="715" t="s">
        <v>0</v>
      </c>
      <c r="GO323" s="712"/>
      <c r="GP323" s="711" t="s">
        <v>1</v>
      </c>
      <c r="GQ323" s="712"/>
      <c r="GR323" s="711" t="s">
        <v>2</v>
      </c>
      <c r="GS323" s="712"/>
      <c r="GT323" s="713" t="s">
        <v>3</v>
      </c>
      <c r="GU323" s="714"/>
      <c r="GV323" s="713" t="s">
        <v>200</v>
      </c>
      <c r="GW323" s="714"/>
      <c r="GX323" s="713" t="s">
        <v>5</v>
      </c>
      <c r="GY323" s="714"/>
      <c r="GZ323" s="709" t="s">
        <v>634</v>
      </c>
      <c r="HA323" s="710"/>
      <c r="HB323" s="709" t="s">
        <v>582</v>
      </c>
      <c r="HC323" s="710"/>
      <c r="HD323" s="105"/>
      <c r="HE323" s="275"/>
      <c r="HF323" s="3"/>
      <c r="HG323" s="715" t="s">
        <v>0</v>
      </c>
      <c r="HH323" s="712"/>
      <c r="HI323" s="711" t="s">
        <v>1</v>
      </c>
      <c r="HJ323" s="712"/>
      <c r="HK323" s="711" t="s">
        <v>2</v>
      </c>
      <c r="HL323" s="712"/>
      <c r="HM323" s="713" t="s">
        <v>3</v>
      </c>
      <c r="HN323" s="714"/>
      <c r="HO323" s="713" t="s">
        <v>200</v>
      </c>
      <c r="HP323" s="714"/>
      <c r="HQ323" s="713" t="s">
        <v>5</v>
      </c>
      <c r="HR323" s="714"/>
      <c r="HS323" s="709" t="s">
        <v>634</v>
      </c>
      <c r="HT323" s="710"/>
      <c r="HU323" s="709" t="s">
        <v>582</v>
      </c>
      <c r="HV323" s="710"/>
      <c r="HW323" s="105"/>
      <c r="HX323" s="105"/>
      <c r="HY323" s="3"/>
      <c r="HZ323" s="711" t="s">
        <v>0</v>
      </c>
      <c r="IA323" s="712"/>
      <c r="IB323" s="711" t="s">
        <v>1</v>
      </c>
      <c r="IC323" s="712"/>
      <c r="ID323" s="711" t="s">
        <v>2</v>
      </c>
      <c r="IE323" s="712"/>
      <c r="IF323" s="713" t="s">
        <v>3</v>
      </c>
      <c r="IG323" s="714"/>
      <c r="IH323" s="713" t="s">
        <v>200</v>
      </c>
      <c r="II323" s="714"/>
      <c r="IJ323" s="713" t="s">
        <v>5</v>
      </c>
      <c r="IK323" s="714"/>
      <c r="IL323" s="418"/>
      <c r="IM323" s="418"/>
      <c r="IN323" s="418"/>
      <c r="IO323" s="418"/>
    </row>
    <row r="324" spans="2:249" ht="12.75" customHeight="1" x14ac:dyDescent="0.2"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  <c r="AN324" s="130"/>
      <c r="AO324" s="106"/>
      <c r="AP324" s="249"/>
      <c r="AQ324" s="231"/>
      <c r="AR324" s="53" t="s">
        <v>25</v>
      </c>
      <c r="AS324" s="52" t="s">
        <v>26</v>
      </c>
      <c r="AT324" s="131" t="s">
        <v>25</v>
      </c>
      <c r="AU324" s="52" t="s">
        <v>26</v>
      </c>
      <c r="AV324" s="131" t="s">
        <v>25</v>
      </c>
      <c r="AW324" s="52" t="s">
        <v>26</v>
      </c>
      <c r="AX324" s="131" t="s">
        <v>25</v>
      </c>
      <c r="AY324" s="52" t="s">
        <v>26</v>
      </c>
      <c r="AZ324" s="131" t="s">
        <v>25</v>
      </c>
      <c r="BA324" s="52" t="s">
        <v>26</v>
      </c>
      <c r="BB324" s="131" t="s">
        <v>25</v>
      </c>
      <c r="BC324" s="52" t="s">
        <v>26</v>
      </c>
      <c r="BD324" s="131" t="s">
        <v>25</v>
      </c>
      <c r="BE324" s="52" t="s">
        <v>26</v>
      </c>
      <c r="BF324" s="131" t="s">
        <v>25</v>
      </c>
      <c r="BG324" s="52" t="s">
        <v>26</v>
      </c>
      <c r="BH324" s="158"/>
      <c r="BI324" s="275"/>
      <c r="BJ324" s="231"/>
      <c r="BK324" s="53" t="s">
        <v>25</v>
      </c>
      <c r="BL324" s="52" t="s">
        <v>26</v>
      </c>
      <c r="BM324" s="131" t="s">
        <v>25</v>
      </c>
      <c r="BN324" s="52" t="s">
        <v>26</v>
      </c>
      <c r="BO324" s="131" t="s">
        <v>25</v>
      </c>
      <c r="BP324" s="52" t="s">
        <v>26</v>
      </c>
      <c r="BQ324" s="131" t="s">
        <v>25</v>
      </c>
      <c r="BR324" s="52" t="s">
        <v>26</v>
      </c>
      <c r="BS324" s="131" t="s">
        <v>25</v>
      </c>
      <c r="BT324" s="52" t="s">
        <v>26</v>
      </c>
      <c r="BU324" s="131" t="s">
        <v>25</v>
      </c>
      <c r="BV324" s="52" t="s">
        <v>26</v>
      </c>
      <c r="BW324" s="131" t="s">
        <v>25</v>
      </c>
      <c r="BX324" s="52" t="s">
        <v>26</v>
      </c>
      <c r="BY324" s="131" t="s">
        <v>25</v>
      </c>
      <c r="BZ324" s="52" t="s">
        <v>26</v>
      </c>
      <c r="CA324" s="105"/>
      <c r="CB324" s="275"/>
      <c r="CC324" s="231"/>
      <c r="CD324" s="53" t="s">
        <v>25</v>
      </c>
      <c r="CE324" s="52" t="s">
        <v>26</v>
      </c>
      <c r="CF324" s="131" t="s">
        <v>25</v>
      </c>
      <c r="CG324" s="52" t="s">
        <v>26</v>
      </c>
      <c r="CH324" s="131" t="s">
        <v>25</v>
      </c>
      <c r="CI324" s="52" t="s">
        <v>26</v>
      </c>
      <c r="CJ324" s="131" t="s">
        <v>25</v>
      </c>
      <c r="CK324" s="52" t="s">
        <v>26</v>
      </c>
      <c r="CL324" s="131" t="s">
        <v>25</v>
      </c>
      <c r="CM324" s="52" t="s">
        <v>26</v>
      </c>
      <c r="CN324" s="131" t="s">
        <v>25</v>
      </c>
      <c r="CO324" s="52" t="s">
        <v>26</v>
      </c>
      <c r="CP324" s="131" t="s">
        <v>25</v>
      </c>
      <c r="CQ324" s="52" t="s">
        <v>26</v>
      </c>
      <c r="CR324" s="131" t="s">
        <v>25</v>
      </c>
      <c r="CS324" s="52" t="s">
        <v>26</v>
      </c>
      <c r="CT324" s="105"/>
      <c r="CU324" s="275"/>
      <c r="CV324" s="231"/>
      <c r="CW324" s="53" t="s">
        <v>25</v>
      </c>
      <c r="CX324" s="52" t="s">
        <v>26</v>
      </c>
      <c r="CY324" s="131" t="s">
        <v>25</v>
      </c>
      <c r="CZ324" s="52" t="s">
        <v>26</v>
      </c>
      <c r="DA324" s="131" t="s">
        <v>25</v>
      </c>
      <c r="DB324" s="52" t="s">
        <v>26</v>
      </c>
      <c r="DC324" s="131" t="s">
        <v>25</v>
      </c>
      <c r="DD324" s="52" t="s">
        <v>26</v>
      </c>
      <c r="DE324" s="131" t="s">
        <v>25</v>
      </c>
      <c r="DF324" s="52" t="s">
        <v>26</v>
      </c>
      <c r="DG324" s="131" t="s">
        <v>25</v>
      </c>
      <c r="DH324" s="52" t="s">
        <v>26</v>
      </c>
      <c r="DI324" s="131" t="s">
        <v>25</v>
      </c>
      <c r="DJ324" s="52" t="s">
        <v>26</v>
      </c>
      <c r="DK324" s="131" t="s">
        <v>25</v>
      </c>
      <c r="DL324" s="52" t="s">
        <v>26</v>
      </c>
      <c r="DM324" s="105"/>
      <c r="DN324" s="275"/>
      <c r="DO324" s="231"/>
      <c r="DP324" s="53" t="s">
        <v>25</v>
      </c>
      <c r="DQ324" s="52" t="s">
        <v>26</v>
      </c>
      <c r="DR324" s="131" t="s">
        <v>25</v>
      </c>
      <c r="DS324" s="52" t="s">
        <v>26</v>
      </c>
      <c r="DT324" s="131" t="s">
        <v>25</v>
      </c>
      <c r="DU324" s="52" t="s">
        <v>26</v>
      </c>
      <c r="DV324" s="131" t="s">
        <v>25</v>
      </c>
      <c r="DW324" s="52" t="s">
        <v>26</v>
      </c>
      <c r="DX324" s="131" t="s">
        <v>25</v>
      </c>
      <c r="DY324" s="52" t="s">
        <v>26</v>
      </c>
      <c r="DZ324" s="131" t="s">
        <v>25</v>
      </c>
      <c r="EA324" s="52" t="s">
        <v>26</v>
      </c>
      <c r="EB324" s="131" t="s">
        <v>25</v>
      </c>
      <c r="EC324" s="52" t="s">
        <v>26</v>
      </c>
      <c r="ED324" s="131" t="s">
        <v>25</v>
      </c>
      <c r="EE324" s="52" t="s">
        <v>26</v>
      </c>
      <c r="EF324" s="105"/>
      <c r="EG324" s="275"/>
      <c r="EH324" s="231"/>
      <c r="EI324" s="53" t="s">
        <v>25</v>
      </c>
      <c r="EJ324" s="52" t="s">
        <v>26</v>
      </c>
      <c r="EK324" s="131" t="s">
        <v>25</v>
      </c>
      <c r="EL324" s="52" t="s">
        <v>26</v>
      </c>
      <c r="EM324" s="131" t="s">
        <v>25</v>
      </c>
      <c r="EN324" s="52" t="s">
        <v>26</v>
      </c>
      <c r="EO324" s="131" t="s">
        <v>25</v>
      </c>
      <c r="EP324" s="52" t="s">
        <v>26</v>
      </c>
      <c r="EQ324" s="131" t="s">
        <v>25</v>
      </c>
      <c r="ER324" s="52" t="s">
        <v>26</v>
      </c>
      <c r="ES324" s="131" t="s">
        <v>25</v>
      </c>
      <c r="ET324" s="52" t="s">
        <v>26</v>
      </c>
      <c r="EU324" s="131" t="s">
        <v>25</v>
      </c>
      <c r="EV324" s="52" t="s">
        <v>26</v>
      </c>
      <c r="EW324" s="131" t="s">
        <v>25</v>
      </c>
      <c r="EX324" s="52" t="s">
        <v>26</v>
      </c>
      <c r="EY324" s="105"/>
      <c r="EZ324" s="275"/>
      <c r="FA324" s="231"/>
      <c r="FB324" s="53" t="s">
        <v>25</v>
      </c>
      <c r="FC324" s="52" t="s">
        <v>26</v>
      </c>
      <c r="FD324" s="131" t="s">
        <v>25</v>
      </c>
      <c r="FE324" s="52" t="s">
        <v>26</v>
      </c>
      <c r="FF324" s="131" t="s">
        <v>25</v>
      </c>
      <c r="FG324" s="52" t="s">
        <v>26</v>
      </c>
      <c r="FH324" s="131" t="s">
        <v>25</v>
      </c>
      <c r="FI324" s="52" t="s">
        <v>26</v>
      </c>
      <c r="FJ324" s="131" t="s">
        <v>25</v>
      </c>
      <c r="FK324" s="52" t="s">
        <v>26</v>
      </c>
      <c r="FL324" s="131" t="s">
        <v>25</v>
      </c>
      <c r="FM324" s="52" t="s">
        <v>26</v>
      </c>
      <c r="FN324" s="131" t="s">
        <v>25</v>
      </c>
      <c r="FO324" s="52" t="s">
        <v>26</v>
      </c>
      <c r="FP324" s="131" t="s">
        <v>25</v>
      </c>
      <c r="FQ324" s="52" t="s">
        <v>26</v>
      </c>
      <c r="FR324" s="105"/>
      <c r="FS324" s="275"/>
      <c r="FT324" s="231"/>
      <c r="FU324" s="53" t="s">
        <v>25</v>
      </c>
      <c r="FV324" s="52" t="s">
        <v>26</v>
      </c>
      <c r="FW324" s="131" t="s">
        <v>25</v>
      </c>
      <c r="FX324" s="52" t="s">
        <v>26</v>
      </c>
      <c r="FY324" s="131" t="s">
        <v>25</v>
      </c>
      <c r="FZ324" s="52" t="s">
        <v>26</v>
      </c>
      <c r="GA324" s="131" t="s">
        <v>25</v>
      </c>
      <c r="GB324" s="52" t="s">
        <v>26</v>
      </c>
      <c r="GC324" s="131" t="s">
        <v>25</v>
      </c>
      <c r="GD324" s="52" t="s">
        <v>26</v>
      </c>
      <c r="GE324" s="131" t="s">
        <v>25</v>
      </c>
      <c r="GF324" s="52" t="s">
        <v>26</v>
      </c>
      <c r="GG324" s="131" t="s">
        <v>25</v>
      </c>
      <c r="GH324" s="52" t="s">
        <v>26</v>
      </c>
      <c r="GI324" s="131" t="s">
        <v>25</v>
      </c>
      <c r="GJ324" s="52" t="s">
        <v>26</v>
      </c>
      <c r="GK324" s="105"/>
      <c r="GL324" s="275"/>
      <c r="GM324" s="231"/>
      <c r="GN324" s="53" t="s">
        <v>25</v>
      </c>
      <c r="GO324" s="52" t="s">
        <v>26</v>
      </c>
      <c r="GP324" s="131" t="s">
        <v>25</v>
      </c>
      <c r="GQ324" s="52" t="s">
        <v>26</v>
      </c>
      <c r="GR324" s="131" t="s">
        <v>25</v>
      </c>
      <c r="GS324" s="52" t="s">
        <v>26</v>
      </c>
      <c r="GT324" s="131" t="s">
        <v>25</v>
      </c>
      <c r="GU324" s="52" t="s">
        <v>26</v>
      </c>
      <c r="GV324" s="131" t="s">
        <v>25</v>
      </c>
      <c r="GW324" s="52" t="s">
        <v>26</v>
      </c>
      <c r="GX324" s="131" t="s">
        <v>25</v>
      </c>
      <c r="GY324" s="52" t="s">
        <v>26</v>
      </c>
      <c r="GZ324" s="131" t="s">
        <v>25</v>
      </c>
      <c r="HA324" s="52" t="s">
        <v>26</v>
      </c>
      <c r="HB324" s="131" t="s">
        <v>25</v>
      </c>
      <c r="HC324" s="52" t="s">
        <v>26</v>
      </c>
      <c r="HD324" s="105"/>
      <c r="HE324" s="275"/>
      <c r="HF324" s="231"/>
      <c r="HG324" s="53" t="s">
        <v>25</v>
      </c>
      <c r="HH324" s="52" t="s">
        <v>26</v>
      </c>
      <c r="HI324" s="131" t="s">
        <v>25</v>
      </c>
      <c r="HJ324" s="52" t="s">
        <v>26</v>
      </c>
      <c r="HK324" s="131" t="s">
        <v>25</v>
      </c>
      <c r="HL324" s="52" t="s">
        <v>26</v>
      </c>
      <c r="HM324" s="131" t="s">
        <v>25</v>
      </c>
      <c r="HN324" s="52" t="s">
        <v>26</v>
      </c>
      <c r="HO324" s="131" t="s">
        <v>25</v>
      </c>
      <c r="HP324" s="52" t="s">
        <v>26</v>
      </c>
      <c r="HQ324" s="131" t="s">
        <v>25</v>
      </c>
      <c r="HR324" s="52" t="s">
        <v>26</v>
      </c>
      <c r="HS324" s="131" t="s">
        <v>25</v>
      </c>
      <c r="HT324" s="52" t="s">
        <v>26</v>
      </c>
      <c r="HU324" s="131" t="s">
        <v>25</v>
      </c>
      <c r="HV324" s="52" t="s">
        <v>26</v>
      </c>
      <c r="HW324" s="105"/>
      <c r="HX324" s="105"/>
      <c r="HY324" s="231"/>
      <c r="HZ324" s="131" t="s">
        <v>25</v>
      </c>
      <c r="IA324" s="52" t="s">
        <v>26</v>
      </c>
      <c r="IB324" s="131" t="s">
        <v>25</v>
      </c>
      <c r="IC324" s="52" t="s">
        <v>26</v>
      </c>
      <c r="ID324" s="131" t="s">
        <v>25</v>
      </c>
      <c r="IE324" s="52" t="s">
        <v>26</v>
      </c>
      <c r="IF324" s="131" t="s">
        <v>25</v>
      </c>
      <c r="IG324" s="52" t="s">
        <v>26</v>
      </c>
      <c r="IH324" s="131" t="s">
        <v>25</v>
      </c>
      <c r="II324" s="52" t="s">
        <v>26</v>
      </c>
      <c r="IJ324" s="131" t="s">
        <v>25</v>
      </c>
      <c r="IK324" s="52" t="s">
        <v>26</v>
      </c>
      <c r="IL324" s="131"/>
      <c r="IM324" s="131"/>
      <c r="IN324" s="131"/>
      <c r="IO324" s="131"/>
    </row>
    <row r="325" spans="2:249" ht="13.5" customHeight="1" thickBot="1" x14ac:dyDescent="0.25"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249"/>
      <c r="AQ325" s="134"/>
      <c r="AR325" s="133" t="s">
        <v>221</v>
      </c>
      <c r="AS325" s="134" t="s">
        <v>221</v>
      </c>
      <c r="AT325" s="133" t="s">
        <v>221</v>
      </c>
      <c r="AU325" s="134" t="s">
        <v>221</v>
      </c>
      <c r="AV325" s="133" t="s">
        <v>221</v>
      </c>
      <c r="AW325" s="134" t="s">
        <v>221</v>
      </c>
      <c r="AX325" s="133" t="s">
        <v>221</v>
      </c>
      <c r="AY325" s="134" t="s">
        <v>221</v>
      </c>
      <c r="AZ325" s="133" t="s">
        <v>221</v>
      </c>
      <c r="BA325" s="134" t="s">
        <v>221</v>
      </c>
      <c r="BB325" s="133" t="s">
        <v>221</v>
      </c>
      <c r="BC325" s="134" t="s">
        <v>221</v>
      </c>
      <c r="BD325" s="133" t="s">
        <v>221</v>
      </c>
      <c r="BE325" s="134" t="s">
        <v>221</v>
      </c>
      <c r="BF325" s="133" t="s">
        <v>221</v>
      </c>
      <c r="BG325" s="134" t="s">
        <v>221</v>
      </c>
      <c r="BH325" s="158"/>
      <c r="BI325" s="275"/>
      <c r="BJ325" s="134"/>
      <c r="BK325" s="133" t="s">
        <v>221</v>
      </c>
      <c r="BL325" s="134" t="s">
        <v>221</v>
      </c>
      <c r="BM325" s="133" t="s">
        <v>221</v>
      </c>
      <c r="BN325" s="134" t="s">
        <v>221</v>
      </c>
      <c r="BO325" s="133" t="s">
        <v>221</v>
      </c>
      <c r="BP325" s="134" t="s">
        <v>221</v>
      </c>
      <c r="BQ325" s="133" t="s">
        <v>221</v>
      </c>
      <c r="BR325" s="134" t="s">
        <v>221</v>
      </c>
      <c r="BS325" s="133" t="s">
        <v>221</v>
      </c>
      <c r="BT325" s="134" t="s">
        <v>221</v>
      </c>
      <c r="BU325" s="133" t="s">
        <v>221</v>
      </c>
      <c r="BV325" s="134" t="s">
        <v>221</v>
      </c>
      <c r="BW325" s="133" t="s">
        <v>221</v>
      </c>
      <c r="BX325" s="134" t="s">
        <v>221</v>
      </c>
      <c r="BY325" s="133" t="s">
        <v>221</v>
      </c>
      <c r="BZ325" s="134" t="s">
        <v>221</v>
      </c>
      <c r="CA325" s="105"/>
      <c r="CB325" s="275"/>
      <c r="CC325" s="134"/>
      <c r="CD325" s="133" t="s">
        <v>221</v>
      </c>
      <c r="CE325" s="134" t="s">
        <v>221</v>
      </c>
      <c r="CF325" s="133" t="s">
        <v>221</v>
      </c>
      <c r="CG325" s="134" t="s">
        <v>221</v>
      </c>
      <c r="CH325" s="133" t="s">
        <v>221</v>
      </c>
      <c r="CI325" s="134" t="s">
        <v>221</v>
      </c>
      <c r="CJ325" s="133" t="s">
        <v>221</v>
      </c>
      <c r="CK325" s="134" t="s">
        <v>221</v>
      </c>
      <c r="CL325" s="133" t="s">
        <v>221</v>
      </c>
      <c r="CM325" s="134" t="s">
        <v>221</v>
      </c>
      <c r="CN325" s="133" t="s">
        <v>221</v>
      </c>
      <c r="CO325" s="134" t="s">
        <v>221</v>
      </c>
      <c r="CP325" s="133" t="s">
        <v>221</v>
      </c>
      <c r="CQ325" s="134" t="s">
        <v>221</v>
      </c>
      <c r="CR325" s="133" t="s">
        <v>221</v>
      </c>
      <c r="CS325" s="134" t="s">
        <v>221</v>
      </c>
      <c r="CT325" s="105"/>
      <c r="CU325" s="275"/>
      <c r="CV325" s="134"/>
      <c r="CW325" s="133" t="s">
        <v>221</v>
      </c>
      <c r="CX325" s="134" t="s">
        <v>221</v>
      </c>
      <c r="CY325" s="133" t="s">
        <v>221</v>
      </c>
      <c r="CZ325" s="134" t="s">
        <v>221</v>
      </c>
      <c r="DA325" s="133" t="s">
        <v>221</v>
      </c>
      <c r="DB325" s="134" t="s">
        <v>221</v>
      </c>
      <c r="DC325" s="133" t="s">
        <v>221</v>
      </c>
      <c r="DD325" s="134" t="s">
        <v>221</v>
      </c>
      <c r="DE325" s="133" t="s">
        <v>221</v>
      </c>
      <c r="DF325" s="134" t="s">
        <v>221</v>
      </c>
      <c r="DG325" s="133" t="s">
        <v>221</v>
      </c>
      <c r="DH325" s="134" t="s">
        <v>221</v>
      </c>
      <c r="DI325" s="133" t="s">
        <v>221</v>
      </c>
      <c r="DJ325" s="134" t="s">
        <v>221</v>
      </c>
      <c r="DK325" s="133" t="s">
        <v>221</v>
      </c>
      <c r="DL325" s="134" t="s">
        <v>221</v>
      </c>
      <c r="DM325" s="105"/>
      <c r="DN325" s="275"/>
      <c r="DO325" s="134"/>
      <c r="DP325" s="133" t="s">
        <v>221</v>
      </c>
      <c r="DQ325" s="134" t="s">
        <v>221</v>
      </c>
      <c r="DR325" s="133" t="s">
        <v>221</v>
      </c>
      <c r="DS325" s="134" t="s">
        <v>221</v>
      </c>
      <c r="DT325" s="133" t="s">
        <v>221</v>
      </c>
      <c r="DU325" s="134" t="s">
        <v>221</v>
      </c>
      <c r="DV325" s="133" t="s">
        <v>221</v>
      </c>
      <c r="DW325" s="134" t="s">
        <v>221</v>
      </c>
      <c r="DX325" s="133" t="s">
        <v>221</v>
      </c>
      <c r="DY325" s="134" t="s">
        <v>221</v>
      </c>
      <c r="DZ325" s="133" t="s">
        <v>221</v>
      </c>
      <c r="EA325" s="134" t="s">
        <v>221</v>
      </c>
      <c r="EB325" s="133" t="s">
        <v>221</v>
      </c>
      <c r="EC325" s="134" t="s">
        <v>221</v>
      </c>
      <c r="ED325" s="133" t="s">
        <v>221</v>
      </c>
      <c r="EE325" s="134" t="s">
        <v>221</v>
      </c>
      <c r="EF325" s="105"/>
      <c r="EG325" s="275"/>
      <c r="EH325" s="134"/>
      <c r="EI325" s="133" t="s">
        <v>221</v>
      </c>
      <c r="EJ325" s="134" t="s">
        <v>221</v>
      </c>
      <c r="EK325" s="133" t="s">
        <v>221</v>
      </c>
      <c r="EL325" s="134" t="s">
        <v>221</v>
      </c>
      <c r="EM325" s="133" t="s">
        <v>221</v>
      </c>
      <c r="EN325" s="134" t="s">
        <v>221</v>
      </c>
      <c r="EO325" s="133" t="s">
        <v>221</v>
      </c>
      <c r="EP325" s="134" t="s">
        <v>221</v>
      </c>
      <c r="EQ325" s="133" t="s">
        <v>221</v>
      </c>
      <c r="ER325" s="134" t="s">
        <v>221</v>
      </c>
      <c r="ES325" s="133" t="s">
        <v>221</v>
      </c>
      <c r="ET325" s="134" t="s">
        <v>221</v>
      </c>
      <c r="EU325" s="133" t="s">
        <v>221</v>
      </c>
      <c r="EV325" s="134" t="s">
        <v>221</v>
      </c>
      <c r="EW325" s="133" t="s">
        <v>221</v>
      </c>
      <c r="EX325" s="134" t="s">
        <v>221</v>
      </c>
      <c r="EY325" s="105"/>
      <c r="EZ325" s="275"/>
      <c r="FA325" s="134"/>
      <c r="FB325" s="133" t="s">
        <v>221</v>
      </c>
      <c r="FC325" s="134" t="s">
        <v>221</v>
      </c>
      <c r="FD325" s="133" t="s">
        <v>221</v>
      </c>
      <c r="FE325" s="134" t="s">
        <v>221</v>
      </c>
      <c r="FF325" s="133" t="s">
        <v>221</v>
      </c>
      <c r="FG325" s="134" t="s">
        <v>221</v>
      </c>
      <c r="FH325" s="133" t="s">
        <v>221</v>
      </c>
      <c r="FI325" s="134" t="s">
        <v>221</v>
      </c>
      <c r="FJ325" s="133" t="s">
        <v>221</v>
      </c>
      <c r="FK325" s="134" t="s">
        <v>221</v>
      </c>
      <c r="FL325" s="133" t="s">
        <v>221</v>
      </c>
      <c r="FM325" s="134" t="s">
        <v>221</v>
      </c>
      <c r="FN325" s="133" t="s">
        <v>221</v>
      </c>
      <c r="FO325" s="134" t="s">
        <v>221</v>
      </c>
      <c r="FP325" s="133" t="s">
        <v>221</v>
      </c>
      <c r="FQ325" s="134" t="s">
        <v>221</v>
      </c>
      <c r="FR325" s="105"/>
      <c r="FS325" s="275"/>
      <c r="FT325" s="134"/>
      <c r="FU325" s="133" t="s">
        <v>221</v>
      </c>
      <c r="FV325" s="134" t="s">
        <v>221</v>
      </c>
      <c r="FW325" s="133" t="s">
        <v>221</v>
      </c>
      <c r="FX325" s="134" t="s">
        <v>221</v>
      </c>
      <c r="FY325" s="133" t="s">
        <v>221</v>
      </c>
      <c r="FZ325" s="134" t="s">
        <v>221</v>
      </c>
      <c r="GA325" s="133" t="s">
        <v>221</v>
      </c>
      <c r="GB325" s="134" t="s">
        <v>221</v>
      </c>
      <c r="GC325" s="133" t="s">
        <v>221</v>
      </c>
      <c r="GD325" s="134" t="s">
        <v>221</v>
      </c>
      <c r="GE325" s="133" t="s">
        <v>221</v>
      </c>
      <c r="GF325" s="134" t="s">
        <v>221</v>
      </c>
      <c r="GG325" s="133" t="s">
        <v>221</v>
      </c>
      <c r="GH325" s="134" t="s">
        <v>221</v>
      </c>
      <c r="GI325" s="133" t="s">
        <v>221</v>
      </c>
      <c r="GJ325" s="134" t="s">
        <v>221</v>
      </c>
      <c r="GK325" s="105"/>
      <c r="GL325" s="275"/>
      <c r="GM325" s="134"/>
      <c r="GN325" s="133" t="s">
        <v>221</v>
      </c>
      <c r="GO325" s="134" t="s">
        <v>221</v>
      </c>
      <c r="GP325" s="133" t="s">
        <v>221</v>
      </c>
      <c r="GQ325" s="134" t="s">
        <v>221</v>
      </c>
      <c r="GR325" s="133" t="s">
        <v>221</v>
      </c>
      <c r="GS325" s="134" t="s">
        <v>221</v>
      </c>
      <c r="GT325" s="133" t="s">
        <v>221</v>
      </c>
      <c r="GU325" s="134" t="s">
        <v>221</v>
      </c>
      <c r="GV325" s="133" t="s">
        <v>221</v>
      </c>
      <c r="GW325" s="134" t="s">
        <v>221</v>
      </c>
      <c r="GX325" s="133" t="s">
        <v>221</v>
      </c>
      <c r="GY325" s="134" t="s">
        <v>221</v>
      </c>
      <c r="GZ325" s="133" t="s">
        <v>221</v>
      </c>
      <c r="HA325" s="134" t="s">
        <v>221</v>
      </c>
      <c r="HB325" s="133" t="s">
        <v>221</v>
      </c>
      <c r="HC325" s="134" t="s">
        <v>221</v>
      </c>
      <c r="HD325" s="105"/>
      <c r="HE325" s="275"/>
      <c r="HF325" s="134"/>
      <c r="HG325" s="133" t="s">
        <v>221</v>
      </c>
      <c r="HH325" s="134" t="s">
        <v>221</v>
      </c>
      <c r="HI325" s="133" t="s">
        <v>221</v>
      </c>
      <c r="HJ325" s="134" t="s">
        <v>221</v>
      </c>
      <c r="HK325" s="133" t="s">
        <v>221</v>
      </c>
      <c r="HL325" s="134" t="s">
        <v>221</v>
      </c>
      <c r="HM325" s="133" t="s">
        <v>221</v>
      </c>
      <c r="HN325" s="134" t="s">
        <v>221</v>
      </c>
      <c r="HO325" s="133" t="s">
        <v>221</v>
      </c>
      <c r="HP325" s="134" t="s">
        <v>221</v>
      </c>
      <c r="HQ325" s="133" t="s">
        <v>221</v>
      </c>
      <c r="HR325" s="134" t="s">
        <v>221</v>
      </c>
      <c r="HS325" s="133" t="s">
        <v>221</v>
      </c>
      <c r="HT325" s="134" t="s">
        <v>221</v>
      </c>
      <c r="HU325" s="133" t="s">
        <v>221</v>
      </c>
      <c r="HV325" s="134" t="s">
        <v>221</v>
      </c>
      <c r="HW325" s="105"/>
      <c r="HX325" s="105"/>
      <c r="HY325" s="134"/>
      <c r="HZ325" s="133" t="s">
        <v>438</v>
      </c>
      <c r="IA325" s="134" t="s">
        <v>438</v>
      </c>
      <c r="IB325" s="133" t="s">
        <v>438</v>
      </c>
      <c r="IC325" s="134" t="s">
        <v>438</v>
      </c>
      <c r="ID325" s="133" t="s">
        <v>438</v>
      </c>
      <c r="IE325" s="134" t="s">
        <v>438</v>
      </c>
      <c r="IF325" s="133" t="s">
        <v>438</v>
      </c>
      <c r="IG325" s="134" t="s">
        <v>438</v>
      </c>
      <c r="IH325" s="133" t="s">
        <v>438</v>
      </c>
      <c r="II325" s="134" t="s">
        <v>438</v>
      </c>
      <c r="IJ325" s="133" t="s">
        <v>438</v>
      </c>
      <c r="IK325" s="134" t="s">
        <v>438</v>
      </c>
      <c r="IL325" s="94"/>
      <c r="IM325" s="94"/>
      <c r="IN325" s="94"/>
      <c r="IO325" s="94"/>
    </row>
    <row r="326" spans="2:249" ht="12.75" customHeight="1" x14ac:dyDescent="0.2"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268"/>
      <c r="AQ326" s="271" t="s">
        <v>482</v>
      </c>
      <c r="AR326" s="269">
        <f>AR253</f>
        <v>951.66966899409636</v>
      </c>
      <c r="AS326" s="273">
        <f t="shared" ref="AS326:BA326" si="3150">AS253</f>
        <v>878.28780081963419</v>
      </c>
      <c r="AT326" s="269">
        <f t="shared" si="3150"/>
        <v>1100.9659039731673</v>
      </c>
      <c r="AU326" s="273">
        <f t="shared" si="3150"/>
        <v>987.45534104255159</v>
      </c>
      <c r="AV326" s="269">
        <f t="shared" si="3150"/>
        <v>1163.703086012534</v>
      </c>
      <c r="AW326" s="273">
        <f t="shared" si="3150"/>
        <v>1055.5304567336766</v>
      </c>
      <c r="AX326" s="269">
        <f t="shared" si="3150"/>
        <v>969.37223472632763</v>
      </c>
      <c r="AY326" s="273">
        <f t="shared" si="3150"/>
        <v>891.73238990275058</v>
      </c>
      <c r="AZ326" s="269">
        <f t="shared" si="3150"/>
        <v>891.64231533185443</v>
      </c>
      <c r="BA326" s="273">
        <f t="shared" si="3150"/>
        <v>827.71174356149311</v>
      </c>
      <c r="BB326" s="269">
        <f t="shared" ref="BB326:BG326" si="3151">BB253</f>
        <v>748.70281950212609</v>
      </c>
      <c r="BC326" s="273">
        <f t="shared" si="3151"/>
        <v>556.0252278094174</v>
      </c>
      <c r="BD326" s="269">
        <f t="shared" si="3151"/>
        <v>1506.5542471299375</v>
      </c>
      <c r="BE326" s="273">
        <f t="shared" si="3151"/>
        <v>1289.3129259135287</v>
      </c>
      <c r="BF326" s="269">
        <f t="shared" si="3151"/>
        <v>7167.3349322326676</v>
      </c>
      <c r="BG326" s="273">
        <f t="shared" si="3151"/>
        <v>2425.0448706739389</v>
      </c>
      <c r="BH326" s="158"/>
      <c r="BI326" s="280"/>
      <c r="BJ326" s="271" t="s">
        <v>482</v>
      </c>
      <c r="BK326" s="269">
        <f>BK253</f>
        <v>19.636818655482681</v>
      </c>
      <c r="BL326" s="273">
        <f t="shared" ref="BL326:BZ326" si="3152">BL253</f>
        <v>16.304948114679931</v>
      </c>
      <c r="BM326" s="269">
        <f t="shared" si="3152"/>
        <v>31.642101297952681</v>
      </c>
      <c r="BN326" s="273">
        <f t="shared" si="3152"/>
        <v>26.334992008721869</v>
      </c>
      <c r="BO326" s="269">
        <f t="shared" si="3152"/>
        <v>30.72597903763177</v>
      </c>
      <c r="BP326" s="273">
        <f t="shared" si="3152"/>
        <v>25.683979609795628</v>
      </c>
      <c r="BQ326" s="269">
        <f t="shared" si="3152"/>
        <v>21.496851207835721</v>
      </c>
      <c r="BR326" s="273">
        <f t="shared" si="3152"/>
        <v>17.974089818027206</v>
      </c>
      <c r="BS326" s="269">
        <f t="shared" si="3152"/>
        <v>18.118324845422269</v>
      </c>
      <c r="BT326" s="273">
        <f t="shared" si="3152"/>
        <v>15.271113223257275</v>
      </c>
      <c r="BU326" s="269">
        <f t="shared" si="3152"/>
        <v>32.18548441985623</v>
      </c>
      <c r="BV326" s="273">
        <f t="shared" si="3152"/>
        <v>22.886069080214043</v>
      </c>
      <c r="BW326" s="269">
        <f t="shared" si="3152"/>
        <v>52.715651923385551</v>
      </c>
      <c r="BX326" s="273">
        <f t="shared" si="3152"/>
        <v>41.26102916937495</v>
      </c>
      <c r="BY326" s="269">
        <f t="shared" si="3152"/>
        <v>477.64153874652328</v>
      </c>
      <c r="BZ326" s="273">
        <f t="shared" si="3152"/>
        <v>134.73348074933267</v>
      </c>
      <c r="CA326" s="105"/>
      <c r="CB326" s="280"/>
      <c r="CC326" s="271" t="s">
        <v>482</v>
      </c>
      <c r="CD326" s="269">
        <f>CD253</f>
        <v>35599.019839482782</v>
      </c>
      <c r="CE326" s="273">
        <f t="shared" ref="CE326:CS326" si="3153">CE253</f>
        <v>19565.668125163971</v>
      </c>
      <c r="CF326" s="269">
        <f t="shared" si="3153"/>
        <v>48154.424670460015</v>
      </c>
      <c r="CG326" s="273">
        <f t="shared" si="3153"/>
        <v>20526.40004909474</v>
      </c>
      <c r="CH326" s="269">
        <f t="shared" si="3153"/>
        <v>48292.611112460763</v>
      </c>
      <c r="CI326" s="273">
        <f t="shared" si="3153"/>
        <v>22238.377261721696</v>
      </c>
      <c r="CJ326" s="269">
        <f t="shared" si="3153"/>
        <v>37723.977407753446</v>
      </c>
      <c r="CK326" s="273">
        <f t="shared" si="3153"/>
        <v>19484.935403003259</v>
      </c>
      <c r="CL326" s="269">
        <f t="shared" si="3153"/>
        <v>33265.52087295353</v>
      </c>
      <c r="CM326" s="273">
        <f t="shared" si="3153"/>
        <v>18393.004527852605</v>
      </c>
      <c r="CN326" s="269">
        <f t="shared" si="3153"/>
        <v>70898.479632361428</v>
      </c>
      <c r="CO326" s="273">
        <f t="shared" si="3153"/>
        <v>20130.856274288413</v>
      </c>
      <c r="CP326" s="269">
        <f t="shared" si="3153"/>
        <v>9311.8444379183675</v>
      </c>
      <c r="CQ326" s="273">
        <f t="shared" si="3153"/>
        <v>8709.3866462501828</v>
      </c>
      <c r="CR326" s="269">
        <f t="shared" si="3153"/>
        <v>60221.542741803096</v>
      </c>
      <c r="CS326" s="273">
        <f t="shared" si="3153"/>
        <v>24951.675844116169</v>
      </c>
      <c r="CT326" s="105"/>
      <c r="CU326" s="280"/>
      <c r="CV326" s="271" t="s">
        <v>482</v>
      </c>
      <c r="CW326" s="269">
        <f>CW253</f>
        <v>4.3492360925688183E-3</v>
      </c>
      <c r="CX326" s="273">
        <f t="shared" ref="CX326:DL326" si="3154">CX253</f>
        <v>1.7837001314200223E-3</v>
      </c>
      <c r="CY326" s="269">
        <f t="shared" si="3154"/>
        <v>6.728107666812296E-3</v>
      </c>
      <c r="CZ326" s="273">
        <f t="shared" si="3154"/>
        <v>2.3079951836652529E-3</v>
      </c>
      <c r="DA326" s="269">
        <f t="shared" si="3154"/>
        <v>6.5115659054933743E-3</v>
      </c>
      <c r="DB326" s="273">
        <f t="shared" si="3154"/>
        <v>2.3433357888430861E-3</v>
      </c>
      <c r="DC326" s="269">
        <f t="shared" si="3154"/>
        <v>4.7809433026776999E-3</v>
      </c>
      <c r="DD326" s="273">
        <f t="shared" si="3154"/>
        <v>1.8627058409211123E-3</v>
      </c>
      <c r="DE326" s="269">
        <f t="shared" si="3154"/>
        <v>4.0384512295784779E-3</v>
      </c>
      <c r="DF326" s="273">
        <f t="shared" si="3154"/>
        <v>1.6586847980366538E-3</v>
      </c>
      <c r="DG326" s="269">
        <f t="shared" si="3154"/>
        <v>1.118720520491537E-2</v>
      </c>
      <c r="DH326" s="273">
        <f t="shared" si="3154"/>
        <v>3.066731025746592E-3</v>
      </c>
      <c r="DI326" s="269">
        <f t="shared" si="3154"/>
        <v>9.5693339957288594E-4</v>
      </c>
      <c r="DJ326" s="273">
        <f t="shared" si="3154"/>
        <v>7.5883901767522693E-4</v>
      </c>
      <c r="DK326" s="269">
        <f t="shared" si="3154"/>
        <v>1.4758177849192334E-2</v>
      </c>
      <c r="DL326" s="273">
        <f t="shared" si="3154"/>
        <v>4.4574896243898899E-3</v>
      </c>
      <c r="DM326" s="105"/>
      <c r="DN326" s="280"/>
      <c r="DO326" s="271" t="s">
        <v>482</v>
      </c>
      <c r="DP326" s="269">
        <f>DP253</f>
        <v>12.85736729858869</v>
      </c>
      <c r="DQ326" s="273">
        <f t="shared" ref="DQ326:EE326" si="3155">DQ253</f>
        <v>11.328582606363973</v>
      </c>
      <c r="DR326" s="269">
        <f t="shared" si="3155"/>
        <v>41.410353587685314</v>
      </c>
      <c r="DS326" s="273">
        <f t="shared" si="3155"/>
        <v>39.333599064785687</v>
      </c>
      <c r="DT326" s="269">
        <f t="shared" si="3155"/>
        <v>39.223399590853077</v>
      </c>
      <c r="DU326" s="273">
        <f t="shared" si="3155"/>
        <v>37.217726712410141</v>
      </c>
      <c r="DV326" s="269">
        <f t="shared" si="3155"/>
        <v>14.018538442958446</v>
      </c>
      <c r="DW326" s="273">
        <f t="shared" si="3155"/>
        <v>12.690272744328819</v>
      </c>
      <c r="DX326" s="269">
        <f t="shared" si="3155"/>
        <v>11.372118990931746</v>
      </c>
      <c r="DY326" s="273">
        <f t="shared" si="3155"/>
        <v>10.365056908278737</v>
      </c>
      <c r="DZ326" s="269">
        <f t="shared" si="3155"/>
        <v>5.8970007860268581</v>
      </c>
      <c r="EA326" s="273">
        <f t="shared" si="3155"/>
        <v>2.5853962319775756</v>
      </c>
      <c r="EB326" s="269">
        <f t="shared" si="3155"/>
        <v>10.131075804535111</v>
      </c>
      <c r="EC326" s="273">
        <f t="shared" si="3155"/>
        <v>4.6744492640871114</v>
      </c>
      <c r="ED326" s="269">
        <f t="shared" si="3155"/>
        <v>1751.0971042299423</v>
      </c>
      <c r="EE326" s="273">
        <f t="shared" si="3155"/>
        <v>464.61351112094377</v>
      </c>
      <c r="EF326" s="105"/>
      <c r="EG326" s="280"/>
      <c r="EH326" s="271" t="s">
        <v>482</v>
      </c>
      <c r="EI326" s="269">
        <f>EI253</f>
        <v>0.15016408156254399</v>
      </c>
      <c r="EJ326" s="273">
        <f t="shared" ref="EJ326:EX326" si="3156">EJ253</f>
        <v>0.14966255695429023</v>
      </c>
      <c r="EK326" s="269">
        <f t="shared" si="3156"/>
        <v>0.12286724815990267</v>
      </c>
      <c r="EL326" s="273">
        <f t="shared" si="3156"/>
        <v>0.12205245434254633</v>
      </c>
      <c r="EM326" s="269">
        <f t="shared" si="3156"/>
        <v>0.1479526026602774</v>
      </c>
      <c r="EN326" s="273">
        <f t="shared" si="3156"/>
        <v>0.14717992779474071</v>
      </c>
      <c r="EO326" s="269">
        <f t="shared" si="3156"/>
        <v>0.14294768460917284</v>
      </c>
      <c r="EP326" s="273">
        <f t="shared" si="3156"/>
        <v>0.14240221261815697</v>
      </c>
      <c r="EQ326" s="269">
        <f t="shared" si="3156"/>
        <v>0.14137477913369267</v>
      </c>
      <c r="ER326" s="273">
        <f t="shared" si="3156"/>
        <v>0.1409293992561024</v>
      </c>
      <c r="ES326" s="269">
        <f t="shared" si="3156"/>
        <v>1.8199526181971841E-2</v>
      </c>
      <c r="ET326" s="273">
        <f t="shared" si="3156"/>
        <v>1.6759873099567137E-2</v>
      </c>
      <c r="EU326" s="269">
        <f t="shared" si="3156"/>
        <v>9.6510213743818962E-2</v>
      </c>
      <c r="EV326" s="273">
        <f t="shared" si="3156"/>
        <v>9.5769101889045471E-2</v>
      </c>
      <c r="EW326" s="269">
        <f t="shared" si="3156"/>
        <v>0.17820600350231111</v>
      </c>
      <c r="EX326" s="273">
        <f t="shared" si="3156"/>
        <v>0.1505336718672512</v>
      </c>
      <c r="EY326" s="105"/>
      <c r="EZ326" s="280"/>
      <c r="FA326" s="271" t="s">
        <v>482</v>
      </c>
      <c r="FB326" s="269">
        <f>FB253</f>
        <v>4.2951441366925703E-5</v>
      </c>
      <c r="FC326" s="273">
        <f t="shared" ref="FC326:FQ326" si="3157">FC253</f>
        <v>1.3409413850695917E-5</v>
      </c>
      <c r="FD326" s="269">
        <f t="shared" si="3157"/>
        <v>7.334900237079466E-5</v>
      </c>
      <c r="FE326" s="273">
        <f t="shared" si="3157"/>
        <v>2.2468787690714005E-5</v>
      </c>
      <c r="FF326" s="269">
        <f t="shared" si="3157"/>
        <v>6.9368229666919818E-5</v>
      </c>
      <c r="FG326" s="273">
        <f t="shared" si="3157"/>
        <v>2.1385687615432915E-5</v>
      </c>
      <c r="FH326" s="269">
        <f t="shared" si="3157"/>
        <v>4.8704583939593104E-5</v>
      </c>
      <c r="FI326" s="273">
        <f t="shared" si="3157"/>
        <v>1.5080564016541013E-5</v>
      </c>
      <c r="FJ326" s="269">
        <f t="shared" si="3157"/>
        <v>3.9966816230314935E-5</v>
      </c>
      <c r="FK326" s="273">
        <f t="shared" si="3157"/>
        <v>1.2527928354242295E-5</v>
      </c>
      <c r="FL326" s="269">
        <f t="shared" si="3157"/>
        <v>1.2891295661555477E-4</v>
      </c>
      <c r="FM326" s="273">
        <f t="shared" si="3157"/>
        <v>3.5490919054209053E-5</v>
      </c>
      <c r="FN326" s="269">
        <f t="shared" si="3157"/>
        <v>8.2834566528533538E-6</v>
      </c>
      <c r="FO326" s="273">
        <f t="shared" si="3157"/>
        <v>6.54643931623384E-6</v>
      </c>
      <c r="FP326" s="269">
        <f t="shared" si="3157"/>
        <v>1.5119387999849992E-4</v>
      </c>
      <c r="FQ326" s="273">
        <f t="shared" si="3157"/>
        <v>4.1150263641295736E-5</v>
      </c>
      <c r="FR326" s="105"/>
      <c r="FS326" s="280"/>
      <c r="FT326" s="271" t="s">
        <v>482</v>
      </c>
      <c r="FU326" s="269">
        <f>FU253</f>
        <v>27.268385010195711</v>
      </c>
      <c r="FV326" s="273">
        <f t="shared" ref="FV326:GJ326" si="3158">FV253</f>
        <v>7.2724448802549517</v>
      </c>
      <c r="FW326" s="269">
        <f t="shared" si="3158"/>
        <v>46.891205691621458</v>
      </c>
      <c r="FX326" s="273">
        <f t="shared" si="3158"/>
        <v>12.380119149102995</v>
      </c>
      <c r="FY326" s="269">
        <f t="shared" si="3158"/>
        <v>44.252969723905295</v>
      </c>
      <c r="FZ326" s="273">
        <f t="shared" si="3158"/>
        <v>11.71369143942781</v>
      </c>
      <c r="GA326" s="269">
        <f t="shared" si="3158"/>
        <v>31.033914186426419</v>
      </c>
      <c r="GB326" s="273">
        <f t="shared" si="3158"/>
        <v>8.2492067408705783</v>
      </c>
      <c r="GC326" s="269">
        <f t="shared" si="3158"/>
        <v>25.346974471936157</v>
      </c>
      <c r="GD326" s="273">
        <f t="shared" si="3158"/>
        <v>6.7613068555658593</v>
      </c>
      <c r="GE326" s="269">
        <f t="shared" si="3158"/>
        <v>85.930592393959529</v>
      </c>
      <c r="GF326" s="273">
        <f t="shared" si="3158"/>
        <v>22.467972287608745</v>
      </c>
      <c r="GG326" s="269">
        <f t="shared" si="3158"/>
        <v>0.23808668646535019</v>
      </c>
      <c r="GH326" s="273">
        <f t="shared" si="3158"/>
        <v>0.16335449218912135</v>
      </c>
      <c r="GI326" s="269">
        <f t="shared" si="3158"/>
        <v>26.192165844468391</v>
      </c>
      <c r="GJ326" s="273">
        <f t="shared" si="3158"/>
        <v>6.9819638058396736</v>
      </c>
      <c r="GK326" s="105"/>
      <c r="GL326" s="280"/>
      <c r="GM326" s="271" t="s">
        <v>482</v>
      </c>
      <c r="GN326" s="269">
        <f>GN253</f>
        <v>2.6940260392777078</v>
      </c>
      <c r="GO326" s="273">
        <f t="shared" ref="GO326:HC326" si="3159">GO253</f>
        <v>1.0541100705476583</v>
      </c>
      <c r="GP326" s="269">
        <f t="shared" si="3159"/>
        <v>4.4848290611972974</v>
      </c>
      <c r="GQ326" s="273">
        <f t="shared" si="3159"/>
        <v>1.6719771644941437</v>
      </c>
      <c r="GR326" s="269">
        <f t="shared" si="3159"/>
        <v>4.2838917802423309</v>
      </c>
      <c r="GS326" s="273">
        <f t="shared" si="3159"/>
        <v>1.6298642210441439</v>
      </c>
      <c r="GT326" s="269">
        <f t="shared" si="3159"/>
        <v>3.0044704976733487</v>
      </c>
      <c r="GU326" s="273">
        <f t="shared" si="3159"/>
        <v>1.1475113828889945</v>
      </c>
      <c r="GV326" s="269">
        <f t="shared" si="3159"/>
        <v>2.4847758210674695</v>
      </c>
      <c r="GW326" s="273">
        <f t="shared" si="3159"/>
        <v>0.97184050531019206</v>
      </c>
      <c r="GX326" s="269">
        <f t="shared" si="3159"/>
        <v>7.3640710018224249</v>
      </c>
      <c r="GY326" s="273">
        <f t="shared" si="3159"/>
        <v>2.2069636348524</v>
      </c>
      <c r="GZ326" s="269">
        <f t="shared" si="3159"/>
        <v>3.8830178873279872</v>
      </c>
      <c r="HA326" s="273">
        <f t="shared" si="3159"/>
        <v>1.5974720169367245</v>
      </c>
      <c r="HB326" s="269">
        <f t="shared" si="3159"/>
        <v>18.37286122348133</v>
      </c>
      <c r="HC326" s="273">
        <f t="shared" si="3159"/>
        <v>5.2167668043771753</v>
      </c>
      <c r="HD326" s="105"/>
      <c r="HE326" s="280"/>
      <c r="HF326" s="271" t="s">
        <v>482</v>
      </c>
      <c r="HG326" s="269">
        <f>HG253</f>
        <v>6414.4832288149582</v>
      </c>
      <c r="HH326" s="273">
        <f t="shared" ref="HH326:HV326" si="3160">HH253</f>
        <v>1769.0255927646217</v>
      </c>
      <c r="HI326" s="269">
        <f t="shared" si="3160"/>
        <v>10963.163600640657</v>
      </c>
      <c r="HJ326" s="273">
        <f t="shared" si="3160"/>
        <v>2946.1459416093689</v>
      </c>
      <c r="HK326" s="269">
        <f t="shared" si="3160"/>
        <v>10362.612586148502</v>
      </c>
      <c r="HL326" s="273">
        <f t="shared" si="3160"/>
        <v>2803.6001776374424</v>
      </c>
      <c r="HM326" s="269">
        <f t="shared" si="3160"/>
        <v>7285.3731771325656</v>
      </c>
      <c r="HN326" s="273">
        <f t="shared" si="3160"/>
        <v>1992.4114846284394</v>
      </c>
      <c r="HO326" s="269">
        <f t="shared" si="3160"/>
        <v>5962.8463589536741</v>
      </c>
      <c r="HP326" s="273">
        <f t="shared" si="3160"/>
        <v>1645.3786797327223</v>
      </c>
      <c r="HQ326" s="269">
        <f t="shared" si="3160"/>
        <v>19971.089934445321</v>
      </c>
      <c r="HR326" s="273">
        <f t="shared" si="3160"/>
        <v>5229.1627243213716</v>
      </c>
      <c r="HS326" s="269">
        <f t="shared" si="3160"/>
        <v>113.78386291718817</v>
      </c>
      <c r="HT326" s="273">
        <f t="shared" si="3160"/>
        <v>92.632823810990288</v>
      </c>
      <c r="HU326" s="269">
        <f t="shared" si="3160"/>
        <v>6826.8286405773297</v>
      </c>
      <c r="HV326" s="273">
        <f t="shared" si="3160"/>
        <v>1870.5667908633541</v>
      </c>
      <c r="HW326" s="105"/>
      <c r="HX326" s="105"/>
      <c r="HY326" s="271" t="s">
        <v>482</v>
      </c>
      <c r="HZ326" s="269">
        <f>HZ253</f>
        <v>4.6600388377084892E-4</v>
      </c>
      <c r="IA326" s="273">
        <f t="shared" ref="IA326:IK326" si="3161">IA253</f>
        <v>1.9645762120449613E-4</v>
      </c>
      <c r="IB326" s="269">
        <f t="shared" si="3161"/>
        <v>7.259812040392846E-4</v>
      </c>
      <c r="IC326" s="273">
        <f t="shared" si="3161"/>
        <v>2.6212907518376118E-4</v>
      </c>
      <c r="ID326" s="269">
        <f t="shared" si="3161"/>
        <v>7.0209202132105091E-4</v>
      </c>
      <c r="IE326" s="273">
        <f t="shared" si="3161"/>
        <v>2.6462611677967058E-4</v>
      </c>
      <c r="IF326" s="269">
        <f t="shared" si="3161"/>
        <v>5.1234375419202563E-4</v>
      </c>
      <c r="IG326" s="273">
        <f t="shared" si="3161"/>
        <v>2.0610230163673664E-4</v>
      </c>
      <c r="IH326" s="269">
        <f t="shared" si="3161"/>
        <v>4.3216110436019206E-4</v>
      </c>
      <c r="II326" s="273">
        <f t="shared" si="3161"/>
        <v>1.8247579016228611E-4</v>
      </c>
      <c r="IJ326" s="274">
        <f t="shared" si="3161"/>
        <v>1.1891819837422163E-3</v>
      </c>
      <c r="IK326" s="273">
        <f t="shared" si="3161"/>
        <v>3.3754564990798352E-4</v>
      </c>
      <c r="IL326" s="434"/>
      <c r="IM326" s="434"/>
      <c r="IN326" s="434"/>
      <c r="IO326" s="434"/>
    </row>
    <row r="327" spans="2:249" ht="12.75" customHeight="1" x14ac:dyDescent="0.2"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  <c r="AN327" s="106"/>
      <c r="AO327" s="106"/>
      <c r="AP327" s="268"/>
      <c r="AQ327" s="223" t="s">
        <v>483</v>
      </c>
      <c r="AR327" s="269">
        <f>AR319</f>
        <v>465.10574568388989</v>
      </c>
      <c r="AS327" s="274">
        <f t="shared" ref="AS327:BA327" si="3162">AS319</f>
        <v>434.70809770022987</v>
      </c>
      <c r="AT327" s="269">
        <f t="shared" si="3162"/>
        <v>630.86591725200401</v>
      </c>
      <c r="AU327" s="274">
        <f t="shared" si="3162"/>
        <v>591.90181651307444</v>
      </c>
      <c r="AV327" s="269">
        <f t="shared" si="3162"/>
        <v>634.71791804755105</v>
      </c>
      <c r="AW327" s="274">
        <f t="shared" si="3162"/>
        <v>596.79019438582259</v>
      </c>
      <c r="AX327" s="269">
        <f t="shared" si="3162"/>
        <v>493.13357868204469</v>
      </c>
      <c r="AY327" s="274">
        <f t="shared" si="3162"/>
        <v>461.56843101054926</v>
      </c>
      <c r="AZ327" s="269">
        <f t="shared" si="3162"/>
        <v>426.21936933158884</v>
      </c>
      <c r="BA327" s="274">
        <f t="shared" si="3162"/>
        <v>397.90939372220743</v>
      </c>
      <c r="BB327" s="269">
        <f t="shared" ref="BB327:BG327" si="3163">BB319</f>
        <v>356.74196422283489</v>
      </c>
      <c r="BC327" s="274">
        <f t="shared" si="3163"/>
        <v>304.60993413557486</v>
      </c>
      <c r="BD327" s="269">
        <f t="shared" si="3163"/>
        <v>506.69534616766339</v>
      </c>
      <c r="BE327" s="274">
        <f t="shared" si="3163"/>
        <v>452.06594032780419</v>
      </c>
      <c r="BF327" s="269">
        <f t="shared" si="3163"/>
        <v>673.47605581858386</v>
      </c>
      <c r="BG327" s="274">
        <f t="shared" si="3163"/>
        <v>505.50094306515973</v>
      </c>
      <c r="BH327" s="158"/>
      <c r="BI327" s="281"/>
      <c r="BJ327" s="223" t="s">
        <v>483</v>
      </c>
      <c r="BK327" s="269">
        <f>BK319</f>
        <v>70.261976241604344</v>
      </c>
      <c r="BL327" s="274">
        <f t="shared" ref="BL327:BZ327" si="3164">BL319</f>
        <v>63.601377809465099</v>
      </c>
      <c r="BM327" s="269">
        <f t="shared" si="3164"/>
        <v>93.814721637993046</v>
      </c>
      <c r="BN327" s="274">
        <f t="shared" si="3164"/>
        <v>85.281609890976725</v>
      </c>
      <c r="BO327" s="269">
        <f t="shared" si="3164"/>
        <v>92.85590846113061</v>
      </c>
      <c r="BP327" s="274">
        <f t="shared" si="3164"/>
        <v>84.549184194447548</v>
      </c>
      <c r="BQ327" s="269">
        <f t="shared" si="3164"/>
        <v>73.823923583106122</v>
      </c>
      <c r="BR327" s="274">
        <f t="shared" si="3164"/>
        <v>66.91144063169655</v>
      </c>
      <c r="BS327" s="269">
        <f t="shared" si="3164"/>
        <v>64.240380601092014</v>
      </c>
      <c r="BT327" s="274">
        <f t="shared" si="3164"/>
        <v>58.041652380600809</v>
      </c>
      <c r="BU327" s="269">
        <f t="shared" si="3164"/>
        <v>72.130585585161839</v>
      </c>
      <c r="BV327" s="274">
        <f t="shared" si="3164"/>
        <v>60.716732645469421</v>
      </c>
      <c r="BW327" s="269">
        <f t="shared" si="3164"/>
        <v>89.066387030664828</v>
      </c>
      <c r="BX327" s="274">
        <f t="shared" si="3164"/>
        <v>76.379913899709592</v>
      </c>
      <c r="BY327" s="269">
        <f t="shared" si="3164"/>
        <v>133.8055847564481</v>
      </c>
      <c r="BZ327" s="274">
        <f t="shared" si="3164"/>
        <v>90.388784043233997</v>
      </c>
      <c r="CA327" s="105"/>
      <c r="CB327" s="281"/>
      <c r="CC327" s="223" t="s">
        <v>483</v>
      </c>
      <c r="CD327" s="269">
        <f>CD319</f>
        <v>2110.476292928257</v>
      </c>
      <c r="CE327" s="274">
        <f t="shared" ref="CE327:CS327" si="3165">CE319</f>
        <v>1848.7797870485351</v>
      </c>
      <c r="CF327" s="269">
        <f t="shared" si="3165"/>
        <v>2701.1996990591019</v>
      </c>
      <c r="CG327" s="274">
        <f t="shared" si="3165"/>
        <v>2360.1175795152785</v>
      </c>
      <c r="CH327" s="269">
        <f t="shared" si="3165"/>
        <v>2735.467931132393</v>
      </c>
      <c r="CI327" s="274">
        <f t="shared" si="3165"/>
        <v>2403.9263168370644</v>
      </c>
      <c r="CJ327" s="269">
        <f t="shared" si="3165"/>
        <v>2159.2976319720397</v>
      </c>
      <c r="CK327" s="274">
        <f t="shared" si="3165"/>
        <v>1882.3256968434564</v>
      </c>
      <c r="CL327" s="269">
        <f t="shared" si="3165"/>
        <v>1882.4759766272771</v>
      </c>
      <c r="CM327" s="274">
        <f t="shared" si="3165"/>
        <v>1632.8682332145765</v>
      </c>
      <c r="CN327" s="269">
        <f t="shared" si="3165"/>
        <v>1775.635733243475</v>
      </c>
      <c r="CO327" s="274">
        <f t="shared" si="3165"/>
        <v>1314.8585801706843</v>
      </c>
      <c r="CP327" s="269">
        <f t="shared" si="3165"/>
        <v>1068.1926780352578</v>
      </c>
      <c r="CQ327" s="274">
        <f t="shared" si="3165"/>
        <v>986.26793227798817</v>
      </c>
      <c r="CR327" s="269">
        <f t="shared" si="3165"/>
        <v>2142.2707002728334</v>
      </c>
      <c r="CS327" s="274">
        <f t="shared" si="3165"/>
        <v>1606.7530917174795</v>
      </c>
      <c r="CT327" s="105"/>
      <c r="CU327" s="281"/>
      <c r="CV327" s="223" t="s">
        <v>483</v>
      </c>
      <c r="CW327" s="269">
        <f>CW319</f>
        <v>0.59801066107436041</v>
      </c>
      <c r="CX327" s="274">
        <f t="shared" ref="CX327:DL327" si="3166">CX319</f>
        <v>0.49083501920165801</v>
      </c>
      <c r="CY327" s="269">
        <f t="shared" si="3166"/>
        <v>0.74771131813372516</v>
      </c>
      <c r="CZ327" s="274">
        <f t="shared" si="3166"/>
        <v>0.607855682150097</v>
      </c>
      <c r="DA327" s="269">
        <f t="shared" si="3166"/>
        <v>0.74719802238991895</v>
      </c>
      <c r="DB327" s="274">
        <f t="shared" si="3166"/>
        <v>0.6113067271052709</v>
      </c>
      <c r="DC327" s="269">
        <f t="shared" si="3166"/>
        <v>0.61260006858361549</v>
      </c>
      <c r="DD327" s="274">
        <f t="shared" si="3166"/>
        <v>0.49905535796304934</v>
      </c>
      <c r="DE327" s="269">
        <f t="shared" si="3166"/>
        <v>0.54383013609883113</v>
      </c>
      <c r="DF327" s="274">
        <f t="shared" si="3166"/>
        <v>0.44147393393526485</v>
      </c>
      <c r="DG327" s="269">
        <f t="shared" si="3166"/>
        <v>0.68079697711364984</v>
      </c>
      <c r="DH327" s="274">
        <f t="shared" si="3166"/>
        <v>0.491833829283366</v>
      </c>
      <c r="DI327" s="269">
        <f t="shared" si="3166"/>
        <v>0.38684571642457366</v>
      </c>
      <c r="DJ327" s="274">
        <f t="shared" si="3166"/>
        <v>0.3404710857051475</v>
      </c>
      <c r="DK327" s="269">
        <f t="shared" si="3166"/>
        <v>0.86745327961300511</v>
      </c>
      <c r="DL327" s="274">
        <f t="shared" si="3166"/>
        <v>0.58286827158188226</v>
      </c>
      <c r="DM327" s="105"/>
      <c r="DN327" s="281"/>
      <c r="DO327" s="223" t="s">
        <v>483</v>
      </c>
      <c r="DP327" s="269">
        <f>DP319</f>
        <v>27.453960614859465</v>
      </c>
      <c r="DQ327" s="274">
        <f t="shared" ref="DQ327:EE327" si="3167">DQ319</f>
        <v>25.27991741249523</v>
      </c>
      <c r="DR327" s="269">
        <f t="shared" si="3167"/>
        <v>36.200038816835161</v>
      </c>
      <c r="DS327" s="274">
        <f t="shared" si="3167"/>
        <v>33.604117317879009</v>
      </c>
      <c r="DT327" s="269">
        <f t="shared" si="3167"/>
        <v>35.815220215230305</v>
      </c>
      <c r="DU327" s="274">
        <f t="shared" si="3167"/>
        <v>33.270366196207682</v>
      </c>
      <c r="DV327" s="269">
        <f t="shared" si="3167"/>
        <v>28.896701631670258</v>
      </c>
      <c r="DW327" s="274">
        <f t="shared" si="3167"/>
        <v>26.813536636501347</v>
      </c>
      <c r="DX327" s="269">
        <f t="shared" si="3167"/>
        <v>25.435735904377104</v>
      </c>
      <c r="DY327" s="274">
        <f t="shared" si="3167"/>
        <v>23.607565251243926</v>
      </c>
      <c r="DZ327" s="269">
        <f t="shared" si="3167"/>
        <v>23.23715039840474</v>
      </c>
      <c r="EA327" s="274">
        <f t="shared" si="3167"/>
        <v>19.908184151679315</v>
      </c>
      <c r="EB327" s="269">
        <f t="shared" si="3167"/>
        <v>14.895061218400041</v>
      </c>
      <c r="EC327" s="274">
        <f t="shared" si="3167"/>
        <v>11.432642863005494</v>
      </c>
      <c r="ED327" s="269">
        <f t="shared" si="3167"/>
        <v>170.7566918577875</v>
      </c>
      <c r="EE327" s="274">
        <f t="shared" si="3167"/>
        <v>97.542873198051851</v>
      </c>
      <c r="EF327" s="105"/>
      <c r="EG327" s="281"/>
      <c r="EH327" s="223" t="s">
        <v>483</v>
      </c>
      <c r="EI327" s="269">
        <f>EI319</f>
        <v>3.9113518862031227</v>
      </c>
      <c r="EJ327" s="274">
        <f t="shared" ref="EJ327:EX327" si="3168">EJ319</f>
        <v>3.8434542528435478</v>
      </c>
      <c r="EK327" s="269">
        <f t="shared" si="3168"/>
        <v>5.7259157007746548</v>
      </c>
      <c r="EL327" s="274">
        <f t="shared" si="3168"/>
        <v>5.638728893218719</v>
      </c>
      <c r="EM327" s="269">
        <f t="shared" si="3168"/>
        <v>5.9033922319875778</v>
      </c>
      <c r="EN327" s="274">
        <f t="shared" si="3168"/>
        <v>5.8185302230202254</v>
      </c>
      <c r="EO327" s="269">
        <f t="shared" si="3168"/>
        <v>4.2806083008014717</v>
      </c>
      <c r="EP327" s="274">
        <f t="shared" si="3168"/>
        <v>4.2099509613759025</v>
      </c>
      <c r="EQ327" s="269">
        <f t="shared" si="3168"/>
        <v>3.5849307235371328</v>
      </c>
      <c r="ER327" s="274">
        <f t="shared" si="3168"/>
        <v>3.5215254939923688</v>
      </c>
      <c r="ES327" s="269">
        <f t="shared" si="3168"/>
        <v>1.1743954120671543</v>
      </c>
      <c r="ET327" s="274">
        <f t="shared" si="3168"/>
        <v>1.0576036726310787</v>
      </c>
      <c r="EU327" s="269">
        <f t="shared" si="3168"/>
        <v>2.8808914767630203</v>
      </c>
      <c r="EV327" s="274">
        <f t="shared" si="3168"/>
        <v>2.7914856924868627</v>
      </c>
      <c r="EW327" s="269">
        <f t="shared" si="3168"/>
        <v>4.2643403416354273</v>
      </c>
      <c r="EX327" s="274">
        <f t="shared" si="3168"/>
        <v>3.8504629266189845</v>
      </c>
      <c r="EY327" s="105"/>
      <c r="EZ327" s="281"/>
      <c r="FA327" s="223" t="s">
        <v>483</v>
      </c>
      <c r="FB327" s="269">
        <f>FB319</f>
        <v>4.5179265132887156E-2</v>
      </c>
      <c r="FC327" s="274">
        <f t="shared" ref="FC327:FQ327" si="3169">FC319</f>
        <v>3.3875940663971219E-2</v>
      </c>
      <c r="FD327" s="269">
        <f t="shared" si="3169"/>
        <v>5.9403471067360082E-2</v>
      </c>
      <c r="FE327" s="274">
        <f t="shared" si="3169"/>
        <v>4.4622979660042313E-2</v>
      </c>
      <c r="FF327" s="269">
        <f t="shared" si="3169"/>
        <v>5.8485625371902342E-2</v>
      </c>
      <c r="FG327" s="274">
        <f t="shared" si="3169"/>
        <v>4.4126888141508475E-2</v>
      </c>
      <c r="FH327" s="269">
        <f t="shared" si="3169"/>
        <v>4.804329856751844E-2</v>
      </c>
      <c r="FI327" s="274">
        <f t="shared" si="3169"/>
        <v>3.6040273887027942E-2</v>
      </c>
      <c r="FJ327" s="269">
        <f t="shared" si="3169"/>
        <v>4.2817333458879885E-2</v>
      </c>
      <c r="FK327" s="274">
        <f t="shared" si="3169"/>
        <v>3.1990747260528606E-2</v>
      </c>
      <c r="FL327" s="269">
        <f t="shared" si="3169"/>
        <v>5.8973022476134819E-2</v>
      </c>
      <c r="FM327" s="274">
        <f t="shared" si="3169"/>
        <v>3.8979854448491134E-2</v>
      </c>
      <c r="FN327" s="269">
        <f t="shared" si="3169"/>
        <v>3.2737294282595135E-2</v>
      </c>
      <c r="FO327" s="274">
        <f t="shared" si="3169"/>
        <v>2.8656355609730132E-2</v>
      </c>
      <c r="FP327" s="269">
        <f t="shared" si="3169"/>
        <v>7.8306425162427543E-2</v>
      </c>
      <c r="FQ327" s="274">
        <f t="shared" si="3169"/>
        <v>4.8727126467613423E-2</v>
      </c>
      <c r="FR327" s="105"/>
      <c r="FS327" s="281"/>
      <c r="FT327" s="223" t="s">
        <v>483</v>
      </c>
      <c r="FU327" s="269">
        <f>FU319</f>
        <v>22.112328169493324</v>
      </c>
      <c r="FV327" s="274">
        <f t="shared" ref="FV327:GJ327" si="3170">FV319</f>
        <v>13.739716926461652</v>
      </c>
      <c r="FW327" s="269">
        <f t="shared" si="3170"/>
        <v>29.310760491737579</v>
      </c>
      <c r="FX327" s="274">
        <f t="shared" si="3170"/>
        <v>18.329727438120479</v>
      </c>
      <c r="FY327" s="269">
        <f t="shared" si="3170"/>
        <v>28.838747114547601</v>
      </c>
      <c r="FZ327" s="274">
        <f t="shared" si="3170"/>
        <v>18.174224966375302</v>
      </c>
      <c r="GA327" s="269">
        <f t="shared" si="3170"/>
        <v>23.583124930346369</v>
      </c>
      <c r="GB327" s="274">
        <f t="shared" si="3170"/>
        <v>14.662397231522398</v>
      </c>
      <c r="GC327" s="269">
        <f t="shared" si="3170"/>
        <v>21.038794515159235</v>
      </c>
      <c r="GD327" s="274">
        <f t="shared" si="3170"/>
        <v>12.985666262721242</v>
      </c>
      <c r="GE327" s="269">
        <f t="shared" si="3170"/>
        <v>32.395561097103943</v>
      </c>
      <c r="GF327" s="274">
        <f t="shared" si="3170"/>
        <v>17.517872634000213</v>
      </c>
      <c r="GG327" s="269">
        <f t="shared" si="3170"/>
        <v>5.584802364475439</v>
      </c>
      <c r="GH327" s="274">
        <f t="shared" si="3170"/>
        <v>4.7145539892755064</v>
      </c>
      <c r="GI327" s="269">
        <f t="shared" si="3170"/>
        <v>25.667986756746611</v>
      </c>
      <c r="GJ327" s="274">
        <f t="shared" si="3170"/>
        <v>15.260913112839312</v>
      </c>
      <c r="GK327" s="105"/>
      <c r="GL327" s="281"/>
      <c r="GM327" s="223" t="s">
        <v>483</v>
      </c>
      <c r="GN327" s="269">
        <f>GN319</f>
        <v>17.240846504475787</v>
      </c>
      <c r="GO327" s="274">
        <f t="shared" ref="GO327:HC327" si="3171">GO319</f>
        <v>13.700177141702673</v>
      </c>
      <c r="GP327" s="269">
        <f t="shared" si="3171"/>
        <v>23.15667594694149</v>
      </c>
      <c r="GQ327" s="274">
        <f t="shared" si="3171"/>
        <v>18.557302897214484</v>
      </c>
      <c r="GR327" s="269">
        <f t="shared" si="3171"/>
        <v>22.916814205193308</v>
      </c>
      <c r="GS327" s="274">
        <f t="shared" si="3171"/>
        <v>18.444050200362419</v>
      </c>
      <c r="GT327" s="269">
        <f t="shared" si="3171"/>
        <v>18.107238614472667</v>
      </c>
      <c r="GU327" s="274">
        <f t="shared" si="3171"/>
        <v>14.373257078640034</v>
      </c>
      <c r="GV327" s="269">
        <f t="shared" si="3171"/>
        <v>15.783583066325214</v>
      </c>
      <c r="GW327" s="274">
        <f t="shared" si="3171"/>
        <v>12.421596139176684</v>
      </c>
      <c r="GX327" s="269">
        <f t="shared" si="3171"/>
        <v>19.974581577552428</v>
      </c>
      <c r="GY327" s="274">
        <f t="shared" si="3171"/>
        <v>13.770957358727889</v>
      </c>
      <c r="GZ327" s="269">
        <f t="shared" si="3171"/>
        <v>19.488447272586949</v>
      </c>
      <c r="HA327" s="274">
        <f t="shared" si="3171"/>
        <v>14.709456841526078</v>
      </c>
      <c r="HB327" s="269">
        <f t="shared" si="3171"/>
        <v>30.416180451118162</v>
      </c>
      <c r="HC327" s="274">
        <f t="shared" si="3171"/>
        <v>19.726816564147946</v>
      </c>
      <c r="HD327" s="105"/>
      <c r="HE327" s="281"/>
      <c r="HF327" s="223" t="s">
        <v>483</v>
      </c>
      <c r="HG327" s="269">
        <f>HG319</f>
        <v>389.73234684634667</v>
      </c>
      <c r="HH327" s="274">
        <f t="shared" ref="HH327:HV327" si="3172">HH319</f>
        <v>261.27931017779798</v>
      </c>
      <c r="HI327" s="269">
        <f t="shared" si="3172"/>
        <v>522.51998518647167</v>
      </c>
      <c r="HJ327" s="274">
        <f t="shared" si="3172"/>
        <v>354.13432102823515</v>
      </c>
      <c r="HK327" s="269">
        <f t="shared" si="3172"/>
        <v>516.90232995358531</v>
      </c>
      <c r="HL327" s="274">
        <f t="shared" si="3172"/>
        <v>353.36296315718545</v>
      </c>
      <c r="HM327" s="269">
        <f t="shared" si="3172"/>
        <v>416.37071160342805</v>
      </c>
      <c r="HN327" s="274">
        <f t="shared" si="3172"/>
        <v>279.58781160043907</v>
      </c>
      <c r="HO327" s="269">
        <f t="shared" si="3172"/>
        <v>368.46137460139568</v>
      </c>
      <c r="HP327" s="274">
        <f t="shared" si="3172"/>
        <v>244.99925529187331</v>
      </c>
      <c r="HQ327" s="269">
        <f t="shared" si="3172"/>
        <v>515.6288784156153</v>
      </c>
      <c r="HR327" s="274">
        <f t="shared" si="3172"/>
        <v>287.55649187348325</v>
      </c>
      <c r="HS327" s="269">
        <f t="shared" si="3172"/>
        <v>123.0204034300037</v>
      </c>
      <c r="HT327" s="274">
        <f t="shared" si="3172"/>
        <v>108.54081738591573</v>
      </c>
      <c r="HU327" s="269">
        <f t="shared" si="3172"/>
        <v>478.31041851545496</v>
      </c>
      <c r="HV327" s="274">
        <f t="shared" si="3172"/>
        <v>298.26907936892428</v>
      </c>
      <c r="HW327" s="105"/>
      <c r="HX327" s="105"/>
      <c r="HY327" s="223" t="s">
        <v>483</v>
      </c>
      <c r="HZ327" s="269">
        <f>HZ319</f>
        <v>0.21022279332979038</v>
      </c>
      <c r="IA327" s="274">
        <f t="shared" ref="IA327:IK327" si="3173">IA319</f>
        <v>0.17390225985418323</v>
      </c>
      <c r="IB327" s="269">
        <f t="shared" si="3173"/>
        <v>0.26547007694405161</v>
      </c>
      <c r="IC327" s="274">
        <f t="shared" si="3173"/>
        <v>0.21815089224317075</v>
      </c>
      <c r="ID327" s="269">
        <f t="shared" si="3173"/>
        <v>0.26476045668398424</v>
      </c>
      <c r="IE327" s="274">
        <f t="shared" si="3173"/>
        <v>0.21877498903883352</v>
      </c>
      <c r="IF327" s="269">
        <f t="shared" si="3173"/>
        <v>0.21593581170690648</v>
      </c>
      <c r="IG327" s="274">
        <f t="shared" si="3173"/>
        <v>0.17752595243696762</v>
      </c>
      <c r="IH327" s="269">
        <f t="shared" si="3173"/>
        <v>0.19107984655752844</v>
      </c>
      <c r="II327" s="274">
        <f t="shared" si="3173"/>
        <v>0.15647049633637272</v>
      </c>
      <c r="IJ327" s="274">
        <f t="shared" si="3173"/>
        <v>0.23902584173877225</v>
      </c>
      <c r="IK327" s="274">
        <f t="shared" si="3173"/>
        <v>0.17514665449104236</v>
      </c>
      <c r="IL327" s="434"/>
      <c r="IM327" s="434"/>
      <c r="IN327" s="434"/>
      <c r="IO327" s="434"/>
    </row>
    <row r="328" spans="2:249" ht="12.75" customHeight="1" x14ac:dyDescent="0.2"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05"/>
      <c r="W328" s="105"/>
      <c r="X328" s="105"/>
      <c r="Y328" s="105"/>
      <c r="Z328" s="105"/>
      <c r="AA328" s="105"/>
      <c r="AB328" s="105"/>
      <c r="AC328" s="105"/>
      <c r="AD328" s="105"/>
      <c r="AE328" s="105"/>
      <c r="AF328" s="105"/>
      <c r="AG328" s="105"/>
      <c r="AH328" s="105"/>
      <c r="AI328" s="105"/>
      <c r="AJ328" s="105"/>
      <c r="AK328" s="105"/>
      <c r="AL328" s="105"/>
      <c r="AM328" s="105"/>
      <c r="AN328" s="105"/>
      <c r="AO328" s="105"/>
      <c r="AP328" s="268"/>
      <c r="AQ328" s="272" t="s">
        <v>480</v>
      </c>
      <c r="AR328" s="269">
        <f>AR327-SQRT(AR326)</f>
        <v>434.25660195194661</v>
      </c>
      <c r="AS328" s="274">
        <f t="shared" ref="AS328:BA328" si="3174">AS327-SQRT(AS326)</f>
        <v>405.07217691447335</v>
      </c>
      <c r="AT328" s="269">
        <f t="shared" si="3174"/>
        <v>597.68511099336752</v>
      </c>
      <c r="AU328" s="274">
        <f t="shared" si="3174"/>
        <v>560.47801437134513</v>
      </c>
      <c r="AV328" s="269">
        <f t="shared" si="3174"/>
        <v>600.60482545815751</v>
      </c>
      <c r="AW328" s="274">
        <f t="shared" si="3174"/>
        <v>564.30126616814084</v>
      </c>
      <c r="AX328" s="269">
        <f t="shared" si="3174"/>
        <v>461.99883547246725</v>
      </c>
      <c r="AY328" s="274">
        <f t="shared" si="3174"/>
        <v>431.70654242488291</v>
      </c>
      <c r="AZ328" s="269">
        <f t="shared" si="3174"/>
        <v>396.35898897011566</v>
      </c>
      <c r="BA328" s="274">
        <f t="shared" si="3174"/>
        <v>369.13941382020727</v>
      </c>
      <c r="BB328" s="269">
        <f t="shared" ref="BB328:BG328" si="3175">BB327-SQRT(BB326)</f>
        <v>329.37952976421764</v>
      </c>
      <c r="BC328" s="274">
        <f t="shared" si="3175"/>
        <v>281.02974694782301</v>
      </c>
      <c r="BD328" s="269">
        <f t="shared" si="3175"/>
        <v>467.88098996882974</v>
      </c>
      <c r="BE328" s="274">
        <f t="shared" si="3175"/>
        <v>416.1589364718219</v>
      </c>
      <c r="BF328" s="269">
        <f t="shared" si="3175"/>
        <v>588.81594164294233</v>
      </c>
      <c r="BG328" s="274">
        <f t="shared" si="3175"/>
        <v>456.2561984656196</v>
      </c>
      <c r="BH328" s="158"/>
      <c r="BI328" s="281"/>
      <c r="BJ328" s="272" t="s">
        <v>480</v>
      </c>
      <c r="BK328" s="269">
        <f>BK327-SQRT(BK326)</f>
        <v>65.830631225079145</v>
      </c>
      <c r="BL328" s="274">
        <f t="shared" ref="BL328:BZ328" si="3176">BL327-SQRT(BL326)</f>
        <v>59.563439212274702</v>
      </c>
      <c r="BM328" s="269">
        <f t="shared" si="3176"/>
        <v>88.189590413039028</v>
      </c>
      <c r="BN328" s="274">
        <f t="shared" si="3176"/>
        <v>80.149846840258007</v>
      </c>
      <c r="BO328" s="269">
        <f t="shared" si="3176"/>
        <v>87.312806528310702</v>
      </c>
      <c r="BP328" s="274">
        <f t="shared" si="3176"/>
        <v>79.481247769254779</v>
      </c>
      <c r="BQ328" s="269">
        <f t="shared" si="3176"/>
        <v>69.187453890782479</v>
      </c>
      <c r="BR328" s="274">
        <f t="shared" si="3176"/>
        <v>62.671854588457514</v>
      </c>
      <c r="BS328" s="269">
        <f t="shared" si="3176"/>
        <v>59.983818038950787</v>
      </c>
      <c r="BT328" s="274">
        <f t="shared" si="3176"/>
        <v>54.133825206421115</v>
      </c>
      <c r="BU328" s="269">
        <f t="shared" si="3176"/>
        <v>66.457360363133702</v>
      </c>
      <c r="BV328" s="274">
        <f t="shared" si="3176"/>
        <v>55.932793987813568</v>
      </c>
      <c r="BW328" s="269">
        <f t="shared" si="3176"/>
        <v>81.805832511663851</v>
      </c>
      <c r="BX328" s="274">
        <f t="shared" si="3176"/>
        <v>69.956439048091113</v>
      </c>
      <c r="BY328" s="269">
        <f t="shared" si="3176"/>
        <v>111.95057300292751</v>
      </c>
      <c r="BZ328" s="274">
        <f t="shared" si="3176"/>
        <v>78.781308833295668</v>
      </c>
      <c r="CA328" s="105"/>
      <c r="CB328" s="281"/>
      <c r="CC328" s="272" t="s">
        <v>480</v>
      </c>
      <c r="CD328" s="269">
        <f>CD327-SQRT(CD326)</f>
        <v>1921.7992677251793</v>
      </c>
      <c r="CE328" s="274">
        <f t="shared" ref="CE328:CS328" si="3177">CE327-SQRT(CE326)</f>
        <v>1708.9024546277174</v>
      </c>
      <c r="CF328" s="269">
        <f t="shared" si="3177"/>
        <v>2481.7585345742677</v>
      </c>
      <c r="CG328" s="274">
        <f t="shared" si="3177"/>
        <v>2216.8472055746247</v>
      </c>
      <c r="CH328" s="269">
        <f t="shared" si="3177"/>
        <v>2515.7121323182073</v>
      </c>
      <c r="CI328" s="274">
        <f t="shared" si="3177"/>
        <v>2254.8009425316777</v>
      </c>
      <c r="CJ328" s="269">
        <f t="shared" si="3177"/>
        <v>1965.0710184306574</v>
      </c>
      <c r="CK328" s="274">
        <f t="shared" si="3177"/>
        <v>1742.7372467374278</v>
      </c>
      <c r="CL328" s="269">
        <f t="shared" si="3177"/>
        <v>1700.0875974115124</v>
      </c>
      <c r="CM328" s="274">
        <f t="shared" si="3177"/>
        <v>1497.2474216558317</v>
      </c>
      <c r="CN328" s="269">
        <f t="shared" si="3177"/>
        <v>1509.3680490751526</v>
      </c>
      <c r="CO328" s="274">
        <f t="shared" si="3177"/>
        <v>1172.9753314262027</v>
      </c>
      <c r="CP328" s="269">
        <f t="shared" si="3177"/>
        <v>971.69477941607352</v>
      </c>
      <c r="CQ328" s="274">
        <f t="shared" si="3177"/>
        <v>892.94383760651453</v>
      </c>
      <c r="CR328" s="269">
        <f t="shared" si="3177"/>
        <v>1896.8699204415479</v>
      </c>
      <c r="CS328" s="274">
        <f t="shared" si="3177"/>
        <v>1448.7920970253842</v>
      </c>
      <c r="CT328" s="105"/>
      <c r="CU328" s="281"/>
      <c r="CV328" s="272" t="s">
        <v>480</v>
      </c>
      <c r="CW328" s="269">
        <f>CW327-SQRT(CW326)</f>
        <v>0.53206192270455666</v>
      </c>
      <c r="CX328" s="274">
        <f t="shared" ref="CX328:DL328" si="3178">CX327-SQRT(CX326)</f>
        <v>0.44860114498415316</v>
      </c>
      <c r="CY328" s="269">
        <f t="shared" si="3178"/>
        <v>0.66568627520894341</v>
      </c>
      <c r="CZ328" s="274">
        <f t="shared" si="3178"/>
        <v>0.5598140836789256</v>
      </c>
      <c r="DA328" s="269">
        <f t="shared" si="3178"/>
        <v>0.66650374808564516</v>
      </c>
      <c r="DB328" s="274">
        <f t="shared" si="3178"/>
        <v>0.56289871342113917</v>
      </c>
      <c r="DC328" s="269">
        <f t="shared" si="3178"/>
        <v>0.54345570292250245</v>
      </c>
      <c r="DD328" s="274">
        <f t="shared" si="3178"/>
        <v>0.45589628196597648</v>
      </c>
      <c r="DE328" s="269">
        <f t="shared" si="3178"/>
        <v>0.48028132627851683</v>
      </c>
      <c r="DF328" s="274">
        <f t="shared" si="3178"/>
        <v>0.40074697973983486</v>
      </c>
      <c r="DG328" s="269">
        <f t="shared" si="3178"/>
        <v>0.57502739167002914</v>
      </c>
      <c r="DH328" s="274">
        <f t="shared" si="3178"/>
        <v>0.43645575577275542</v>
      </c>
      <c r="DI328" s="269">
        <f t="shared" si="3178"/>
        <v>0.3559113762898159</v>
      </c>
      <c r="DJ328" s="274">
        <f t="shared" si="3178"/>
        <v>0.31292405287627051</v>
      </c>
      <c r="DK328" s="269">
        <f t="shared" si="3178"/>
        <v>0.74597003859107514</v>
      </c>
      <c r="DL328" s="274">
        <f t="shared" si="3178"/>
        <v>0.51610383775375868</v>
      </c>
      <c r="DM328" s="105"/>
      <c r="DN328" s="281"/>
      <c r="DO328" s="272" t="s">
        <v>480</v>
      </c>
      <c r="DP328" s="269">
        <f>DP327-SQRT(DP326)</f>
        <v>23.868243490128528</v>
      </c>
      <c r="DQ328" s="274">
        <f t="shared" ref="DQ328:EE328" si="3179">DQ327-SQRT(DQ326)</f>
        <v>21.914121428427869</v>
      </c>
      <c r="DR328" s="269">
        <f t="shared" si="3179"/>
        <v>29.764951126081808</v>
      </c>
      <c r="DS328" s="274">
        <f t="shared" si="3179"/>
        <v>27.332466891971514</v>
      </c>
      <c r="DT328" s="269">
        <f t="shared" si="3179"/>
        <v>29.552361475736568</v>
      </c>
      <c r="DU328" s="274">
        <f t="shared" si="3179"/>
        <v>27.169732891999821</v>
      </c>
      <c r="DV328" s="269">
        <f t="shared" si="3179"/>
        <v>25.152567760805269</v>
      </c>
      <c r="DW328" s="274">
        <f t="shared" si="3179"/>
        <v>23.25119572856892</v>
      </c>
      <c r="DX328" s="269">
        <f t="shared" si="3179"/>
        <v>22.063478649817224</v>
      </c>
      <c r="DY328" s="274">
        <f t="shared" si="3179"/>
        <v>20.388084406716544</v>
      </c>
      <c r="DZ328" s="269">
        <f t="shared" si="3179"/>
        <v>20.808776295012336</v>
      </c>
      <c r="EA328" s="274">
        <f t="shared" si="3179"/>
        <v>18.300267415036036</v>
      </c>
      <c r="EB328" s="269">
        <f t="shared" si="3179"/>
        <v>11.712126125669574</v>
      </c>
      <c r="EC328" s="274">
        <f t="shared" si="3179"/>
        <v>9.2705953926461788</v>
      </c>
      <c r="ED328" s="269">
        <f t="shared" si="3179"/>
        <v>128.91057968198385</v>
      </c>
      <c r="EE328" s="274">
        <f t="shared" si="3179"/>
        <v>75.987977904384948</v>
      </c>
      <c r="EF328" s="105"/>
      <c r="EG328" s="281"/>
      <c r="EH328" s="272" t="s">
        <v>480</v>
      </c>
      <c r="EI328" s="269">
        <f>EI327-SQRT(EI326)</f>
        <v>3.5238417810928895</v>
      </c>
      <c r="EJ328" s="274">
        <f t="shared" ref="EJ328:EX328" si="3180">EJ327-SQRT(EJ326)</f>
        <v>3.4565918006020695</v>
      </c>
      <c r="EK328" s="269">
        <f t="shared" si="3180"/>
        <v>5.3753914531684401</v>
      </c>
      <c r="EL328" s="274">
        <f t="shared" si="3180"/>
        <v>5.2893688291837089</v>
      </c>
      <c r="EM328" s="269">
        <f t="shared" si="3180"/>
        <v>5.5187461574459578</v>
      </c>
      <c r="EN328" s="274">
        <f t="shared" si="3180"/>
        <v>5.4348898604477496</v>
      </c>
      <c r="EO328" s="269">
        <f t="shared" si="3180"/>
        <v>3.9025240712848559</v>
      </c>
      <c r="EP328" s="274">
        <f t="shared" si="3180"/>
        <v>3.8325887843918318</v>
      </c>
      <c r="EQ328" s="269">
        <f t="shared" si="3180"/>
        <v>3.208932347033068</v>
      </c>
      <c r="ER328" s="274">
        <f t="shared" si="3180"/>
        <v>3.146119847716101</v>
      </c>
      <c r="ES328" s="269">
        <f t="shared" si="3180"/>
        <v>1.0394897925327113</v>
      </c>
      <c r="ET328" s="274">
        <f t="shared" si="3180"/>
        <v>0.92814374408341127</v>
      </c>
      <c r="EU328" s="269">
        <f t="shared" si="3180"/>
        <v>2.5702305462554667</v>
      </c>
      <c r="EV328" s="274">
        <f t="shared" si="3180"/>
        <v>2.4820198593339193</v>
      </c>
      <c r="EW328" s="269">
        <f t="shared" si="3180"/>
        <v>3.8421958124723559</v>
      </c>
      <c r="EX328" s="274">
        <f t="shared" si="3180"/>
        <v>3.4624762362966859</v>
      </c>
      <c r="EY328" s="105"/>
      <c r="EZ328" s="281"/>
      <c r="FA328" s="272" t="s">
        <v>480</v>
      </c>
      <c r="FB328" s="269">
        <f>FB327-SQRT(FB326)</f>
        <v>3.862553021553463E-2</v>
      </c>
      <c r="FC328" s="274">
        <f t="shared" ref="FC328:FQ328" si="3181">FC327-SQRT(FC326)</f>
        <v>3.0214054012162359E-2</v>
      </c>
      <c r="FD328" s="269">
        <f t="shared" si="3181"/>
        <v>5.0839067855764156E-2</v>
      </c>
      <c r="FE328" s="274">
        <f t="shared" si="3181"/>
        <v>3.9882854377867379E-2</v>
      </c>
      <c r="FF328" s="269">
        <f t="shared" si="3181"/>
        <v>5.0156866180586998E-2</v>
      </c>
      <c r="FG328" s="274">
        <f t="shared" si="3181"/>
        <v>3.9502421943617853E-2</v>
      </c>
      <c r="FH328" s="269">
        <f t="shared" si="3181"/>
        <v>4.1064431615097499E-2</v>
      </c>
      <c r="FI328" s="274">
        <f t="shared" si="3181"/>
        <v>3.215690369909311E-2</v>
      </c>
      <c r="FJ328" s="269">
        <f t="shared" si="3181"/>
        <v>3.649540209019872E-2</v>
      </c>
      <c r="FK328" s="274">
        <f t="shared" si="3181"/>
        <v>2.845126589255359E-2</v>
      </c>
      <c r="FL328" s="269">
        <f t="shared" si="3181"/>
        <v>4.7619038302482174E-2</v>
      </c>
      <c r="FM328" s="274">
        <f t="shared" si="3181"/>
        <v>3.3022428909366949E-2</v>
      </c>
      <c r="FN328" s="269">
        <f t="shared" si="3181"/>
        <v>2.9859194796327617E-2</v>
      </c>
      <c r="FO328" s="274">
        <f t="shared" si="3181"/>
        <v>2.6097754563018504E-2</v>
      </c>
      <c r="FP328" s="269">
        <f t="shared" si="3181"/>
        <v>6.6010333100373852E-2</v>
      </c>
      <c r="FQ328" s="274">
        <f t="shared" si="3181"/>
        <v>4.2312279342288012E-2</v>
      </c>
      <c r="FR328" s="105"/>
      <c r="FS328" s="281"/>
      <c r="FT328" s="272" t="s">
        <v>480</v>
      </c>
      <c r="FU328" s="269">
        <f>FU327-SQRT(FU326)</f>
        <v>16.890414247357523</v>
      </c>
      <c r="FV328" s="274">
        <f t="shared" ref="FV328:GJ328" si="3182">FV327-SQRT(FV326)</f>
        <v>11.042969834082585</v>
      </c>
      <c r="FW328" s="269">
        <f t="shared" si="3182"/>
        <v>22.463045128813864</v>
      </c>
      <c r="FX328" s="274">
        <f t="shared" si="3182"/>
        <v>14.811188089313506</v>
      </c>
      <c r="FY328" s="269">
        <f t="shared" si="3182"/>
        <v>22.186456552349849</v>
      </c>
      <c r="FZ328" s="274">
        <f t="shared" si="3182"/>
        <v>14.751697911781312</v>
      </c>
      <c r="GA328" s="269">
        <f t="shared" si="3182"/>
        <v>18.012315816184728</v>
      </c>
      <c r="GB328" s="274">
        <f t="shared" si="3182"/>
        <v>11.790254000262756</v>
      </c>
      <c r="GC328" s="269">
        <f t="shared" si="3182"/>
        <v>16.004216630973097</v>
      </c>
      <c r="GD328" s="274">
        <f t="shared" si="3182"/>
        <v>10.385414956488351</v>
      </c>
      <c r="GE328" s="269">
        <f t="shared" si="3182"/>
        <v>23.125685564284773</v>
      </c>
      <c r="GF328" s="274">
        <f t="shared" si="3182"/>
        <v>12.777833363318086</v>
      </c>
      <c r="GG328" s="269">
        <f t="shared" si="3182"/>
        <v>5.0968610908929</v>
      </c>
      <c r="GH328" s="274">
        <f t="shared" si="3182"/>
        <v>4.3103826243953094</v>
      </c>
      <c r="GI328" s="269">
        <f t="shared" si="3182"/>
        <v>20.55015852159956</v>
      </c>
      <c r="GJ328" s="274">
        <f t="shared" si="3182"/>
        <v>12.618572520515968</v>
      </c>
      <c r="GK328" s="105"/>
      <c r="GL328" s="281"/>
      <c r="GM328" s="272" t="s">
        <v>480</v>
      </c>
      <c r="GN328" s="269">
        <f>GN327-SQRT(GN326)</f>
        <v>15.599497656948941</v>
      </c>
      <c r="GO328" s="274">
        <f t="shared" ref="GO328:HC328" si="3183">GO327-SQRT(GO326)</f>
        <v>12.673478514768917</v>
      </c>
      <c r="GP328" s="269">
        <f t="shared" si="3183"/>
        <v>21.038934446852942</v>
      </c>
      <c r="GQ328" s="274">
        <f t="shared" si="3183"/>
        <v>17.264253337261678</v>
      </c>
      <c r="GR328" s="269">
        <f t="shared" si="3183"/>
        <v>20.847057750862913</v>
      </c>
      <c r="GS328" s="274">
        <f t="shared" si="3183"/>
        <v>17.1673888431325</v>
      </c>
      <c r="GT328" s="269">
        <f t="shared" si="3183"/>
        <v>16.373897765801136</v>
      </c>
      <c r="GU328" s="274">
        <f t="shared" si="3183"/>
        <v>13.302037501294196</v>
      </c>
      <c r="GV328" s="269">
        <f t="shared" si="3183"/>
        <v>14.207265896125172</v>
      </c>
      <c r="GW328" s="274">
        <f t="shared" si="3183"/>
        <v>11.43577642680013</v>
      </c>
      <c r="GX328" s="269">
        <f t="shared" si="3183"/>
        <v>17.260899392435235</v>
      </c>
      <c r="GY328" s="274">
        <f t="shared" si="3183"/>
        <v>12.285372075126709</v>
      </c>
      <c r="GZ328" s="269">
        <f t="shared" si="3183"/>
        <v>17.517909811048096</v>
      </c>
      <c r="HA328" s="274">
        <f t="shared" si="3183"/>
        <v>13.445545445526848</v>
      </c>
      <c r="HB328" s="269">
        <f t="shared" si="3183"/>
        <v>26.129822880466673</v>
      </c>
      <c r="HC328" s="274">
        <f t="shared" si="3183"/>
        <v>17.442792307626757</v>
      </c>
      <c r="HD328" s="105"/>
      <c r="HE328" s="281"/>
      <c r="HF328" s="272" t="s">
        <v>480</v>
      </c>
      <c r="HG328" s="269">
        <f>HG327-SQRT(HG326)</f>
        <v>309.64187782028239</v>
      </c>
      <c r="HH328" s="274">
        <f t="shared" ref="HH328:HV328" si="3184">HH327-SQRT(HH326)</f>
        <v>219.21952424438385</v>
      </c>
      <c r="HI328" s="269">
        <f t="shared" si="3184"/>
        <v>417.81485827932994</v>
      </c>
      <c r="HJ328" s="274">
        <f t="shared" si="3184"/>
        <v>299.85590965124874</v>
      </c>
      <c r="HK328" s="269">
        <f t="shared" si="3184"/>
        <v>415.10541160067788</v>
      </c>
      <c r="HL328" s="274">
        <f t="shared" si="3184"/>
        <v>300.41392938283371</v>
      </c>
      <c r="HM328" s="269">
        <f t="shared" si="3184"/>
        <v>331.01631407680634</v>
      </c>
      <c r="HN328" s="274">
        <f t="shared" si="3184"/>
        <v>234.95137486285392</v>
      </c>
      <c r="HO328" s="269">
        <f t="shared" si="3184"/>
        <v>291.24190581952905</v>
      </c>
      <c r="HP328" s="274">
        <f t="shared" si="3184"/>
        <v>204.43598767531262</v>
      </c>
      <c r="HQ328" s="269">
        <f t="shared" si="3184"/>
        <v>374.3097716591497</v>
      </c>
      <c r="HR328" s="274">
        <f t="shared" si="3184"/>
        <v>215.24354196600561</v>
      </c>
      <c r="HS328" s="269">
        <f t="shared" si="3184"/>
        <v>112.35345152624093</v>
      </c>
      <c r="HT328" s="274">
        <f t="shared" si="3184"/>
        <v>98.916222651019595</v>
      </c>
      <c r="HU328" s="269">
        <f t="shared" si="3184"/>
        <v>395.68579361114854</v>
      </c>
      <c r="HV328" s="274">
        <f t="shared" si="3184"/>
        <v>255.01902976359602</v>
      </c>
      <c r="HW328" s="105"/>
      <c r="HX328" s="105"/>
      <c r="HY328" s="272" t="s">
        <v>480</v>
      </c>
      <c r="HZ328" s="269">
        <f>HZ327-SQRT(HZ326)</f>
        <v>0.18863567022894973</v>
      </c>
      <c r="IA328" s="274">
        <f t="shared" ref="IA328:IK328" si="3185">IA327-SQRT(IA326)</f>
        <v>0.15988592576839261</v>
      </c>
      <c r="IB328" s="269">
        <f t="shared" si="3185"/>
        <v>0.23852603856745921</v>
      </c>
      <c r="IC328" s="274">
        <f t="shared" si="3185"/>
        <v>0.20196049153213949</v>
      </c>
      <c r="ID328" s="269">
        <f t="shared" si="3185"/>
        <v>0.23826343758143137</v>
      </c>
      <c r="IE328" s="274">
        <f t="shared" si="3185"/>
        <v>0.20250765622796157</v>
      </c>
      <c r="IF328" s="269">
        <f t="shared" si="3185"/>
        <v>0.19330080001722483</v>
      </c>
      <c r="IG328" s="274">
        <f t="shared" si="3185"/>
        <v>0.16316968893852427</v>
      </c>
      <c r="IH328" s="269">
        <f t="shared" si="3185"/>
        <v>0.17029136165938852</v>
      </c>
      <c r="II328" s="274">
        <f t="shared" si="3185"/>
        <v>0.14296213632627949</v>
      </c>
      <c r="IJ328" s="274">
        <f t="shared" si="3185"/>
        <v>0.20454132370905034</v>
      </c>
      <c r="IK328" s="274">
        <f t="shared" si="3185"/>
        <v>0.15677423902905196</v>
      </c>
      <c r="IL328" s="434"/>
      <c r="IM328" s="434"/>
      <c r="IN328" s="434"/>
      <c r="IO328" s="434"/>
    </row>
    <row r="329" spans="2:249" ht="12.75" customHeight="1" x14ac:dyDescent="0.2"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  <c r="AN329" s="106"/>
      <c r="AO329" s="106"/>
      <c r="AP329" s="268"/>
      <c r="AQ329" s="272" t="s">
        <v>481</v>
      </c>
      <c r="AR329" s="269">
        <f>AR327+SQRT(AR326)</f>
        <v>495.95488941583318</v>
      </c>
      <c r="AS329" s="274">
        <f t="shared" ref="AS329:BA329" si="3186">AS327+SQRT(AS326)</f>
        <v>464.3440184859864</v>
      </c>
      <c r="AT329" s="269">
        <f t="shared" si="3186"/>
        <v>664.0467235106405</v>
      </c>
      <c r="AU329" s="274">
        <f t="shared" si="3186"/>
        <v>623.32561865480375</v>
      </c>
      <c r="AV329" s="269">
        <f t="shared" si="3186"/>
        <v>668.8310106369446</v>
      </c>
      <c r="AW329" s="274">
        <f t="shared" si="3186"/>
        <v>629.27912260350433</v>
      </c>
      <c r="AX329" s="269">
        <f t="shared" si="3186"/>
        <v>524.26832189162212</v>
      </c>
      <c r="AY329" s="274">
        <f t="shared" si="3186"/>
        <v>491.43031959621561</v>
      </c>
      <c r="AZ329" s="269">
        <f t="shared" si="3186"/>
        <v>456.07974969306201</v>
      </c>
      <c r="BA329" s="274">
        <f t="shared" si="3186"/>
        <v>426.67937362420759</v>
      </c>
      <c r="BB329" s="269">
        <f t="shared" ref="BB329:BG329" si="3187">BB327+SQRT(BB326)</f>
        <v>384.10439868145215</v>
      </c>
      <c r="BC329" s="274">
        <f t="shared" si="3187"/>
        <v>328.19012132332671</v>
      </c>
      <c r="BD329" s="269">
        <f t="shared" si="3187"/>
        <v>545.50970236649709</v>
      </c>
      <c r="BE329" s="274">
        <f t="shared" si="3187"/>
        <v>487.97294418378647</v>
      </c>
      <c r="BF329" s="269">
        <f t="shared" si="3187"/>
        <v>758.13616999422538</v>
      </c>
      <c r="BG329" s="274">
        <f t="shared" si="3187"/>
        <v>554.74568766469986</v>
      </c>
      <c r="BH329" s="158"/>
      <c r="BI329" s="281"/>
      <c r="BJ329" s="272" t="s">
        <v>481</v>
      </c>
      <c r="BK329" s="269">
        <f>BK327+SQRT(BK326)</f>
        <v>74.693321258129544</v>
      </c>
      <c r="BL329" s="274">
        <f t="shared" ref="BL329:BZ329" si="3188">BL327+SQRT(BL326)</f>
        <v>67.639316406655496</v>
      </c>
      <c r="BM329" s="269">
        <f t="shared" si="3188"/>
        <v>99.439852862947063</v>
      </c>
      <c r="BN329" s="274">
        <f t="shared" si="3188"/>
        <v>90.413372941695442</v>
      </c>
      <c r="BO329" s="269">
        <f t="shared" si="3188"/>
        <v>98.399010393950519</v>
      </c>
      <c r="BP329" s="274">
        <f t="shared" si="3188"/>
        <v>89.617120619640318</v>
      </c>
      <c r="BQ329" s="269">
        <f t="shared" si="3188"/>
        <v>78.460393275429766</v>
      </c>
      <c r="BR329" s="274">
        <f t="shared" si="3188"/>
        <v>71.151026674935579</v>
      </c>
      <c r="BS329" s="269">
        <f t="shared" si="3188"/>
        <v>68.49694316323324</v>
      </c>
      <c r="BT329" s="274">
        <f t="shared" si="3188"/>
        <v>61.949479554780503</v>
      </c>
      <c r="BU329" s="269">
        <f t="shared" si="3188"/>
        <v>77.803810807189976</v>
      </c>
      <c r="BV329" s="274">
        <f t="shared" si="3188"/>
        <v>65.500671303125273</v>
      </c>
      <c r="BW329" s="269">
        <f t="shared" si="3188"/>
        <v>96.326941549665804</v>
      </c>
      <c r="BX329" s="274">
        <f t="shared" si="3188"/>
        <v>82.803388751328072</v>
      </c>
      <c r="BY329" s="269">
        <f t="shared" si="3188"/>
        <v>155.66059650996868</v>
      </c>
      <c r="BZ329" s="274">
        <f t="shared" si="3188"/>
        <v>101.99625925317233</v>
      </c>
      <c r="CA329" s="105"/>
      <c r="CB329" s="281"/>
      <c r="CC329" s="272" t="s">
        <v>481</v>
      </c>
      <c r="CD329" s="269">
        <f>CD327+SQRT(CD326)</f>
        <v>2299.1533181313343</v>
      </c>
      <c r="CE329" s="274">
        <f t="shared" ref="CE329:CS329" si="3189">CE327+SQRT(CE326)</f>
        <v>1988.6571194693529</v>
      </c>
      <c r="CF329" s="269">
        <f t="shared" si="3189"/>
        <v>2920.6408635439361</v>
      </c>
      <c r="CG329" s="274">
        <f t="shared" si="3189"/>
        <v>2503.3879534559323</v>
      </c>
      <c r="CH329" s="269">
        <f t="shared" si="3189"/>
        <v>2955.2237299465787</v>
      </c>
      <c r="CI329" s="274">
        <f t="shared" si="3189"/>
        <v>2553.0516911424511</v>
      </c>
      <c r="CJ329" s="269">
        <f t="shared" si="3189"/>
        <v>2353.5242455134221</v>
      </c>
      <c r="CK329" s="274">
        <f t="shared" si="3189"/>
        <v>2021.914146949485</v>
      </c>
      <c r="CL329" s="269">
        <f t="shared" si="3189"/>
        <v>2064.8643558430417</v>
      </c>
      <c r="CM329" s="274">
        <f t="shared" si="3189"/>
        <v>1768.4890447733214</v>
      </c>
      <c r="CN329" s="269">
        <f t="shared" si="3189"/>
        <v>2041.9034174117974</v>
      </c>
      <c r="CO329" s="274">
        <f t="shared" si="3189"/>
        <v>1456.7418289151658</v>
      </c>
      <c r="CP329" s="269">
        <f t="shared" si="3189"/>
        <v>1164.6905766544421</v>
      </c>
      <c r="CQ329" s="274">
        <f t="shared" si="3189"/>
        <v>1079.5920269494618</v>
      </c>
      <c r="CR329" s="269">
        <f t="shared" si="3189"/>
        <v>2387.6714801041189</v>
      </c>
      <c r="CS329" s="274">
        <f t="shared" si="3189"/>
        <v>1764.7140864095747</v>
      </c>
      <c r="CT329" s="105"/>
      <c r="CU329" s="281"/>
      <c r="CV329" s="272" t="s">
        <v>481</v>
      </c>
      <c r="CW329" s="269">
        <f>CW327+SQRT(CW326)</f>
        <v>0.66395939944416416</v>
      </c>
      <c r="CX329" s="274">
        <f t="shared" ref="CX329:DL329" si="3190">CX327+SQRT(CX326)</f>
        <v>0.53306889341916286</v>
      </c>
      <c r="CY329" s="269">
        <f t="shared" si="3190"/>
        <v>0.8297363610585069</v>
      </c>
      <c r="CZ329" s="274">
        <f t="shared" si="3190"/>
        <v>0.6558972806212684</v>
      </c>
      <c r="DA329" s="269">
        <f t="shared" si="3190"/>
        <v>0.82789229669419273</v>
      </c>
      <c r="DB329" s="274">
        <f t="shared" si="3190"/>
        <v>0.65971474078940262</v>
      </c>
      <c r="DC329" s="269">
        <f t="shared" si="3190"/>
        <v>0.68174443424472853</v>
      </c>
      <c r="DD329" s="274">
        <f t="shared" si="3190"/>
        <v>0.54221443396012226</v>
      </c>
      <c r="DE329" s="269">
        <f t="shared" si="3190"/>
        <v>0.60737894591914543</v>
      </c>
      <c r="DF329" s="274">
        <f t="shared" si="3190"/>
        <v>0.48220088813069484</v>
      </c>
      <c r="DG329" s="269">
        <f t="shared" si="3190"/>
        <v>0.78656656255727053</v>
      </c>
      <c r="DH329" s="274">
        <f t="shared" si="3190"/>
        <v>0.54721190279397658</v>
      </c>
      <c r="DI329" s="269">
        <f t="shared" si="3190"/>
        <v>0.41778005655933143</v>
      </c>
      <c r="DJ329" s="274">
        <f t="shared" si="3190"/>
        <v>0.3680181185340245</v>
      </c>
      <c r="DK329" s="269">
        <f t="shared" si="3190"/>
        <v>0.98893652063493509</v>
      </c>
      <c r="DL329" s="274">
        <f t="shared" si="3190"/>
        <v>0.64963270541000584</v>
      </c>
      <c r="DM329" s="105"/>
      <c r="DN329" s="281"/>
      <c r="DO329" s="272" t="s">
        <v>481</v>
      </c>
      <c r="DP329" s="269">
        <f>DP327+SQRT(DP326)</f>
        <v>31.039677739590402</v>
      </c>
      <c r="DQ329" s="274">
        <f t="shared" ref="DQ329:EE329" si="3191">DQ327+SQRT(DQ326)</f>
        <v>28.645713396562591</v>
      </c>
      <c r="DR329" s="269">
        <f t="shared" si="3191"/>
        <v>42.63512650758851</v>
      </c>
      <c r="DS329" s="274">
        <f t="shared" si="3191"/>
        <v>39.875767743786504</v>
      </c>
      <c r="DT329" s="269">
        <f t="shared" si="3191"/>
        <v>42.078078954724042</v>
      </c>
      <c r="DU329" s="274">
        <f t="shared" si="3191"/>
        <v>39.370999500415543</v>
      </c>
      <c r="DV329" s="269">
        <f t="shared" si="3191"/>
        <v>32.640835502535246</v>
      </c>
      <c r="DW329" s="274">
        <f t="shared" si="3191"/>
        <v>30.375877544433774</v>
      </c>
      <c r="DX329" s="269">
        <f t="shared" si="3191"/>
        <v>28.807993158936984</v>
      </c>
      <c r="DY329" s="274">
        <f t="shared" si="3191"/>
        <v>26.827046095771308</v>
      </c>
      <c r="DZ329" s="269">
        <f t="shared" si="3191"/>
        <v>25.665524501797144</v>
      </c>
      <c r="EA329" s="274">
        <f t="shared" si="3191"/>
        <v>21.516100888322594</v>
      </c>
      <c r="EB329" s="269">
        <f t="shared" si="3191"/>
        <v>18.077996311130509</v>
      </c>
      <c r="EC329" s="274">
        <f t="shared" si="3191"/>
        <v>13.594690333364809</v>
      </c>
      <c r="ED329" s="269">
        <f t="shared" si="3191"/>
        <v>212.60280403359116</v>
      </c>
      <c r="EE329" s="274">
        <f t="shared" si="3191"/>
        <v>119.09776849171875</v>
      </c>
      <c r="EF329" s="105"/>
      <c r="EG329" s="281"/>
      <c r="EH329" s="272" t="s">
        <v>481</v>
      </c>
      <c r="EI329" s="269">
        <f>EI327+SQRT(EI326)</f>
        <v>4.2988619913133554</v>
      </c>
      <c r="EJ329" s="274">
        <f t="shared" ref="EJ329:EX329" si="3192">EJ327+SQRT(EJ326)</f>
        <v>4.2303167050850261</v>
      </c>
      <c r="EK329" s="269">
        <f t="shared" si="3192"/>
        <v>6.0764399483808695</v>
      </c>
      <c r="EL329" s="274">
        <f t="shared" si="3192"/>
        <v>5.988088957253729</v>
      </c>
      <c r="EM329" s="269">
        <f t="shared" si="3192"/>
        <v>6.2880383065291978</v>
      </c>
      <c r="EN329" s="274">
        <f t="shared" si="3192"/>
        <v>6.2021705855927012</v>
      </c>
      <c r="EO329" s="269">
        <f t="shared" si="3192"/>
        <v>4.6586925303180875</v>
      </c>
      <c r="EP329" s="274">
        <f t="shared" si="3192"/>
        <v>4.5873131383599732</v>
      </c>
      <c r="EQ329" s="269">
        <f t="shared" si="3192"/>
        <v>3.9609291000411977</v>
      </c>
      <c r="ER329" s="274">
        <f t="shared" si="3192"/>
        <v>3.8969311402686366</v>
      </c>
      <c r="ES329" s="269">
        <f t="shared" si="3192"/>
        <v>1.3093010316015972</v>
      </c>
      <c r="ET329" s="274">
        <f t="shared" si="3192"/>
        <v>1.1870636011787461</v>
      </c>
      <c r="EU329" s="269">
        <f t="shared" si="3192"/>
        <v>3.1915524072705739</v>
      </c>
      <c r="EV329" s="274">
        <f t="shared" si="3192"/>
        <v>3.1009515256398061</v>
      </c>
      <c r="EW329" s="269">
        <f t="shared" si="3192"/>
        <v>4.6864848707984983</v>
      </c>
      <c r="EX329" s="274">
        <f t="shared" si="3192"/>
        <v>4.2384496169412831</v>
      </c>
      <c r="EY329" s="105"/>
      <c r="EZ329" s="281"/>
      <c r="FA329" s="272" t="s">
        <v>481</v>
      </c>
      <c r="FB329" s="269">
        <f>FB327+SQRT(FB326)</f>
        <v>5.1733000050239682E-2</v>
      </c>
      <c r="FC329" s="274">
        <f t="shared" ref="FC329:FQ329" si="3193">FC327+SQRT(FC326)</f>
        <v>3.7537827315780078E-2</v>
      </c>
      <c r="FD329" s="269">
        <f t="shared" si="3193"/>
        <v>6.7967874278956009E-2</v>
      </c>
      <c r="FE329" s="274">
        <f t="shared" si="3193"/>
        <v>4.9363104942217247E-2</v>
      </c>
      <c r="FF329" s="269">
        <f t="shared" si="3193"/>
        <v>6.6814384563217685E-2</v>
      </c>
      <c r="FG329" s="274">
        <f t="shared" si="3193"/>
        <v>4.8751354339399096E-2</v>
      </c>
      <c r="FH329" s="269">
        <f t="shared" si="3193"/>
        <v>5.5022165519939381E-2</v>
      </c>
      <c r="FI329" s="274">
        <f t="shared" si="3193"/>
        <v>3.9923644074962773E-2</v>
      </c>
      <c r="FJ329" s="269">
        <f t="shared" si="3193"/>
        <v>4.9139264827561049E-2</v>
      </c>
      <c r="FK329" s="274">
        <f t="shared" si="3193"/>
        <v>3.5530228628503621E-2</v>
      </c>
      <c r="FL329" s="269">
        <f t="shared" si="3193"/>
        <v>7.0327006649787471E-2</v>
      </c>
      <c r="FM329" s="274">
        <f t="shared" si="3193"/>
        <v>4.4937279987615319E-2</v>
      </c>
      <c r="FN329" s="269">
        <f t="shared" si="3193"/>
        <v>3.5615393768862656E-2</v>
      </c>
      <c r="FO329" s="274">
        <f t="shared" si="3193"/>
        <v>3.1214956656441761E-2</v>
      </c>
      <c r="FP329" s="269">
        <f t="shared" si="3193"/>
        <v>9.0602517224481233E-2</v>
      </c>
      <c r="FQ329" s="274">
        <f t="shared" si="3193"/>
        <v>5.5141973592938834E-2</v>
      </c>
      <c r="FR329" s="105"/>
      <c r="FS329" s="281"/>
      <c r="FT329" s="272" t="s">
        <v>481</v>
      </c>
      <c r="FU329" s="269">
        <f>FU327+SQRT(FU326)</f>
        <v>27.334242091629125</v>
      </c>
      <c r="FV329" s="274">
        <f t="shared" ref="FV329:GJ329" si="3194">FV327+SQRT(FV326)</f>
        <v>16.43646401884072</v>
      </c>
      <c r="FW329" s="269">
        <f t="shared" si="3194"/>
        <v>36.15847585466129</v>
      </c>
      <c r="FX329" s="274">
        <f t="shared" si="3194"/>
        <v>21.84826678692745</v>
      </c>
      <c r="FY329" s="269">
        <f t="shared" si="3194"/>
        <v>35.491037676745357</v>
      </c>
      <c r="FZ329" s="274">
        <f t="shared" si="3194"/>
        <v>21.596752020969291</v>
      </c>
      <c r="GA329" s="269">
        <f t="shared" si="3194"/>
        <v>29.153934044508009</v>
      </c>
      <c r="GB329" s="274">
        <f t="shared" si="3194"/>
        <v>17.53454046278204</v>
      </c>
      <c r="GC329" s="269">
        <f t="shared" si="3194"/>
        <v>26.073372399345374</v>
      </c>
      <c r="GD329" s="274">
        <f t="shared" si="3194"/>
        <v>15.585917568954134</v>
      </c>
      <c r="GE329" s="269">
        <f t="shared" si="3194"/>
        <v>41.665436629923114</v>
      </c>
      <c r="GF329" s="274">
        <f t="shared" si="3194"/>
        <v>22.257911904682338</v>
      </c>
      <c r="GG329" s="269">
        <f t="shared" si="3194"/>
        <v>6.072743638057978</v>
      </c>
      <c r="GH329" s="274">
        <f t="shared" si="3194"/>
        <v>5.1187253541557034</v>
      </c>
      <c r="GI329" s="269">
        <f t="shared" si="3194"/>
        <v>30.785814991893663</v>
      </c>
      <c r="GJ329" s="274">
        <f t="shared" si="3194"/>
        <v>17.903253705162655</v>
      </c>
      <c r="GK329" s="105"/>
      <c r="GL329" s="281"/>
      <c r="GM329" s="272" t="s">
        <v>481</v>
      </c>
      <c r="GN329" s="269">
        <f>GN327+SQRT(GN326)</f>
        <v>18.882195352002633</v>
      </c>
      <c r="GO329" s="274">
        <f t="shared" ref="GO329:HC329" si="3195">GO327+SQRT(GO326)</f>
        <v>14.726875768636429</v>
      </c>
      <c r="GP329" s="269">
        <f t="shared" si="3195"/>
        <v>25.274417447030039</v>
      </c>
      <c r="GQ329" s="274">
        <f t="shared" si="3195"/>
        <v>19.85035245716729</v>
      </c>
      <c r="GR329" s="269">
        <f t="shared" si="3195"/>
        <v>24.986570659523704</v>
      </c>
      <c r="GS329" s="274">
        <f t="shared" si="3195"/>
        <v>19.720711557592338</v>
      </c>
      <c r="GT329" s="269">
        <f t="shared" si="3195"/>
        <v>19.840579463144199</v>
      </c>
      <c r="GU329" s="274">
        <f t="shared" si="3195"/>
        <v>15.444476655985872</v>
      </c>
      <c r="GV329" s="269">
        <f t="shared" si="3195"/>
        <v>17.359900236525256</v>
      </c>
      <c r="GW329" s="274">
        <f t="shared" si="3195"/>
        <v>13.407415851553237</v>
      </c>
      <c r="GX329" s="269">
        <f t="shared" si="3195"/>
        <v>22.688263762669621</v>
      </c>
      <c r="GY329" s="274">
        <f t="shared" si="3195"/>
        <v>15.25654264232907</v>
      </c>
      <c r="GZ329" s="269">
        <f t="shared" si="3195"/>
        <v>21.458984734125803</v>
      </c>
      <c r="HA329" s="274">
        <f t="shared" si="3195"/>
        <v>15.973368237525309</v>
      </c>
      <c r="HB329" s="269">
        <f t="shared" si="3195"/>
        <v>34.702538021769648</v>
      </c>
      <c r="HC329" s="274">
        <f t="shared" si="3195"/>
        <v>22.010840820669134</v>
      </c>
      <c r="HD329" s="105"/>
      <c r="HE329" s="281"/>
      <c r="HF329" s="272" t="s">
        <v>481</v>
      </c>
      <c r="HG329" s="269">
        <f>HG327+SQRT(HG326)</f>
        <v>469.82281587241096</v>
      </c>
      <c r="HH329" s="274">
        <f t="shared" ref="HH329:HV329" si="3196">HH327+SQRT(HH326)</f>
        <v>303.33909611121214</v>
      </c>
      <c r="HI329" s="269">
        <f t="shared" si="3196"/>
        <v>627.22511209361346</v>
      </c>
      <c r="HJ329" s="274">
        <f t="shared" si="3196"/>
        <v>408.41273240522156</v>
      </c>
      <c r="HK329" s="269">
        <f t="shared" si="3196"/>
        <v>618.69924830649279</v>
      </c>
      <c r="HL329" s="274">
        <f t="shared" si="3196"/>
        <v>406.31199693153718</v>
      </c>
      <c r="HM329" s="269">
        <f t="shared" si="3196"/>
        <v>501.72510913004976</v>
      </c>
      <c r="HN329" s="274">
        <f t="shared" si="3196"/>
        <v>324.22424833802421</v>
      </c>
      <c r="HO329" s="269">
        <f t="shared" si="3196"/>
        <v>445.6808433832623</v>
      </c>
      <c r="HP329" s="274">
        <f t="shared" si="3196"/>
        <v>285.562522908434</v>
      </c>
      <c r="HQ329" s="269">
        <f t="shared" si="3196"/>
        <v>656.94798517208096</v>
      </c>
      <c r="HR329" s="274">
        <f t="shared" si="3196"/>
        <v>359.86944178096087</v>
      </c>
      <c r="HS329" s="269">
        <f t="shared" si="3196"/>
        <v>133.68735533376648</v>
      </c>
      <c r="HT329" s="274">
        <f t="shared" si="3196"/>
        <v>118.16541212081187</v>
      </c>
      <c r="HU329" s="269">
        <f t="shared" si="3196"/>
        <v>560.93504341976131</v>
      </c>
      <c r="HV329" s="274">
        <f t="shared" si="3196"/>
        <v>341.51912897425251</v>
      </c>
      <c r="HW329" s="105"/>
      <c r="HX329" s="105"/>
      <c r="HY329" s="272" t="s">
        <v>481</v>
      </c>
      <c r="HZ329" s="269">
        <f>HZ327+SQRT(HZ326)</f>
        <v>0.23180991643063104</v>
      </c>
      <c r="IA329" s="274">
        <f t="shared" ref="IA329:IK329" si="3197">IA327+SQRT(IA326)</f>
        <v>0.18791859393997384</v>
      </c>
      <c r="IB329" s="269">
        <f t="shared" si="3197"/>
        <v>0.29241411532064404</v>
      </c>
      <c r="IC329" s="274">
        <f t="shared" si="3197"/>
        <v>0.234341292954202</v>
      </c>
      <c r="ID329" s="269">
        <f t="shared" si="3197"/>
        <v>0.2912574757865371</v>
      </c>
      <c r="IE329" s="274">
        <f t="shared" si="3197"/>
        <v>0.23504232184970547</v>
      </c>
      <c r="IF329" s="269">
        <f t="shared" si="3197"/>
        <v>0.23857082339658814</v>
      </c>
      <c r="IG329" s="274">
        <f t="shared" si="3197"/>
        <v>0.19188221593541097</v>
      </c>
      <c r="IH329" s="269">
        <f t="shared" si="3197"/>
        <v>0.21186833145566836</v>
      </c>
      <c r="II329" s="274">
        <f t="shared" si="3197"/>
        <v>0.16997885634646595</v>
      </c>
      <c r="IJ329" s="274">
        <f t="shared" si="3197"/>
        <v>0.27351035976849419</v>
      </c>
      <c r="IK329" s="274">
        <f t="shared" si="3197"/>
        <v>0.19351906995303275</v>
      </c>
      <c r="IL329" s="434"/>
      <c r="IM329" s="434"/>
      <c r="IN329" s="434"/>
      <c r="IO329" s="434"/>
    </row>
    <row r="330" spans="2:249" ht="12.75" customHeight="1" x14ac:dyDescent="0.2"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268"/>
      <c r="AQ330" s="272" t="s">
        <v>488</v>
      </c>
      <c r="AR330" s="269">
        <f>AR68-AR328</f>
        <v>21.836007827555022</v>
      </c>
      <c r="AS330" s="274">
        <f t="shared" ref="AS330:BA330" si="3198">AS68-AS328</f>
        <v>21.842873671372331</v>
      </c>
      <c r="AT330" s="269">
        <f t="shared" si="3198"/>
        <v>22.117057214349416</v>
      </c>
      <c r="AU330" s="274">
        <f t="shared" si="3198"/>
        <v>21.921256938135798</v>
      </c>
      <c r="AV330" s="269">
        <f t="shared" si="3198"/>
        <v>23.073466825589435</v>
      </c>
      <c r="AW330" s="274">
        <f t="shared" si="3198"/>
        <v>22.969259761200306</v>
      </c>
      <c r="AX330" s="269">
        <f t="shared" si="3198"/>
        <v>21.752208305855675</v>
      </c>
      <c r="AY330" s="274">
        <f t="shared" si="3198"/>
        <v>21.743853890870014</v>
      </c>
      <c r="AZ330" s="269">
        <f t="shared" si="3198"/>
        <v>21.155993675808077</v>
      </c>
      <c r="BA330" s="274">
        <f t="shared" si="3198"/>
        <v>21.199131779414415</v>
      </c>
      <c r="BB330" s="269">
        <f t="shared" ref="BB330:BG330" si="3199">BB68-BB328</f>
        <v>16.932994859115581</v>
      </c>
      <c r="BC330" s="274">
        <f t="shared" si="3199"/>
        <v>15.237561480961631</v>
      </c>
      <c r="BD330" s="269">
        <f t="shared" si="3199"/>
        <v>25.393450505373096</v>
      </c>
      <c r="BE330" s="274">
        <f t="shared" si="3199"/>
        <v>24.641573394636453</v>
      </c>
      <c r="BF330" s="269">
        <f t="shared" si="3199"/>
        <v>65.944102309464483</v>
      </c>
      <c r="BG330" s="274">
        <f t="shared" si="3199"/>
        <v>36.891989280112966</v>
      </c>
      <c r="BH330" s="158"/>
      <c r="BI330" s="281"/>
      <c r="BJ330" s="272" t="s">
        <v>488</v>
      </c>
      <c r="BK330" s="269">
        <f>BK68-BK328</f>
        <v>2.8549907242784229</v>
      </c>
      <c r="BL330" s="274">
        <f t="shared" ref="BL330:BZ330" si="3200">BL68-BL328</f>
        <v>2.739206293142459</v>
      </c>
      <c r="BM330" s="269">
        <f t="shared" si="3200"/>
        <v>3.9655741839628149</v>
      </c>
      <c r="BN330" s="274">
        <f t="shared" si="3200"/>
        <v>3.8272436242505705</v>
      </c>
      <c r="BO330" s="269">
        <f t="shared" si="3200"/>
        <v>3.9056758622548102</v>
      </c>
      <c r="BP330" s="274">
        <f t="shared" si="3200"/>
        <v>3.7761927570865907</v>
      </c>
      <c r="BQ330" s="269">
        <f t="shared" si="3200"/>
        <v>2.9784585659889586</v>
      </c>
      <c r="BR330" s="274">
        <f t="shared" si="3200"/>
        <v>2.8691235853237416</v>
      </c>
      <c r="BS330" s="269">
        <f t="shared" si="3200"/>
        <v>2.7353120901699128</v>
      </c>
      <c r="BT330" s="274">
        <f t="shared" si="3200"/>
        <v>2.6443027191651609</v>
      </c>
      <c r="BU330" s="269">
        <f t="shared" si="3200"/>
        <v>3.785283976117654</v>
      </c>
      <c r="BV330" s="274">
        <f t="shared" si="3200"/>
        <v>3.3704269262359503</v>
      </c>
      <c r="BW330" s="269">
        <f t="shared" si="3200"/>
        <v>5.1290761922810617</v>
      </c>
      <c r="BX330" s="274">
        <f t="shared" si="3200"/>
        <v>4.8174985792239085</v>
      </c>
      <c r="BY330" s="269">
        <f t="shared" si="3200"/>
        <v>17.575515209240137</v>
      </c>
      <c r="BZ330" s="274">
        <f t="shared" si="3200"/>
        <v>8.9826400417405665</v>
      </c>
      <c r="CA330" s="105"/>
      <c r="CB330" s="281"/>
      <c r="CC330" s="272" t="s">
        <v>488</v>
      </c>
      <c r="CD330" s="269">
        <f>CD68-CD328</f>
        <v>147.68537580550424</v>
      </c>
      <c r="CE330" s="274">
        <f t="shared" ref="CE330:CS330" si="3201">CE68-CE328</f>
        <v>110.85543594185947</v>
      </c>
      <c r="CF330" s="269">
        <f t="shared" si="3201"/>
        <v>169.28170292320419</v>
      </c>
      <c r="CG330" s="274">
        <f t="shared" si="3201"/>
        <v>108.71254001289299</v>
      </c>
      <c r="CH330" s="269">
        <f t="shared" si="3201"/>
        <v>169.70662009274974</v>
      </c>
      <c r="CI330" s="274">
        <f t="shared" si="3201"/>
        <v>114.24138763190558</v>
      </c>
      <c r="CJ330" s="269">
        <f t="shared" si="3201"/>
        <v>150.12544605974267</v>
      </c>
      <c r="CK330" s="274">
        <f t="shared" si="3201"/>
        <v>108.15655327309901</v>
      </c>
      <c r="CL330" s="269">
        <f t="shared" si="3201"/>
        <v>140.63069841606102</v>
      </c>
      <c r="CM330" s="274">
        <f t="shared" si="3201"/>
        <v>105.28089616830152</v>
      </c>
      <c r="CN330" s="269">
        <f t="shared" si="3201"/>
        <v>211.07143138943502</v>
      </c>
      <c r="CO330" s="274">
        <f t="shared" si="3201"/>
        <v>107.76440127359388</v>
      </c>
      <c r="CP330" s="269">
        <f t="shared" si="3201"/>
        <v>72.079458376278581</v>
      </c>
      <c r="CQ330" s="274">
        <f t="shared" si="3201"/>
        <v>72.461286046626469</v>
      </c>
      <c r="CR330" s="269">
        <f t="shared" si="3201"/>
        <v>185.73489375367944</v>
      </c>
      <c r="CS330" s="274">
        <f t="shared" si="3201"/>
        <v>120.42455455141931</v>
      </c>
      <c r="CT330" s="105"/>
      <c r="CU330" s="281"/>
      <c r="CV330" s="272" t="s">
        <v>488</v>
      </c>
      <c r="CW330" s="269">
        <f>CW68-CW328</f>
        <v>5.0924588391466519E-2</v>
      </c>
      <c r="CX330" s="274">
        <f t="shared" ref="CX330:DL330" si="3202">CX68-CX328</f>
        <v>3.2114145126258486E-2</v>
      </c>
      <c r="CY330" s="269">
        <f t="shared" si="3202"/>
        <v>6.2772399054134009E-2</v>
      </c>
      <c r="CZ330" s="274">
        <f t="shared" si="3202"/>
        <v>3.5189314041399244E-2</v>
      </c>
      <c r="DA330" s="269">
        <f t="shared" si="3202"/>
        <v>6.1701477980530162E-2</v>
      </c>
      <c r="DB330" s="274">
        <f t="shared" si="3202"/>
        <v>3.5634108644752915E-2</v>
      </c>
      <c r="DC330" s="269">
        <f t="shared" si="3202"/>
        <v>5.3435727510873221E-2</v>
      </c>
      <c r="DD330" s="274">
        <f t="shared" si="3202"/>
        <v>3.2646757608404353E-2</v>
      </c>
      <c r="DE330" s="269">
        <f t="shared" si="3202"/>
        <v>4.9142818876815597E-2</v>
      </c>
      <c r="DF330" s="274">
        <f t="shared" si="3202"/>
        <v>3.1005349312082875E-2</v>
      </c>
      <c r="DG330" s="269">
        <f t="shared" si="3202"/>
        <v>8.0131053656956164E-2</v>
      </c>
      <c r="DH330" s="274">
        <f t="shared" si="3202"/>
        <v>3.838761998341178E-2</v>
      </c>
      <c r="DI330" s="269">
        <f t="shared" si="3202"/>
        <v>2.0787391264353805E-2</v>
      </c>
      <c r="DJ330" s="274">
        <f t="shared" si="3202"/>
        <v>1.9453161885519321E-2</v>
      </c>
      <c r="DK330" s="269">
        <f t="shared" si="3202"/>
        <v>9.3232614796338376E-2</v>
      </c>
      <c r="DL330" s="274">
        <f t="shared" si="3202"/>
        <v>5.0089383572022639E-2</v>
      </c>
      <c r="DM330" s="105"/>
      <c r="DN330" s="281"/>
      <c r="DO330" s="272" t="s">
        <v>488</v>
      </c>
      <c r="DP330" s="269">
        <f>DP68-DP328</f>
        <v>2.909613224189382</v>
      </c>
      <c r="DQ330" s="274">
        <f t="shared" ref="DQ330:EE330" si="3203">DQ68-DQ328</f>
        <v>2.789890343299966</v>
      </c>
      <c r="DR330" s="269">
        <f t="shared" si="3203"/>
        <v>5.1252802971083504</v>
      </c>
      <c r="DS330" s="274">
        <f t="shared" si="3203"/>
        <v>5.0814672602242226</v>
      </c>
      <c r="DT330" s="269">
        <f t="shared" si="3203"/>
        <v>4.9802322866251316</v>
      </c>
      <c r="DU330" s="274">
        <f t="shared" si="3203"/>
        <v>4.9352796246804971</v>
      </c>
      <c r="DV330" s="269">
        <f t="shared" si="3203"/>
        <v>3.0579486587665947</v>
      </c>
      <c r="DW330" s="274">
        <f t="shared" si="3203"/>
        <v>2.9721493477707028</v>
      </c>
      <c r="DX330" s="269">
        <f t="shared" si="3203"/>
        <v>2.7561902842847736</v>
      </c>
      <c r="DY330" s="274">
        <f t="shared" si="3203"/>
        <v>2.6876531854607535</v>
      </c>
      <c r="DZ330" s="269">
        <f t="shared" si="3203"/>
        <v>1.3813957287638665</v>
      </c>
      <c r="EA330" s="274">
        <f t="shared" si="3203"/>
        <v>0.71432812402901291</v>
      </c>
      <c r="EB330" s="269">
        <f t="shared" si="3203"/>
        <v>2.6271151424329737</v>
      </c>
      <c r="EC330" s="274">
        <f t="shared" si="3203"/>
        <v>1.765732842511369</v>
      </c>
      <c r="ED330" s="269">
        <f t="shared" si="3203"/>
        <v>35.751529517710566</v>
      </c>
      <c r="EE330" s="274">
        <f t="shared" si="3203"/>
        <v>18.237656741748069</v>
      </c>
      <c r="EF330" s="105"/>
      <c r="EG330" s="281"/>
      <c r="EH330" s="272" t="s">
        <v>488</v>
      </c>
      <c r="EI330" s="269">
        <f>EI68-EI328</f>
        <v>0.33630501311074257</v>
      </c>
      <c r="EJ330" s="274">
        <f t="shared" ref="EJ330:EX330" si="3204">EJ68-EJ328</f>
        <v>0.33863279084041231</v>
      </c>
      <c r="EK330" s="269">
        <f t="shared" si="3204"/>
        <v>0.29570691686090989</v>
      </c>
      <c r="EL330" s="274">
        <f t="shared" si="3204"/>
        <v>0.29835938583897459</v>
      </c>
      <c r="EM330" s="269">
        <f t="shared" si="3204"/>
        <v>0.32712777803651871</v>
      </c>
      <c r="EN330" s="274">
        <f t="shared" si="3204"/>
        <v>0.32983737407786151</v>
      </c>
      <c r="EO330" s="269">
        <f t="shared" si="3204"/>
        <v>0.32607667732219525</v>
      </c>
      <c r="EP330" s="274">
        <f t="shared" si="3204"/>
        <v>0.32844731672421812</v>
      </c>
      <c r="EQ330" s="269">
        <f t="shared" si="3204"/>
        <v>0.32660755409546338</v>
      </c>
      <c r="ER330" s="274">
        <f t="shared" si="3204"/>
        <v>0.32878924108494312</v>
      </c>
      <c r="ES330" s="269">
        <f t="shared" si="3204"/>
        <v>9.9417129417377126E-2</v>
      </c>
      <c r="ET330" s="274">
        <f t="shared" si="3204"/>
        <v>9.9081098628106323E-2</v>
      </c>
      <c r="EU330" s="269">
        <f t="shared" si="3204"/>
        <v>0.25730653171427909</v>
      </c>
      <c r="EV330" s="274">
        <f t="shared" si="3204"/>
        <v>0.25991496154267413</v>
      </c>
      <c r="EW330" s="269">
        <f t="shared" si="3204"/>
        <v>0.34604305363123133</v>
      </c>
      <c r="EX330" s="274">
        <f t="shared" si="3204"/>
        <v>0.32801439109588237</v>
      </c>
      <c r="EY330" s="105"/>
      <c r="EZ330" s="281"/>
      <c r="FA330" s="272" t="s">
        <v>488</v>
      </c>
      <c r="FB330" s="269">
        <f>FB68-FB328</f>
        <v>5.0548836182391851E-3</v>
      </c>
      <c r="FC330" s="274">
        <f t="shared" ref="FC330:FQ330" si="3205">FC68-FC328</f>
        <v>2.6760326368893486E-3</v>
      </c>
      <c r="FD330" s="269">
        <f t="shared" si="3205"/>
        <v>6.5894692834788798E-3</v>
      </c>
      <c r="FE330" s="274">
        <f t="shared" si="3205"/>
        <v>3.4359671329402819E-3</v>
      </c>
      <c r="FF330" s="269">
        <f t="shared" si="3205"/>
        <v>6.3984569757452106E-3</v>
      </c>
      <c r="FG330" s="274">
        <f t="shared" si="3205"/>
        <v>3.3458026676844235E-3</v>
      </c>
      <c r="FH330" s="269">
        <f t="shared" si="3205"/>
        <v>5.3932009558303184E-3</v>
      </c>
      <c r="FI330" s="274">
        <f t="shared" si="3205"/>
        <v>2.8424287567009668E-3</v>
      </c>
      <c r="FJ330" s="269">
        <f t="shared" si="3205"/>
        <v>4.8758971357531142E-3</v>
      </c>
      <c r="FK330" s="274">
        <f t="shared" si="3205"/>
        <v>2.5847758855596752E-3</v>
      </c>
      <c r="FL330" s="269">
        <f t="shared" si="3205"/>
        <v>8.9786690761237131E-3</v>
      </c>
      <c r="FM330" s="274">
        <f t="shared" si="3205"/>
        <v>4.4894279318236849E-3</v>
      </c>
      <c r="FN330" s="482">
        <f t="shared" si="3205"/>
        <v>1.8856642376320308E-3</v>
      </c>
      <c r="FO330" s="483">
        <f t="shared" si="3205"/>
        <v>1.73642901453629E-3</v>
      </c>
      <c r="FP330" s="269">
        <f t="shared" si="3205"/>
        <v>9.4660241603513884E-3</v>
      </c>
      <c r="FQ330" s="274">
        <f t="shared" si="3205"/>
        <v>4.78373567775979E-3</v>
      </c>
      <c r="FR330" s="105"/>
      <c r="FS330" s="281"/>
      <c r="FT330" s="272" t="s">
        <v>488</v>
      </c>
      <c r="FU330" s="269">
        <f>FU68-FU328</f>
        <v>4.3600027554935323</v>
      </c>
      <c r="FV330" s="274">
        <f t="shared" ref="FV330:GJ330" si="3206">FV68-FV328</f>
        <v>2.221014632959049</v>
      </c>
      <c r="FW330" s="269">
        <f t="shared" si="3206"/>
        <v>5.7232714038750672</v>
      </c>
      <c r="FX330" s="274">
        <f t="shared" si="3206"/>
        <v>2.9005907454734814</v>
      </c>
      <c r="FY330" s="269">
        <f t="shared" si="3206"/>
        <v>5.5554135442311221</v>
      </c>
      <c r="FZ330" s="274">
        <f t="shared" si="3206"/>
        <v>2.8175459444681241</v>
      </c>
      <c r="GA330" s="269">
        <f t="shared" si="3206"/>
        <v>4.6563894667675605</v>
      </c>
      <c r="GB330" s="274">
        <f t="shared" si="3206"/>
        <v>2.3691888688660789</v>
      </c>
      <c r="GC330" s="269">
        <f t="shared" si="3206"/>
        <v>4.2061359840273091</v>
      </c>
      <c r="GD330" s="274">
        <f t="shared" si="3206"/>
        <v>2.1432581771856345</v>
      </c>
      <c r="GE330" s="269">
        <f t="shared" si="3206"/>
        <v>7.4841218949084123</v>
      </c>
      <c r="GF330" s="274">
        <f t="shared" si="3206"/>
        <v>3.6405167224019817</v>
      </c>
      <c r="GG330" s="482">
        <f t="shared" si="3206"/>
        <v>0.32872564063919629</v>
      </c>
      <c r="GH330" s="483">
        <f t="shared" si="3206"/>
        <v>0.28430978755474268</v>
      </c>
      <c r="GI330" s="269">
        <f t="shared" si="3206"/>
        <v>4.1139862287144275</v>
      </c>
      <c r="GJ330" s="274">
        <f t="shared" si="3206"/>
        <v>2.0971082233732385</v>
      </c>
      <c r="GK330" s="105"/>
      <c r="GL330" s="281"/>
      <c r="GM330" s="272" t="s">
        <v>488</v>
      </c>
      <c r="GN330" s="269">
        <f>GN68-GN328</f>
        <v>1.1310324379821708</v>
      </c>
      <c r="GO330" s="274">
        <f t="shared" ref="GO330:HC330" si="3207">GO68-GO328</f>
        <v>0.67749701582833666</v>
      </c>
      <c r="GP330" s="269">
        <f t="shared" si="3207"/>
        <v>1.4576764275055076</v>
      </c>
      <c r="GQ330" s="274">
        <f t="shared" si="3207"/>
        <v>0.84227706838184702</v>
      </c>
      <c r="GR330" s="269">
        <f t="shared" si="3207"/>
        <v>1.4219884012293598</v>
      </c>
      <c r="GS330" s="274">
        <f t="shared" si="3207"/>
        <v>0.8324256314901568</v>
      </c>
      <c r="GT330" s="269">
        <f t="shared" si="3207"/>
        <v>1.2063011449622394</v>
      </c>
      <c r="GU330" s="274">
        <f t="shared" si="3207"/>
        <v>0.71409501899408312</v>
      </c>
      <c r="GV330" s="269">
        <f t="shared" si="3207"/>
        <v>1.0977310920268337</v>
      </c>
      <c r="GW330" s="274">
        <f t="shared" si="3207"/>
        <v>0.66022197447036568</v>
      </c>
      <c r="GX330" s="269">
        <f t="shared" si="3207"/>
        <v>1.9306924318206526</v>
      </c>
      <c r="GY330" s="274">
        <f t="shared" si="3207"/>
        <v>0.98489408607366435</v>
      </c>
      <c r="GZ330" s="482">
        <f t="shared" si="3207"/>
        <v>1.2839996928390036</v>
      </c>
      <c r="HA330" s="483">
        <f t="shared" si="3207"/>
        <v>0.79328772473932041</v>
      </c>
      <c r="HB330" s="269">
        <f t="shared" si="3207"/>
        <v>3.2237080666329305</v>
      </c>
      <c r="HC330" s="274">
        <f t="shared" si="3207"/>
        <v>1.6550175913038387</v>
      </c>
      <c r="HD330" s="105"/>
      <c r="HE330" s="281"/>
      <c r="HF330" s="272" t="s">
        <v>488</v>
      </c>
      <c r="HG330" s="269">
        <f>HG68-HG328</f>
        <v>66.200727712612888</v>
      </c>
      <c r="HH330" s="274">
        <f t="shared" ref="HH330:HV330" si="3208">HH68-HH328</f>
        <v>34.088330846685949</v>
      </c>
      <c r="HI330" s="269">
        <f t="shared" si="3208"/>
        <v>86.677306256050372</v>
      </c>
      <c r="HJ330" s="274">
        <f t="shared" si="3208"/>
        <v>44.008796135841976</v>
      </c>
      <c r="HK330" s="269">
        <f t="shared" si="3208"/>
        <v>84.166205352515249</v>
      </c>
      <c r="HL330" s="274">
        <f t="shared" si="3208"/>
        <v>42.853230277984096</v>
      </c>
      <c r="HM330" s="269">
        <f t="shared" si="3208"/>
        <v>70.651561717863331</v>
      </c>
      <c r="HN330" s="274">
        <f t="shared" si="3208"/>
        <v>36.235748731774322</v>
      </c>
      <c r="HO330" s="269">
        <f t="shared" si="3208"/>
        <v>63.870504658625293</v>
      </c>
      <c r="HP330" s="274">
        <f t="shared" si="3208"/>
        <v>32.902725654937541</v>
      </c>
      <c r="HQ330" s="269">
        <f t="shared" si="3208"/>
        <v>118.39338929225516</v>
      </c>
      <c r="HR330" s="274">
        <f t="shared" si="3208"/>
        <v>59.895505907160697</v>
      </c>
      <c r="HS330" s="482">
        <f t="shared" si="3208"/>
        <v>10.331545280489593</v>
      </c>
      <c r="HT330" s="483">
        <f t="shared" si="3208"/>
        <v>9.9318344012020248</v>
      </c>
      <c r="HU330" s="269">
        <f t="shared" si="3208"/>
        <v>65.050991644482224</v>
      </c>
      <c r="HV330" s="274">
        <f t="shared" si="3208"/>
        <v>33.476259241044232</v>
      </c>
      <c r="HW330" s="105"/>
      <c r="HX330" s="105"/>
      <c r="HY330" s="272" t="s">
        <v>488</v>
      </c>
      <c r="HZ330" s="269">
        <f>HZ68-HZ328</f>
        <v>1.6319318451850862E-2</v>
      </c>
      <c r="IA330" s="274">
        <f t="shared" ref="IA330:IK330" si="3209">IA68-IA328</f>
        <v>1.0407232819968637E-2</v>
      </c>
      <c r="IB330" s="269">
        <f t="shared" si="3209"/>
        <v>2.0150975974276425E-2</v>
      </c>
      <c r="IC330" s="274">
        <f t="shared" si="3209"/>
        <v>1.1558568982425743E-2</v>
      </c>
      <c r="ID330" s="269">
        <f t="shared" si="3209"/>
        <v>1.9801850715380043E-2</v>
      </c>
      <c r="IE330" s="274">
        <f t="shared" si="3209"/>
        <v>1.1672458339102382E-2</v>
      </c>
      <c r="IF330" s="269">
        <f t="shared" si="3209"/>
        <v>1.7119481520854102E-2</v>
      </c>
      <c r="IG330" s="274">
        <f t="shared" si="3209"/>
        <v>1.0595071293837993E-2</v>
      </c>
      <c r="IH330" s="269">
        <f t="shared" si="3209"/>
        <v>1.5730976680205982E-2</v>
      </c>
      <c r="II330" s="274">
        <f t="shared" si="3209"/>
        <v>1.0031655184306432E-2</v>
      </c>
      <c r="IJ330" s="274">
        <f t="shared" si="3209"/>
        <v>2.5681242678420951E-2</v>
      </c>
      <c r="IK330" s="274">
        <f t="shared" si="3209"/>
        <v>1.2486900081661451E-2</v>
      </c>
      <c r="IL330" s="434"/>
      <c r="IM330" s="434"/>
      <c r="IN330" s="434"/>
      <c r="IO330" s="434"/>
    </row>
    <row r="331" spans="2:249" ht="12.75" customHeight="1" x14ac:dyDescent="0.2"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268"/>
      <c r="AQ331" s="272" t="s">
        <v>489</v>
      </c>
      <c r="AR331" s="269">
        <f>AR329-AR68</f>
        <v>39.86227963633155</v>
      </c>
      <c r="AS331" s="274">
        <f t="shared" ref="AS331:BA331" si="3210">AS329-AS68</f>
        <v>37.428967900140719</v>
      </c>
      <c r="AT331" s="269">
        <f t="shared" si="3210"/>
        <v>44.244555302923573</v>
      </c>
      <c r="AU331" s="274">
        <f t="shared" si="3210"/>
        <v>40.926347345322824</v>
      </c>
      <c r="AV331" s="269">
        <f t="shared" si="3210"/>
        <v>45.152718353197656</v>
      </c>
      <c r="AW331" s="274">
        <f t="shared" si="3210"/>
        <v>42.008596674163186</v>
      </c>
      <c r="AX331" s="269">
        <f t="shared" si="3210"/>
        <v>40.517278113299199</v>
      </c>
      <c r="AY331" s="274">
        <f t="shared" si="3210"/>
        <v>37.979923280462685</v>
      </c>
      <c r="AZ331" s="269">
        <f t="shared" si="3210"/>
        <v>38.564767047138275</v>
      </c>
      <c r="BA331" s="274">
        <f t="shared" si="3210"/>
        <v>36.340828024585903</v>
      </c>
      <c r="BB331" s="269">
        <f t="shared" ref="BB331:BG331" si="3211">BB329-BB68</f>
        <v>37.791874058118935</v>
      </c>
      <c r="BC331" s="274">
        <f t="shared" si="3211"/>
        <v>31.922812894542062</v>
      </c>
      <c r="BD331" s="269">
        <f t="shared" si="3211"/>
        <v>52.235261892294261</v>
      </c>
      <c r="BE331" s="274">
        <f t="shared" si="3211"/>
        <v>47.172434317328111</v>
      </c>
      <c r="BF331" s="269">
        <f t="shared" si="3211"/>
        <v>103.37612604181857</v>
      </c>
      <c r="BG331" s="274">
        <f t="shared" si="3211"/>
        <v>61.597499918967287</v>
      </c>
      <c r="BH331" s="158"/>
      <c r="BI331" s="281"/>
      <c r="BJ331" s="272" t="s">
        <v>489</v>
      </c>
      <c r="BK331" s="269">
        <f>BK329-BK68</f>
        <v>6.0076993087719757</v>
      </c>
      <c r="BL331" s="274">
        <f t="shared" ref="BL331:BZ331" si="3212">BL329-BL68</f>
        <v>5.3366709012383353</v>
      </c>
      <c r="BM331" s="269">
        <f t="shared" si="3212"/>
        <v>7.2846882659452206</v>
      </c>
      <c r="BN331" s="274">
        <f t="shared" si="3212"/>
        <v>6.4362824771868645</v>
      </c>
      <c r="BO331" s="269">
        <f t="shared" si="3212"/>
        <v>7.1805280033850067</v>
      </c>
      <c r="BP331" s="274">
        <f t="shared" si="3212"/>
        <v>6.3596800932989481</v>
      </c>
      <c r="BQ331" s="269">
        <f t="shared" si="3212"/>
        <v>6.2944808186583288</v>
      </c>
      <c r="BR331" s="274">
        <f t="shared" si="3212"/>
        <v>5.6100485011543242</v>
      </c>
      <c r="BS331" s="269">
        <f t="shared" si="3212"/>
        <v>5.7778130341125404</v>
      </c>
      <c r="BT331" s="274">
        <f t="shared" si="3212"/>
        <v>5.171351629194227</v>
      </c>
      <c r="BU331" s="269">
        <f t="shared" si="3212"/>
        <v>7.5611664679386195</v>
      </c>
      <c r="BV331" s="274">
        <f t="shared" si="3212"/>
        <v>6.1974503890757546</v>
      </c>
      <c r="BW331" s="269">
        <f t="shared" si="3212"/>
        <v>9.392032845720891</v>
      </c>
      <c r="BX331" s="274">
        <f t="shared" si="3212"/>
        <v>8.0294511240130504</v>
      </c>
      <c r="BY331" s="269">
        <f t="shared" si="3212"/>
        <v>26.134508297801034</v>
      </c>
      <c r="BZ331" s="274">
        <f t="shared" si="3212"/>
        <v>14.232310378136091</v>
      </c>
      <c r="CA331" s="105"/>
      <c r="CB331" s="281"/>
      <c r="CC331" s="272" t="s">
        <v>489</v>
      </c>
      <c r="CD331" s="269">
        <f>CD329-CD68</f>
        <v>229.66867460065077</v>
      </c>
      <c r="CE331" s="274">
        <f t="shared" ref="CE331:CS331" si="3213">CE329-CE68</f>
        <v>168.89922889977606</v>
      </c>
      <c r="CF331" s="269">
        <f t="shared" si="3213"/>
        <v>269.60062604646419</v>
      </c>
      <c r="CG331" s="274">
        <f t="shared" si="3213"/>
        <v>177.82820786841467</v>
      </c>
      <c r="CH331" s="269">
        <f t="shared" si="3213"/>
        <v>269.80497753562167</v>
      </c>
      <c r="CI331" s="274">
        <f t="shared" si="3213"/>
        <v>184.00936097886779</v>
      </c>
      <c r="CJ331" s="269">
        <f t="shared" si="3213"/>
        <v>238.327781023022</v>
      </c>
      <c r="CK331" s="274">
        <f t="shared" si="3213"/>
        <v>171.02034693895826</v>
      </c>
      <c r="CL331" s="269">
        <f t="shared" si="3213"/>
        <v>224.14606001546827</v>
      </c>
      <c r="CM331" s="274">
        <f t="shared" si="3213"/>
        <v>165.96072694918826</v>
      </c>
      <c r="CN331" s="269">
        <f t="shared" si="3213"/>
        <v>321.46393694720973</v>
      </c>
      <c r="CO331" s="274">
        <f t="shared" si="3213"/>
        <v>176.00209621536919</v>
      </c>
      <c r="CP331" s="269">
        <f t="shared" si="3213"/>
        <v>120.91633886209002</v>
      </c>
      <c r="CQ331" s="274">
        <f t="shared" si="3213"/>
        <v>114.18690329632079</v>
      </c>
      <c r="CR331" s="269">
        <f t="shared" si="3213"/>
        <v>305.06666590889154</v>
      </c>
      <c r="CS331" s="274">
        <f t="shared" si="3213"/>
        <v>195.49743483277121</v>
      </c>
      <c r="CT331" s="105"/>
      <c r="CU331" s="281"/>
      <c r="CV331" s="272" t="s">
        <v>489</v>
      </c>
      <c r="CW331" s="269">
        <f>CW329-CW68</f>
        <v>8.0972888348140981E-2</v>
      </c>
      <c r="CX331" s="274">
        <f t="shared" ref="CX331:DL331" si="3214">CX329-CX68</f>
        <v>5.2353603308751218E-2</v>
      </c>
      <c r="CY331" s="269">
        <f t="shared" si="3214"/>
        <v>0.10127768679542948</v>
      </c>
      <c r="CZ331" s="274">
        <f t="shared" si="3214"/>
        <v>6.0893882900943552E-2</v>
      </c>
      <c r="DA331" s="269">
        <f t="shared" si="3214"/>
        <v>9.9687070628017405E-2</v>
      </c>
      <c r="DB331" s="274">
        <f t="shared" si="3214"/>
        <v>6.1181918723510531E-2</v>
      </c>
      <c r="DC331" s="269">
        <f t="shared" si="3214"/>
        <v>8.4853003811352856E-2</v>
      </c>
      <c r="DD331" s="274">
        <f t="shared" si="3214"/>
        <v>5.3671394385741422E-2</v>
      </c>
      <c r="DE331" s="269">
        <f t="shared" si="3214"/>
        <v>7.7954800763813004E-2</v>
      </c>
      <c r="DF331" s="274">
        <f t="shared" si="3214"/>
        <v>5.04485590787771E-2</v>
      </c>
      <c r="DG331" s="269">
        <f t="shared" si="3214"/>
        <v>0.13140811723028523</v>
      </c>
      <c r="DH331" s="274">
        <f t="shared" si="3214"/>
        <v>7.2368527037809383E-2</v>
      </c>
      <c r="DI331" s="269">
        <f t="shared" si="3214"/>
        <v>4.1081289005161725E-2</v>
      </c>
      <c r="DJ331" s="274">
        <f t="shared" si="3214"/>
        <v>3.5640903772234667E-2</v>
      </c>
      <c r="DK331" s="269">
        <f t="shared" si="3214"/>
        <v>0.14973386724752158</v>
      </c>
      <c r="DL331" s="274">
        <f t="shared" si="3214"/>
        <v>8.3439484084224524E-2</v>
      </c>
      <c r="DM331" s="105"/>
      <c r="DN331" s="281"/>
      <c r="DO331" s="272" t="s">
        <v>489</v>
      </c>
      <c r="DP331" s="269">
        <f>DP329-DP68</f>
        <v>4.2618210252724928</v>
      </c>
      <c r="DQ331" s="274">
        <f t="shared" ref="DQ331:EE331" si="3215">DQ329-DQ68</f>
        <v>3.9417016248347565</v>
      </c>
      <c r="DR331" s="269">
        <f t="shared" si="3215"/>
        <v>7.7448950843983511</v>
      </c>
      <c r="DS331" s="274">
        <f t="shared" si="3215"/>
        <v>7.4618335915907679</v>
      </c>
      <c r="DT331" s="269">
        <f t="shared" si="3215"/>
        <v>7.5454851923623423</v>
      </c>
      <c r="DU331" s="274">
        <f t="shared" si="3215"/>
        <v>7.2659869837352247</v>
      </c>
      <c r="DV331" s="269">
        <f t="shared" si="3215"/>
        <v>4.4303190829633827</v>
      </c>
      <c r="DW331" s="274">
        <f t="shared" si="3215"/>
        <v>4.1525324680941509</v>
      </c>
      <c r="DX331" s="269">
        <f t="shared" si="3215"/>
        <v>3.9883242248349866</v>
      </c>
      <c r="DY331" s="274">
        <f t="shared" si="3215"/>
        <v>3.7513085035940108</v>
      </c>
      <c r="DZ331" s="269">
        <f t="shared" si="3215"/>
        <v>3.475352478020941</v>
      </c>
      <c r="EA331" s="274">
        <f t="shared" si="3215"/>
        <v>2.5015053492575454</v>
      </c>
      <c r="EB331" s="269">
        <f t="shared" si="3215"/>
        <v>3.738755043027961</v>
      </c>
      <c r="EC331" s="274">
        <f t="shared" si="3215"/>
        <v>2.5583620982072617</v>
      </c>
      <c r="ED331" s="269">
        <f t="shared" si="3215"/>
        <v>47.940694833896742</v>
      </c>
      <c r="EE331" s="274">
        <f t="shared" si="3215"/>
        <v>24.872133845585736</v>
      </c>
      <c r="EF331" s="105"/>
      <c r="EG331" s="281"/>
      <c r="EH331" s="272" t="s">
        <v>489</v>
      </c>
      <c r="EI331" s="269">
        <f>EI329-EI68</f>
        <v>0.4387151971097234</v>
      </c>
      <c r="EJ331" s="274">
        <f t="shared" ref="EJ331:EX331" si="3216">EJ329-EJ68</f>
        <v>0.4350921136425443</v>
      </c>
      <c r="EK331" s="269">
        <f t="shared" si="3216"/>
        <v>0.40534157835151952</v>
      </c>
      <c r="EL331" s="274">
        <f t="shared" si="3216"/>
        <v>0.40036074223104556</v>
      </c>
      <c r="EM331" s="269">
        <f t="shared" si="3216"/>
        <v>0.44216437104672135</v>
      </c>
      <c r="EN331" s="274">
        <f t="shared" si="3216"/>
        <v>0.43744335106709009</v>
      </c>
      <c r="EO331" s="269">
        <f t="shared" si="3216"/>
        <v>0.43009178171103635</v>
      </c>
      <c r="EP331" s="274">
        <f t="shared" si="3216"/>
        <v>0.4262770372439233</v>
      </c>
      <c r="EQ331" s="269">
        <f t="shared" si="3216"/>
        <v>0.42538919891266636</v>
      </c>
      <c r="ER331" s="274">
        <f t="shared" si="3216"/>
        <v>0.42202205146759253</v>
      </c>
      <c r="ES331" s="269">
        <f t="shared" si="3216"/>
        <v>0.1703941096515087</v>
      </c>
      <c r="ET331" s="274">
        <f t="shared" si="3216"/>
        <v>0.1598387584672285</v>
      </c>
      <c r="EU331" s="269">
        <f t="shared" si="3216"/>
        <v>0.36401532930082814</v>
      </c>
      <c r="EV331" s="274">
        <f t="shared" si="3216"/>
        <v>0.35901670476321268</v>
      </c>
      <c r="EW331" s="269">
        <f t="shared" si="3216"/>
        <v>0.49824600469491109</v>
      </c>
      <c r="EX331" s="274">
        <f t="shared" si="3216"/>
        <v>0.44795898954871483</v>
      </c>
      <c r="EY331" s="105"/>
      <c r="EZ331" s="281"/>
      <c r="FA331" s="272" t="s">
        <v>489</v>
      </c>
      <c r="FB331" s="269">
        <f>FB329-FB68</f>
        <v>8.0525862164658665E-3</v>
      </c>
      <c r="FC331" s="274">
        <f t="shared" ref="FC331:FQ331" si="3217">FC329-FC68</f>
        <v>4.6477406667283713E-3</v>
      </c>
      <c r="FD331" s="269">
        <f t="shared" si="3217"/>
        <v>1.0539337139712973E-2</v>
      </c>
      <c r="FE331" s="274">
        <f t="shared" si="3217"/>
        <v>6.0442834314095861E-3</v>
      </c>
      <c r="FF331" s="269">
        <f t="shared" si="3217"/>
        <v>1.0259061406885477E-2</v>
      </c>
      <c r="FG331" s="274">
        <f t="shared" si="3217"/>
        <v>5.903129728096819E-3</v>
      </c>
      <c r="FH331" s="269">
        <f t="shared" si="3217"/>
        <v>8.5645329490115635E-3</v>
      </c>
      <c r="FI331" s="274">
        <f t="shared" si="3217"/>
        <v>4.9243116191686961E-3</v>
      </c>
      <c r="FJ331" s="269">
        <f t="shared" si="3217"/>
        <v>7.7679656016092155E-3</v>
      </c>
      <c r="FK331" s="274">
        <f t="shared" si="3217"/>
        <v>4.4941868503903561E-3</v>
      </c>
      <c r="FL331" s="269">
        <f t="shared" si="3217"/>
        <v>1.3729299271181584E-2</v>
      </c>
      <c r="FM331" s="274">
        <f t="shared" si="3217"/>
        <v>7.4254231464246853E-3</v>
      </c>
      <c r="FN331" s="482">
        <f t="shared" si="3217"/>
        <v>3.8705347349030084E-3</v>
      </c>
      <c r="FO331" s="483">
        <f t="shared" si="3217"/>
        <v>3.3807730788869665E-3</v>
      </c>
      <c r="FP331" s="269">
        <f t="shared" si="3217"/>
        <v>1.5126159963755992E-2</v>
      </c>
      <c r="FQ331" s="274">
        <f t="shared" si="3217"/>
        <v>8.0459585728910321E-3</v>
      </c>
      <c r="FR331" s="105"/>
      <c r="FS331" s="281"/>
      <c r="FT331" s="272" t="s">
        <v>489</v>
      </c>
      <c r="FU331" s="269">
        <f>FU329-FU68</f>
        <v>6.0838250887780703</v>
      </c>
      <c r="FV331" s="274">
        <f t="shared" ref="FV331:GJ331" si="3218">FV329-FV68</f>
        <v>3.1724795517990856</v>
      </c>
      <c r="FW331" s="269">
        <f t="shared" si="3218"/>
        <v>7.9721593219723594</v>
      </c>
      <c r="FX331" s="274">
        <f t="shared" si="3218"/>
        <v>4.1364879521404632</v>
      </c>
      <c r="FY331" s="269">
        <f t="shared" si="3218"/>
        <v>7.7491675801643858</v>
      </c>
      <c r="FZ331" s="274">
        <f t="shared" si="3218"/>
        <v>4.0275081647198547</v>
      </c>
      <c r="GA331" s="269">
        <f t="shared" si="3218"/>
        <v>6.4852287615557209</v>
      </c>
      <c r="GB331" s="274">
        <f t="shared" si="3218"/>
        <v>3.3750975936532051</v>
      </c>
      <c r="GC331" s="269">
        <f t="shared" si="3218"/>
        <v>5.8630197843449672</v>
      </c>
      <c r="GD331" s="274">
        <f t="shared" si="3218"/>
        <v>3.0572444352801487</v>
      </c>
      <c r="GE331" s="269">
        <f t="shared" si="3218"/>
        <v>11.055629170729929</v>
      </c>
      <c r="GF331" s="274">
        <f t="shared" si="3218"/>
        <v>5.8395618189622702</v>
      </c>
      <c r="GG331" s="482">
        <f t="shared" si="3218"/>
        <v>0.64715690652588176</v>
      </c>
      <c r="GH331" s="483">
        <f t="shared" si="3218"/>
        <v>0.52403294220565133</v>
      </c>
      <c r="GI331" s="269">
        <f t="shared" si="3218"/>
        <v>6.1216702415796753</v>
      </c>
      <c r="GJ331" s="274">
        <f t="shared" si="3218"/>
        <v>3.1875729612734478</v>
      </c>
      <c r="GK331" s="105"/>
      <c r="GL331" s="281"/>
      <c r="GM331" s="272" t="s">
        <v>489</v>
      </c>
      <c r="GN331" s="269">
        <f>GN329-GN68</f>
        <v>2.1516652570715209</v>
      </c>
      <c r="GO331" s="274">
        <f t="shared" ref="GO331:HC331" si="3219">GO329-GO68</f>
        <v>1.3759002380391756</v>
      </c>
      <c r="GP331" s="269">
        <f t="shared" si="3219"/>
        <v>2.7778065726715901</v>
      </c>
      <c r="GQ331" s="274">
        <f t="shared" si="3219"/>
        <v>1.7438220515237646</v>
      </c>
      <c r="GR331" s="269">
        <f t="shared" si="3219"/>
        <v>2.7175245074314311</v>
      </c>
      <c r="GS331" s="274">
        <f t="shared" si="3219"/>
        <v>1.7208970829696817</v>
      </c>
      <c r="GT331" s="269">
        <f t="shared" si="3219"/>
        <v>2.2603805523808234</v>
      </c>
      <c r="GU331" s="274">
        <f t="shared" si="3219"/>
        <v>1.4283441356975928</v>
      </c>
      <c r="GV331" s="269">
        <f t="shared" si="3219"/>
        <v>2.0549032483732503</v>
      </c>
      <c r="GW331" s="274">
        <f t="shared" si="3219"/>
        <v>1.3114174502827414</v>
      </c>
      <c r="GX331" s="269">
        <f t="shared" si="3219"/>
        <v>3.4966719384137335</v>
      </c>
      <c r="GY331" s="274">
        <f t="shared" si="3219"/>
        <v>1.9862764811286961</v>
      </c>
      <c r="GZ331" s="482">
        <f t="shared" si="3219"/>
        <v>2.6570752302387035</v>
      </c>
      <c r="HA331" s="483">
        <f t="shared" si="3219"/>
        <v>1.7345350672591398</v>
      </c>
      <c r="HB331" s="269">
        <f t="shared" si="3219"/>
        <v>5.3490070746700447</v>
      </c>
      <c r="HC331" s="274">
        <f t="shared" si="3219"/>
        <v>2.9130309217385388</v>
      </c>
      <c r="HD331" s="105"/>
      <c r="HE331" s="281"/>
      <c r="HF331" s="272" t="s">
        <v>489</v>
      </c>
      <c r="HG331" s="269">
        <f>HG329-HG68</f>
        <v>93.980210339515679</v>
      </c>
      <c r="HH331" s="274">
        <f t="shared" ref="HH331:HV331" si="3220">HH329-HH68</f>
        <v>50.031241020142346</v>
      </c>
      <c r="HI331" s="269">
        <f t="shared" si="3220"/>
        <v>122.73294755823315</v>
      </c>
      <c r="HJ331" s="274">
        <f t="shared" si="3220"/>
        <v>64.548026618130848</v>
      </c>
      <c r="HK331" s="269">
        <f t="shared" si="3220"/>
        <v>119.42763135329966</v>
      </c>
      <c r="HL331" s="274">
        <f t="shared" si="3220"/>
        <v>63.04483727071937</v>
      </c>
      <c r="HM331" s="269">
        <f t="shared" si="3220"/>
        <v>100.05723333538009</v>
      </c>
      <c r="HN331" s="274">
        <f t="shared" si="3220"/>
        <v>53.037124743395964</v>
      </c>
      <c r="HO331" s="269">
        <f t="shared" si="3220"/>
        <v>90.568432905107954</v>
      </c>
      <c r="HP331" s="274">
        <f t="shared" si="3220"/>
        <v>48.223809578183847</v>
      </c>
      <c r="HQ331" s="269">
        <f t="shared" si="3220"/>
        <v>164.24482422067609</v>
      </c>
      <c r="HR331" s="274">
        <f t="shared" si="3220"/>
        <v>84.730393907794564</v>
      </c>
      <c r="HS331" s="482">
        <f t="shared" si="3220"/>
        <v>11.002358527035952</v>
      </c>
      <c r="HT331" s="483">
        <f t="shared" si="3220"/>
        <v>9.3173550685902455</v>
      </c>
      <c r="HU331" s="269">
        <f t="shared" si="3220"/>
        <v>100.19825816413055</v>
      </c>
      <c r="HV331" s="274">
        <f t="shared" si="3220"/>
        <v>53.023839969612254</v>
      </c>
      <c r="HW331" s="105"/>
      <c r="HX331" s="105"/>
      <c r="HY331" s="272" t="s">
        <v>489</v>
      </c>
      <c r="HZ331" s="269">
        <f>HZ329-HZ68</f>
        <v>2.6854927749830448E-2</v>
      </c>
      <c r="IA331" s="274">
        <f t="shared" ref="IA331:IK331" si="3221">IA329-IA68</f>
        <v>1.7625435351612595E-2</v>
      </c>
      <c r="IB331" s="269">
        <f t="shared" si="3221"/>
        <v>3.3737100778908402E-2</v>
      </c>
      <c r="IC331" s="274">
        <f t="shared" si="3221"/>
        <v>2.0822232439636768E-2</v>
      </c>
      <c r="ID331" s="269">
        <f t="shared" si="3221"/>
        <v>3.3192187489725689E-2</v>
      </c>
      <c r="IE331" s="274">
        <f t="shared" si="3221"/>
        <v>2.0862207282641515E-2</v>
      </c>
      <c r="IF331" s="269">
        <f t="shared" si="3221"/>
        <v>2.8150541858509209E-2</v>
      </c>
      <c r="IG331" s="274">
        <f t="shared" si="3221"/>
        <v>1.8117455703048707E-2</v>
      </c>
      <c r="IH331" s="269">
        <f t="shared" si="3221"/>
        <v>2.5845993116073857E-2</v>
      </c>
      <c r="II331" s="274">
        <f t="shared" si="3221"/>
        <v>1.6985064835880026E-2</v>
      </c>
      <c r="IJ331" s="274">
        <f t="shared" si="3221"/>
        <v>4.3287793381022899E-2</v>
      </c>
      <c r="IK331" s="274">
        <f t="shared" si="3221"/>
        <v>2.4257930842319336E-2</v>
      </c>
      <c r="IL331" s="434"/>
      <c r="IM331" s="434"/>
      <c r="IN331" s="434"/>
      <c r="IO331" s="434"/>
    </row>
    <row r="332" spans="2:249" ht="13.5" customHeight="1" x14ac:dyDescent="0.2"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268"/>
      <c r="AQ332" s="272"/>
      <c r="AR332" s="270"/>
      <c r="AS332" s="272"/>
      <c r="AT332" s="270"/>
      <c r="AU332" s="272"/>
      <c r="AV332" s="270"/>
      <c r="AW332" s="272"/>
      <c r="AX332" s="270"/>
      <c r="AY332" s="272"/>
      <c r="AZ332" s="270"/>
      <c r="BA332" s="272"/>
      <c r="BB332" s="270"/>
      <c r="BC332" s="272"/>
      <c r="BD332" s="270"/>
      <c r="BE332" s="272"/>
      <c r="BF332" s="270"/>
      <c r="BG332" s="272"/>
      <c r="BH332" s="158"/>
      <c r="BI332" s="281"/>
      <c r="BJ332" s="272"/>
      <c r="BK332" s="270"/>
      <c r="BL332" s="272"/>
      <c r="BM332" s="270"/>
      <c r="BN332" s="272"/>
      <c r="BO332" s="270"/>
      <c r="BP332" s="272"/>
      <c r="BQ332" s="270"/>
      <c r="BR332" s="272"/>
      <c r="BS332" s="270"/>
      <c r="BT332" s="272"/>
      <c r="BU332" s="270"/>
      <c r="BV332" s="272"/>
      <c r="BW332" s="270"/>
      <c r="BX332" s="272"/>
      <c r="BY332" s="270"/>
      <c r="BZ332" s="272"/>
      <c r="CA332" s="105"/>
      <c r="CB332" s="281"/>
      <c r="CC332" s="141"/>
      <c r="CD332" s="277"/>
      <c r="CE332" s="277"/>
      <c r="CF332" s="277"/>
      <c r="CG332" s="277"/>
      <c r="CH332" s="277"/>
      <c r="CI332" s="277"/>
      <c r="CJ332" s="277"/>
      <c r="CK332" s="277"/>
      <c r="CL332" s="277"/>
      <c r="CM332" s="277"/>
      <c r="CN332" s="277"/>
      <c r="CO332" s="277"/>
      <c r="CP332" s="277"/>
      <c r="CQ332" s="277"/>
      <c r="CR332" s="277"/>
      <c r="CS332" s="277"/>
      <c r="CT332" s="105"/>
      <c r="CU332" s="281"/>
      <c r="CV332" s="141"/>
      <c r="CW332" s="277"/>
      <c r="CX332" s="277"/>
      <c r="CY332" s="277"/>
      <c r="CZ332" s="277"/>
      <c r="DA332" s="277"/>
      <c r="DB332" s="277"/>
      <c r="DC332" s="277"/>
      <c r="DD332" s="277"/>
      <c r="DE332" s="277"/>
      <c r="DF332" s="277"/>
      <c r="DG332" s="277"/>
      <c r="DH332" s="277"/>
      <c r="DI332" s="277"/>
      <c r="DJ332" s="277"/>
      <c r="DK332" s="277"/>
      <c r="DL332" s="277"/>
      <c r="DM332" s="105"/>
      <c r="DN332" s="281"/>
      <c r="DO332" s="141"/>
      <c r="DP332" s="277"/>
      <c r="DQ332" s="277"/>
      <c r="DR332" s="277"/>
      <c r="DS332" s="277"/>
      <c r="DT332" s="277"/>
      <c r="DU332" s="277"/>
      <c r="DV332" s="277"/>
      <c r="DW332" s="277"/>
      <c r="DX332" s="277"/>
      <c r="DY332" s="277"/>
      <c r="DZ332" s="277"/>
      <c r="EA332" s="277"/>
      <c r="EB332" s="277"/>
      <c r="EC332" s="277"/>
      <c r="ED332" s="277"/>
      <c r="EE332" s="277"/>
      <c r="EF332" s="105"/>
      <c r="EG332" s="281"/>
      <c r="EH332" s="141"/>
      <c r="EI332" s="277"/>
      <c r="EJ332" s="277"/>
      <c r="EK332" s="277"/>
      <c r="EL332" s="277"/>
      <c r="EM332" s="277"/>
      <c r="EN332" s="277"/>
      <c r="EO332" s="277"/>
      <c r="EP332" s="277"/>
      <c r="EQ332" s="277"/>
      <c r="ER332" s="277"/>
      <c r="ES332" s="277"/>
      <c r="ET332" s="277"/>
      <c r="EU332" s="277"/>
      <c r="EV332" s="277"/>
      <c r="EW332" s="277"/>
      <c r="EX332" s="277"/>
      <c r="EY332" s="105"/>
      <c r="EZ332" s="281"/>
      <c r="FA332" s="141"/>
      <c r="FB332" s="277"/>
      <c r="FC332" s="277"/>
      <c r="FD332" s="277"/>
      <c r="FE332" s="277"/>
      <c r="FF332" s="277"/>
      <c r="FG332" s="277"/>
      <c r="FH332" s="277"/>
      <c r="FI332" s="277"/>
      <c r="FJ332" s="277"/>
      <c r="FK332" s="277"/>
      <c r="FL332" s="277"/>
      <c r="FM332" s="277"/>
      <c r="FN332" s="277"/>
      <c r="FO332" s="277"/>
      <c r="FP332" s="277"/>
      <c r="FQ332" s="277"/>
      <c r="FR332" s="105"/>
      <c r="FS332" s="281"/>
      <c r="FT332" s="141"/>
      <c r="FU332" s="277"/>
      <c r="FV332" s="277"/>
      <c r="FW332" s="277"/>
      <c r="FX332" s="277"/>
      <c r="FY332" s="277"/>
      <c r="FZ332" s="277"/>
      <c r="GA332" s="277"/>
      <c r="GB332" s="277"/>
      <c r="GC332" s="277"/>
      <c r="GD332" s="277"/>
      <c r="GE332" s="277"/>
      <c r="GF332" s="277"/>
      <c r="GG332" s="277"/>
      <c r="GH332" s="277"/>
      <c r="GI332" s="277"/>
      <c r="GJ332" s="277"/>
      <c r="GK332" s="105"/>
      <c r="GL332" s="281"/>
      <c r="GM332" s="141"/>
      <c r="GN332" s="277"/>
      <c r="GO332" s="277"/>
      <c r="GP332" s="277"/>
      <c r="GQ332" s="277"/>
      <c r="GR332" s="277"/>
      <c r="GS332" s="277"/>
      <c r="GT332" s="277"/>
      <c r="GU332" s="277"/>
      <c r="GV332" s="277"/>
      <c r="GW332" s="277"/>
      <c r="GX332" s="277"/>
      <c r="GY332" s="277"/>
      <c r="GZ332" s="277"/>
      <c r="HA332" s="277"/>
      <c r="HB332" s="277"/>
      <c r="HC332" s="277"/>
      <c r="HD332" s="105"/>
      <c r="HE332" s="281"/>
      <c r="HF332" s="141"/>
      <c r="HG332" s="277"/>
      <c r="HH332" s="277"/>
      <c r="HI332" s="277"/>
      <c r="HJ332" s="277"/>
      <c r="HK332" s="277"/>
      <c r="HL332" s="277"/>
      <c r="HM332" s="277"/>
      <c r="HN332" s="277"/>
      <c r="HO332" s="277"/>
      <c r="HP332" s="277"/>
      <c r="HQ332" s="277"/>
      <c r="HR332" s="277"/>
      <c r="HS332" s="277"/>
      <c r="HT332" s="277"/>
      <c r="HU332" s="277"/>
      <c r="HV332" s="277"/>
      <c r="HW332" s="105"/>
      <c r="HX332" s="105"/>
      <c r="HY332" s="141"/>
      <c r="HZ332" s="277"/>
      <c r="IA332" s="277"/>
      <c r="IB332" s="277"/>
      <c r="IC332" s="277"/>
      <c r="ID332" s="277"/>
      <c r="IE332" s="277"/>
      <c r="IF332" s="277"/>
      <c r="IG332" s="277"/>
      <c r="IH332" s="277"/>
      <c r="II332" s="277"/>
      <c r="IJ332" s="277"/>
      <c r="IK332" s="277"/>
      <c r="IL332" s="277"/>
      <c r="IM332" s="277"/>
      <c r="IN332" s="277"/>
      <c r="IO332" s="277"/>
    </row>
    <row r="333" spans="2:249" ht="15" customHeight="1" x14ac:dyDescent="0.25"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08"/>
      <c r="W333" s="108"/>
      <c r="X333" s="108"/>
      <c r="Y333" s="108"/>
      <c r="Z333" s="108"/>
      <c r="AA333" s="108"/>
      <c r="AB333" s="108"/>
      <c r="AC333" s="108"/>
      <c r="AD333" s="108"/>
      <c r="AE333" s="108"/>
      <c r="AF333" s="108"/>
      <c r="AG333" s="108"/>
      <c r="AH333" s="108"/>
      <c r="AI333" s="108"/>
      <c r="AJ333" s="108"/>
      <c r="AK333" s="108"/>
      <c r="AL333" s="108"/>
      <c r="AM333" s="108"/>
      <c r="AN333" s="108"/>
      <c r="AO333" s="108"/>
      <c r="AP333" s="268"/>
      <c r="AQ333" s="223" t="s">
        <v>484</v>
      </c>
      <c r="AR333" s="269">
        <f>AR196</f>
        <v>764.94170145886608</v>
      </c>
      <c r="AS333" s="274">
        <f t="shared" ref="AS333:BA333" si="3222">AS196</f>
        <v>764.94170145886608</v>
      </c>
      <c r="AT333" s="269">
        <f t="shared" si="3222"/>
        <v>843.54736952005487</v>
      </c>
      <c r="AU333" s="274">
        <f t="shared" si="3222"/>
        <v>843.54736952005487</v>
      </c>
      <c r="AV333" s="269">
        <f t="shared" si="3222"/>
        <v>915.58330847604429</v>
      </c>
      <c r="AW333" s="274">
        <f t="shared" si="3222"/>
        <v>915.58330847604429</v>
      </c>
      <c r="AX333" s="269">
        <f t="shared" si="3222"/>
        <v>776.76674436938777</v>
      </c>
      <c r="AY333" s="274">
        <f t="shared" si="3222"/>
        <v>776.76674436938777</v>
      </c>
      <c r="AZ333" s="269">
        <f t="shared" si="3222"/>
        <v>724.0392633620005</v>
      </c>
      <c r="BA333" s="274">
        <f t="shared" si="3222"/>
        <v>724.0392633620005</v>
      </c>
      <c r="BB333" s="269">
        <f t="shared" ref="BB333:BG333" si="3223">BB196</f>
        <v>354.11377747822479</v>
      </c>
      <c r="BC333" s="274">
        <f t="shared" si="3223"/>
        <v>354.11377747822479</v>
      </c>
      <c r="BD333" s="269">
        <f t="shared" si="3223"/>
        <v>1020.2395413832372</v>
      </c>
      <c r="BE333" s="274">
        <f t="shared" si="3223"/>
        <v>1020.2395413832372</v>
      </c>
      <c r="BF333" s="269">
        <f t="shared" si="3223"/>
        <v>723.41520816686716</v>
      </c>
      <c r="BG333" s="274">
        <f t="shared" si="3223"/>
        <v>723.41520816686716</v>
      </c>
      <c r="BH333" s="158"/>
      <c r="BI333" s="281"/>
      <c r="BJ333" s="223" t="s">
        <v>484</v>
      </c>
      <c r="BK333" s="269">
        <f>BK196</f>
        <v>13.390389654887086</v>
      </c>
      <c r="BL333" s="274">
        <f t="shared" ref="BL333:BZ333" si="3224">BL196</f>
        <v>13.390389654887086</v>
      </c>
      <c r="BM333" s="269">
        <f t="shared" si="3224"/>
        <v>22.340733441292777</v>
      </c>
      <c r="BN333" s="274">
        <f t="shared" si="3224"/>
        <v>22.340733441292777</v>
      </c>
      <c r="BO333" s="269">
        <f t="shared" si="3224"/>
        <v>21.832284207438171</v>
      </c>
      <c r="BP333" s="274">
        <f t="shared" si="3224"/>
        <v>21.832284207438171</v>
      </c>
      <c r="BQ333" s="269">
        <f t="shared" si="3224"/>
        <v>15.069988864357731</v>
      </c>
      <c r="BR333" s="274">
        <f t="shared" si="3224"/>
        <v>15.069988864357731</v>
      </c>
      <c r="BS333" s="269">
        <f t="shared" si="3224"/>
        <v>12.781073157695079</v>
      </c>
      <c r="BT333" s="274">
        <f t="shared" si="3224"/>
        <v>12.781073157695079</v>
      </c>
      <c r="BU333" s="269">
        <f t="shared" si="3224"/>
        <v>16.693693043872734</v>
      </c>
      <c r="BV333" s="274">
        <f t="shared" si="3224"/>
        <v>16.693693043872734</v>
      </c>
      <c r="BW333" s="269">
        <f t="shared" si="3224"/>
        <v>32.202811294580343</v>
      </c>
      <c r="BX333" s="274">
        <f t="shared" si="3224"/>
        <v>32.202811294580343</v>
      </c>
      <c r="BY333" s="269">
        <f t="shared" si="3224"/>
        <v>12.750999293935482</v>
      </c>
      <c r="BZ333" s="274">
        <f t="shared" si="3224"/>
        <v>12.750999293935482</v>
      </c>
      <c r="CA333" s="105"/>
      <c r="CB333" s="281"/>
      <c r="CC333" s="278"/>
      <c r="CD333" s="277"/>
      <c r="CE333" s="277"/>
      <c r="CF333" s="277"/>
      <c r="CG333" s="277"/>
      <c r="CH333" s="277"/>
      <c r="CI333" s="277"/>
      <c r="CJ333" s="277"/>
      <c r="CK333" s="277"/>
      <c r="CL333" s="277"/>
      <c r="CM333" s="277"/>
      <c r="CN333" s="277"/>
      <c r="CO333" s="277"/>
      <c r="CP333" s="277"/>
      <c r="CQ333" s="277"/>
      <c r="CR333" s="277"/>
      <c r="CS333" s="277"/>
      <c r="CT333" s="105"/>
      <c r="CU333" s="281"/>
      <c r="CV333" s="278"/>
      <c r="CW333" s="277"/>
      <c r="CX333" s="277"/>
      <c r="CY333" s="277"/>
      <c r="CZ333" s="277"/>
      <c r="DA333" s="277"/>
      <c r="DB333" s="277"/>
      <c r="DC333" s="277"/>
      <c r="DD333" s="277"/>
      <c r="DE333" s="277"/>
      <c r="DF333" s="277"/>
      <c r="DG333" s="277"/>
      <c r="DH333" s="277"/>
      <c r="DI333" s="277"/>
      <c r="DJ333" s="277"/>
      <c r="DK333" s="277"/>
      <c r="DL333" s="277"/>
      <c r="DM333" s="105"/>
      <c r="DN333" s="281"/>
      <c r="DO333" s="278"/>
      <c r="DP333" s="277"/>
      <c r="DQ333" s="277"/>
      <c r="DR333" s="277"/>
      <c r="DS333" s="277"/>
      <c r="DT333" s="277"/>
      <c r="DU333" s="277"/>
      <c r="DV333" s="277"/>
      <c r="DW333" s="277"/>
      <c r="DX333" s="277"/>
      <c r="DY333" s="277"/>
      <c r="DZ333" s="277"/>
      <c r="EA333" s="277"/>
      <c r="EB333" s="277"/>
      <c r="EC333" s="277"/>
      <c r="ED333" s="277"/>
      <c r="EE333" s="277"/>
      <c r="EF333" s="105"/>
      <c r="EG333" s="281"/>
      <c r="EH333" s="278"/>
      <c r="EI333" s="277"/>
      <c r="EJ333" s="277"/>
      <c r="EK333" s="277"/>
      <c r="EL333" s="277"/>
      <c r="EM333" s="277"/>
      <c r="EN333" s="277"/>
      <c r="EO333" s="277"/>
      <c r="EP333" s="277"/>
      <c r="EQ333" s="277"/>
      <c r="ER333" s="277"/>
      <c r="ES333" s="277"/>
      <c r="ET333" s="277"/>
      <c r="EU333" s="277"/>
      <c r="EV333" s="277"/>
      <c r="EW333" s="277"/>
      <c r="EX333" s="277"/>
      <c r="EY333" s="105"/>
      <c r="EZ333" s="281"/>
      <c r="FA333" s="278"/>
      <c r="FB333" s="277"/>
      <c r="FC333" s="277"/>
      <c r="FD333" s="277"/>
      <c r="FE333" s="277"/>
      <c r="FF333" s="277"/>
      <c r="FG333" s="277"/>
      <c r="FH333" s="277"/>
      <c r="FI333" s="277"/>
      <c r="FJ333" s="277"/>
      <c r="FK333" s="277"/>
      <c r="FL333" s="277"/>
      <c r="FM333" s="277"/>
      <c r="FN333" s="277"/>
      <c r="FO333" s="277"/>
      <c r="FP333" s="277"/>
      <c r="FQ333" s="277"/>
      <c r="FR333" s="105"/>
      <c r="FS333" s="281"/>
      <c r="FT333" s="278"/>
      <c r="FU333" s="277"/>
      <c r="FV333" s="277"/>
      <c r="FW333" s="277"/>
      <c r="FX333" s="277"/>
      <c r="FY333" s="277"/>
      <c r="FZ333" s="277"/>
      <c r="GA333" s="277"/>
      <c r="GB333" s="277"/>
      <c r="GC333" s="277"/>
      <c r="GD333" s="277"/>
      <c r="GE333" s="277"/>
      <c r="GF333" s="277"/>
      <c r="GG333" s="277"/>
      <c r="GH333" s="277"/>
      <c r="GI333" s="277"/>
      <c r="GJ333" s="277"/>
      <c r="GK333" s="105"/>
      <c r="GL333" s="281"/>
      <c r="GM333" s="278"/>
      <c r="GN333" s="277"/>
      <c r="GO333" s="277"/>
      <c r="GP333" s="277"/>
      <c r="GQ333" s="277"/>
      <c r="GR333" s="277"/>
      <c r="GS333" s="277"/>
      <c r="GT333" s="277"/>
      <c r="GU333" s="277"/>
      <c r="GV333" s="277"/>
      <c r="GW333" s="277"/>
      <c r="GX333" s="277"/>
      <c r="GY333" s="277"/>
      <c r="GZ333" s="277"/>
      <c r="HA333" s="277"/>
      <c r="HB333" s="277"/>
      <c r="HC333" s="277"/>
      <c r="HD333" s="105"/>
      <c r="HE333" s="281"/>
      <c r="HF333" s="278"/>
      <c r="HG333" s="277"/>
      <c r="HH333" s="277"/>
      <c r="HI333" s="277"/>
      <c r="HJ333" s="277"/>
      <c r="HK333" s="277"/>
      <c r="HL333" s="277"/>
      <c r="HM333" s="277"/>
      <c r="HN333" s="277"/>
      <c r="HO333" s="277"/>
      <c r="HP333" s="277"/>
      <c r="HQ333" s="277"/>
      <c r="HR333" s="277"/>
      <c r="HS333" s="277"/>
      <c r="HT333" s="277"/>
      <c r="HU333" s="277"/>
      <c r="HV333" s="277"/>
      <c r="HW333" s="105"/>
      <c r="HX333" s="105"/>
      <c r="HY333" s="278"/>
      <c r="HZ333" s="277"/>
      <c r="IA333" s="277"/>
      <c r="IB333" s="277"/>
      <c r="IC333" s="277"/>
      <c r="ID333" s="277"/>
      <c r="IE333" s="277"/>
      <c r="IF333" s="277"/>
      <c r="IG333" s="277"/>
      <c r="IH333" s="277"/>
      <c r="II333" s="277"/>
      <c r="IJ333" s="277"/>
      <c r="IK333" s="277"/>
      <c r="IL333" s="277"/>
      <c r="IM333" s="277"/>
      <c r="IN333" s="277"/>
      <c r="IO333" s="277"/>
    </row>
    <row r="334" spans="2:249" ht="12.75" customHeight="1" x14ac:dyDescent="0.2"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268"/>
      <c r="AQ334" s="223" t="s">
        <v>485</v>
      </c>
      <c r="AR334" s="269">
        <f>AR262</f>
        <v>328.16717967000852</v>
      </c>
      <c r="AS334" s="274">
        <f t="shared" ref="AS334:BA334" si="3225">AS262</f>
        <v>328.16717967000852</v>
      </c>
      <c r="AT334" s="269">
        <f t="shared" si="3225"/>
        <v>472.17627648038382</v>
      </c>
      <c r="AU334" s="274">
        <f t="shared" si="3225"/>
        <v>472.17627648038382</v>
      </c>
      <c r="AV334" s="269">
        <f t="shared" si="3225"/>
        <v>478.64784588582552</v>
      </c>
      <c r="AW334" s="274">
        <f t="shared" si="3225"/>
        <v>478.64784588582552</v>
      </c>
      <c r="AX334" s="269">
        <f t="shared" si="3225"/>
        <v>360.40585605951185</v>
      </c>
      <c r="AY334" s="274">
        <f t="shared" si="3225"/>
        <v>360.40585605951185</v>
      </c>
      <c r="AZ334" s="269">
        <f t="shared" si="3225"/>
        <v>306.34460077434835</v>
      </c>
      <c r="BA334" s="274">
        <f t="shared" si="3225"/>
        <v>306.34460077434835</v>
      </c>
      <c r="BB334" s="269">
        <f t="shared" ref="BB334:BG334" si="3226">BB262</f>
        <v>160.26740075220292</v>
      </c>
      <c r="BC334" s="274">
        <f t="shared" si="3226"/>
        <v>160.26740075220292</v>
      </c>
      <c r="BD334" s="269">
        <f t="shared" si="3226"/>
        <v>317.47087380761752</v>
      </c>
      <c r="BE334" s="274">
        <f t="shared" si="3226"/>
        <v>317.47087380761752</v>
      </c>
      <c r="BF334" s="269">
        <f t="shared" si="3226"/>
        <v>306.13595113407791</v>
      </c>
      <c r="BG334" s="274">
        <f t="shared" si="3226"/>
        <v>306.13595113407791</v>
      </c>
      <c r="BH334" s="158"/>
      <c r="BI334" s="279"/>
      <c r="BJ334" s="223" t="s">
        <v>485</v>
      </c>
      <c r="BK334" s="269">
        <f>BK262</f>
        <v>43.261695074323576</v>
      </c>
      <c r="BL334" s="274">
        <f t="shared" ref="BL334:BZ334" si="3227">BL262</f>
        <v>43.261695074323576</v>
      </c>
      <c r="BM334" s="269">
        <f t="shared" si="3227"/>
        <v>62.234708850442473</v>
      </c>
      <c r="BN334" s="274">
        <f t="shared" si="3227"/>
        <v>62.234708850442473</v>
      </c>
      <c r="BO334" s="269">
        <f t="shared" si="3227"/>
        <v>61.826380851528384</v>
      </c>
      <c r="BP334" s="274">
        <f t="shared" si="3227"/>
        <v>61.826380851528384</v>
      </c>
      <c r="BQ334" s="269">
        <f t="shared" si="3227"/>
        <v>47.772282714680216</v>
      </c>
      <c r="BR334" s="274">
        <f t="shared" si="3227"/>
        <v>47.772282714680216</v>
      </c>
      <c r="BS334" s="269">
        <f t="shared" si="3227"/>
        <v>40.935262294382156</v>
      </c>
      <c r="BT334" s="274">
        <f t="shared" si="3227"/>
        <v>40.935262294382156</v>
      </c>
      <c r="BU334" s="269">
        <f t="shared" si="3227"/>
        <v>32.534307985402634</v>
      </c>
      <c r="BV334" s="274">
        <f t="shared" si="3227"/>
        <v>32.534307985402634</v>
      </c>
      <c r="BW334" s="269">
        <f t="shared" si="3227"/>
        <v>49.379730480868858</v>
      </c>
      <c r="BX334" s="274">
        <f t="shared" si="3227"/>
        <v>49.379730480868858</v>
      </c>
      <c r="BY334" s="269">
        <f t="shared" si="3227"/>
        <v>40.886943755274842</v>
      </c>
      <c r="BZ334" s="274">
        <f t="shared" si="3227"/>
        <v>40.886943755274842</v>
      </c>
      <c r="CA334" s="105"/>
      <c r="CB334" s="279"/>
      <c r="CC334" s="279"/>
      <c r="CD334" s="279"/>
      <c r="CE334" s="279"/>
      <c r="CF334" s="279"/>
      <c r="CG334" s="279"/>
      <c r="CH334" s="279"/>
      <c r="CI334" s="279"/>
      <c r="CJ334" s="279"/>
      <c r="CK334" s="279"/>
      <c r="CL334" s="279"/>
      <c r="CM334" s="279"/>
      <c r="CN334" s="279"/>
      <c r="CO334" s="279"/>
      <c r="CP334" s="279"/>
      <c r="CQ334" s="279"/>
      <c r="CR334" s="279"/>
      <c r="CS334" s="279"/>
      <c r="CT334" s="105"/>
      <c r="CU334" s="279"/>
      <c r="CV334" s="279"/>
      <c r="CW334" s="279"/>
      <c r="CX334" s="279"/>
      <c r="CY334" s="279"/>
      <c r="CZ334" s="279"/>
      <c r="DA334" s="279"/>
      <c r="DB334" s="279"/>
      <c r="DC334" s="279"/>
      <c r="DD334" s="279"/>
      <c r="DE334" s="279"/>
      <c r="DF334" s="279"/>
      <c r="DG334" s="279"/>
      <c r="DH334" s="279"/>
      <c r="DI334" s="279"/>
      <c r="DJ334" s="279"/>
      <c r="DK334" s="279"/>
      <c r="DL334" s="279"/>
      <c r="DM334" s="105"/>
      <c r="DN334" s="279"/>
      <c r="DO334" s="279"/>
      <c r="DP334" s="279"/>
      <c r="DQ334" s="279"/>
      <c r="DR334" s="279"/>
      <c r="DS334" s="279"/>
      <c r="DT334" s="279"/>
      <c r="DU334" s="279"/>
      <c r="DV334" s="279"/>
      <c r="DW334" s="279"/>
      <c r="DX334" s="279"/>
      <c r="DY334" s="279"/>
      <c r="DZ334" s="279"/>
      <c r="EA334" s="279"/>
      <c r="EB334" s="279"/>
      <c r="EC334" s="279"/>
      <c r="ED334" s="279"/>
      <c r="EE334" s="279"/>
      <c r="EF334" s="105"/>
      <c r="EG334" s="279"/>
      <c r="EH334" s="279"/>
      <c r="EI334" s="279"/>
      <c r="EJ334" s="279"/>
      <c r="EK334" s="279"/>
      <c r="EL334" s="279"/>
      <c r="EM334" s="279"/>
      <c r="EN334" s="279"/>
      <c r="EO334" s="279"/>
      <c r="EP334" s="279"/>
      <c r="EQ334" s="279"/>
      <c r="ER334" s="279"/>
      <c r="ES334" s="279"/>
      <c r="ET334" s="279"/>
      <c r="EU334" s="279"/>
      <c r="EV334" s="279"/>
      <c r="EW334" s="279"/>
      <c r="EX334" s="279"/>
      <c r="EY334" s="105"/>
      <c r="EZ334" s="279"/>
      <c r="FA334" s="279"/>
      <c r="FB334" s="279"/>
      <c r="FC334" s="279"/>
      <c r="FD334" s="279"/>
      <c r="FE334" s="279"/>
      <c r="FF334" s="279"/>
      <c r="FG334" s="279"/>
      <c r="FH334" s="279"/>
      <c r="FI334" s="279"/>
      <c r="FJ334" s="279"/>
      <c r="FK334" s="279"/>
      <c r="FL334" s="279"/>
      <c r="FM334" s="279"/>
      <c r="FN334" s="279"/>
      <c r="FO334" s="279"/>
      <c r="FP334" s="279"/>
      <c r="FQ334" s="279"/>
      <c r="FR334" s="105"/>
      <c r="FS334" s="279"/>
      <c r="FT334" s="279"/>
      <c r="FU334" s="279"/>
      <c r="FV334" s="279"/>
      <c r="FW334" s="279"/>
      <c r="FX334" s="279"/>
      <c r="FY334" s="279"/>
      <c r="FZ334" s="279"/>
      <c r="GA334" s="279"/>
      <c r="GB334" s="279"/>
      <c r="GC334" s="279"/>
      <c r="GD334" s="279"/>
      <c r="GE334" s="279"/>
      <c r="GF334" s="279"/>
      <c r="GG334" s="279"/>
      <c r="GH334" s="279"/>
      <c r="GI334" s="279"/>
      <c r="GJ334" s="279"/>
      <c r="GK334" s="105"/>
      <c r="GL334" s="279"/>
      <c r="GM334" s="279"/>
      <c r="GN334" s="279"/>
      <c r="GO334" s="279"/>
      <c r="GP334" s="279"/>
      <c r="GQ334" s="279"/>
      <c r="GR334" s="279"/>
      <c r="GS334" s="279"/>
      <c r="GT334" s="279"/>
      <c r="GU334" s="279"/>
      <c r="GV334" s="279"/>
      <c r="GW334" s="279"/>
      <c r="GX334" s="279"/>
      <c r="GY334" s="279"/>
      <c r="GZ334" s="279"/>
      <c r="HA334" s="279"/>
      <c r="HB334" s="279"/>
      <c r="HC334" s="279"/>
      <c r="HD334" s="105"/>
      <c r="HE334" s="279"/>
      <c r="HF334" s="279"/>
      <c r="HG334" s="279"/>
      <c r="HH334" s="279"/>
      <c r="HI334" s="279"/>
      <c r="HJ334" s="279"/>
      <c r="HK334" s="279"/>
      <c r="HL334" s="279"/>
      <c r="HM334" s="279"/>
      <c r="HN334" s="279"/>
      <c r="HO334" s="279"/>
      <c r="HP334" s="279"/>
      <c r="HQ334" s="279"/>
      <c r="HR334" s="279"/>
      <c r="HS334" s="279"/>
      <c r="HT334" s="279"/>
      <c r="HU334" s="279"/>
      <c r="HV334" s="279"/>
      <c r="HW334" s="105"/>
      <c r="HX334" s="105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79"/>
    </row>
    <row r="335" spans="2:249" ht="12.75" customHeight="1" x14ac:dyDescent="0.2"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268"/>
      <c r="AQ335" s="272" t="s">
        <v>486</v>
      </c>
      <c r="AR335" s="269">
        <f>AR334-SQRT(AR333)</f>
        <v>300.50960021231072</v>
      </c>
      <c r="AS335" s="274">
        <f t="shared" ref="AS335:BA335" si="3228">AS334-SQRT(AS333)</f>
        <v>300.50960021231072</v>
      </c>
      <c r="AT335" s="269">
        <f t="shared" si="3228"/>
        <v>443.13238952426076</v>
      </c>
      <c r="AU335" s="274">
        <f t="shared" si="3228"/>
        <v>443.13238952426076</v>
      </c>
      <c r="AV335" s="269">
        <f t="shared" si="3228"/>
        <v>448.38923870578424</v>
      </c>
      <c r="AW335" s="274">
        <f t="shared" si="3228"/>
        <v>448.38923870578424</v>
      </c>
      <c r="AX335" s="269">
        <f t="shared" si="3228"/>
        <v>332.53532064360377</v>
      </c>
      <c r="AY335" s="274">
        <f t="shared" si="3228"/>
        <v>332.53532064360377</v>
      </c>
      <c r="AZ335" s="269">
        <f t="shared" si="3228"/>
        <v>279.43662308441407</v>
      </c>
      <c r="BA335" s="274">
        <f t="shared" si="3228"/>
        <v>279.43662308441407</v>
      </c>
      <c r="BB335" s="269">
        <f t="shared" ref="BB335:BG335" si="3229">BB334-SQRT(BB333)</f>
        <v>141.44948967051735</v>
      </c>
      <c r="BC335" s="274">
        <f t="shared" si="3229"/>
        <v>141.44948967051735</v>
      </c>
      <c r="BD335" s="269">
        <f t="shared" si="3229"/>
        <v>285.52968501660291</v>
      </c>
      <c r="BE335" s="274">
        <f t="shared" si="3229"/>
        <v>285.52968501660291</v>
      </c>
      <c r="BF335" s="269">
        <f t="shared" si="3229"/>
        <v>279.23957204381992</v>
      </c>
      <c r="BG335" s="274">
        <f t="shared" si="3229"/>
        <v>279.23957204381992</v>
      </c>
      <c r="BH335" s="158"/>
      <c r="BI335" s="279"/>
      <c r="BJ335" s="272" t="s">
        <v>486</v>
      </c>
      <c r="BK335" s="269">
        <f>BK334-SQRT(BK333)</f>
        <v>39.602406939332418</v>
      </c>
      <c r="BL335" s="274">
        <f t="shared" ref="BL335:BZ335" si="3230">BL334-SQRT(BL333)</f>
        <v>39.602406939332418</v>
      </c>
      <c r="BM335" s="269">
        <f t="shared" si="3230"/>
        <v>57.50811034398005</v>
      </c>
      <c r="BN335" s="274">
        <f t="shared" si="3230"/>
        <v>57.50811034398005</v>
      </c>
      <c r="BO335" s="269">
        <f t="shared" si="3230"/>
        <v>57.153877859829166</v>
      </c>
      <c r="BP335" s="274">
        <f t="shared" si="3230"/>
        <v>57.153877859829166</v>
      </c>
      <c r="BQ335" s="269">
        <f t="shared" si="3230"/>
        <v>43.890274360186666</v>
      </c>
      <c r="BR335" s="274">
        <f t="shared" si="3230"/>
        <v>43.890274360186666</v>
      </c>
      <c r="BS335" s="269">
        <f t="shared" si="3230"/>
        <v>37.360199615533702</v>
      </c>
      <c r="BT335" s="274">
        <f t="shared" si="3230"/>
        <v>37.360199615533702</v>
      </c>
      <c r="BU335" s="269">
        <f t="shared" si="3230"/>
        <v>28.44851637986611</v>
      </c>
      <c r="BV335" s="274">
        <f t="shared" si="3230"/>
        <v>28.44851637986611</v>
      </c>
      <c r="BW335" s="269">
        <f t="shared" si="3230"/>
        <v>43.704978389844939</v>
      </c>
      <c r="BX335" s="274">
        <f t="shared" si="3230"/>
        <v>43.704978389844939</v>
      </c>
      <c r="BY335" s="269">
        <f t="shared" si="3230"/>
        <v>37.316089614605488</v>
      </c>
      <c r="BZ335" s="274">
        <f t="shared" si="3230"/>
        <v>37.316089614605488</v>
      </c>
      <c r="CA335" s="105"/>
      <c r="CB335" s="279"/>
      <c r="CC335" s="279"/>
      <c r="CD335" s="279"/>
      <c r="CE335" s="279"/>
      <c r="CF335" s="279"/>
      <c r="CG335" s="279"/>
      <c r="CH335" s="279"/>
      <c r="CI335" s="279"/>
      <c r="CJ335" s="279"/>
      <c r="CK335" s="279"/>
      <c r="CL335" s="279"/>
      <c r="CM335" s="279"/>
      <c r="CN335" s="279"/>
      <c r="CO335" s="279"/>
      <c r="CP335" s="279"/>
      <c r="CQ335" s="279"/>
      <c r="CR335" s="279"/>
      <c r="CS335" s="279"/>
      <c r="CT335" s="105"/>
      <c r="CU335" s="279"/>
      <c r="CV335" s="279"/>
      <c r="CW335" s="279"/>
      <c r="CX335" s="279"/>
      <c r="CY335" s="279"/>
      <c r="CZ335" s="279"/>
      <c r="DA335" s="279"/>
      <c r="DB335" s="279"/>
      <c r="DC335" s="279"/>
      <c r="DD335" s="279"/>
      <c r="DE335" s="279"/>
      <c r="DF335" s="279"/>
      <c r="DG335" s="279"/>
      <c r="DH335" s="279"/>
      <c r="DI335" s="279"/>
      <c r="DJ335" s="279"/>
      <c r="DK335" s="279"/>
      <c r="DL335" s="279"/>
      <c r="DM335" s="105"/>
      <c r="DN335" s="279"/>
      <c r="DO335" s="279"/>
      <c r="DP335" s="279"/>
      <c r="DQ335" s="279"/>
      <c r="DR335" s="279"/>
      <c r="DS335" s="279"/>
      <c r="DT335" s="279"/>
      <c r="DU335" s="279"/>
      <c r="DV335" s="279"/>
      <c r="DW335" s="279"/>
      <c r="DX335" s="279"/>
      <c r="DY335" s="279"/>
      <c r="DZ335" s="279"/>
      <c r="EA335" s="279"/>
      <c r="EB335" s="279"/>
      <c r="EC335" s="279"/>
      <c r="ED335" s="279"/>
      <c r="EE335" s="279"/>
      <c r="EF335" s="105"/>
      <c r="EG335" s="279"/>
      <c r="EH335" s="279"/>
      <c r="EI335" s="279"/>
      <c r="EJ335" s="279"/>
      <c r="EK335" s="279"/>
      <c r="EL335" s="279"/>
      <c r="EM335" s="279"/>
      <c r="EN335" s="279"/>
      <c r="EO335" s="279"/>
      <c r="EP335" s="279"/>
      <c r="EQ335" s="279"/>
      <c r="ER335" s="279"/>
      <c r="ES335" s="279"/>
      <c r="ET335" s="279"/>
      <c r="EU335" s="279"/>
      <c r="EV335" s="279"/>
      <c r="EW335" s="279"/>
      <c r="EX335" s="279"/>
      <c r="EY335" s="105"/>
      <c r="EZ335" s="279"/>
      <c r="FA335" s="279"/>
      <c r="FB335" s="279"/>
      <c r="FC335" s="279"/>
      <c r="FD335" s="279"/>
      <c r="FE335" s="279"/>
      <c r="FF335" s="279"/>
      <c r="FG335" s="279"/>
      <c r="FH335" s="279"/>
      <c r="FI335" s="279"/>
      <c r="FJ335" s="279"/>
      <c r="FK335" s="279"/>
      <c r="FL335" s="279"/>
      <c r="FM335" s="279"/>
      <c r="FN335" s="279"/>
      <c r="FO335" s="279"/>
      <c r="FP335" s="279"/>
      <c r="FQ335" s="279"/>
      <c r="FR335" s="105"/>
      <c r="FS335" s="279"/>
      <c r="FT335" s="279"/>
      <c r="FU335" s="279"/>
      <c r="FV335" s="279"/>
      <c r="FW335" s="279"/>
      <c r="FX335" s="279"/>
      <c r="FY335" s="279"/>
      <c r="FZ335" s="279"/>
      <c r="GA335" s="279"/>
      <c r="GB335" s="279"/>
      <c r="GC335" s="279"/>
      <c r="GD335" s="279"/>
      <c r="GE335" s="279"/>
      <c r="GF335" s="279"/>
      <c r="GG335" s="279"/>
      <c r="GH335" s="279"/>
      <c r="GI335" s="279"/>
      <c r="GJ335" s="279"/>
      <c r="GK335" s="105"/>
      <c r="GL335" s="279"/>
      <c r="GM335" s="279"/>
      <c r="GN335" s="279"/>
      <c r="GO335" s="279"/>
      <c r="GP335" s="279"/>
      <c r="GQ335" s="279"/>
      <c r="GR335" s="279"/>
      <c r="GS335" s="279"/>
      <c r="GT335" s="279"/>
      <c r="GU335" s="279"/>
      <c r="GV335" s="279"/>
      <c r="GW335" s="279"/>
      <c r="GX335" s="279"/>
      <c r="GY335" s="279"/>
      <c r="GZ335" s="279"/>
      <c r="HA335" s="279"/>
      <c r="HB335" s="279"/>
      <c r="HC335" s="279"/>
      <c r="HD335" s="105"/>
      <c r="HE335" s="279"/>
      <c r="HF335" s="279"/>
      <c r="HG335" s="279"/>
      <c r="HH335" s="279"/>
      <c r="HI335" s="279"/>
      <c r="HJ335" s="279"/>
      <c r="HK335" s="279"/>
      <c r="HL335" s="279"/>
      <c r="HM335" s="279"/>
      <c r="HN335" s="279"/>
      <c r="HO335" s="279"/>
      <c r="HP335" s="279"/>
      <c r="HQ335" s="279"/>
      <c r="HR335" s="279"/>
      <c r="HS335" s="279"/>
      <c r="HT335" s="279"/>
      <c r="HU335" s="279"/>
      <c r="HV335" s="279"/>
      <c r="HW335" s="105"/>
      <c r="HX335" s="105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79"/>
    </row>
    <row r="336" spans="2:249" ht="12.75" customHeight="1" x14ac:dyDescent="0.2"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268"/>
      <c r="AQ336" s="272" t="s">
        <v>487</v>
      </c>
      <c r="AR336" s="269">
        <f>AR334+SQRT(AR333)</f>
        <v>355.82475912770633</v>
      </c>
      <c r="AS336" s="274">
        <f t="shared" ref="AS336:BA336" si="3231">AS334+SQRT(AS333)</f>
        <v>355.82475912770633</v>
      </c>
      <c r="AT336" s="269">
        <f t="shared" si="3231"/>
        <v>501.22016343650688</v>
      </c>
      <c r="AU336" s="274">
        <f t="shared" si="3231"/>
        <v>501.22016343650688</v>
      </c>
      <c r="AV336" s="269">
        <f t="shared" si="3231"/>
        <v>508.9064530658668</v>
      </c>
      <c r="AW336" s="274">
        <f t="shared" si="3231"/>
        <v>508.9064530658668</v>
      </c>
      <c r="AX336" s="269">
        <f t="shared" si="3231"/>
        <v>388.27639147541993</v>
      </c>
      <c r="AY336" s="274">
        <f t="shared" si="3231"/>
        <v>388.27639147541993</v>
      </c>
      <c r="AZ336" s="269">
        <f t="shared" si="3231"/>
        <v>333.25257846428264</v>
      </c>
      <c r="BA336" s="274">
        <f t="shared" si="3231"/>
        <v>333.25257846428264</v>
      </c>
      <c r="BB336" s="269">
        <f t="shared" ref="BB336:BG336" si="3232">BB334+SQRT(BB333)</f>
        <v>179.08531183388848</v>
      </c>
      <c r="BC336" s="274">
        <f t="shared" si="3232"/>
        <v>179.08531183388848</v>
      </c>
      <c r="BD336" s="269">
        <f t="shared" si="3232"/>
        <v>349.41206259863213</v>
      </c>
      <c r="BE336" s="274">
        <f t="shared" si="3232"/>
        <v>349.41206259863213</v>
      </c>
      <c r="BF336" s="269">
        <f t="shared" si="3232"/>
        <v>333.03233022433591</v>
      </c>
      <c r="BG336" s="274">
        <f t="shared" si="3232"/>
        <v>333.03233022433591</v>
      </c>
      <c r="BH336" s="158"/>
      <c r="BI336" s="280"/>
      <c r="BJ336" s="272" t="s">
        <v>487</v>
      </c>
      <c r="BK336" s="269">
        <f>BK334+SQRT(BK333)</f>
        <v>46.920983209314734</v>
      </c>
      <c r="BL336" s="274">
        <f t="shared" ref="BL336:BZ336" si="3233">BL334+SQRT(BL333)</f>
        <v>46.920983209314734</v>
      </c>
      <c r="BM336" s="269">
        <f t="shared" si="3233"/>
        <v>66.961307356904896</v>
      </c>
      <c r="BN336" s="274">
        <f t="shared" si="3233"/>
        <v>66.961307356904896</v>
      </c>
      <c r="BO336" s="269">
        <f t="shared" si="3233"/>
        <v>66.498883843227603</v>
      </c>
      <c r="BP336" s="274">
        <f t="shared" si="3233"/>
        <v>66.498883843227603</v>
      </c>
      <c r="BQ336" s="269">
        <f t="shared" si="3233"/>
        <v>51.654291069173766</v>
      </c>
      <c r="BR336" s="274">
        <f t="shared" si="3233"/>
        <v>51.654291069173766</v>
      </c>
      <c r="BS336" s="269">
        <f t="shared" si="3233"/>
        <v>44.51032497323061</v>
      </c>
      <c r="BT336" s="274">
        <f t="shared" si="3233"/>
        <v>44.51032497323061</v>
      </c>
      <c r="BU336" s="269">
        <f>BU334+SQRT(BU333)</f>
        <v>36.620099590939162</v>
      </c>
      <c r="BV336" s="274">
        <f t="shared" si="3233"/>
        <v>36.620099590939162</v>
      </c>
      <c r="BW336" s="269">
        <f t="shared" si="3233"/>
        <v>55.054482571892777</v>
      </c>
      <c r="BX336" s="274">
        <f t="shared" si="3233"/>
        <v>55.054482571892777</v>
      </c>
      <c r="BY336" s="269">
        <f t="shared" si="3233"/>
        <v>44.457797895944196</v>
      </c>
      <c r="BZ336" s="274">
        <f t="shared" si="3233"/>
        <v>44.457797895944196</v>
      </c>
      <c r="CA336" s="105"/>
      <c r="CB336" s="280"/>
      <c r="CC336" s="276"/>
      <c r="CD336" s="277"/>
      <c r="CE336" s="277"/>
      <c r="CF336" s="277"/>
      <c r="CG336" s="277"/>
      <c r="CH336" s="277"/>
      <c r="CI336" s="277"/>
      <c r="CJ336" s="277"/>
      <c r="CK336" s="277"/>
      <c r="CL336" s="277"/>
      <c r="CM336" s="277"/>
      <c r="CN336" s="277"/>
      <c r="CO336" s="277"/>
      <c r="CP336" s="277"/>
      <c r="CQ336" s="277"/>
      <c r="CR336" s="277"/>
      <c r="CS336" s="277"/>
      <c r="CT336" s="105"/>
      <c r="CU336" s="280"/>
      <c r="CV336" s="276"/>
      <c r="CW336" s="277"/>
      <c r="CX336" s="277"/>
      <c r="CY336" s="277"/>
      <c r="CZ336" s="277"/>
      <c r="DA336" s="277"/>
      <c r="DB336" s="277"/>
      <c r="DC336" s="277"/>
      <c r="DD336" s="277"/>
      <c r="DE336" s="277"/>
      <c r="DF336" s="277"/>
      <c r="DG336" s="277"/>
      <c r="DH336" s="277"/>
      <c r="DI336" s="277"/>
      <c r="DJ336" s="277"/>
      <c r="DK336" s="277"/>
      <c r="DL336" s="277"/>
      <c r="DM336" s="105"/>
      <c r="DN336" s="280"/>
      <c r="DO336" s="276"/>
      <c r="DP336" s="277"/>
      <c r="DQ336" s="277"/>
      <c r="DR336" s="277"/>
      <c r="DS336" s="277"/>
      <c r="DT336" s="277"/>
      <c r="DU336" s="277"/>
      <c r="DV336" s="277"/>
      <c r="DW336" s="277"/>
      <c r="DX336" s="277"/>
      <c r="DY336" s="277"/>
      <c r="DZ336" s="277"/>
      <c r="EA336" s="277"/>
      <c r="EB336" s="277"/>
      <c r="EC336" s="277"/>
      <c r="ED336" s="277"/>
      <c r="EE336" s="277"/>
      <c r="EF336" s="105"/>
      <c r="EG336" s="280"/>
      <c r="EH336" s="276"/>
      <c r="EI336" s="277"/>
      <c r="EJ336" s="277"/>
      <c r="EK336" s="277"/>
      <c r="EL336" s="277"/>
      <c r="EM336" s="277"/>
      <c r="EN336" s="277"/>
      <c r="EO336" s="277"/>
      <c r="EP336" s="277"/>
      <c r="EQ336" s="277"/>
      <c r="ER336" s="277"/>
      <c r="ES336" s="277"/>
      <c r="ET336" s="277"/>
      <c r="EU336" s="277"/>
      <c r="EV336" s="277"/>
      <c r="EW336" s="277"/>
      <c r="EX336" s="277"/>
      <c r="EY336" s="105"/>
      <c r="EZ336" s="280"/>
      <c r="FA336" s="276"/>
      <c r="FB336" s="277"/>
      <c r="FC336" s="277"/>
      <c r="FD336" s="277"/>
      <c r="FE336" s="277"/>
      <c r="FF336" s="277"/>
      <c r="FG336" s="277"/>
      <c r="FH336" s="277"/>
      <c r="FI336" s="277"/>
      <c r="FJ336" s="277"/>
      <c r="FK336" s="277"/>
      <c r="FL336" s="277"/>
      <c r="FM336" s="277"/>
      <c r="FN336" s="277"/>
      <c r="FO336" s="277"/>
      <c r="FP336" s="277"/>
      <c r="FQ336" s="277"/>
      <c r="FR336" s="105"/>
      <c r="FS336" s="280"/>
      <c r="FT336" s="276"/>
      <c r="FU336" s="277"/>
      <c r="FV336" s="277"/>
      <c r="FW336" s="277"/>
      <c r="FX336" s="277"/>
      <c r="FY336" s="277"/>
      <c r="FZ336" s="277"/>
      <c r="GA336" s="277"/>
      <c r="GB336" s="277"/>
      <c r="GC336" s="277"/>
      <c r="GD336" s="277"/>
      <c r="GE336" s="277"/>
      <c r="GF336" s="277"/>
      <c r="GG336" s="277"/>
      <c r="GH336" s="277"/>
      <c r="GI336" s="277"/>
      <c r="GJ336" s="277"/>
      <c r="GK336" s="105"/>
      <c r="GL336" s="280"/>
      <c r="GM336" s="276"/>
      <c r="GN336" s="277"/>
      <c r="GO336" s="277"/>
      <c r="GP336" s="277"/>
      <c r="GQ336" s="277"/>
      <c r="GR336" s="277"/>
      <c r="GS336" s="277"/>
      <c r="GT336" s="277"/>
      <c r="GU336" s="277"/>
      <c r="GV336" s="277"/>
      <c r="GW336" s="277"/>
      <c r="GX336" s="277"/>
      <c r="GY336" s="277"/>
      <c r="GZ336" s="277"/>
      <c r="HA336" s="277"/>
      <c r="HB336" s="277"/>
      <c r="HC336" s="277"/>
      <c r="HD336" s="105"/>
      <c r="HE336" s="280"/>
      <c r="HF336" s="276"/>
      <c r="HG336" s="277"/>
      <c r="HH336" s="277"/>
      <c r="HI336" s="277"/>
      <c r="HJ336" s="277"/>
      <c r="HK336" s="277"/>
      <c r="HL336" s="277"/>
      <c r="HM336" s="277"/>
      <c r="HN336" s="277"/>
      <c r="HO336" s="277"/>
      <c r="HP336" s="277"/>
      <c r="HQ336" s="277"/>
      <c r="HR336" s="277"/>
      <c r="HS336" s="277"/>
      <c r="HT336" s="277"/>
      <c r="HU336" s="277"/>
      <c r="HV336" s="277"/>
      <c r="HW336" s="105"/>
      <c r="HX336" s="105"/>
      <c r="HY336" s="276"/>
      <c r="HZ336" s="277"/>
      <c r="IA336" s="277"/>
      <c r="IB336" s="277"/>
      <c r="IC336" s="277"/>
      <c r="ID336" s="277"/>
      <c r="IE336" s="277"/>
      <c r="IF336" s="277"/>
      <c r="IG336" s="277"/>
      <c r="IH336" s="277"/>
      <c r="II336" s="277"/>
      <c r="IJ336" s="277"/>
      <c r="IK336" s="277"/>
      <c r="IL336" s="277"/>
      <c r="IM336" s="277"/>
      <c r="IN336" s="277"/>
      <c r="IO336" s="277"/>
    </row>
    <row r="337" spans="2:249" ht="12.75" customHeight="1" x14ac:dyDescent="0.2"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268"/>
      <c r="AQ337" s="272" t="s">
        <v>490</v>
      </c>
      <c r="AR337" s="269">
        <f>AR11-AR335</f>
        <v>22.520603621433793</v>
      </c>
      <c r="AS337" s="274">
        <f t="shared" ref="AS337:BA337" si="3234">AS11-AS335</f>
        <v>22.520603621433793</v>
      </c>
      <c r="AT337" s="269">
        <f t="shared" si="3234"/>
        <v>22.681325950423741</v>
      </c>
      <c r="AU337" s="274">
        <f t="shared" si="3234"/>
        <v>22.681325950423741</v>
      </c>
      <c r="AV337" s="269">
        <f t="shared" si="3234"/>
        <v>23.820978145721142</v>
      </c>
      <c r="AW337" s="274">
        <f t="shared" si="3234"/>
        <v>23.820978145721142</v>
      </c>
      <c r="AX337" s="269">
        <f t="shared" si="3234"/>
        <v>22.51005629458092</v>
      </c>
      <c r="AY337" s="274">
        <f t="shared" si="3234"/>
        <v>22.51005629458092</v>
      </c>
      <c r="AZ337" s="269">
        <f t="shared" si="3234"/>
        <v>21.933089489811607</v>
      </c>
      <c r="BA337" s="274">
        <f t="shared" si="3234"/>
        <v>21.933089489811607</v>
      </c>
      <c r="BB337" s="269">
        <f t="shared" ref="BB337:BG337" si="3235">BB11-BB335</f>
        <v>14.38344044341278</v>
      </c>
      <c r="BC337" s="274">
        <f t="shared" si="3235"/>
        <v>14.38344044341278</v>
      </c>
      <c r="BD337" s="269">
        <f t="shared" si="3235"/>
        <v>25.401872102814821</v>
      </c>
      <c r="BE337" s="274">
        <f t="shared" si="3235"/>
        <v>25.401872102814821</v>
      </c>
      <c r="BF337" s="269">
        <f t="shared" si="3235"/>
        <v>21.925209516909149</v>
      </c>
      <c r="BG337" s="274">
        <f t="shared" si="3235"/>
        <v>21.925209516909149</v>
      </c>
      <c r="BH337" s="158"/>
      <c r="BI337" s="281"/>
      <c r="BJ337" s="272" t="s">
        <v>490</v>
      </c>
      <c r="BK337" s="269">
        <f>BK11-BK335</f>
        <v>2.8638357997481094</v>
      </c>
      <c r="BL337" s="274">
        <f t="shared" ref="BL337:BZ337" si="3236">BL11-BL335</f>
        <v>2.8638357997481094</v>
      </c>
      <c r="BM337" s="269">
        <f>BM11-BM335</f>
        <v>4.0292539253428004</v>
      </c>
      <c r="BN337" s="274">
        <f t="shared" si="3236"/>
        <v>4.0292539253428004</v>
      </c>
      <c r="BO337" s="269">
        <f t="shared" si="3236"/>
        <v>3.9755314520138967</v>
      </c>
      <c r="BP337" s="274">
        <f t="shared" si="3236"/>
        <v>3.9755314520138967</v>
      </c>
      <c r="BQ337" s="269">
        <f t="shared" si="3236"/>
        <v>3.037668049500347</v>
      </c>
      <c r="BR337" s="274">
        <f t="shared" si="3236"/>
        <v>3.037668049500347</v>
      </c>
      <c r="BS337" s="269">
        <f t="shared" si="3236"/>
        <v>2.8036137845227884</v>
      </c>
      <c r="BT337" s="274">
        <f t="shared" si="3236"/>
        <v>2.8036137845227884</v>
      </c>
      <c r="BU337" s="269">
        <f t="shared" si="3236"/>
        <v>3.4451031299649912</v>
      </c>
      <c r="BV337" s="274">
        <f t="shared" si="3236"/>
        <v>3.4451031299649912</v>
      </c>
      <c r="BW337" s="269">
        <f t="shared" si="3236"/>
        <v>5.0733011529433654</v>
      </c>
      <c r="BX337" s="274">
        <f t="shared" si="3236"/>
        <v>5.0733011529433583</v>
      </c>
      <c r="BY337" s="269">
        <f t="shared" si="3236"/>
        <v>2.8003541808233336</v>
      </c>
      <c r="BZ337" s="274">
        <f t="shared" si="3236"/>
        <v>2.8003541808233336</v>
      </c>
      <c r="CA337" s="105"/>
      <c r="CB337" s="281"/>
      <c r="CC337" s="276"/>
      <c r="CD337" s="277"/>
      <c r="CE337" s="277"/>
      <c r="CF337" s="277"/>
      <c r="CG337" s="277"/>
      <c r="CH337" s="277"/>
      <c r="CI337" s="277"/>
      <c r="CJ337" s="277"/>
      <c r="CK337" s="277"/>
      <c r="CL337" s="277"/>
      <c r="CM337" s="277"/>
      <c r="CN337" s="277"/>
      <c r="CO337" s="277"/>
      <c r="CP337" s="277"/>
      <c r="CQ337" s="277"/>
      <c r="CR337" s="277"/>
      <c r="CS337" s="277"/>
      <c r="CT337" s="105"/>
      <c r="CU337" s="281"/>
      <c r="CV337" s="276"/>
      <c r="CW337" s="277"/>
      <c r="CX337" s="277"/>
      <c r="CY337" s="277"/>
      <c r="CZ337" s="277"/>
      <c r="DA337" s="277"/>
      <c r="DB337" s="277"/>
      <c r="DC337" s="277"/>
      <c r="DD337" s="277"/>
      <c r="DE337" s="277"/>
      <c r="DF337" s="277"/>
      <c r="DG337" s="277"/>
      <c r="DH337" s="277"/>
      <c r="DI337" s="277"/>
      <c r="DJ337" s="277"/>
      <c r="DK337" s="277"/>
      <c r="DL337" s="277"/>
      <c r="DM337" s="105"/>
      <c r="DN337" s="281"/>
      <c r="DO337" s="276"/>
      <c r="DP337" s="277"/>
      <c r="DQ337" s="277"/>
      <c r="DR337" s="277"/>
      <c r="DS337" s="277"/>
      <c r="DT337" s="277"/>
      <c r="DU337" s="277"/>
      <c r="DV337" s="277"/>
      <c r="DW337" s="277"/>
      <c r="DX337" s="277"/>
      <c r="DY337" s="277"/>
      <c r="DZ337" s="277"/>
      <c r="EA337" s="277"/>
      <c r="EB337" s="277"/>
      <c r="EC337" s="277"/>
      <c r="ED337" s="277"/>
      <c r="EE337" s="277"/>
      <c r="EF337" s="105"/>
      <c r="EG337" s="281"/>
      <c r="EH337" s="276"/>
      <c r="EI337" s="277"/>
      <c r="EJ337" s="277"/>
      <c r="EK337" s="277"/>
      <c r="EL337" s="277"/>
      <c r="EM337" s="277"/>
      <c r="EN337" s="277"/>
      <c r="EO337" s="277"/>
      <c r="EP337" s="277"/>
      <c r="EQ337" s="277"/>
      <c r="ER337" s="277"/>
      <c r="ES337" s="277"/>
      <c r="ET337" s="277"/>
      <c r="EU337" s="277"/>
      <c r="EV337" s="277"/>
      <c r="EW337" s="277"/>
      <c r="EX337" s="277"/>
      <c r="EY337" s="105"/>
      <c r="EZ337" s="281"/>
      <c r="FA337" s="276"/>
      <c r="FB337" s="277"/>
      <c r="FC337" s="277"/>
      <c r="FD337" s="277"/>
      <c r="FE337" s="277"/>
      <c r="FF337" s="277"/>
      <c r="FG337" s="277"/>
      <c r="FH337" s="277"/>
      <c r="FI337" s="277"/>
      <c r="FJ337" s="277"/>
      <c r="FK337" s="277"/>
      <c r="FL337" s="277"/>
      <c r="FM337" s="277"/>
      <c r="FN337" s="277"/>
      <c r="FO337" s="277"/>
      <c r="FP337" s="277"/>
      <c r="FQ337" s="277"/>
      <c r="FR337" s="105"/>
      <c r="FS337" s="281"/>
      <c r="FT337" s="276"/>
      <c r="FU337" s="277"/>
      <c r="FV337" s="277"/>
      <c r="FW337" s="277"/>
      <c r="FX337" s="277"/>
      <c r="FY337" s="277"/>
      <c r="FZ337" s="277"/>
      <c r="GA337" s="277"/>
      <c r="GB337" s="277"/>
      <c r="GC337" s="277"/>
      <c r="GD337" s="277"/>
      <c r="GE337" s="277"/>
      <c r="GF337" s="277"/>
      <c r="GG337" s="277"/>
      <c r="GH337" s="277"/>
      <c r="GI337" s="277"/>
      <c r="GJ337" s="277"/>
      <c r="GK337" s="105"/>
      <c r="GL337" s="281"/>
      <c r="GM337" s="276"/>
      <c r="GN337" s="277"/>
      <c r="GO337" s="277"/>
      <c r="GP337" s="277"/>
      <c r="GQ337" s="277"/>
      <c r="GR337" s="277"/>
      <c r="GS337" s="277"/>
      <c r="GT337" s="277"/>
      <c r="GU337" s="277"/>
      <c r="GV337" s="277"/>
      <c r="GW337" s="277"/>
      <c r="GX337" s="277"/>
      <c r="GY337" s="277"/>
      <c r="GZ337" s="277"/>
      <c r="HA337" s="277"/>
      <c r="HB337" s="277"/>
      <c r="HC337" s="277"/>
      <c r="HD337" s="105"/>
      <c r="HE337" s="281"/>
      <c r="HF337" s="276"/>
      <c r="HG337" s="277"/>
      <c r="HH337" s="277"/>
      <c r="HI337" s="277"/>
      <c r="HJ337" s="277"/>
      <c r="HK337" s="277"/>
      <c r="HL337" s="277"/>
      <c r="HM337" s="277"/>
      <c r="HN337" s="277"/>
      <c r="HO337" s="277"/>
      <c r="HP337" s="277"/>
      <c r="HQ337" s="277"/>
      <c r="HR337" s="277"/>
      <c r="HS337" s="277"/>
      <c r="HT337" s="277"/>
      <c r="HU337" s="277"/>
      <c r="HV337" s="277"/>
      <c r="HW337" s="105"/>
      <c r="HX337" s="105"/>
      <c r="HY337" s="276"/>
      <c r="HZ337" s="277"/>
      <c r="IA337" s="277"/>
      <c r="IB337" s="277"/>
      <c r="IC337" s="277"/>
      <c r="ID337" s="277"/>
      <c r="IE337" s="277"/>
      <c r="IF337" s="277"/>
      <c r="IG337" s="277"/>
      <c r="IH337" s="277"/>
      <c r="II337" s="277"/>
      <c r="IJ337" s="277"/>
      <c r="IK337" s="277"/>
      <c r="IL337" s="277"/>
      <c r="IM337" s="277"/>
      <c r="IN337" s="277"/>
      <c r="IO337" s="277"/>
    </row>
    <row r="338" spans="2:249" ht="12.75" customHeight="1" x14ac:dyDescent="0.2"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268"/>
      <c r="AQ338" s="272" t="s">
        <v>491</v>
      </c>
      <c r="AR338" s="269">
        <f>AR336-AR11</f>
        <v>32.794555293961821</v>
      </c>
      <c r="AS338" s="274">
        <f t="shared" ref="AS338:BA338" si="3237">AS336-AS11</f>
        <v>32.794555293961821</v>
      </c>
      <c r="AT338" s="269">
        <f t="shared" si="3237"/>
        <v>35.40644796182238</v>
      </c>
      <c r="AU338" s="274">
        <f t="shared" si="3237"/>
        <v>35.40644796182238</v>
      </c>
      <c r="AV338" s="269">
        <f t="shared" si="3237"/>
        <v>36.69623621436142</v>
      </c>
      <c r="AW338" s="274">
        <f t="shared" si="3237"/>
        <v>36.69623621436142</v>
      </c>
      <c r="AX338" s="269">
        <f t="shared" si="3237"/>
        <v>33.231014537235239</v>
      </c>
      <c r="AY338" s="274">
        <f t="shared" si="3237"/>
        <v>33.231014537235239</v>
      </c>
      <c r="AZ338" s="269">
        <f t="shared" si="3237"/>
        <v>31.882865890056962</v>
      </c>
      <c r="BA338" s="274">
        <f t="shared" si="3237"/>
        <v>31.882865890056962</v>
      </c>
      <c r="BB338" s="269">
        <f t="shared" ref="BB338:BG338" si="3238">BB336-BB11</f>
        <v>23.25238171995835</v>
      </c>
      <c r="BC338" s="274">
        <f t="shared" si="3238"/>
        <v>23.25238171995835</v>
      </c>
      <c r="BD338" s="269">
        <f t="shared" si="3238"/>
        <v>38.480505479214401</v>
      </c>
      <c r="BE338" s="274">
        <f t="shared" si="3238"/>
        <v>38.480505479214401</v>
      </c>
      <c r="BF338" s="269">
        <f t="shared" si="3238"/>
        <v>31.86754866360684</v>
      </c>
      <c r="BG338" s="274">
        <f t="shared" si="3238"/>
        <v>31.86754866360684</v>
      </c>
      <c r="BH338" s="158"/>
      <c r="BI338" s="281"/>
      <c r="BJ338" s="272" t="s">
        <v>491</v>
      </c>
      <c r="BK338" s="269">
        <f>BK336-BK11</f>
        <v>4.4547404702342064</v>
      </c>
      <c r="BL338" s="274">
        <f t="shared" ref="BL338:BZ338" si="3239">BL336-BL11</f>
        <v>4.4547404702342064</v>
      </c>
      <c r="BM338" s="269">
        <f t="shared" si="3239"/>
        <v>5.423943087582046</v>
      </c>
      <c r="BN338" s="274">
        <f t="shared" si="3239"/>
        <v>5.423943087582046</v>
      </c>
      <c r="BO338" s="269">
        <f t="shared" si="3239"/>
        <v>5.3694745313845402</v>
      </c>
      <c r="BP338" s="274">
        <f t="shared" si="3239"/>
        <v>5.3694745313845402</v>
      </c>
      <c r="BQ338" s="269">
        <f t="shared" si="3239"/>
        <v>4.726348659486753</v>
      </c>
      <c r="BR338" s="274">
        <f t="shared" si="3239"/>
        <v>4.726348659486753</v>
      </c>
      <c r="BS338" s="269">
        <f t="shared" si="3239"/>
        <v>4.3465115731741193</v>
      </c>
      <c r="BT338" s="274">
        <f t="shared" si="3239"/>
        <v>4.3465115731741193</v>
      </c>
      <c r="BU338" s="269">
        <f>BU336-BU11</f>
        <v>4.7264800811080612</v>
      </c>
      <c r="BV338" s="274">
        <f t="shared" si="3239"/>
        <v>4.7264800811080612</v>
      </c>
      <c r="BW338" s="269">
        <f t="shared" si="3239"/>
        <v>6.2762030291044724</v>
      </c>
      <c r="BX338" s="274">
        <f t="shared" si="3239"/>
        <v>6.2762030291044795</v>
      </c>
      <c r="BY338" s="269">
        <f t="shared" si="3239"/>
        <v>4.3413541005153746</v>
      </c>
      <c r="BZ338" s="274">
        <f t="shared" si="3239"/>
        <v>4.3413541005153746</v>
      </c>
      <c r="CA338" s="105"/>
      <c r="CB338" s="281"/>
      <c r="CC338" s="276"/>
      <c r="CD338" s="277"/>
      <c r="CE338" s="277"/>
      <c r="CF338" s="277"/>
      <c r="CG338" s="277"/>
      <c r="CH338" s="277"/>
      <c r="CI338" s="277"/>
      <c r="CJ338" s="277"/>
      <c r="CK338" s="277"/>
      <c r="CL338" s="277"/>
      <c r="CM338" s="277"/>
      <c r="CN338" s="277"/>
      <c r="CO338" s="277"/>
      <c r="CP338" s="277"/>
      <c r="CQ338" s="277"/>
      <c r="CR338" s="277"/>
      <c r="CS338" s="277"/>
      <c r="CT338" s="105"/>
      <c r="CU338" s="281"/>
      <c r="CV338" s="276"/>
      <c r="CW338" s="277"/>
      <c r="CX338" s="277"/>
      <c r="CY338" s="277"/>
      <c r="CZ338" s="277"/>
      <c r="DA338" s="277"/>
      <c r="DB338" s="277"/>
      <c r="DC338" s="277"/>
      <c r="DD338" s="277"/>
      <c r="DE338" s="277"/>
      <c r="DF338" s="277"/>
      <c r="DG338" s="277"/>
      <c r="DH338" s="277"/>
      <c r="DI338" s="277"/>
      <c r="DJ338" s="277"/>
      <c r="DK338" s="277"/>
      <c r="DL338" s="277"/>
      <c r="DM338" s="105"/>
      <c r="DN338" s="281"/>
      <c r="DO338" s="276"/>
      <c r="DP338" s="277"/>
      <c r="DQ338" s="277"/>
      <c r="DR338" s="277"/>
      <c r="DS338" s="277"/>
      <c r="DT338" s="277"/>
      <c r="DU338" s="277"/>
      <c r="DV338" s="277"/>
      <c r="DW338" s="277"/>
      <c r="DX338" s="277"/>
      <c r="DY338" s="277"/>
      <c r="DZ338" s="277"/>
      <c r="EA338" s="277"/>
      <c r="EB338" s="277"/>
      <c r="EC338" s="277"/>
      <c r="ED338" s="277"/>
      <c r="EE338" s="277"/>
      <c r="EF338" s="105"/>
      <c r="EG338" s="281"/>
      <c r="EH338" s="276"/>
      <c r="EI338" s="277"/>
      <c r="EJ338" s="277"/>
      <c r="EK338" s="277"/>
      <c r="EL338" s="277"/>
      <c r="EM338" s="277"/>
      <c r="EN338" s="277"/>
      <c r="EO338" s="277"/>
      <c r="EP338" s="277"/>
      <c r="EQ338" s="277"/>
      <c r="ER338" s="277"/>
      <c r="ES338" s="277"/>
      <c r="ET338" s="277"/>
      <c r="EU338" s="277"/>
      <c r="EV338" s="277"/>
      <c r="EW338" s="277"/>
      <c r="EX338" s="277"/>
      <c r="EY338" s="105"/>
      <c r="EZ338" s="281"/>
      <c r="FA338" s="276"/>
      <c r="FB338" s="277"/>
      <c r="FC338" s="277"/>
      <c r="FD338" s="277"/>
      <c r="FE338" s="277"/>
      <c r="FF338" s="277"/>
      <c r="FG338" s="277"/>
      <c r="FH338" s="277"/>
      <c r="FI338" s="277"/>
      <c r="FJ338" s="277"/>
      <c r="FK338" s="277"/>
      <c r="FL338" s="277"/>
      <c r="FM338" s="277"/>
      <c r="FN338" s="277"/>
      <c r="FO338" s="277"/>
      <c r="FP338" s="277"/>
      <c r="FQ338" s="277"/>
      <c r="FR338" s="105"/>
      <c r="FS338" s="281"/>
      <c r="FT338" s="276"/>
      <c r="FU338" s="277"/>
      <c r="FV338" s="277"/>
      <c r="FW338" s="277"/>
      <c r="FX338" s="277"/>
      <c r="FY338" s="277"/>
      <c r="FZ338" s="277"/>
      <c r="GA338" s="277"/>
      <c r="GB338" s="277"/>
      <c r="GC338" s="277"/>
      <c r="GD338" s="277"/>
      <c r="GE338" s="277"/>
      <c r="GF338" s="277"/>
      <c r="GG338" s="277"/>
      <c r="GH338" s="277"/>
      <c r="GI338" s="277"/>
      <c r="GJ338" s="277"/>
      <c r="GK338" s="105"/>
      <c r="GL338" s="281"/>
      <c r="GM338" s="276"/>
      <c r="GN338" s="277"/>
      <c r="GO338" s="277"/>
      <c r="GP338" s="277"/>
      <c r="GQ338" s="277"/>
      <c r="GR338" s="277"/>
      <c r="GS338" s="277"/>
      <c r="GT338" s="277"/>
      <c r="GU338" s="277"/>
      <c r="GV338" s="277"/>
      <c r="GW338" s="277"/>
      <c r="GX338" s="277"/>
      <c r="GY338" s="277"/>
      <c r="GZ338" s="277"/>
      <c r="HA338" s="277"/>
      <c r="HB338" s="277"/>
      <c r="HC338" s="277"/>
      <c r="HD338" s="105"/>
      <c r="HE338" s="281"/>
      <c r="HF338" s="276"/>
      <c r="HG338" s="277"/>
      <c r="HH338" s="277"/>
      <c r="HI338" s="277"/>
      <c r="HJ338" s="277"/>
      <c r="HK338" s="277"/>
      <c r="HL338" s="277"/>
      <c r="HM338" s="277"/>
      <c r="HN338" s="277"/>
      <c r="HO338" s="277"/>
      <c r="HP338" s="277"/>
      <c r="HQ338" s="277"/>
      <c r="HR338" s="277"/>
      <c r="HS338" s="277"/>
      <c r="HT338" s="277"/>
      <c r="HU338" s="277"/>
      <c r="HV338" s="277"/>
      <c r="HW338" s="105"/>
      <c r="HX338" s="105"/>
      <c r="HY338" s="276"/>
      <c r="HZ338" s="277"/>
      <c r="IA338" s="277"/>
      <c r="IB338" s="277"/>
      <c r="IC338" s="277"/>
      <c r="ID338" s="277"/>
      <c r="IE338" s="277"/>
      <c r="IF338" s="277"/>
      <c r="IG338" s="277"/>
      <c r="IH338" s="277"/>
      <c r="II338" s="277"/>
      <c r="IJ338" s="277"/>
      <c r="IK338" s="277"/>
      <c r="IL338" s="277"/>
      <c r="IM338" s="277"/>
      <c r="IN338" s="277"/>
      <c r="IO338" s="277"/>
    </row>
    <row r="339" spans="2:249" ht="13.5" customHeight="1" x14ac:dyDescent="0.2"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268"/>
      <c r="AQ339" s="270"/>
      <c r="AR339" s="270"/>
      <c r="AS339" s="270"/>
      <c r="AT339" s="270"/>
      <c r="AU339" s="270"/>
      <c r="AV339" s="270"/>
      <c r="AW339" s="270"/>
      <c r="AX339" s="270"/>
      <c r="AY339" s="270"/>
      <c r="AZ339" s="270"/>
      <c r="BA339" s="270"/>
      <c r="BB339" s="270"/>
      <c r="BC339" s="270"/>
      <c r="BD339" s="270"/>
      <c r="BE339" s="270"/>
      <c r="BF339" s="270"/>
      <c r="BG339" s="270"/>
      <c r="BH339" s="158"/>
      <c r="BI339" s="281"/>
      <c r="BJ339" s="276"/>
      <c r="BK339" s="277"/>
      <c r="BL339" s="277"/>
      <c r="BM339" s="277"/>
      <c r="BN339" s="277"/>
      <c r="BO339" s="277"/>
      <c r="BP339" s="277"/>
      <c r="BQ339" s="277"/>
      <c r="BR339" s="277"/>
      <c r="BS339" s="277"/>
      <c r="BT339" s="277"/>
      <c r="BU339" s="277"/>
      <c r="BV339" s="277"/>
      <c r="BW339" s="277"/>
      <c r="BX339" s="277"/>
      <c r="BY339" s="277"/>
      <c r="BZ339" s="277"/>
      <c r="CA339" s="105"/>
      <c r="CB339" s="281"/>
      <c r="CC339" s="276"/>
      <c r="CD339" s="277"/>
      <c r="CE339" s="277"/>
      <c r="CF339" s="277"/>
      <c r="CG339" s="277"/>
      <c r="CH339" s="277"/>
      <c r="CI339" s="277"/>
      <c r="CJ339" s="277"/>
      <c r="CK339" s="277"/>
      <c r="CL339" s="277"/>
      <c r="CM339" s="277"/>
      <c r="CN339" s="277"/>
      <c r="CO339" s="277"/>
      <c r="CP339" s="277"/>
      <c r="CQ339" s="277"/>
      <c r="CR339" s="277"/>
      <c r="CS339" s="277"/>
      <c r="CT339" s="105"/>
      <c r="CU339" s="281"/>
      <c r="CV339" s="276"/>
      <c r="CW339" s="277"/>
      <c r="CX339" s="277"/>
      <c r="CY339" s="277"/>
      <c r="CZ339" s="277"/>
      <c r="DA339" s="277"/>
      <c r="DB339" s="277"/>
      <c r="DC339" s="277"/>
      <c r="DD339" s="277"/>
      <c r="DE339" s="277"/>
      <c r="DF339" s="277"/>
      <c r="DG339" s="277"/>
      <c r="DH339" s="277"/>
      <c r="DI339" s="277"/>
      <c r="DJ339" s="277"/>
      <c r="DK339" s="277"/>
      <c r="DL339" s="277"/>
      <c r="DM339" s="105"/>
      <c r="DN339" s="281"/>
      <c r="DO339" s="276"/>
      <c r="DP339" s="277"/>
      <c r="DQ339" s="277"/>
      <c r="DR339" s="277"/>
      <c r="DS339" s="277"/>
      <c r="DT339" s="277"/>
      <c r="DU339" s="277"/>
      <c r="DV339" s="277"/>
      <c r="DW339" s="277"/>
      <c r="DX339" s="277"/>
      <c r="DY339" s="277"/>
      <c r="DZ339" s="277"/>
      <c r="EA339" s="277"/>
      <c r="EB339" s="277"/>
      <c r="EC339" s="277"/>
      <c r="ED339" s="277"/>
      <c r="EE339" s="277"/>
      <c r="EF339" s="105"/>
      <c r="EG339" s="281"/>
      <c r="EH339" s="276"/>
      <c r="EI339" s="277"/>
      <c r="EJ339" s="277"/>
      <c r="EK339" s="277"/>
      <c r="EL339" s="277"/>
      <c r="EM339" s="277"/>
      <c r="EN339" s="277"/>
      <c r="EO339" s="277"/>
      <c r="EP339" s="277"/>
      <c r="EQ339" s="277"/>
      <c r="ER339" s="277"/>
      <c r="ES339" s="277"/>
      <c r="ET339" s="277"/>
      <c r="EU339" s="277"/>
      <c r="EV339" s="277"/>
      <c r="EW339" s="277"/>
      <c r="EX339" s="277"/>
      <c r="EY339" s="105"/>
      <c r="EZ339" s="281"/>
      <c r="FA339" s="276"/>
      <c r="FB339" s="277"/>
      <c r="FC339" s="277"/>
      <c r="FD339" s="277"/>
      <c r="FE339" s="277"/>
      <c r="FF339" s="277"/>
      <c r="FG339" s="277"/>
      <c r="FH339" s="277"/>
      <c r="FI339" s="277"/>
      <c r="FJ339" s="277"/>
      <c r="FK339" s="277"/>
      <c r="FL339" s="277"/>
      <c r="FM339" s="277"/>
      <c r="FN339" s="277"/>
      <c r="FO339" s="277"/>
      <c r="FP339" s="277"/>
      <c r="FQ339" s="277"/>
      <c r="FR339" s="105"/>
      <c r="FS339" s="281"/>
      <c r="FT339" s="276"/>
      <c r="FU339" s="277"/>
      <c r="FV339" s="277"/>
      <c r="FW339" s="277"/>
      <c r="FX339" s="277"/>
      <c r="FY339" s="277"/>
      <c r="FZ339" s="277"/>
      <c r="GA339" s="277"/>
      <c r="GB339" s="277"/>
      <c r="GC339" s="277"/>
      <c r="GD339" s="277"/>
      <c r="GE339" s="277"/>
      <c r="GF339" s="277"/>
      <c r="GG339" s="277"/>
      <c r="GH339" s="277"/>
      <c r="GI339" s="277"/>
      <c r="GJ339" s="277"/>
      <c r="GK339" s="105"/>
      <c r="GL339" s="281"/>
      <c r="GM339" s="276"/>
      <c r="GN339" s="277"/>
      <c r="GO339" s="277"/>
      <c r="GP339" s="277"/>
      <c r="GQ339" s="277"/>
      <c r="GR339" s="277"/>
      <c r="GS339" s="277"/>
      <c r="GT339" s="277"/>
      <c r="GU339" s="277"/>
      <c r="GV339" s="277"/>
      <c r="GW339" s="277"/>
      <c r="GX339" s="277"/>
      <c r="GY339" s="277"/>
      <c r="GZ339" s="277"/>
      <c r="HA339" s="277"/>
      <c r="HB339" s="277"/>
      <c r="HC339" s="277"/>
      <c r="HD339" s="105"/>
      <c r="HE339" s="281"/>
      <c r="HF339" s="276"/>
      <c r="HG339" s="277"/>
      <c r="HH339" s="277"/>
      <c r="HI339" s="277"/>
      <c r="HJ339" s="277"/>
      <c r="HK339" s="277"/>
      <c r="HL339" s="277"/>
      <c r="HM339" s="277"/>
      <c r="HN339" s="277"/>
      <c r="HO339" s="277"/>
      <c r="HP339" s="277"/>
      <c r="HQ339" s="277"/>
      <c r="HR339" s="277"/>
      <c r="HS339" s="277"/>
      <c r="HT339" s="277"/>
      <c r="HU339" s="277"/>
      <c r="HV339" s="277"/>
      <c r="HW339" s="105"/>
      <c r="HX339" s="105"/>
      <c r="HY339" s="276"/>
      <c r="HZ339" s="277"/>
      <c r="IA339" s="277"/>
      <c r="IB339" s="277"/>
      <c r="IC339" s="277"/>
      <c r="ID339" s="277"/>
      <c r="IE339" s="277"/>
      <c r="IF339" s="277"/>
      <c r="IG339" s="277"/>
      <c r="IH339" s="277"/>
      <c r="II339" s="277"/>
      <c r="IJ339" s="277"/>
      <c r="IK339" s="277"/>
      <c r="IL339" s="277"/>
      <c r="IM339" s="277"/>
      <c r="IN339" s="277"/>
      <c r="IO339" s="277"/>
    </row>
    <row r="340" spans="2:249" ht="12.75" customHeight="1" x14ac:dyDescent="0.2"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268"/>
      <c r="AQ340" s="268"/>
      <c r="AR340" s="268"/>
      <c r="AS340" s="268"/>
      <c r="AT340" s="268"/>
      <c r="AU340" s="268"/>
      <c r="AV340" s="268"/>
      <c r="AW340" s="268"/>
      <c r="AX340" s="268"/>
      <c r="AY340" s="268"/>
      <c r="AZ340" s="268"/>
      <c r="BA340" s="268"/>
      <c r="BB340" s="268"/>
      <c r="BC340" s="268"/>
      <c r="BD340" s="268"/>
      <c r="BE340" s="268"/>
      <c r="BF340" s="268"/>
      <c r="BG340" s="268"/>
      <c r="BI340" s="281"/>
      <c r="BJ340" s="141"/>
      <c r="BK340" s="107"/>
      <c r="BL340" s="107"/>
      <c r="BM340" s="107"/>
      <c r="BN340" s="107"/>
      <c r="BO340" s="107"/>
      <c r="BP340" s="107"/>
      <c r="BQ340" s="107"/>
      <c r="BR340" s="107"/>
      <c r="BS340" s="107"/>
      <c r="BT340" s="107"/>
      <c r="BU340" s="107"/>
      <c r="BV340" s="107"/>
      <c r="BW340" s="107"/>
      <c r="BX340" s="107"/>
      <c r="BY340" s="107"/>
      <c r="BZ340" s="107"/>
      <c r="CA340" s="105"/>
      <c r="CB340" s="281"/>
      <c r="CC340" s="141"/>
      <c r="CD340" s="107"/>
      <c r="CE340" s="107"/>
      <c r="CF340" s="107"/>
      <c r="CG340" s="107"/>
      <c r="CH340" s="107"/>
      <c r="CI340" s="107"/>
      <c r="CJ340" s="107"/>
      <c r="CK340" s="107"/>
      <c r="CL340" s="107"/>
      <c r="CM340" s="107"/>
      <c r="CN340" s="107"/>
      <c r="CO340" s="107"/>
      <c r="CP340" s="107"/>
      <c r="CQ340" s="107"/>
      <c r="CR340" s="107"/>
      <c r="CS340" s="107"/>
      <c r="CT340" s="105"/>
      <c r="CU340" s="281"/>
      <c r="CV340" s="141"/>
      <c r="CW340" s="107"/>
      <c r="CX340" s="107"/>
      <c r="CY340" s="107"/>
      <c r="CZ340" s="107"/>
      <c r="DA340" s="107"/>
      <c r="DB340" s="107"/>
      <c r="DC340" s="107"/>
      <c r="DD340" s="107"/>
      <c r="DE340" s="107"/>
      <c r="DF340" s="107"/>
      <c r="DG340" s="107"/>
      <c r="DH340" s="107"/>
      <c r="DI340" s="107"/>
      <c r="DJ340" s="107"/>
      <c r="DK340" s="107"/>
      <c r="DL340" s="107"/>
      <c r="DM340" s="105"/>
      <c r="DN340" s="281"/>
      <c r="DO340" s="141"/>
      <c r="DP340" s="107"/>
      <c r="DQ340" s="107"/>
      <c r="DR340" s="107"/>
      <c r="DS340" s="107"/>
      <c r="DT340" s="107"/>
      <c r="DU340" s="107"/>
      <c r="DV340" s="107"/>
      <c r="DW340" s="107"/>
      <c r="DX340" s="107"/>
      <c r="DY340" s="107"/>
      <c r="DZ340" s="107"/>
      <c r="EA340" s="107"/>
      <c r="EB340" s="107"/>
      <c r="EC340" s="107"/>
      <c r="ED340" s="107"/>
      <c r="EE340" s="107"/>
      <c r="EF340" s="105"/>
      <c r="EG340" s="281"/>
      <c r="EH340" s="141"/>
      <c r="EI340" s="107"/>
      <c r="EJ340" s="107"/>
      <c r="EK340" s="107"/>
      <c r="EL340" s="107"/>
      <c r="EM340" s="107"/>
      <c r="EN340" s="107"/>
      <c r="EO340" s="107"/>
      <c r="EP340" s="107"/>
      <c r="EQ340" s="107"/>
      <c r="ER340" s="107"/>
      <c r="ES340" s="107"/>
      <c r="ET340" s="107"/>
      <c r="EU340" s="107"/>
      <c r="EV340" s="107"/>
      <c r="EW340" s="107"/>
      <c r="EX340" s="107"/>
      <c r="EY340" s="105"/>
      <c r="EZ340" s="281"/>
      <c r="FA340" s="141"/>
      <c r="FB340" s="107"/>
      <c r="FC340" s="107"/>
      <c r="FD340" s="107"/>
      <c r="FE340" s="107"/>
      <c r="FF340" s="107"/>
      <c r="FG340" s="107"/>
      <c r="FH340" s="107"/>
      <c r="FI340" s="107"/>
      <c r="FJ340" s="107"/>
      <c r="FK340" s="107"/>
      <c r="FL340" s="107"/>
      <c r="FM340" s="107"/>
      <c r="FN340" s="107"/>
      <c r="FO340" s="107"/>
      <c r="FP340" s="107"/>
      <c r="FQ340" s="107"/>
      <c r="FR340" s="105"/>
      <c r="FS340" s="281"/>
      <c r="FT340" s="141"/>
      <c r="FU340" s="107"/>
      <c r="FV340" s="107"/>
      <c r="FW340" s="107"/>
      <c r="FX340" s="107"/>
      <c r="FY340" s="107"/>
      <c r="FZ340" s="107"/>
      <c r="GA340" s="107"/>
      <c r="GB340" s="107"/>
      <c r="GC340" s="107"/>
      <c r="GD340" s="107"/>
      <c r="GE340" s="107"/>
      <c r="GF340" s="107"/>
      <c r="GG340" s="107"/>
      <c r="GH340" s="107"/>
      <c r="GI340" s="107"/>
      <c r="GJ340" s="107"/>
      <c r="GK340" s="105"/>
      <c r="GL340" s="281"/>
      <c r="GM340" s="141"/>
      <c r="GN340" s="107"/>
      <c r="GO340" s="107"/>
      <c r="GP340" s="107"/>
      <c r="GQ340" s="107"/>
      <c r="GR340" s="107"/>
      <c r="GS340" s="107"/>
      <c r="GT340" s="107"/>
      <c r="GU340" s="107"/>
      <c r="GV340" s="107"/>
      <c r="GW340" s="107"/>
      <c r="GX340" s="107"/>
      <c r="GY340" s="107"/>
      <c r="GZ340" s="107"/>
      <c r="HA340" s="107"/>
      <c r="HB340" s="107"/>
      <c r="HC340" s="107"/>
      <c r="HD340" s="105"/>
      <c r="HE340" s="281"/>
      <c r="HF340" s="141"/>
      <c r="HG340" s="107"/>
      <c r="HH340" s="107"/>
      <c r="HI340" s="107"/>
      <c r="HJ340" s="107"/>
      <c r="HK340" s="107"/>
      <c r="HL340" s="107"/>
      <c r="HM340" s="107"/>
      <c r="HN340" s="107"/>
      <c r="HO340" s="107"/>
      <c r="HP340" s="107"/>
      <c r="HQ340" s="107"/>
      <c r="HR340" s="107"/>
      <c r="HS340" s="107"/>
      <c r="HT340" s="107"/>
      <c r="HU340" s="107"/>
      <c r="HV340" s="107"/>
      <c r="HW340" s="105"/>
      <c r="HX340" s="105"/>
      <c r="HY340" s="141"/>
      <c r="HZ340" s="107"/>
      <c r="IA340" s="107"/>
      <c r="IB340" s="107"/>
      <c r="IC340" s="107"/>
      <c r="ID340" s="107"/>
      <c r="IE340" s="107"/>
      <c r="IF340" s="107"/>
      <c r="IG340" s="107"/>
      <c r="IH340" s="107"/>
      <c r="II340" s="107"/>
      <c r="IJ340" s="107"/>
      <c r="IK340" s="107"/>
      <c r="IL340" s="107"/>
      <c r="IM340" s="107"/>
      <c r="IN340" s="107"/>
      <c r="IO340" s="107"/>
    </row>
    <row r="341" spans="2:249" ht="12.75" customHeight="1" x14ac:dyDescent="0.2"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268"/>
      <c r="AQ341" s="268"/>
      <c r="AR341" s="268"/>
      <c r="AS341" s="268"/>
      <c r="AT341" s="268"/>
      <c r="AU341" s="268"/>
      <c r="AV341" s="268"/>
      <c r="AW341" s="268"/>
      <c r="AX341" s="268"/>
      <c r="AY341" s="268"/>
      <c r="AZ341" s="268"/>
      <c r="BA341" s="268"/>
      <c r="BB341" s="268"/>
      <c r="BC341" s="268"/>
      <c r="BD341" s="268"/>
      <c r="BE341" s="268"/>
      <c r="BF341" s="268"/>
      <c r="BG341" s="268"/>
      <c r="BI341" s="281"/>
      <c r="BJ341" s="141"/>
      <c r="BK341" s="107"/>
      <c r="BL341" s="107"/>
      <c r="BM341" s="107"/>
      <c r="BN341" s="107"/>
      <c r="BO341" s="107"/>
      <c r="BP341" s="107"/>
      <c r="BQ341" s="107"/>
      <c r="BR341" s="107"/>
      <c r="BS341" s="107"/>
      <c r="BT341" s="107"/>
      <c r="BU341" s="107"/>
      <c r="BV341" s="107"/>
      <c r="BW341" s="107"/>
      <c r="BX341" s="107"/>
      <c r="BY341" s="107"/>
      <c r="BZ341" s="107"/>
      <c r="CA341" s="105"/>
      <c r="CB341" s="281"/>
      <c r="CC341" s="141"/>
      <c r="CD341" s="107"/>
      <c r="CE341" s="107"/>
      <c r="CF341" s="107"/>
      <c r="CG341" s="107"/>
      <c r="CH341" s="107"/>
      <c r="CI341" s="107"/>
      <c r="CJ341" s="107"/>
      <c r="CK341" s="107"/>
      <c r="CL341" s="107"/>
      <c r="CM341" s="107"/>
      <c r="CN341" s="107"/>
      <c r="CO341" s="107"/>
      <c r="CP341" s="107"/>
      <c r="CQ341" s="107"/>
      <c r="CR341" s="107"/>
      <c r="CS341" s="107"/>
      <c r="CT341" s="105"/>
      <c r="CU341" s="281"/>
      <c r="CV341" s="141"/>
      <c r="CW341" s="107"/>
      <c r="CX341" s="107"/>
      <c r="CY341" s="107"/>
      <c r="CZ341" s="107"/>
      <c r="DA341" s="107"/>
      <c r="DB341" s="107"/>
      <c r="DC341" s="107"/>
      <c r="DD341" s="107"/>
      <c r="DE341" s="107"/>
      <c r="DF341" s="107"/>
      <c r="DG341" s="107"/>
      <c r="DH341" s="107"/>
      <c r="DI341" s="107"/>
      <c r="DJ341" s="107"/>
      <c r="DK341" s="107"/>
      <c r="DL341" s="107"/>
      <c r="DM341" s="105"/>
      <c r="DN341" s="281"/>
      <c r="DO341" s="141"/>
      <c r="DP341" s="107"/>
      <c r="DQ341" s="107"/>
      <c r="DR341" s="107"/>
      <c r="DS341" s="107"/>
      <c r="DT341" s="107"/>
      <c r="DU341" s="107"/>
      <c r="DV341" s="107"/>
      <c r="DW341" s="107"/>
      <c r="DX341" s="107"/>
      <c r="DY341" s="107"/>
      <c r="DZ341" s="107"/>
      <c r="EA341" s="107"/>
      <c r="EB341" s="107"/>
      <c r="EC341" s="107"/>
      <c r="ED341" s="107"/>
      <c r="EE341" s="107"/>
      <c r="EF341" s="105"/>
      <c r="EG341" s="281"/>
      <c r="EH341" s="141"/>
      <c r="EI341" s="107"/>
      <c r="EJ341" s="107"/>
      <c r="EK341" s="107"/>
      <c r="EL341" s="107"/>
      <c r="EM341" s="107"/>
      <c r="EN341" s="107"/>
      <c r="EO341" s="107"/>
      <c r="EP341" s="107"/>
      <c r="EQ341" s="107"/>
      <c r="ER341" s="107"/>
      <c r="ES341" s="107"/>
      <c r="ET341" s="107"/>
      <c r="EU341" s="107"/>
      <c r="EV341" s="107"/>
      <c r="EW341" s="107"/>
      <c r="EX341" s="107"/>
      <c r="EY341" s="105"/>
      <c r="EZ341" s="281"/>
      <c r="FA341" s="141"/>
      <c r="FB341" s="107"/>
      <c r="FC341" s="107"/>
      <c r="FD341" s="107"/>
      <c r="FE341" s="107"/>
      <c r="FF341" s="107"/>
      <c r="FG341" s="107"/>
      <c r="FH341" s="107"/>
      <c r="FI341" s="107"/>
      <c r="FJ341" s="107"/>
      <c r="FK341" s="107"/>
      <c r="FL341" s="107"/>
      <c r="FM341" s="107"/>
      <c r="FN341" s="107"/>
      <c r="FO341" s="107"/>
      <c r="FP341" s="107"/>
      <c r="FQ341" s="107"/>
      <c r="FR341" s="105"/>
      <c r="FS341" s="281"/>
      <c r="FT341" s="141"/>
      <c r="FU341" s="107"/>
      <c r="FV341" s="107"/>
      <c r="FW341" s="107"/>
      <c r="FX341" s="107"/>
      <c r="FY341" s="107"/>
      <c r="FZ341" s="107"/>
      <c r="GA341" s="107"/>
      <c r="GB341" s="107"/>
      <c r="GC341" s="107"/>
      <c r="GD341" s="107"/>
      <c r="GE341" s="107"/>
      <c r="GF341" s="107"/>
      <c r="GG341" s="107"/>
      <c r="GH341" s="107"/>
      <c r="GI341" s="107"/>
      <c r="GJ341" s="107"/>
      <c r="GK341" s="105"/>
      <c r="GL341" s="281"/>
      <c r="GM341" s="141"/>
      <c r="GN341" s="107"/>
      <c r="GO341" s="107"/>
      <c r="GP341" s="107"/>
      <c r="GQ341" s="107"/>
      <c r="GR341" s="107"/>
      <c r="GS341" s="107"/>
      <c r="GT341" s="107"/>
      <c r="GU341" s="107"/>
      <c r="GV341" s="107"/>
      <c r="GW341" s="107"/>
      <c r="GX341" s="107"/>
      <c r="GY341" s="107"/>
      <c r="GZ341" s="107"/>
      <c r="HA341" s="107"/>
      <c r="HB341" s="107"/>
      <c r="HC341" s="107"/>
      <c r="HD341" s="105"/>
      <c r="HE341" s="281"/>
      <c r="HF341" s="141"/>
      <c r="HG341" s="107"/>
      <c r="HH341" s="107"/>
      <c r="HI341" s="107"/>
      <c r="HJ341" s="107"/>
      <c r="HK341" s="107"/>
      <c r="HL341" s="107"/>
      <c r="HM341" s="107"/>
      <c r="HN341" s="107"/>
      <c r="HO341" s="107"/>
      <c r="HP341" s="107"/>
      <c r="HQ341" s="107"/>
      <c r="HR341" s="107"/>
      <c r="HS341" s="107"/>
      <c r="HT341" s="107"/>
      <c r="HU341" s="107"/>
      <c r="HV341" s="107"/>
      <c r="HW341" s="105"/>
      <c r="HX341" s="105"/>
      <c r="HY341" s="141"/>
      <c r="HZ341" s="107"/>
      <c r="IA341" s="107"/>
      <c r="IB341" s="107"/>
      <c r="IC341" s="107"/>
      <c r="ID341" s="107"/>
      <c r="IE341" s="107"/>
      <c r="IF341" s="107"/>
      <c r="IG341" s="107"/>
      <c r="IH341" s="107"/>
      <c r="II341" s="107"/>
      <c r="IJ341" s="107"/>
      <c r="IK341" s="107"/>
      <c r="IL341" s="107"/>
      <c r="IM341" s="107"/>
      <c r="IN341" s="107"/>
      <c r="IO341" s="107"/>
    </row>
    <row r="342" spans="2:249" ht="12.75" customHeight="1" x14ac:dyDescent="0.2"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268"/>
      <c r="AQ342" s="268"/>
      <c r="AR342" s="268"/>
      <c r="AS342" s="268"/>
      <c r="AT342" s="268"/>
      <c r="AU342" s="268"/>
      <c r="AV342" s="268"/>
      <c r="AW342" s="268"/>
      <c r="AX342" s="268"/>
      <c r="AY342" s="268"/>
      <c r="AZ342" s="268"/>
      <c r="BA342" s="268"/>
      <c r="BB342" s="268"/>
      <c r="BC342" s="268"/>
      <c r="BD342" s="268"/>
      <c r="BE342" s="268"/>
      <c r="BF342" s="268"/>
      <c r="BG342" s="268"/>
      <c r="BI342" s="281"/>
      <c r="BJ342" s="141"/>
      <c r="BK342" s="107"/>
      <c r="BL342" s="107"/>
      <c r="BM342" s="107"/>
      <c r="BN342" s="107"/>
      <c r="BO342" s="107"/>
      <c r="BP342" s="107"/>
      <c r="BQ342" s="107"/>
      <c r="BR342" s="107"/>
      <c r="BS342" s="107"/>
      <c r="BT342" s="107"/>
      <c r="BU342" s="107"/>
      <c r="BV342" s="107"/>
      <c r="BW342" s="107"/>
      <c r="BX342" s="107"/>
      <c r="BY342" s="107"/>
      <c r="BZ342" s="107"/>
      <c r="CA342" s="105"/>
      <c r="CB342" s="281"/>
      <c r="CC342" s="141"/>
      <c r="CD342" s="107"/>
      <c r="CE342" s="107"/>
      <c r="CF342" s="107"/>
      <c r="CG342" s="107"/>
      <c r="CH342" s="107"/>
      <c r="CI342" s="107"/>
      <c r="CJ342" s="107"/>
      <c r="CK342" s="107"/>
      <c r="CL342" s="107"/>
      <c r="CM342" s="107"/>
      <c r="CN342" s="107"/>
      <c r="CO342" s="107"/>
      <c r="CP342" s="107"/>
      <c r="CQ342" s="107"/>
      <c r="CR342" s="107"/>
      <c r="CS342" s="107"/>
      <c r="CT342" s="105"/>
      <c r="CU342" s="281"/>
      <c r="CV342" s="141"/>
      <c r="CW342" s="107"/>
      <c r="CX342" s="107"/>
      <c r="CY342" s="107"/>
      <c r="CZ342" s="107"/>
      <c r="DA342" s="107"/>
      <c r="DB342" s="107"/>
      <c r="DC342" s="107"/>
      <c r="DD342" s="107"/>
      <c r="DE342" s="107"/>
      <c r="DF342" s="107"/>
      <c r="DG342" s="107"/>
      <c r="DH342" s="107"/>
      <c r="DI342" s="107"/>
      <c r="DJ342" s="107"/>
      <c r="DK342" s="107"/>
      <c r="DL342" s="107"/>
      <c r="DM342" s="105"/>
      <c r="DN342" s="281"/>
      <c r="DO342" s="141"/>
      <c r="DP342" s="107"/>
      <c r="DQ342" s="107"/>
      <c r="DR342" s="107"/>
      <c r="DS342" s="107"/>
      <c r="DT342" s="107"/>
      <c r="DU342" s="107"/>
      <c r="DV342" s="107"/>
      <c r="DW342" s="107"/>
      <c r="DX342" s="107"/>
      <c r="DY342" s="107"/>
      <c r="DZ342" s="107"/>
      <c r="EA342" s="107"/>
      <c r="EB342" s="107"/>
      <c r="EC342" s="107"/>
      <c r="ED342" s="107"/>
      <c r="EE342" s="107"/>
      <c r="EF342" s="105"/>
      <c r="EG342" s="281"/>
      <c r="EH342" s="141"/>
      <c r="EI342" s="107"/>
      <c r="EJ342" s="107"/>
      <c r="EK342" s="107"/>
      <c r="EL342" s="107"/>
      <c r="EM342" s="107"/>
      <c r="EN342" s="107"/>
      <c r="EO342" s="107"/>
      <c r="EP342" s="107"/>
      <c r="EQ342" s="107"/>
      <c r="ER342" s="107"/>
      <c r="ES342" s="107"/>
      <c r="ET342" s="107"/>
      <c r="EU342" s="107"/>
      <c r="EV342" s="107"/>
      <c r="EW342" s="107"/>
      <c r="EX342" s="107"/>
      <c r="EY342" s="105"/>
      <c r="EZ342" s="281"/>
      <c r="FA342" s="141"/>
      <c r="FB342" s="107"/>
      <c r="FC342" s="107"/>
      <c r="FD342" s="107"/>
      <c r="FE342" s="107"/>
      <c r="FF342" s="107"/>
      <c r="FG342" s="107"/>
      <c r="FH342" s="107"/>
      <c r="FI342" s="107"/>
      <c r="FJ342" s="107"/>
      <c r="FK342" s="107"/>
      <c r="FL342" s="107"/>
      <c r="FM342" s="107"/>
      <c r="FN342" s="107"/>
      <c r="FO342" s="107"/>
      <c r="FP342" s="107"/>
      <c r="FQ342" s="107"/>
      <c r="FR342" s="105"/>
      <c r="FS342" s="281"/>
      <c r="FT342" s="141"/>
      <c r="FU342" s="107"/>
      <c r="FV342" s="107"/>
      <c r="FW342" s="107"/>
      <c r="FX342" s="107"/>
      <c r="FY342" s="107"/>
      <c r="FZ342" s="107"/>
      <c r="GA342" s="107"/>
      <c r="GB342" s="107"/>
      <c r="GC342" s="107"/>
      <c r="GD342" s="107"/>
      <c r="GE342" s="107"/>
      <c r="GF342" s="107"/>
      <c r="GG342" s="107"/>
      <c r="GH342" s="107"/>
      <c r="GI342" s="107"/>
      <c r="GJ342" s="107"/>
      <c r="GK342" s="105"/>
      <c r="GL342" s="281"/>
      <c r="GM342" s="141"/>
      <c r="GN342" s="107"/>
      <c r="GO342" s="107"/>
      <c r="GP342" s="107"/>
      <c r="GQ342" s="107"/>
      <c r="GR342" s="107"/>
      <c r="GS342" s="107"/>
      <c r="GT342" s="107"/>
      <c r="GU342" s="107"/>
      <c r="GV342" s="107"/>
      <c r="GW342" s="107"/>
      <c r="GX342" s="107"/>
      <c r="GY342" s="107"/>
      <c r="GZ342" s="107"/>
      <c r="HA342" s="107"/>
      <c r="HB342" s="107"/>
      <c r="HC342" s="107"/>
      <c r="HD342" s="105"/>
      <c r="HE342" s="281"/>
      <c r="HF342" s="141"/>
      <c r="HG342" s="107"/>
      <c r="HH342" s="107"/>
      <c r="HI342" s="107"/>
      <c r="HJ342" s="107"/>
      <c r="HK342" s="107"/>
      <c r="HL342" s="107"/>
      <c r="HM342" s="107"/>
      <c r="HN342" s="107"/>
      <c r="HO342" s="107"/>
      <c r="HP342" s="107"/>
      <c r="HQ342" s="107"/>
      <c r="HR342" s="107"/>
      <c r="HS342" s="107"/>
      <c r="HT342" s="107"/>
      <c r="HU342" s="107"/>
      <c r="HV342" s="107"/>
      <c r="HW342" s="105"/>
      <c r="HX342" s="105"/>
      <c r="HY342" s="141"/>
      <c r="HZ342" s="107"/>
      <c r="IA342" s="107"/>
      <c r="IB342" s="107"/>
      <c r="IC342" s="107"/>
      <c r="ID342" s="107"/>
      <c r="IE342" s="107"/>
      <c r="IF342" s="107"/>
      <c r="IG342" s="107"/>
      <c r="IH342" s="107"/>
      <c r="II342" s="107"/>
      <c r="IJ342" s="107"/>
      <c r="IK342" s="107"/>
      <c r="IL342" s="107"/>
      <c r="IM342" s="107"/>
      <c r="IN342" s="107"/>
      <c r="IO342" s="107"/>
    </row>
    <row r="343" spans="2:249" ht="12.75" customHeight="1" x14ac:dyDescent="0.2"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268"/>
      <c r="AQ343" s="268"/>
      <c r="AR343" s="268"/>
      <c r="AS343" s="268"/>
      <c r="AT343" s="268"/>
      <c r="AU343" s="268"/>
      <c r="AV343" s="268"/>
      <c r="AW343" s="268"/>
      <c r="AX343" s="268"/>
      <c r="AY343" s="268"/>
      <c r="AZ343" s="268"/>
      <c r="BA343" s="268"/>
      <c r="BB343" s="268"/>
      <c r="BC343" s="268"/>
      <c r="BD343" s="268"/>
      <c r="BE343" s="268"/>
      <c r="BF343" s="268"/>
      <c r="BG343" s="268"/>
      <c r="BI343" s="281"/>
      <c r="BJ343" s="278"/>
      <c r="BK343" s="277"/>
      <c r="BL343" s="277"/>
      <c r="BM343" s="277"/>
      <c r="BN343" s="277"/>
      <c r="BO343" s="277"/>
      <c r="BP343" s="277"/>
      <c r="BQ343" s="277"/>
      <c r="BR343" s="277"/>
      <c r="BS343" s="277"/>
      <c r="BT343" s="277"/>
      <c r="BU343" s="277"/>
      <c r="BV343" s="277"/>
      <c r="BW343" s="277"/>
      <c r="BX343" s="277"/>
      <c r="BY343" s="277"/>
      <c r="BZ343" s="277"/>
      <c r="CA343" s="105"/>
      <c r="CB343" s="281"/>
      <c r="CC343" s="278"/>
      <c r="CD343" s="277"/>
      <c r="CE343" s="277"/>
      <c r="CF343" s="277"/>
      <c r="CG343" s="277"/>
      <c r="CH343" s="277"/>
      <c r="CI343" s="277"/>
      <c r="CJ343" s="277"/>
      <c r="CK343" s="277"/>
      <c r="CL343" s="277"/>
      <c r="CM343" s="277"/>
      <c r="CN343" s="277"/>
      <c r="CO343" s="277"/>
      <c r="CP343" s="277"/>
      <c r="CQ343" s="277"/>
      <c r="CR343" s="277"/>
      <c r="CS343" s="277"/>
      <c r="CT343" s="105"/>
      <c r="CU343" s="281"/>
      <c r="CV343" s="278"/>
      <c r="CW343" s="277"/>
      <c r="CX343" s="277"/>
      <c r="CY343" s="277"/>
      <c r="CZ343" s="277"/>
      <c r="DA343" s="277"/>
      <c r="DB343" s="277"/>
      <c r="DC343" s="277"/>
      <c r="DD343" s="277"/>
      <c r="DE343" s="277"/>
      <c r="DF343" s="277"/>
      <c r="DG343" s="277"/>
      <c r="DH343" s="277"/>
      <c r="DI343" s="277"/>
      <c r="DJ343" s="277"/>
      <c r="DK343" s="277"/>
      <c r="DL343" s="277"/>
      <c r="DM343" s="105"/>
      <c r="DN343" s="281"/>
      <c r="DO343" s="278"/>
      <c r="DP343" s="277"/>
      <c r="DQ343" s="277"/>
      <c r="DR343" s="277"/>
      <c r="DS343" s="277"/>
      <c r="DT343" s="277"/>
      <c r="DU343" s="277"/>
      <c r="DV343" s="277"/>
      <c r="DW343" s="277"/>
      <c r="DX343" s="277"/>
      <c r="DY343" s="277"/>
      <c r="DZ343" s="277"/>
      <c r="EA343" s="277"/>
      <c r="EB343" s="277"/>
      <c r="EC343" s="277"/>
      <c r="ED343" s="277"/>
      <c r="EE343" s="277"/>
      <c r="EF343" s="105"/>
      <c r="EG343" s="281"/>
      <c r="EH343" s="278"/>
      <c r="EI343" s="277"/>
      <c r="EJ343" s="277"/>
      <c r="EK343" s="277"/>
      <c r="EL343" s="277"/>
      <c r="EM343" s="277"/>
      <c r="EN343" s="277"/>
      <c r="EO343" s="277"/>
      <c r="EP343" s="277"/>
      <c r="EQ343" s="277"/>
      <c r="ER343" s="277"/>
      <c r="ES343" s="277"/>
      <c r="ET343" s="277"/>
      <c r="EU343" s="277"/>
      <c r="EV343" s="277"/>
      <c r="EW343" s="277"/>
      <c r="EX343" s="277"/>
      <c r="EY343" s="105"/>
      <c r="EZ343" s="281"/>
      <c r="FA343" s="278"/>
      <c r="FB343" s="277"/>
      <c r="FC343" s="277"/>
      <c r="FD343" s="277"/>
      <c r="FE343" s="277"/>
      <c r="FF343" s="277"/>
      <c r="FG343" s="277"/>
      <c r="FH343" s="277"/>
      <c r="FI343" s="277"/>
      <c r="FJ343" s="277"/>
      <c r="FK343" s="277"/>
      <c r="FL343" s="277"/>
      <c r="FM343" s="277"/>
      <c r="FN343" s="277"/>
      <c r="FO343" s="277"/>
      <c r="FP343" s="277"/>
      <c r="FQ343" s="277"/>
      <c r="FR343" s="105"/>
      <c r="FS343" s="281"/>
      <c r="FT343" s="278"/>
      <c r="FU343" s="277"/>
      <c r="FV343" s="277"/>
      <c r="FW343" s="277"/>
      <c r="FX343" s="277"/>
      <c r="FY343" s="277"/>
      <c r="FZ343" s="277"/>
      <c r="GA343" s="277"/>
      <c r="GB343" s="277"/>
      <c r="GC343" s="277"/>
      <c r="GD343" s="277"/>
      <c r="GE343" s="277"/>
      <c r="GF343" s="277"/>
      <c r="GG343" s="277"/>
      <c r="GH343" s="277"/>
      <c r="GI343" s="277"/>
      <c r="GJ343" s="277"/>
      <c r="GK343" s="105"/>
      <c r="GL343" s="281"/>
      <c r="GM343" s="278"/>
      <c r="GN343" s="277"/>
      <c r="GO343" s="277"/>
      <c r="GP343" s="277"/>
      <c r="GQ343" s="277"/>
      <c r="GR343" s="277"/>
      <c r="GS343" s="277"/>
      <c r="GT343" s="277"/>
      <c r="GU343" s="277"/>
      <c r="GV343" s="277"/>
      <c r="GW343" s="277"/>
      <c r="GX343" s="277"/>
      <c r="GY343" s="277"/>
      <c r="GZ343" s="277"/>
      <c r="HA343" s="277"/>
      <c r="HB343" s="277"/>
      <c r="HC343" s="277"/>
      <c r="HD343" s="105"/>
      <c r="HE343" s="281"/>
      <c r="HF343" s="278"/>
      <c r="HG343" s="277"/>
      <c r="HH343" s="277"/>
      <c r="HI343" s="277"/>
      <c r="HJ343" s="277"/>
      <c r="HK343" s="277"/>
      <c r="HL343" s="277"/>
      <c r="HM343" s="277"/>
      <c r="HN343" s="277"/>
      <c r="HO343" s="277"/>
      <c r="HP343" s="277"/>
      <c r="HQ343" s="277"/>
      <c r="HR343" s="277"/>
      <c r="HS343" s="277"/>
      <c r="HT343" s="277"/>
      <c r="HU343" s="277"/>
      <c r="HV343" s="277"/>
      <c r="HW343" s="105"/>
      <c r="HX343" s="105"/>
      <c r="HY343" s="278"/>
      <c r="HZ343" s="277"/>
      <c r="IA343" s="277"/>
      <c r="IB343" s="277"/>
      <c r="IC343" s="277"/>
      <c r="ID343" s="277"/>
      <c r="IE343" s="277"/>
      <c r="IF343" s="277"/>
      <c r="IG343" s="277"/>
      <c r="IH343" s="277"/>
      <c r="II343" s="277"/>
      <c r="IJ343" s="277"/>
      <c r="IK343" s="277"/>
      <c r="IL343" s="277"/>
      <c r="IM343" s="277"/>
      <c r="IN343" s="277"/>
      <c r="IO343" s="277"/>
    </row>
    <row r="344" spans="2:249" ht="12.75" customHeight="1" x14ac:dyDescent="0.2"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  <c r="AT344" s="101"/>
      <c r="AU344" s="101"/>
      <c r="AV344" s="101"/>
      <c r="AW344" s="101"/>
      <c r="AX344" s="101"/>
      <c r="AY344" s="101"/>
      <c r="AZ344" s="101"/>
      <c r="BA344" s="101"/>
      <c r="BB344" s="101"/>
      <c r="BC344" s="101"/>
      <c r="BD344" s="101"/>
      <c r="BE344" s="101"/>
      <c r="BF344" s="101"/>
      <c r="BG344" s="101"/>
      <c r="BI344" s="105"/>
      <c r="BJ344" s="105"/>
      <c r="BK344" s="105"/>
      <c r="BL344" s="105"/>
      <c r="BM344" s="105"/>
      <c r="BN344" s="105"/>
      <c r="BO344" s="105"/>
      <c r="BP344" s="105"/>
      <c r="BQ344" s="105"/>
      <c r="BR344" s="105"/>
      <c r="BS344" s="105"/>
      <c r="BT344" s="105"/>
      <c r="BU344" s="105"/>
      <c r="BV344" s="105"/>
      <c r="BW344" s="105"/>
      <c r="BX344" s="105"/>
      <c r="BY344" s="105"/>
      <c r="BZ344" s="105"/>
      <c r="CA344" s="105"/>
      <c r="CB344" s="105"/>
      <c r="CC344" s="105"/>
      <c r="CD344" s="105"/>
      <c r="CE344" s="105"/>
      <c r="CF344" s="105"/>
      <c r="CG344" s="105"/>
      <c r="CH344" s="105"/>
      <c r="CI344" s="105"/>
      <c r="CJ344" s="105"/>
      <c r="CK344" s="105"/>
      <c r="CL344" s="105"/>
      <c r="CM344" s="105"/>
      <c r="CN344" s="105"/>
      <c r="CO344" s="105"/>
      <c r="CP344" s="105"/>
      <c r="CQ344" s="105"/>
      <c r="CR344" s="105"/>
      <c r="CS344" s="105"/>
      <c r="CT344" s="105"/>
      <c r="CU344" s="105"/>
      <c r="CV344" s="105"/>
      <c r="CW344" s="105"/>
      <c r="CX344" s="105"/>
      <c r="CY344" s="105"/>
      <c r="CZ344" s="105"/>
      <c r="DA344" s="105"/>
      <c r="DB344" s="105"/>
      <c r="DC344" s="105"/>
      <c r="DD344" s="105"/>
      <c r="DE344" s="105"/>
      <c r="DF344" s="105"/>
      <c r="DG344" s="105"/>
      <c r="DH344" s="105"/>
      <c r="DI344" s="105"/>
      <c r="DJ344" s="105"/>
      <c r="DK344" s="105"/>
      <c r="DL344" s="105"/>
      <c r="DM344" s="105"/>
      <c r="DN344" s="105"/>
      <c r="DO344" s="105"/>
      <c r="DP344" s="105"/>
      <c r="DQ344" s="105"/>
      <c r="DR344" s="105"/>
      <c r="DS344" s="105"/>
      <c r="DT344" s="105"/>
      <c r="DU344" s="105"/>
      <c r="DV344" s="105"/>
      <c r="DW344" s="105"/>
      <c r="DX344" s="105"/>
      <c r="DY344" s="105"/>
      <c r="DZ344" s="105"/>
      <c r="EA344" s="105"/>
      <c r="EB344" s="105"/>
      <c r="EC344" s="105"/>
      <c r="ED344" s="105"/>
      <c r="EE344" s="105"/>
      <c r="EF344" s="105"/>
      <c r="EG344" s="105"/>
      <c r="EH344" s="105"/>
      <c r="EI344" s="105"/>
      <c r="EJ344" s="105"/>
      <c r="EK344" s="105"/>
      <c r="EL344" s="105"/>
      <c r="EM344" s="105"/>
      <c r="EN344" s="105"/>
      <c r="EO344" s="105"/>
      <c r="EP344" s="105"/>
      <c r="EQ344" s="105"/>
      <c r="ER344" s="105"/>
      <c r="ES344" s="105"/>
      <c r="ET344" s="105"/>
      <c r="EU344" s="105"/>
      <c r="EV344" s="105"/>
      <c r="EW344" s="105"/>
      <c r="EX344" s="105"/>
      <c r="EY344" s="105"/>
      <c r="EZ344" s="105"/>
      <c r="FA344" s="105"/>
      <c r="FB344" s="105"/>
      <c r="FC344" s="105"/>
      <c r="FD344" s="105"/>
      <c r="FE344" s="105"/>
      <c r="FF344" s="105"/>
      <c r="FG344" s="105"/>
      <c r="FH344" s="105"/>
      <c r="FI344" s="105"/>
      <c r="FJ344" s="105"/>
      <c r="FK344" s="105"/>
      <c r="FL344" s="105"/>
      <c r="FM344" s="105"/>
      <c r="FN344" s="105"/>
      <c r="FO344" s="105"/>
      <c r="FP344" s="105"/>
      <c r="FQ344" s="105"/>
      <c r="FR344" s="105"/>
      <c r="FS344" s="105"/>
      <c r="FT344" s="105"/>
      <c r="FU344" s="105"/>
      <c r="FV344" s="105"/>
      <c r="FW344" s="105"/>
      <c r="FX344" s="105"/>
      <c r="FY344" s="105"/>
      <c r="FZ344" s="105"/>
      <c r="GA344" s="105"/>
      <c r="GB344" s="105"/>
      <c r="GC344" s="105"/>
      <c r="GD344" s="105"/>
      <c r="GE344" s="105"/>
      <c r="GF344" s="105"/>
      <c r="GG344" s="105"/>
      <c r="GH344" s="105"/>
      <c r="GI344" s="105"/>
      <c r="GJ344" s="105"/>
      <c r="GK344" s="105"/>
      <c r="GL344" s="105"/>
      <c r="GM344" s="105"/>
      <c r="GN344" s="105"/>
      <c r="GO344" s="105"/>
      <c r="GP344" s="105"/>
      <c r="GQ344" s="105"/>
      <c r="GR344" s="105"/>
      <c r="GS344" s="105"/>
      <c r="GT344" s="105"/>
      <c r="GU344" s="105"/>
      <c r="GV344" s="105"/>
      <c r="GW344" s="105"/>
      <c r="GX344" s="105"/>
      <c r="GY344" s="105"/>
      <c r="GZ344" s="105"/>
      <c r="HA344" s="105"/>
      <c r="HB344" s="105"/>
      <c r="HC344" s="105"/>
      <c r="HD344" s="105"/>
      <c r="HE344" s="105"/>
      <c r="HF344" s="105"/>
      <c r="HG344" s="105"/>
      <c r="HH344" s="105"/>
      <c r="HI344" s="105"/>
      <c r="HJ344" s="105"/>
      <c r="HK344" s="105"/>
      <c r="HL344" s="105"/>
      <c r="HM344" s="105"/>
      <c r="HN344" s="105"/>
      <c r="HO344" s="105"/>
      <c r="HP344" s="105"/>
      <c r="HQ344" s="105"/>
      <c r="HR344" s="105"/>
      <c r="HS344" s="105"/>
      <c r="HT344" s="105"/>
      <c r="HU344" s="105"/>
      <c r="HV344" s="105"/>
      <c r="HW344" s="105"/>
      <c r="HX344" s="105"/>
      <c r="HY344" s="105"/>
      <c r="HZ344" s="105"/>
      <c r="IA344" s="105"/>
      <c r="IB344" s="105"/>
      <c r="IC344" s="105"/>
      <c r="ID344" s="105"/>
      <c r="IE344" s="105"/>
      <c r="IF344" s="105"/>
      <c r="IG344" s="105"/>
      <c r="IH344" s="105"/>
      <c r="II344" s="105"/>
      <c r="IJ344" s="105"/>
      <c r="IK344" s="105"/>
      <c r="IL344" s="105"/>
      <c r="IM344" s="105"/>
      <c r="IN344" s="105"/>
      <c r="IO344" s="105"/>
    </row>
    <row r="345" spans="2:249" ht="12.75" customHeight="1" x14ac:dyDescent="0.2"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BI345" s="105"/>
      <c r="BJ345" s="105"/>
      <c r="BK345" s="105"/>
      <c r="BL345" s="105"/>
      <c r="BM345" s="105"/>
      <c r="BN345" s="105"/>
      <c r="BO345" s="105"/>
      <c r="BP345" s="105"/>
      <c r="BQ345" s="105"/>
      <c r="BR345" s="105"/>
      <c r="BS345" s="105"/>
      <c r="BT345" s="105"/>
      <c r="BU345" s="105"/>
      <c r="BV345" s="105"/>
      <c r="BW345" s="105"/>
      <c r="BX345" s="105"/>
      <c r="BY345" s="105"/>
      <c r="BZ345" s="105"/>
      <c r="CA345" s="105"/>
      <c r="CB345" s="105"/>
      <c r="CC345" s="105"/>
      <c r="CD345" s="105"/>
      <c r="CE345" s="105"/>
      <c r="CF345" s="105"/>
      <c r="CG345" s="105"/>
      <c r="CH345" s="105"/>
      <c r="CI345" s="105"/>
      <c r="CJ345" s="105"/>
      <c r="CK345" s="105"/>
      <c r="CL345" s="105"/>
      <c r="CM345" s="105"/>
      <c r="CN345" s="105"/>
      <c r="CO345" s="105"/>
      <c r="CP345" s="105"/>
      <c r="CQ345" s="105"/>
      <c r="CR345" s="105"/>
      <c r="CS345" s="105"/>
      <c r="CT345" s="105"/>
      <c r="CU345" s="105"/>
      <c r="CV345" s="105"/>
      <c r="CW345" s="105"/>
      <c r="CX345" s="105"/>
      <c r="CY345" s="105"/>
      <c r="CZ345" s="105"/>
      <c r="DA345" s="105"/>
      <c r="DB345" s="105"/>
      <c r="DC345" s="105"/>
      <c r="DD345" s="105"/>
      <c r="DE345" s="105"/>
      <c r="DF345" s="105"/>
      <c r="DG345" s="105"/>
      <c r="DH345" s="105"/>
      <c r="DI345" s="105"/>
      <c r="DJ345" s="105"/>
      <c r="DK345" s="105"/>
      <c r="DL345" s="105"/>
      <c r="DM345" s="105"/>
      <c r="DN345" s="105"/>
      <c r="DO345" s="105"/>
      <c r="DP345" s="105"/>
      <c r="DQ345" s="105"/>
      <c r="DR345" s="105"/>
      <c r="DS345" s="105"/>
      <c r="DT345" s="105"/>
      <c r="DU345" s="105"/>
      <c r="DV345" s="105"/>
      <c r="DW345" s="105"/>
      <c r="DX345" s="105"/>
      <c r="DY345" s="105"/>
      <c r="DZ345" s="105"/>
      <c r="EA345" s="105"/>
      <c r="EB345" s="105"/>
      <c r="EC345" s="105"/>
      <c r="ED345" s="105"/>
      <c r="EE345" s="105"/>
      <c r="EF345" s="105"/>
      <c r="EG345" s="105"/>
      <c r="EH345" s="105"/>
      <c r="EI345" s="105"/>
      <c r="EJ345" s="105"/>
      <c r="EK345" s="105"/>
      <c r="EL345" s="105"/>
      <c r="EM345" s="105"/>
      <c r="EN345" s="105"/>
      <c r="EO345" s="105"/>
      <c r="EP345" s="105"/>
      <c r="EQ345" s="105"/>
      <c r="ER345" s="105"/>
      <c r="ES345" s="105"/>
      <c r="ET345" s="105"/>
      <c r="EU345" s="105"/>
      <c r="EV345" s="105"/>
      <c r="EW345" s="105"/>
      <c r="EX345" s="105"/>
      <c r="EY345" s="105"/>
      <c r="EZ345" s="105"/>
      <c r="FA345" s="105"/>
      <c r="FB345" s="105"/>
      <c r="FC345" s="105"/>
      <c r="FD345" s="105"/>
      <c r="FE345" s="105"/>
      <c r="FF345" s="105"/>
      <c r="FG345" s="105"/>
      <c r="FH345" s="105"/>
      <c r="FI345" s="105"/>
      <c r="FJ345" s="105"/>
      <c r="FK345" s="105"/>
      <c r="FL345" s="105"/>
      <c r="FM345" s="105"/>
      <c r="FN345" s="105"/>
      <c r="FO345" s="105"/>
      <c r="FP345" s="105"/>
      <c r="FQ345" s="105"/>
      <c r="FR345" s="105"/>
      <c r="FS345" s="105"/>
      <c r="FT345" s="105"/>
      <c r="FU345" s="105"/>
      <c r="FV345" s="105"/>
      <c r="FW345" s="105"/>
      <c r="FX345" s="105"/>
      <c r="FY345" s="105"/>
      <c r="FZ345" s="105"/>
      <c r="GA345" s="105"/>
      <c r="GB345" s="105"/>
      <c r="GC345" s="105"/>
      <c r="GD345" s="105"/>
      <c r="GE345" s="105"/>
      <c r="GF345" s="105"/>
      <c r="GG345" s="105"/>
      <c r="GH345" s="105"/>
      <c r="GI345" s="105"/>
      <c r="GJ345" s="105"/>
      <c r="GK345" s="105"/>
      <c r="GL345" s="105"/>
      <c r="GM345" s="105"/>
      <c r="GN345" s="105"/>
      <c r="GO345" s="105"/>
      <c r="GP345" s="105"/>
      <c r="GQ345" s="105"/>
      <c r="GR345" s="105"/>
      <c r="GS345" s="105"/>
      <c r="GT345" s="105"/>
      <c r="GU345" s="105"/>
      <c r="GV345" s="105"/>
      <c r="GW345" s="105"/>
      <c r="GX345" s="105"/>
      <c r="GY345" s="105"/>
      <c r="GZ345" s="105"/>
      <c r="HA345" s="105"/>
      <c r="HB345" s="105"/>
      <c r="HC345" s="105"/>
      <c r="HD345" s="105"/>
      <c r="HE345" s="105"/>
      <c r="HF345" s="105"/>
      <c r="HG345" s="105"/>
      <c r="HH345" s="105"/>
      <c r="HI345" s="105"/>
      <c r="HJ345" s="105"/>
      <c r="HK345" s="105"/>
      <c r="HL345" s="105"/>
      <c r="HM345" s="105"/>
      <c r="HN345" s="105"/>
      <c r="HO345" s="105"/>
      <c r="HP345" s="105"/>
      <c r="HQ345" s="105"/>
      <c r="HR345" s="105"/>
      <c r="HS345" s="105"/>
      <c r="HT345" s="105"/>
      <c r="HU345" s="105"/>
      <c r="HV345" s="105"/>
      <c r="HW345" s="105"/>
      <c r="HX345" s="105"/>
      <c r="HY345" s="105"/>
      <c r="HZ345" s="105"/>
      <c r="IA345" s="105"/>
      <c r="IB345" s="105"/>
      <c r="IC345" s="105"/>
      <c r="ID345" s="105"/>
      <c r="IE345" s="105"/>
      <c r="IF345" s="105"/>
      <c r="IG345" s="105"/>
      <c r="IH345" s="105"/>
      <c r="II345" s="105"/>
      <c r="IJ345" s="105"/>
      <c r="IK345" s="105"/>
      <c r="IL345" s="105"/>
      <c r="IM345" s="105"/>
      <c r="IN345" s="105"/>
      <c r="IO345" s="105"/>
    </row>
    <row r="346" spans="2:249" ht="13.5" customHeight="1" x14ac:dyDescent="0.2"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BI346" s="105"/>
      <c r="BJ346" s="105"/>
      <c r="BK346" s="105"/>
      <c r="BL346" s="105"/>
      <c r="BM346" s="105"/>
      <c r="BN346" s="105"/>
      <c r="BO346" s="105"/>
      <c r="BP346" s="105"/>
      <c r="BQ346" s="105"/>
      <c r="BR346" s="105"/>
      <c r="BS346" s="105"/>
      <c r="BT346" s="105"/>
      <c r="BU346" s="105"/>
      <c r="BV346" s="105"/>
      <c r="BW346" s="105"/>
      <c r="BX346" s="105"/>
      <c r="BY346" s="105"/>
      <c r="BZ346" s="105"/>
      <c r="CA346" s="105"/>
      <c r="CB346" s="105"/>
      <c r="CC346" s="105"/>
      <c r="CD346" s="105"/>
      <c r="CE346" s="105"/>
      <c r="CF346" s="105"/>
      <c r="CG346" s="105"/>
      <c r="CH346" s="105"/>
      <c r="CI346" s="105"/>
      <c r="CJ346" s="105"/>
      <c r="CK346" s="105"/>
      <c r="CL346" s="105"/>
      <c r="CM346" s="105"/>
      <c r="CN346" s="105"/>
      <c r="CO346" s="105"/>
      <c r="CP346" s="105"/>
      <c r="CQ346" s="105"/>
      <c r="CR346" s="105"/>
      <c r="CS346" s="105"/>
      <c r="CT346" s="105"/>
      <c r="CU346" s="105"/>
      <c r="CV346" s="105"/>
      <c r="CW346" s="105"/>
      <c r="CX346" s="105"/>
      <c r="CY346" s="105"/>
      <c r="CZ346" s="105"/>
      <c r="DA346" s="105"/>
      <c r="DB346" s="105"/>
      <c r="DC346" s="105"/>
      <c r="DD346" s="105"/>
      <c r="DE346" s="105"/>
      <c r="DF346" s="105"/>
      <c r="DG346" s="105"/>
      <c r="DH346" s="105"/>
      <c r="DI346" s="105"/>
      <c r="DJ346" s="105"/>
      <c r="DK346" s="105"/>
      <c r="DL346" s="105"/>
      <c r="DM346" s="105"/>
      <c r="DN346" s="105"/>
      <c r="DO346" s="105"/>
      <c r="DP346" s="105"/>
      <c r="DQ346" s="105"/>
      <c r="DR346" s="105"/>
      <c r="DS346" s="105"/>
      <c r="DT346" s="105"/>
      <c r="DU346" s="105"/>
      <c r="DV346" s="105"/>
      <c r="DW346" s="105"/>
      <c r="DX346" s="105"/>
      <c r="DY346" s="105"/>
      <c r="DZ346" s="105"/>
      <c r="EA346" s="105"/>
      <c r="EB346" s="105"/>
      <c r="EC346" s="105"/>
      <c r="ED346" s="105"/>
      <c r="EE346" s="105"/>
      <c r="EF346" s="105"/>
      <c r="EG346" s="105"/>
      <c r="EH346" s="105"/>
      <c r="EI346" s="105"/>
      <c r="EJ346" s="105"/>
      <c r="EK346" s="105"/>
      <c r="EL346" s="105"/>
      <c r="EM346" s="105"/>
      <c r="EN346" s="105"/>
      <c r="EO346" s="105"/>
      <c r="EP346" s="105"/>
      <c r="EQ346" s="105"/>
      <c r="ER346" s="105"/>
      <c r="ES346" s="105"/>
      <c r="ET346" s="105"/>
      <c r="EU346" s="105"/>
      <c r="EV346" s="105"/>
      <c r="EW346" s="105"/>
      <c r="EX346" s="105"/>
      <c r="EY346" s="105"/>
      <c r="EZ346" s="105"/>
      <c r="FA346" s="105"/>
      <c r="FB346" s="105"/>
      <c r="FC346" s="105"/>
      <c r="FD346" s="105"/>
      <c r="FE346" s="105"/>
      <c r="FF346" s="105"/>
      <c r="FG346" s="105"/>
      <c r="FH346" s="105"/>
      <c r="FI346" s="105"/>
      <c r="FJ346" s="105"/>
      <c r="FK346" s="105"/>
      <c r="FL346" s="105"/>
      <c r="FM346" s="105"/>
      <c r="FN346" s="105"/>
      <c r="FO346" s="105"/>
      <c r="FP346" s="105"/>
      <c r="FQ346" s="105"/>
      <c r="FR346" s="105"/>
      <c r="FS346" s="105"/>
      <c r="FT346" s="105"/>
      <c r="FU346" s="105"/>
      <c r="FV346" s="105"/>
      <c r="FW346" s="105"/>
      <c r="FX346" s="105"/>
      <c r="FY346" s="105"/>
      <c r="FZ346" s="105"/>
      <c r="GA346" s="105"/>
      <c r="GB346" s="105"/>
      <c r="GC346" s="105"/>
      <c r="GD346" s="105"/>
      <c r="GE346" s="105"/>
      <c r="GF346" s="105"/>
      <c r="GG346" s="105"/>
      <c r="GH346" s="105"/>
      <c r="GI346" s="105"/>
      <c r="GJ346" s="105"/>
      <c r="GK346" s="105"/>
      <c r="GL346" s="105"/>
      <c r="GM346" s="105"/>
      <c r="GN346" s="105"/>
      <c r="GO346" s="105"/>
      <c r="GP346" s="105"/>
      <c r="GQ346" s="105"/>
      <c r="GR346" s="105"/>
      <c r="GS346" s="105"/>
      <c r="GT346" s="105"/>
      <c r="GU346" s="105"/>
      <c r="GV346" s="105"/>
      <c r="GW346" s="105"/>
      <c r="GX346" s="105"/>
      <c r="GY346" s="105"/>
      <c r="GZ346" s="105"/>
      <c r="HA346" s="105"/>
      <c r="HB346" s="105"/>
      <c r="HC346" s="105"/>
      <c r="HD346" s="105"/>
      <c r="HE346" s="105"/>
      <c r="HF346" s="105"/>
      <c r="HG346" s="105"/>
      <c r="HH346" s="105"/>
      <c r="HI346" s="105"/>
      <c r="HJ346" s="105"/>
      <c r="HK346" s="105"/>
      <c r="HL346" s="105"/>
      <c r="HM346" s="105"/>
      <c r="HN346" s="105"/>
      <c r="HO346" s="105"/>
      <c r="HP346" s="105"/>
      <c r="HQ346" s="105"/>
      <c r="HR346" s="105"/>
      <c r="HS346" s="105"/>
      <c r="HT346" s="105"/>
      <c r="HU346" s="105"/>
      <c r="HV346" s="105"/>
      <c r="HW346" s="105"/>
      <c r="HX346" s="105"/>
      <c r="HY346" s="105"/>
      <c r="HZ346" s="105"/>
      <c r="IA346" s="105"/>
      <c r="IB346" s="105"/>
      <c r="IC346" s="105"/>
      <c r="ID346" s="105"/>
      <c r="IE346" s="105"/>
      <c r="IF346" s="105"/>
      <c r="IG346" s="105"/>
      <c r="IH346" s="105"/>
      <c r="II346" s="105"/>
      <c r="IJ346" s="105"/>
      <c r="IK346" s="105"/>
      <c r="IL346" s="105"/>
      <c r="IM346" s="105"/>
      <c r="IN346" s="105"/>
      <c r="IO346" s="105"/>
    </row>
    <row r="347" spans="2:249" ht="12.75" customHeight="1" x14ac:dyDescent="0.2"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R347" s="9"/>
      <c r="AS347" s="9"/>
      <c r="AT347" s="9"/>
      <c r="AU347" s="9"/>
      <c r="AV347" s="9"/>
      <c r="AW347" s="9"/>
    </row>
    <row r="348" spans="2:249" x14ac:dyDescent="0.2"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R348" s="9"/>
      <c r="AS348" s="9"/>
      <c r="AT348" s="9"/>
      <c r="AU348" s="9"/>
      <c r="AV348" s="9"/>
    </row>
    <row r="349" spans="2:249" x14ac:dyDescent="0.2"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</row>
    <row r="350" spans="2:249" x14ac:dyDescent="0.2"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</row>
  </sheetData>
  <mergeCells count="484">
    <mergeCell ref="MV6:MW6"/>
    <mergeCell ref="MX6:MY6"/>
    <mergeCell ref="NO6:NP6"/>
    <mergeCell ref="NQ6:NR6"/>
    <mergeCell ref="IL191:IM191"/>
    <mergeCell ref="IN191:IO191"/>
    <mergeCell ref="IL6:IM6"/>
    <mergeCell ref="IN6:IO6"/>
    <mergeCell ref="JE6:JF6"/>
    <mergeCell ref="JG6:JH6"/>
    <mergeCell ref="JX6:JY6"/>
    <mergeCell ref="JZ6:KA6"/>
    <mergeCell ref="KQ6:KR6"/>
    <mergeCell ref="KS6:KT6"/>
    <mergeCell ref="LJ6:LK6"/>
    <mergeCell ref="MR6:MS6"/>
    <mergeCell ref="MT6:MU6"/>
    <mergeCell ref="ME6:MF6"/>
    <mergeCell ref="HS6:HT6"/>
    <mergeCell ref="HU6:HV6"/>
    <mergeCell ref="HS191:HT191"/>
    <mergeCell ref="HU191:HV191"/>
    <mergeCell ref="HS257:HT257"/>
    <mergeCell ref="HU257:HV257"/>
    <mergeCell ref="HS323:HT323"/>
    <mergeCell ref="HU323:HV323"/>
    <mergeCell ref="HF321:HV322"/>
    <mergeCell ref="HF255:HV256"/>
    <mergeCell ref="HF189:HV190"/>
    <mergeCell ref="HG323:HH323"/>
    <mergeCell ref="HI323:HJ323"/>
    <mergeCell ref="HK323:HL323"/>
    <mergeCell ref="HM323:HN323"/>
    <mergeCell ref="HO323:HP323"/>
    <mergeCell ref="HQ323:HR323"/>
    <mergeCell ref="HK191:HL191"/>
    <mergeCell ref="HM191:HN191"/>
    <mergeCell ref="HO191:HP191"/>
    <mergeCell ref="HQ191:HR191"/>
    <mergeCell ref="HI191:HJ191"/>
    <mergeCell ref="HG191:HH191"/>
    <mergeCell ref="HM257:HN257"/>
    <mergeCell ref="EH189:EX190"/>
    <mergeCell ref="EH4:EX5"/>
    <mergeCell ref="GG323:GH323"/>
    <mergeCell ref="GI323:GJ323"/>
    <mergeCell ref="GZ6:HA6"/>
    <mergeCell ref="HB6:HC6"/>
    <mergeCell ref="GM4:HC5"/>
    <mergeCell ref="GM189:HC190"/>
    <mergeCell ref="GZ191:HA191"/>
    <mergeCell ref="HB191:HC191"/>
    <mergeCell ref="GM255:HC256"/>
    <mergeCell ref="GZ257:HA257"/>
    <mergeCell ref="HB257:HC257"/>
    <mergeCell ref="GM321:HC322"/>
    <mergeCell ref="GZ323:HA323"/>
    <mergeCell ref="HB323:HC323"/>
    <mergeCell ref="FT4:GJ5"/>
    <mergeCell ref="FT189:GJ190"/>
    <mergeCell ref="FT255:GJ256"/>
    <mergeCell ref="FT321:GJ322"/>
    <mergeCell ref="GG6:GH6"/>
    <mergeCell ref="GI6:GJ6"/>
    <mergeCell ref="GG191:GH191"/>
    <mergeCell ref="GI191:GJ191"/>
    <mergeCell ref="FA4:FQ5"/>
    <mergeCell ref="FN6:FO6"/>
    <mergeCell ref="FP6:FQ6"/>
    <mergeCell ref="FA189:FQ190"/>
    <mergeCell ref="FA255:FQ256"/>
    <mergeCell ref="FA321:FQ322"/>
    <mergeCell ref="FN323:FO323"/>
    <mergeCell ref="FP323:FQ323"/>
    <mergeCell ref="FN257:FO257"/>
    <mergeCell ref="FP257:FQ257"/>
    <mergeCell ref="FN191:FO191"/>
    <mergeCell ref="FP191:FQ191"/>
    <mergeCell ref="FL191:FM191"/>
    <mergeCell ref="GN323:GO323"/>
    <mergeCell ref="GP323:GQ323"/>
    <mergeCell ref="GR323:GS323"/>
    <mergeCell ref="GT323:GU323"/>
    <mergeCell ref="GV323:GW323"/>
    <mergeCell ref="GX323:GY323"/>
    <mergeCell ref="FL323:FM323"/>
    <mergeCell ref="ES323:ET323"/>
    <mergeCell ref="CD323:CE323"/>
    <mergeCell ref="CF323:CG323"/>
    <mergeCell ref="CH323:CI323"/>
    <mergeCell ref="CJ323:CK323"/>
    <mergeCell ref="CL323:CM323"/>
    <mergeCell ref="CN323:CO323"/>
    <mergeCell ref="FU323:FV323"/>
    <mergeCell ref="FW323:FX323"/>
    <mergeCell ref="FY323:FZ323"/>
    <mergeCell ref="GA323:GB323"/>
    <mergeCell ref="GC323:GD323"/>
    <mergeCell ref="GE323:GF323"/>
    <mergeCell ref="FB323:FC323"/>
    <mergeCell ref="FD323:FE323"/>
    <mergeCell ref="EU323:EV323"/>
    <mergeCell ref="EW323:EX323"/>
    <mergeCell ref="BK323:BL323"/>
    <mergeCell ref="BM323:BN323"/>
    <mergeCell ref="BO323:BP323"/>
    <mergeCell ref="BQ323:BR323"/>
    <mergeCell ref="BS323:BT323"/>
    <mergeCell ref="GV257:GW257"/>
    <mergeCell ref="GX257:GY257"/>
    <mergeCell ref="HG257:HH257"/>
    <mergeCell ref="HI257:HJ257"/>
    <mergeCell ref="EI323:EJ323"/>
    <mergeCell ref="EK323:EL323"/>
    <mergeCell ref="DP323:DQ323"/>
    <mergeCell ref="DR323:DS323"/>
    <mergeCell ref="DT323:DU323"/>
    <mergeCell ref="DV323:DW323"/>
    <mergeCell ref="DX323:DY323"/>
    <mergeCell ref="DZ323:EA323"/>
    <mergeCell ref="CW323:CX323"/>
    <mergeCell ref="CY323:CZ323"/>
    <mergeCell ref="DA323:DB323"/>
    <mergeCell ref="FF323:FG323"/>
    <mergeCell ref="FH323:FI323"/>
    <mergeCell ref="FJ323:FK323"/>
    <mergeCell ref="BU323:BV323"/>
    <mergeCell ref="EM323:EN323"/>
    <mergeCell ref="EO323:EP323"/>
    <mergeCell ref="EQ323:ER323"/>
    <mergeCell ref="FU257:FV257"/>
    <mergeCell ref="FW257:FX257"/>
    <mergeCell ref="FH257:FI257"/>
    <mergeCell ref="FJ257:FK257"/>
    <mergeCell ref="DX257:DY257"/>
    <mergeCell ref="DZ257:EA257"/>
    <mergeCell ref="FD257:FE257"/>
    <mergeCell ref="FF257:FG257"/>
    <mergeCell ref="EM257:EN257"/>
    <mergeCell ref="EO257:EP257"/>
    <mergeCell ref="EQ257:ER257"/>
    <mergeCell ref="ES257:ET257"/>
    <mergeCell ref="FB257:FC257"/>
    <mergeCell ref="EI257:EJ257"/>
    <mergeCell ref="EK257:EL257"/>
    <mergeCell ref="EW257:EX257"/>
    <mergeCell ref="EH321:EX322"/>
    <mergeCell ref="BM257:BN257"/>
    <mergeCell ref="BO257:BP257"/>
    <mergeCell ref="BQ257:BR257"/>
    <mergeCell ref="BS257:BT257"/>
    <mergeCell ref="AV257:AW257"/>
    <mergeCell ref="AX257:AY257"/>
    <mergeCell ref="AZ257:BA257"/>
    <mergeCell ref="BB257:BC257"/>
    <mergeCell ref="BK257:BL257"/>
    <mergeCell ref="BD257:BE257"/>
    <mergeCell ref="BF257:BG257"/>
    <mergeCell ref="BU257:BV257"/>
    <mergeCell ref="CN257:CO257"/>
    <mergeCell ref="CW257:CX257"/>
    <mergeCell ref="CY257:CZ257"/>
    <mergeCell ref="DA257:DB257"/>
    <mergeCell ref="DC257:DD257"/>
    <mergeCell ref="CD257:CE257"/>
    <mergeCell ref="CF257:CG257"/>
    <mergeCell ref="CH257:CI257"/>
    <mergeCell ref="CJ257:CK257"/>
    <mergeCell ref="CL257:CM257"/>
    <mergeCell ref="HO257:HP257"/>
    <mergeCell ref="HQ257:HR257"/>
    <mergeCell ref="HK257:HL257"/>
    <mergeCell ref="EH255:EX256"/>
    <mergeCell ref="EU257:EV257"/>
    <mergeCell ref="GP257:GQ257"/>
    <mergeCell ref="FY257:FZ257"/>
    <mergeCell ref="GA257:GB257"/>
    <mergeCell ref="GC257:GD257"/>
    <mergeCell ref="GE257:GF257"/>
    <mergeCell ref="GG257:GH257"/>
    <mergeCell ref="GI257:GJ257"/>
    <mergeCell ref="FU191:FV191"/>
    <mergeCell ref="FW191:FX191"/>
    <mergeCell ref="FY191:FZ191"/>
    <mergeCell ref="GA191:GB191"/>
    <mergeCell ref="GR257:GS257"/>
    <mergeCell ref="GT257:GU257"/>
    <mergeCell ref="FL257:FM257"/>
    <mergeCell ref="GN257:GO257"/>
    <mergeCell ref="GT191:GU191"/>
    <mergeCell ref="ES191:ET191"/>
    <mergeCell ref="DT191:DU191"/>
    <mergeCell ref="DV191:DW191"/>
    <mergeCell ref="DX191:DY191"/>
    <mergeCell ref="DZ191:EA191"/>
    <mergeCell ref="EI191:EJ191"/>
    <mergeCell ref="GV191:GW191"/>
    <mergeCell ref="GX191:GY191"/>
    <mergeCell ref="FB191:FC191"/>
    <mergeCell ref="FD191:FE191"/>
    <mergeCell ref="FF191:FG191"/>
    <mergeCell ref="FH191:FI191"/>
    <mergeCell ref="FJ191:FK191"/>
    <mergeCell ref="EU191:EV191"/>
    <mergeCell ref="EW191:EX191"/>
    <mergeCell ref="EK191:EL191"/>
    <mergeCell ref="EM191:EN191"/>
    <mergeCell ref="EO191:EP191"/>
    <mergeCell ref="EQ191:ER191"/>
    <mergeCell ref="GC191:GD191"/>
    <mergeCell ref="GE191:GF191"/>
    <mergeCell ref="GN191:GO191"/>
    <mergeCell ref="GP191:GQ191"/>
    <mergeCell ref="GR191:GS191"/>
    <mergeCell ref="BK191:BL191"/>
    <mergeCell ref="BM191:BN191"/>
    <mergeCell ref="BU191:BV191"/>
    <mergeCell ref="BD191:BE191"/>
    <mergeCell ref="BF191:BG191"/>
    <mergeCell ref="DC191:DD191"/>
    <mergeCell ref="DE191:DF191"/>
    <mergeCell ref="DG191:DH191"/>
    <mergeCell ref="DP191:DQ191"/>
    <mergeCell ref="CD191:CE191"/>
    <mergeCell ref="CF191:CG191"/>
    <mergeCell ref="CH191:CI191"/>
    <mergeCell ref="CJ191:CK191"/>
    <mergeCell ref="CL191:CM191"/>
    <mergeCell ref="CN191:CO191"/>
    <mergeCell ref="CW191:CX191"/>
    <mergeCell ref="CY191:CZ191"/>
    <mergeCell ref="DA191:DB191"/>
    <mergeCell ref="B3:B67"/>
    <mergeCell ref="HF4:HR5"/>
    <mergeCell ref="HG6:HH6"/>
    <mergeCell ref="HI6:HJ6"/>
    <mergeCell ref="HK6:HL6"/>
    <mergeCell ref="HM6:HN6"/>
    <mergeCell ref="HO6:HP6"/>
    <mergeCell ref="HQ6:HR6"/>
    <mergeCell ref="GN6:GO6"/>
    <mergeCell ref="GP6:GQ6"/>
    <mergeCell ref="GR6:GS6"/>
    <mergeCell ref="GT6:GU6"/>
    <mergeCell ref="GV6:GW6"/>
    <mergeCell ref="GX6:GY6"/>
    <mergeCell ref="FU6:FV6"/>
    <mergeCell ref="FW6:FX6"/>
    <mergeCell ref="FY6:FZ6"/>
    <mergeCell ref="GA6:GB6"/>
    <mergeCell ref="GC6:GD6"/>
    <mergeCell ref="GE6:GF6"/>
    <mergeCell ref="FB6:FC6"/>
    <mergeCell ref="CV4:DL5"/>
    <mergeCell ref="DO4:EE5"/>
    <mergeCell ref="EB6:EC6"/>
    <mergeCell ref="ED6:EE6"/>
    <mergeCell ref="FD6:FE6"/>
    <mergeCell ref="FF6:FG6"/>
    <mergeCell ref="FH6:FI6"/>
    <mergeCell ref="FJ6:FK6"/>
    <mergeCell ref="FL6:FM6"/>
    <mergeCell ref="EI6:EJ6"/>
    <mergeCell ref="EK6:EL6"/>
    <mergeCell ref="EM6:EN6"/>
    <mergeCell ref="EO6:EP6"/>
    <mergeCell ref="EQ6:ER6"/>
    <mergeCell ref="ES6:ET6"/>
    <mergeCell ref="EU6:EV6"/>
    <mergeCell ref="EW6:EX6"/>
    <mergeCell ref="DP6:DQ6"/>
    <mergeCell ref="DR6:DS6"/>
    <mergeCell ref="DT6:DU6"/>
    <mergeCell ref="DV6:DW6"/>
    <mergeCell ref="DX6:DY6"/>
    <mergeCell ref="DZ6:EA6"/>
    <mergeCell ref="CW6:CX6"/>
    <mergeCell ref="CY6:CZ6"/>
    <mergeCell ref="DA6:DB6"/>
    <mergeCell ref="DC6:DD6"/>
    <mergeCell ref="DE6:DF6"/>
    <mergeCell ref="DG6:DH6"/>
    <mergeCell ref="DI6:DJ6"/>
    <mergeCell ref="DK6:DL6"/>
    <mergeCell ref="CH6:CI6"/>
    <mergeCell ref="CJ6:CK6"/>
    <mergeCell ref="CL6:CM6"/>
    <mergeCell ref="CN6:CO6"/>
    <mergeCell ref="D4:E4"/>
    <mergeCell ref="AR6:AS6"/>
    <mergeCell ref="F4:G4"/>
    <mergeCell ref="H4:I4"/>
    <mergeCell ref="J4:K4"/>
    <mergeCell ref="L4:M4"/>
    <mergeCell ref="N4:O4"/>
    <mergeCell ref="AZ6:BA6"/>
    <mergeCell ref="BB6:BC6"/>
    <mergeCell ref="AT6:AU6"/>
    <mergeCell ref="AV6:AW6"/>
    <mergeCell ref="AX6:AY6"/>
    <mergeCell ref="BK6:BL6"/>
    <mergeCell ref="R4:S4"/>
    <mergeCell ref="P4:Q4"/>
    <mergeCell ref="V6:AN7"/>
    <mergeCell ref="AQ4:BG5"/>
    <mergeCell ref="BW6:BX6"/>
    <mergeCell ref="BY6:BZ6"/>
    <mergeCell ref="AP189:AP253"/>
    <mergeCell ref="AP255:AP319"/>
    <mergeCell ref="BM6:BN6"/>
    <mergeCell ref="BO6:BP6"/>
    <mergeCell ref="BQ6:BR6"/>
    <mergeCell ref="BS6:BT6"/>
    <mergeCell ref="BU6:BV6"/>
    <mergeCell ref="AR104:AS104"/>
    <mergeCell ref="AT104:AU104"/>
    <mergeCell ref="AV104:AW104"/>
    <mergeCell ref="AX104:AY104"/>
    <mergeCell ref="AZ104:BA104"/>
    <mergeCell ref="BS104:BT104"/>
    <mergeCell ref="BU104:BV104"/>
    <mergeCell ref="BB104:BC104"/>
    <mergeCell ref="BK104:BL104"/>
    <mergeCell ref="BM104:BN104"/>
    <mergeCell ref="BO104:BP104"/>
    <mergeCell ref="BQ104:BR104"/>
    <mergeCell ref="BO191:BP191"/>
    <mergeCell ref="BQ191:BR191"/>
    <mergeCell ref="BS191:BT191"/>
    <mergeCell ref="AR257:AS257"/>
    <mergeCell ref="AT257:AU257"/>
    <mergeCell ref="IB6:IC6"/>
    <mergeCell ref="ID6:IE6"/>
    <mergeCell ref="IF6:IG6"/>
    <mergeCell ref="IH6:II6"/>
    <mergeCell ref="IJ6:IK6"/>
    <mergeCell ref="HY189:IK190"/>
    <mergeCell ref="HZ191:IA191"/>
    <mergeCell ref="IB191:IC191"/>
    <mergeCell ref="ID191:IE191"/>
    <mergeCell ref="IF191:IG191"/>
    <mergeCell ref="IH191:II191"/>
    <mergeCell ref="IJ191:IK191"/>
    <mergeCell ref="HY255:IK256"/>
    <mergeCell ref="HZ257:IA257"/>
    <mergeCell ref="IB257:IC257"/>
    <mergeCell ref="ID257:IE257"/>
    <mergeCell ref="IF257:IG257"/>
    <mergeCell ref="IH257:II257"/>
    <mergeCell ref="IJ257:IK257"/>
    <mergeCell ref="HY321:IK322"/>
    <mergeCell ref="HZ323:IA323"/>
    <mergeCell ref="IB323:IC323"/>
    <mergeCell ref="ID323:IE323"/>
    <mergeCell ref="IF323:IG323"/>
    <mergeCell ref="IH323:II323"/>
    <mergeCell ref="IJ323:IK323"/>
    <mergeCell ref="IR4:JD5"/>
    <mergeCell ref="IS6:IT6"/>
    <mergeCell ref="IU6:IV6"/>
    <mergeCell ref="IW6:IX6"/>
    <mergeCell ref="IY6:IZ6"/>
    <mergeCell ref="JA6:JB6"/>
    <mergeCell ref="JC6:JD6"/>
    <mergeCell ref="JK4:JW5"/>
    <mergeCell ref="JL6:JM6"/>
    <mergeCell ref="JN6:JO6"/>
    <mergeCell ref="JP6:JQ6"/>
    <mergeCell ref="JR6:JS6"/>
    <mergeCell ref="JT6:JU6"/>
    <mergeCell ref="JV6:JW6"/>
    <mergeCell ref="KD4:KP5"/>
    <mergeCell ref="KE6:KF6"/>
    <mergeCell ref="KG6:KH6"/>
    <mergeCell ref="KI6:KJ6"/>
    <mergeCell ref="KK6:KL6"/>
    <mergeCell ref="KM6:KN6"/>
    <mergeCell ref="KO6:KP6"/>
    <mergeCell ref="LL6:LM6"/>
    <mergeCell ref="MC6:MD6"/>
    <mergeCell ref="KW4:LI5"/>
    <mergeCell ref="KX6:KY6"/>
    <mergeCell ref="KZ6:LA6"/>
    <mergeCell ref="LB6:LC6"/>
    <mergeCell ref="LD6:LE6"/>
    <mergeCell ref="LF6:LG6"/>
    <mergeCell ref="LH6:LI6"/>
    <mergeCell ref="BW104:BX104"/>
    <mergeCell ref="BY104:BZ104"/>
    <mergeCell ref="C3:S3"/>
    <mergeCell ref="NB4:NN5"/>
    <mergeCell ref="NC6:ND6"/>
    <mergeCell ref="NE6:NF6"/>
    <mergeCell ref="NG6:NH6"/>
    <mergeCell ref="NI6:NJ6"/>
    <mergeCell ref="NK6:NL6"/>
    <mergeCell ref="NM6:NN6"/>
    <mergeCell ref="LP4:MB5"/>
    <mergeCell ref="LQ6:LR6"/>
    <mergeCell ref="LS6:LT6"/>
    <mergeCell ref="LU6:LV6"/>
    <mergeCell ref="LW6:LX6"/>
    <mergeCell ref="LY6:LZ6"/>
    <mergeCell ref="MA6:MB6"/>
    <mergeCell ref="MI4:MU5"/>
    <mergeCell ref="MJ6:MK6"/>
    <mergeCell ref="HY4:IK5"/>
    <mergeCell ref="HZ6:IA6"/>
    <mergeCell ref="ML6:MM6"/>
    <mergeCell ref="MN6:MO6"/>
    <mergeCell ref="MP6:MQ6"/>
    <mergeCell ref="BD323:BE323"/>
    <mergeCell ref="BF323:BG323"/>
    <mergeCell ref="AQ255:BG256"/>
    <mergeCell ref="AQ189:BG190"/>
    <mergeCell ref="BD6:BE6"/>
    <mergeCell ref="BF6:BG6"/>
    <mergeCell ref="AQ321:BC322"/>
    <mergeCell ref="AR323:AS323"/>
    <mergeCell ref="AT323:AU323"/>
    <mergeCell ref="AV323:AW323"/>
    <mergeCell ref="AX323:AY323"/>
    <mergeCell ref="AZ323:BA323"/>
    <mergeCell ref="BB323:BC323"/>
    <mergeCell ref="BD104:BE104"/>
    <mergeCell ref="BF104:BG104"/>
    <mergeCell ref="AR191:AS191"/>
    <mergeCell ref="AT191:AU191"/>
    <mergeCell ref="AV191:AW191"/>
    <mergeCell ref="AX191:AY191"/>
    <mergeCell ref="AZ191:BA191"/>
    <mergeCell ref="BB191:BC191"/>
    <mergeCell ref="BW323:BX323"/>
    <mergeCell ref="BY323:BZ323"/>
    <mergeCell ref="BJ189:BZ190"/>
    <mergeCell ref="BJ255:BZ256"/>
    <mergeCell ref="BJ321:BZ322"/>
    <mergeCell ref="BJ4:BZ5"/>
    <mergeCell ref="CP6:CQ6"/>
    <mergeCell ref="CR6:CS6"/>
    <mergeCell ref="CP191:CQ191"/>
    <mergeCell ref="CR191:CS191"/>
    <mergeCell ref="CC189:CS190"/>
    <mergeCell ref="CC255:CS256"/>
    <mergeCell ref="CP257:CQ257"/>
    <mergeCell ref="CR257:CS257"/>
    <mergeCell ref="CC321:CS322"/>
    <mergeCell ref="CP323:CQ323"/>
    <mergeCell ref="CR323:CS323"/>
    <mergeCell ref="CC4:CS5"/>
    <mergeCell ref="BW191:BX191"/>
    <mergeCell ref="BY191:BZ191"/>
    <mergeCell ref="BW257:BX257"/>
    <mergeCell ref="BY257:BZ257"/>
    <mergeCell ref="CD6:CE6"/>
    <mergeCell ref="CF6:CG6"/>
    <mergeCell ref="CV189:DL190"/>
    <mergeCell ref="CV255:DL256"/>
    <mergeCell ref="CV321:DL322"/>
    <mergeCell ref="DI191:DJ191"/>
    <mergeCell ref="DK191:DL191"/>
    <mergeCell ref="DI257:DJ257"/>
    <mergeCell ref="DK257:DL257"/>
    <mergeCell ref="DI323:DJ323"/>
    <mergeCell ref="DK323:DL323"/>
    <mergeCell ref="DC323:DD323"/>
    <mergeCell ref="DE323:DF323"/>
    <mergeCell ref="DG323:DH323"/>
    <mergeCell ref="DE257:DF257"/>
    <mergeCell ref="DG257:DH257"/>
    <mergeCell ref="DO189:EE190"/>
    <mergeCell ref="DO255:EE256"/>
    <mergeCell ref="DO321:EE322"/>
    <mergeCell ref="EB191:EC191"/>
    <mergeCell ref="ED191:EE191"/>
    <mergeCell ref="EB257:EC257"/>
    <mergeCell ref="ED257:EE257"/>
    <mergeCell ref="EB323:EC323"/>
    <mergeCell ref="ED323:EE323"/>
    <mergeCell ref="DR191:DS191"/>
    <mergeCell ref="DV257:DW257"/>
    <mergeCell ref="DP257:DQ257"/>
    <mergeCell ref="DR257:DS257"/>
    <mergeCell ref="DT257:DU257"/>
  </mergeCells>
  <phoneticPr fontId="8" type="noConversion"/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A5BB4-4AAD-48A1-9BD3-51066590F139}">
  <dimension ref="A1:BG101"/>
  <sheetViews>
    <sheetView zoomScale="55" zoomScaleNormal="55" workbookViewId="0">
      <selection activeCell="C4" sqref="C4"/>
    </sheetView>
  </sheetViews>
  <sheetFormatPr baseColWidth="10" defaultRowHeight="12.75" x14ac:dyDescent="0.2"/>
  <cols>
    <col min="2" max="2" width="16.7109375" customWidth="1"/>
    <col min="3" max="3" width="23.28515625" bestFit="1" customWidth="1"/>
    <col min="4" max="4" width="72.28515625" bestFit="1" customWidth="1"/>
    <col min="5" max="5" width="18.42578125" customWidth="1"/>
    <col min="6" max="6" width="12" customWidth="1"/>
    <col min="7" max="7" width="22" customWidth="1"/>
    <col min="8" max="8" width="18" customWidth="1"/>
    <col min="9" max="10" width="7.140625" customWidth="1"/>
    <col min="11" max="11" width="9.7109375" bestFit="1" customWidth="1"/>
    <col min="12" max="21" width="13.7109375" customWidth="1"/>
    <col min="22" max="22" width="13.7109375" style="3" customWidth="1"/>
    <col min="23" max="31" width="13.7109375" customWidth="1"/>
  </cols>
  <sheetData>
    <row r="1" spans="1:58" x14ac:dyDescent="0.2">
      <c r="I1" s="197"/>
      <c r="J1" s="197"/>
      <c r="K1" s="197"/>
    </row>
    <row r="2" spans="1:58" x14ac:dyDescent="0.2">
      <c r="C2" s="735"/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5"/>
      <c r="S2" s="735"/>
      <c r="T2" s="735"/>
      <c r="U2" s="735"/>
      <c r="V2" s="735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</row>
    <row r="3" spans="1:58" ht="13.5" x14ac:dyDescent="0.25">
      <c r="I3" s="197"/>
      <c r="J3" s="197"/>
      <c r="K3" s="197"/>
      <c r="L3" s="310" t="s">
        <v>848</v>
      </c>
      <c r="M3" s="310" t="s">
        <v>50</v>
      </c>
      <c r="N3" s="310" t="s">
        <v>835</v>
      </c>
      <c r="O3" s="310" t="s">
        <v>836</v>
      </c>
      <c r="P3" s="310" t="s">
        <v>837</v>
      </c>
      <c r="Q3" s="310" t="s">
        <v>838</v>
      </c>
      <c r="R3" s="310" t="s">
        <v>839</v>
      </c>
      <c r="S3" s="311" t="s">
        <v>840</v>
      </c>
      <c r="T3" s="310" t="s">
        <v>836</v>
      </c>
      <c r="U3" s="310" t="s">
        <v>836</v>
      </c>
      <c r="V3" s="324" t="s">
        <v>836</v>
      </c>
      <c r="W3" s="310" t="s">
        <v>841</v>
      </c>
      <c r="X3" s="310" t="s">
        <v>842</v>
      </c>
      <c r="Y3" s="310" t="s">
        <v>843</v>
      </c>
      <c r="Z3" s="310" t="s">
        <v>844</v>
      </c>
      <c r="AA3" s="310" t="s">
        <v>836</v>
      </c>
      <c r="AB3" s="310" t="s">
        <v>845</v>
      </c>
      <c r="AC3" s="310" t="s">
        <v>846</v>
      </c>
      <c r="AD3" s="310" t="s">
        <v>846</v>
      </c>
      <c r="AE3" s="310" t="s">
        <v>847</v>
      </c>
    </row>
    <row r="4" spans="1:58" ht="78" thickBot="1" x14ac:dyDescent="0.3">
      <c r="C4" s="203" t="s">
        <v>65</v>
      </c>
      <c r="D4" s="203" t="s">
        <v>455</v>
      </c>
      <c r="E4" s="203" t="s">
        <v>477</v>
      </c>
      <c r="F4" s="203" t="s">
        <v>459</v>
      </c>
      <c r="G4" s="203" t="s">
        <v>456</v>
      </c>
      <c r="H4" s="203" t="s">
        <v>458</v>
      </c>
      <c r="I4" s="312" t="s">
        <v>427</v>
      </c>
      <c r="J4" s="312" t="s">
        <v>428</v>
      </c>
      <c r="K4" s="312" t="s">
        <v>429</v>
      </c>
      <c r="L4" s="205" t="s">
        <v>830</v>
      </c>
      <c r="M4" s="206" t="s">
        <v>830</v>
      </c>
      <c r="N4" s="206" t="s">
        <v>858</v>
      </c>
      <c r="O4" s="207" t="s">
        <v>859</v>
      </c>
      <c r="P4" s="207" t="s">
        <v>441</v>
      </c>
      <c r="Q4" s="206" t="s">
        <v>860</v>
      </c>
      <c r="R4" s="206" t="s">
        <v>861</v>
      </c>
      <c r="S4" s="309" t="s">
        <v>862</v>
      </c>
      <c r="T4" s="309" t="s">
        <v>863</v>
      </c>
      <c r="U4" s="206" t="s">
        <v>864</v>
      </c>
      <c r="V4" s="325" t="s">
        <v>865</v>
      </c>
      <c r="W4" s="206" t="s">
        <v>866</v>
      </c>
      <c r="X4" s="206" t="s">
        <v>867</v>
      </c>
      <c r="Y4" s="206" t="s">
        <v>868</v>
      </c>
      <c r="Z4" s="206" t="s">
        <v>869</v>
      </c>
      <c r="AA4" s="206" t="s">
        <v>870</v>
      </c>
      <c r="AB4" s="206" t="s">
        <v>871</v>
      </c>
      <c r="AC4" s="206" t="s">
        <v>872</v>
      </c>
      <c r="AD4" s="206" t="s">
        <v>873</v>
      </c>
      <c r="AE4" s="206" t="s">
        <v>874</v>
      </c>
      <c r="AF4" s="206"/>
      <c r="AG4" s="204"/>
    </row>
    <row r="5" spans="1:58" x14ac:dyDescent="0.2">
      <c r="A5" s="68"/>
      <c r="B5" s="736" t="s">
        <v>464</v>
      </c>
      <c r="C5" s="123" t="s">
        <v>658</v>
      </c>
      <c r="D5" s="109" t="s">
        <v>807</v>
      </c>
      <c r="E5" s="145">
        <v>1.36</v>
      </c>
      <c r="F5" s="145">
        <v>35554</v>
      </c>
      <c r="G5" s="145" t="s">
        <v>457</v>
      </c>
      <c r="H5" s="239">
        <v>0.88349999999999995</v>
      </c>
      <c r="I5" s="313" t="s">
        <v>62</v>
      </c>
      <c r="J5" s="313"/>
      <c r="K5" s="314"/>
      <c r="L5" s="119">
        <v>175.16374035473899</v>
      </c>
      <c r="M5" s="210">
        <f>L5/3.6</f>
        <v>48.656594542983051</v>
      </c>
      <c r="N5" s="119">
        <v>16.254999999999999</v>
      </c>
      <c r="O5" s="119">
        <v>73.988</v>
      </c>
      <c r="P5" s="119">
        <v>7.0550000000000002E-2</v>
      </c>
      <c r="Q5" s="119">
        <v>0.30114999999999997</v>
      </c>
      <c r="R5" s="119">
        <v>9.2152999999999999E-2</v>
      </c>
      <c r="S5" s="119">
        <v>4.8764000000000004E-3</v>
      </c>
      <c r="T5" s="119">
        <v>1.4147000000000001</v>
      </c>
      <c r="U5" s="119">
        <v>9.4739000000000004</v>
      </c>
      <c r="V5" s="116">
        <v>19.216999999999999</v>
      </c>
      <c r="W5" s="323">
        <v>3.1113999999999999E-2</v>
      </c>
      <c r="X5" s="323">
        <v>3.3473999999999999</v>
      </c>
      <c r="Y5" s="323">
        <v>0.30975000000000003</v>
      </c>
      <c r="Z5" s="323">
        <v>0.18704000000000001</v>
      </c>
      <c r="AA5" s="323">
        <v>1.8706</v>
      </c>
      <c r="AB5" s="323">
        <v>3.9468000000000001E-4</v>
      </c>
      <c r="AC5" s="323">
        <v>4.1751999999999997E-2</v>
      </c>
      <c r="AD5" s="323">
        <v>4.1027000000000001E-2</v>
      </c>
      <c r="AE5" s="323">
        <v>3.4114999999999999E-6</v>
      </c>
      <c r="AF5" s="8"/>
      <c r="AG5" s="8"/>
      <c r="AH5" s="8"/>
      <c r="BF5" s="8"/>
    </row>
    <row r="6" spans="1:58" x14ac:dyDescent="0.2">
      <c r="A6" s="1"/>
      <c r="B6" s="736"/>
      <c r="C6" s="147" t="s">
        <v>659</v>
      </c>
      <c r="D6" s="109" t="s">
        <v>806</v>
      </c>
      <c r="E6" s="145">
        <v>1.23</v>
      </c>
      <c r="F6" s="250">
        <v>24532</v>
      </c>
      <c r="G6" s="145"/>
      <c r="H6" s="239"/>
      <c r="I6" s="313" t="s">
        <v>62</v>
      </c>
      <c r="J6" s="313"/>
      <c r="K6" s="313"/>
      <c r="L6" s="119">
        <v>175.28658787196599</v>
      </c>
      <c r="M6" s="210">
        <f t="shared" ref="M6:M19" si="0">L6/3.6</f>
        <v>48.690718853323887</v>
      </c>
      <c r="N6" s="119">
        <v>16.527000000000001</v>
      </c>
      <c r="O6" s="119">
        <v>77.825000000000003</v>
      </c>
      <c r="P6" s="119">
        <v>4.6198999999999997E-2</v>
      </c>
      <c r="Q6" s="119">
        <v>10.906000000000001</v>
      </c>
      <c r="R6" s="119">
        <v>0.12445000000000001</v>
      </c>
      <c r="S6" s="119">
        <v>4.1412000000000003E-3</v>
      </c>
      <c r="T6" s="119">
        <v>0.75333000000000006</v>
      </c>
      <c r="U6" s="119">
        <v>1.6986000000000001</v>
      </c>
      <c r="V6" s="116">
        <v>17.273</v>
      </c>
      <c r="W6" s="323">
        <v>2.2447000000000002E-2</v>
      </c>
      <c r="X6" s="323">
        <v>3.0777000000000001</v>
      </c>
      <c r="Y6" s="323">
        <v>0.98468</v>
      </c>
      <c r="Z6" s="323">
        <v>0.18140000000000001</v>
      </c>
      <c r="AA6" s="323">
        <v>1.0325</v>
      </c>
      <c r="AB6" s="323">
        <v>3.0236999999999999E-4</v>
      </c>
      <c r="AC6" s="323">
        <v>2.5971000000000001E-2</v>
      </c>
      <c r="AD6" s="323">
        <v>2.5007999999999999E-2</v>
      </c>
      <c r="AE6" s="323">
        <v>3.3598E-6</v>
      </c>
      <c r="AF6" s="8"/>
      <c r="AG6" s="8"/>
      <c r="AH6" s="8"/>
      <c r="BF6" s="8"/>
    </row>
    <row r="7" spans="1:58" x14ac:dyDescent="0.2">
      <c r="A7" s="1"/>
      <c r="B7" s="736"/>
      <c r="C7" s="147" t="s">
        <v>660</v>
      </c>
      <c r="D7" s="109" t="s">
        <v>805</v>
      </c>
      <c r="E7" s="145">
        <v>1.23</v>
      </c>
      <c r="F7" s="250">
        <v>24532</v>
      </c>
      <c r="G7" s="145"/>
      <c r="H7" s="239"/>
      <c r="I7" s="313" t="s">
        <v>62</v>
      </c>
      <c r="J7" s="313"/>
      <c r="K7" s="313"/>
      <c r="L7" s="119">
        <v>150.79236909806301</v>
      </c>
      <c r="M7" s="210">
        <f t="shared" si="0"/>
        <v>41.886769193906389</v>
      </c>
      <c r="N7" s="119">
        <v>9.0867000000000004</v>
      </c>
      <c r="O7" s="119">
        <v>77.320999999999998</v>
      </c>
      <c r="P7" s="119">
        <v>2.6065999999999999E-2</v>
      </c>
      <c r="Q7" s="119">
        <v>6.7847000000000005E-2</v>
      </c>
      <c r="R7" s="119">
        <v>0.28034999999999999</v>
      </c>
      <c r="S7" s="119">
        <v>2.434E-3</v>
      </c>
      <c r="T7" s="119">
        <v>0.30120000000000002</v>
      </c>
      <c r="U7" s="119">
        <v>1.2070000000000001</v>
      </c>
      <c r="V7" s="116">
        <v>7.4701000000000004</v>
      </c>
      <c r="W7" s="323">
        <v>1.1672E-2</v>
      </c>
      <c r="X7" s="323">
        <v>2.855</v>
      </c>
      <c r="Y7" s="323">
        <v>0.49192999999999998</v>
      </c>
      <c r="Z7" s="323">
        <v>0.17080000000000001</v>
      </c>
      <c r="AA7" s="323">
        <v>0.46011000000000002</v>
      </c>
      <c r="AB7" s="323">
        <v>2.1524000000000001E-4</v>
      </c>
      <c r="AC7" s="323">
        <v>1.8713E-2</v>
      </c>
      <c r="AD7" s="323">
        <v>1.7391E-2</v>
      </c>
      <c r="AE7" s="323">
        <v>1.7864E-6</v>
      </c>
      <c r="AF7" s="8"/>
      <c r="AG7" s="8"/>
      <c r="AH7" s="8"/>
      <c r="BF7" s="8"/>
    </row>
    <row r="8" spans="1:58" ht="14.25" x14ac:dyDescent="0.25">
      <c r="A8" s="68"/>
      <c r="B8" s="736"/>
      <c r="C8" s="148" t="s">
        <v>368</v>
      </c>
      <c r="D8" s="109" t="s">
        <v>804</v>
      </c>
      <c r="E8" s="145">
        <v>1.36</v>
      </c>
      <c r="F8" s="148"/>
      <c r="G8" s="123"/>
      <c r="H8" s="232"/>
      <c r="I8" s="313" t="s">
        <v>62</v>
      </c>
      <c r="J8" s="313"/>
      <c r="K8" s="313"/>
      <c r="L8" s="603">
        <v>107.380535877494</v>
      </c>
      <c r="M8" s="603">
        <f t="shared" si="0"/>
        <v>29.827926632637222</v>
      </c>
      <c r="N8" s="119">
        <v>8.1082999999999998</v>
      </c>
      <c r="O8" s="119">
        <v>79.290999999999997</v>
      </c>
      <c r="P8" s="119">
        <v>4.8938000000000002E-2</v>
      </c>
      <c r="Q8" s="119">
        <v>26.823</v>
      </c>
      <c r="R8" s="119">
        <v>8.7756000000000001E-2</v>
      </c>
      <c r="S8" s="119">
        <v>4.6760999999999999E-3</v>
      </c>
      <c r="T8" s="119">
        <v>0.70374000000000003</v>
      </c>
      <c r="U8" s="119">
        <v>1.7015</v>
      </c>
      <c r="V8" s="116">
        <v>15.747</v>
      </c>
      <c r="W8" s="323">
        <v>1.8803E-2</v>
      </c>
      <c r="X8" s="323">
        <v>2.0499000000000001</v>
      </c>
      <c r="Y8" s="323">
        <v>0.28543000000000002</v>
      </c>
      <c r="Z8" s="323">
        <v>0.23585999999999999</v>
      </c>
      <c r="AA8" s="323">
        <v>0.96316999999999997</v>
      </c>
      <c r="AB8" s="323">
        <v>6.2123999999999999E-3</v>
      </c>
      <c r="AC8" s="323">
        <v>2.9071E-2</v>
      </c>
      <c r="AD8" s="323">
        <v>2.8277E-2</v>
      </c>
      <c r="AE8" s="323">
        <v>2.3578999999999999E-6</v>
      </c>
      <c r="AF8" s="8"/>
      <c r="AG8" s="8"/>
      <c r="AH8" s="8"/>
      <c r="BF8" s="8"/>
    </row>
    <row r="9" spans="1:58" ht="14.25" x14ac:dyDescent="0.25">
      <c r="A9" s="68"/>
      <c r="B9" s="736"/>
      <c r="C9" s="607" t="s">
        <v>875</v>
      </c>
      <c r="D9" s="608" t="s">
        <v>804</v>
      </c>
      <c r="E9" s="609">
        <v>1.36</v>
      </c>
      <c r="F9" s="607"/>
      <c r="G9" s="610"/>
      <c r="H9" s="611"/>
      <c r="I9" s="612" t="s">
        <v>62</v>
      </c>
      <c r="J9" s="612"/>
      <c r="K9" s="612"/>
      <c r="L9" s="613">
        <v>107.380535877494</v>
      </c>
      <c r="M9" s="613">
        <f t="shared" ref="M9" si="1">L9/3.6</f>
        <v>29.827926632637222</v>
      </c>
      <c r="N9" s="614">
        <v>8.1082999999999998</v>
      </c>
      <c r="O9" s="614">
        <v>79.290999999999997</v>
      </c>
      <c r="P9" s="614">
        <v>4.8938000000000002E-2</v>
      </c>
      <c r="Q9" s="614">
        <v>26.823</v>
      </c>
      <c r="R9" s="614">
        <v>8.7756000000000001E-2</v>
      </c>
      <c r="S9" s="614">
        <v>4.6760999999999999E-3</v>
      </c>
      <c r="T9" s="614">
        <v>0.70374000000000003</v>
      </c>
      <c r="U9" s="614">
        <v>1.7015</v>
      </c>
      <c r="V9" s="615">
        <v>15.747</v>
      </c>
      <c r="W9" s="616">
        <v>1.8803E-2</v>
      </c>
      <c r="X9" s="616">
        <v>2.0499000000000001</v>
      </c>
      <c r="Y9" s="616">
        <v>0.28543000000000002</v>
      </c>
      <c r="Z9" s="616">
        <v>0.23585999999999999</v>
      </c>
      <c r="AA9" s="616">
        <v>0.96316999999999997</v>
      </c>
      <c r="AB9" s="616">
        <v>6.2123999999999999E-3</v>
      </c>
      <c r="AC9" s="616">
        <v>2.9071E-2</v>
      </c>
      <c r="AD9" s="616">
        <v>2.8277E-2</v>
      </c>
      <c r="AE9" s="616">
        <v>2.3578999999999999E-6</v>
      </c>
      <c r="AF9" s="8"/>
      <c r="AG9" s="8"/>
      <c r="AH9" s="8"/>
      <c r="BF9" s="8"/>
    </row>
    <row r="10" spans="1:58" x14ac:dyDescent="0.2">
      <c r="A10" s="68"/>
      <c r="B10" s="736"/>
      <c r="C10" s="236" t="s">
        <v>131</v>
      </c>
      <c r="D10" s="358" t="s">
        <v>803</v>
      </c>
      <c r="E10" s="223">
        <v>1.23</v>
      </c>
      <c r="F10" s="223">
        <v>23532</v>
      </c>
      <c r="G10" s="223"/>
      <c r="H10" s="239"/>
      <c r="I10" s="313" t="s">
        <v>62</v>
      </c>
      <c r="J10" s="313"/>
      <c r="K10" s="313"/>
      <c r="L10" s="603">
        <v>195.04154903333799</v>
      </c>
      <c r="M10" s="603">
        <f t="shared" si="0"/>
        <v>54.178208064816104</v>
      </c>
      <c r="N10" s="119">
        <v>15.558</v>
      </c>
      <c r="O10" s="119">
        <v>142.31</v>
      </c>
      <c r="P10" s="119">
        <v>8.3553000000000002E-2</v>
      </c>
      <c r="Q10" s="119">
        <v>43.543999999999997</v>
      </c>
      <c r="R10" s="119">
        <v>0.14912</v>
      </c>
      <c r="S10" s="119">
        <v>7.9451999999999995E-3</v>
      </c>
      <c r="T10" s="119">
        <v>1.2293000000000001</v>
      </c>
      <c r="U10" s="119">
        <v>3.0192999999999999</v>
      </c>
      <c r="V10" s="116">
        <v>27.573</v>
      </c>
      <c r="W10" s="323">
        <v>3.2518999999999999E-2</v>
      </c>
      <c r="X10" s="323">
        <v>3.7145999999999999</v>
      </c>
      <c r="Y10" s="323">
        <v>0.53774999999999995</v>
      </c>
      <c r="Z10" s="323">
        <v>0.41064000000000001</v>
      </c>
      <c r="AA10" s="323">
        <v>1.6881999999999999</v>
      </c>
      <c r="AB10" s="323">
        <v>1.0109999999999999E-2</v>
      </c>
      <c r="AC10" s="323">
        <v>5.0776000000000002E-2</v>
      </c>
      <c r="AD10" s="323">
        <v>4.9326000000000002E-2</v>
      </c>
      <c r="AE10" s="323">
        <v>4.1810999999999997E-6</v>
      </c>
      <c r="AF10" s="8"/>
      <c r="AG10" s="8"/>
      <c r="AH10" s="8"/>
      <c r="BF10" s="8"/>
    </row>
    <row r="11" spans="1:58" ht="14.25" x14ac:dyDescent="0.25">
      <c r="A11" s="68"/>
      <c r="B11" s="736"/>
      <c r="C11" s="236" t="s">
        <v>655</v>
      </c>
      <c r="D11" s="358" t="s">
        <v>802</v>
      </c>
      <c r="E11" s="223">
        <v>1.32</v>
      </c>
      <c r="F11" s="223"/>
      <c r="G11" s="223"/>
      <c r="H11" s="239"/>
      <c r="I11" s="422" t="s">
        <v>62</v>
      </c>
      <c r="J11" s="313"/>
      <c r="K11" s="313"/>
      <c r="L11" s="603">
        <v>4.9732981185429699</v>
      </c>
      <c r="M11" s="603">
        <f>L11/3.6</f>
        <v>1.3814716995952694</v>
      </c>
      <c r="N11" s="119">
        <v>0.35428999999999999</v>
      </c>
      <c r="O11" s="119">
        <v>5.5420999999999996</v>
      </c>
      <c r="P11" s="119">
        <v>3.2816999999999998E-3</v>
      </c>
      <c r="Q11" s="119">
        <v>7.8510000000000003E-3</v>
      </c>
      <c r="R11" s="119">
        <v>1.6954E-2</v>
      </c>
      <c r="S11" s="119">
        <v>1.9572E-4</v>
      </c>
      <c r="T11" s="119">
        <v>4.8223000000000002E-2</v>
      </c>
      <c r="U11" s="119">
        <v>0.13572000000000001</v>
      </c>
      <c r="V11" s="116">
        <v>0.88431999999999999</v>
      </c>
      <c r="W11" s="323">
        <v>8.7633999999999997E-4</v>
      </c>
      <c r="X11" s="323">
        <v>8.2319000000000003E-2</v>
      </c>
      <c r="Y11" s="323">
        <v>2.2055000000000002E-2</v>
      </c>
      <c r="Z11" s="323">
        <v>2.8549999999999999E-2</v>
      </c>
      <c r="AA11" s="323">
        <v>6.6274E-2</v>
      </c>
      <c r="AB11" s="323">
        <v>3.4752999999999997E-5</v>
      </c>
      <c r="AC11" s="323">
        <v>1.0039999999999999E-3</v>
      </c>
      <c r="AD11" s="323">
        <v>9.7287000000000003E-4</v>
      </c>
      <c r="AE11" s="323">
        <v>9.8907E-8</v>
      </c>
      <c r="AF11" s="8"/>
      <c r="AG11" s="8"/>
      <c r="AH11" s="8"/>
      <c r="BF11" s="8"/>
    </row>
    <row r="12" spans="1:58" ht="14.25" x14ac:dyDescent="0.25">
      <c r="A12" s="68"/>
      <c r="B12" s="736"/>
      <c r="C12" s="181" t="s">
        <v>209</v>
      </c>
      <c r="D12" s="358" t="s">
        <v>801</v>
      </c>
      <c r="E12" s="223">
        <v>1.17</v>
      </c>
      <c r="F12" s="223">
        <v>23243</v>
      </c>
      <c r="G12" s="223" t="s">
        <v>463</v>
      </c>
      <c r="H12" s="239">
        <v>0.92190000000000005</v>
      </c>
      <c r="I12" s="313" t="s">
        <v>62</v>
      </c>
      <c r="J12" s="313"/>
      <c r="K12" s="313"/>
      <c r="L12" s="603">
        <v>262.251228823129</v>
      </c>
      <c r="M12" s="603">
        <f t="shared" si="0"/>
        <v>72.84756356198028</v>
      </c>
      <c r="N12" s="119">
        <v>5.4512</v>
      </c>
      <c r="O12" s="119">
        <v>357.78</v>
      </c>
      <c r="P12" s="119">
        <v>8.6679000000000006E-2</v>
      </c>
      <c r="Q12" s="119">
        <v>2.1206</v>
      </c>
      <c r="R12" s="119">
        <v>1.2017</v>
      </c>
      <c r="S12" s="119">
        <v>2.5753999999999998E-3</v>
      </c>
      <c r="T12" s="119">
        <v>1.3548</v>
      </c>
      <c r="U12" s="119">
        <v>1.4785999999999999</v>
      </c>
      <c r="V12" s="116">
        <v>33.988</v>
      </c>
      <c r="W12" s="323">
        <v>2.7871E-2</v>
      </c>
      <c r="X12" s="323">
        <v>1.7931999999999999</v>
      </c>
      <c r="Y12" s="323">
        <v>1.6019000000000001</v>
      </c>
      <c r="Z12" s="323">
        <v>0.18276999999999999</v>
      </c>
      <c r="AA12" s="323">
        <v>1.8935</v>
      </c>
      <c r="AB12" s="323">
        <v>1.4379E-3</v>
      </c>
      <c r="AC12" s="323">
        <v>1.5921000000000001E-2</v>
      </c>
      <c r="AD12" s="323">
        <v>1.5069000000000001E-2</v>
      </c>
      <c r="AE12" s="323">
        <v>4.4078999999999998E-6</v>
      </c>
      <c r="AF12" s="8"/>
      <c r="AG12" s="8"/>
      <c r="AH12" s="8"/>
      <c r="BF12" s="8"/>
    </row>
    <row r="13" spans="1:58" ht="14.25" x14ac:dyDescent="0.25">
      <c r="A13" s="68"/>
      <c r="B13" s="736"/>
      <c r="C13" s="181" t="s">
        <v>210</v>
      </c>
      <c r="D13" s="358" t="s">
        <v>800</v>
      </c>
      <c r="E13" s="223">
        <v>1.1100000000000001</v>
      </c>
      <c r="F13" s="223">
        <v>23243</v>
      </c>
      <c r="G13" s="223" t="s">
        <v>462</v>
      </c>
      <c r="H13" s="239">
        <v>0.39510000000000001</v>
      </c>
      <c r="I13" s="313" t="s">
        <v>62</v>
      </c>
      <c r="J13" s="313"/>
      <c r="K13" s="313"/>
      <c r="L13" s="603">
        <v>13.360353314575301</v>
      </c>
      <c r="M13" s="603">
        <f t="shared" si="0"/>
        <v>3.7112092540486947</v>
      </c>
      <c r="N13" s="119">
        <v>0.90739000000000003</v>
      </c>
      <c r="O13" s="119">
        <v>14.454000000000001</v>
      </c>
      <c r="P13" s="119">
        <v>2.3278E-2</v>
      </c>
      <c r="Q13" s="119">
        <v>5.9894999999999997E-2</v>
      </c>
      <c r="R13" s="119">
        <v>8.5038000000000006E-3</v>
      </c>
      <c r="S13" s="119">
        <v>3.3126E-4</v>
      </c>
      <c r="T13" s="119">
        <v>8.5722000000000007E-2</v>
      </c>
      <c r="U13" s="119">
        <v>0.24201</v>
      </c>
      <c r="V13" s="116">
        <v>1.9912000000000001</v>
      </c>
      <c r="W13" s="323">
        <v>7.3965000000000003E-3</v>
      </c>
      <c r="X13" s="323">
        <v>0.23435</v>
      </c>
      <c r="Y13" s="323">
        <v>7.3612999999999998E-2</v>
      </c>
      <c r="Z13" s="323">
        <v>3.8766000000000002E-2</v>
      </c>
      <c r="AA13" s="323">
        <v>0.12525</v>
      </c>
      <c r="AB13" s="323">
        <v>2.4732E-5</v>
      </c>
      <c r="AC13" s="323">
        <v>3.0370000000000002E-3</v>
      </c>
      <c r="AD13" s="323">
        <v>2.9518000000000001E-3</v>
      </c>
      <c r="AE13" s="323">
        <v>2.9220999999999999E-7</v>
      </c>
      <c r="AF13" s="8"/>
      <c r="AG13" s="8"/>
      <c r="AH13" s="8"/>
      <c r="BF13" s="8"/>
    </row>
    <row r="14" spans="1:58" ht="14.25" x14ac:dyDescent="0.25">
      <c r="A14" s="68"/>
      <c r="B14" s="736"/>
      <c r="C14" s="181" t="s">
        <v>424</v>
      </c>
      <c r="D14" s="358" t="s">
        <v>799</v>
      </c>
      <c r="E14" s="223">
        <v>1.06</v>
      </c>
      <c r="F14" s="223">
        <v>24211</v>
      </c>
      <c r="G14" s="223" t="s">
        <v>460</v>
      </c>
      <c r="H14" s="239">
        <v>0.6623</v>
      </c>
      <c r="I14" s="313" t="s">
        <v>62</v>
      </c>
      <c r="J14" s="313"/>
      <c r="K14" s="313"/>
      <c r="L14" s="603">
        <v>1177.04346597634</v>
      </c>
      <c r="M14" s="603">
        <f t="shared" si="0"/>
        <v>326.95651832676111</v>
      </c>
      <c r="N14" s="119">
        <v>31.433</v>
      </c>
      <c r="O14" s="119">
        <v>1242.0999999999999</v>
      </c>
      <c r="P14" s="119">
        <v>0.19073000000000001</v>
      </c>
      <c r="Q14" s="119">
        <v>8.9141999999999992</v>
      </c>
      <c r="R14" s="119">
        <v>5.1307</v>
      </c>
      <c r="S14" s="119">
        <v>1.2161999999999999E-2</v>
      </c>
      <c r="T14" s="119">
        <v>5.0152000000000001</v>
      </c>
      <c r="U14" s="119">
        <v>7.6147</v>
      </c>
      <c r="V14" s="116">
        <v>137.16</v>
      </c>
      <c r="W14" s="323">
        <v>6.9818000000000005E-2</v>
      </c>
      <c r="X14" s="323">
        <v>8.8649000000000004</v>
      </c>
      <c r="Y14" s="323">
        <v>7.0021000000000004</v>
      </c>
      <c r="Z14" s="323">
        <v>0.81730000000000003</v>
      </c>
      <c r="AA14" s="323">
        <v>7.0277000000000003</v>
      </c>
      <c r="AB14" s="323">
        <v>6.8431000000000004E-3</v>
      </c>
      <c r="AC14" s="323">
        <v>7.3179999999999995E-2</v>
      </c>
      <c r="AD14" s="323">
        <v>6.9267999999999996E-2</v>
      </c>
      <c r="AE14" s="323">
        <v>2.0285999999999999E-5</v>
      </c>
      <c r="AF14" s="8"/>
      <c r="AG14" s="8"/>
      <c r="AH14" s="8"/>
      <c r="BF14" s="8"/>
    </row>
    <row r="15" spans="1:58" ht="14.25" x14ac:dyDescent="0.25">
      <c r="A15" s="68"/>
      <c r="B15" s="736"/>
      <c r="C15" s="181" t="s">
        <v>563</v>
      </c>
      <c r="D15" s="358" t="s">
        <v>834</v>
      </c>
      <c r="E15" s="223">
        <v>1.36</v>
      </c>
      <c r="F15" s="181"/>
      <c r="G15" s="236"/>
      <c r="H15" s="240"/>
      <c r="I15" s="313" t="s">
        <v>62</v>
      </c>
      <c r="J15" s="313"/>
      <c r="K15" s="313"/>
      <c r="L15" s="603">
        <v>10.0816433912034</v>
      </c>
      <c r="M15" s="603">
        <f t="shared" si="0"/>
        <v>2.8004564975565001</v>
      </c>
      <c r="N15" s="119">
        <v>0.57650000000000001</v>
      </c>
      <c r="O15" s="119">
        <v>10.927</v>
      </c>
      <c r="P15" s="119">
        <v>7.7117000000000002E-3</v>
      </c>
      <c r="Q15" s="119">
        <v>3.0505999999999998E-2</v>
      </c>
      <c r="R15" s="119">
        <v>1.3871E-2</v>
      </c>
      <c r="S15" s="119">
        <v>3.3121000000000002E-4</v>
      </c>
      <c r="T15" s="119">
        <v>8.5516999999999996E-2</v>
      </c>
      <c r="U15" s="119">
        <v>1.0862000000000001</v>
      </c>
      <c r="V15" s="116">
        <v>1.7333000000000001</v>
      </c>
      <c r="W15" s="323">
        <v>2.5175000000000002E-3</v>
      </c>
      <c r="X15" s="323">
        <v>0.14196</v>
      </c>
      <c r="Y15" s="323">
        <v>0.11928</v>
      </c>
      <c r="Z15" s="323">
        <v>1.9495999999999999E-2</v>
      </c>
      <c r="AA15" s="323">
        <v>0.12489</v>
      </c>
      <c r="AB15" s="323">
        <v>2.1937999999999999E-5</v>
      </c>
      <c r="AC15" s="323">
        <v>1.7401000000000001E-3</v>
      </c>
      <c r="AD15" s="323">
        <v>1.6930999999999999E-3</v>
      </c>
      <c r="AE15" s="323">
        <v>1.8073E-7</v>
      </c>
      <c r="AF15" s="8"/>
      <c r="AG15" s="8"/>
      <c r="AH15" s="8"/>
      <c r="BF15" s="8"/>
    </row>
    <row r="16" spans="1:58" ht="14.25" x14ac:dyDescent="0.25">
      <c r="A16" s="68"/>
      <c r="B16" s="736"/>
      <c r="C16" s="181" t="s">
        <v>654</v>
      </c>
      <c r="D16" s="358" t="s">
        <v>808</v>
      </c>
      <c r="E16" s="223">
        <v>1.28</v>
      </c>
      <c r="F16" s="181"/>
      <c r="G16" s="236"/>
      <c r="H16" s="240"/>
      <c r="I16" s="422" t="s">
        <v>62</v>
      </c>
      <c r="J16" s="313"/>
      <c r="K16" s="313"/>
      <c r="L16" s="603">
        <v>3.55909740618621</v>
      </c>
      <c r="M16" s="603">
        <f t="shared" si="0"/>
        <v>0.98863816838505825</v>
      </c>
      <c r="N16" s="119">
        <v>0.15923999999999999</v>
      </c>
      <c r="O16" s="119">
        <v>4.0871000000000004</v>
      </c>
      <c r="P16" s="119">
        <v>8.0539999999999995E-4</v>
      </c>
      <c r="Q16" s="119">
        <v>5.9956999999999996E-3</v>
      </c>
      <c r="R16" s="119">
        <v>1.6105E-3</v>
      </c>
      <c r="S16" s="119">
        <v>1.2416E-4</v>
      </c>
      <c r="T16" s="119">
        <v>3.7781000000000002E-2</v>
      </c>
      <c r="U16" s="119">
        <v>0.10124</v>
      </c>
      <c r="V16" s="116">
        <v>0.63566999999999996</v>
      </c>
      <c r="W16" s="323">
        <v>3.2508999999999999E-4</v>
      </c>
      <c r="X16" s="323">
        <v>4.2595000000000001E-2</v>
      </c>
      <c r="Y16" s="323">
        <v>5.2911E-2</v>
      </c>
      <c r="Z16" s="323">
        <v>9.8299000000000008E-3</v>
      </c>
      <c r="AA16" s="323">
        <v>5.1539000000000001E-2</v>
      </c>
      <c r="AB16" s="323">
        <v>8.4717000000000006E-6</v>
      </c>
      <c r="AC16" s="323">
        <v>4.7482999999999998E-4</v>
      </c>
      <c r="AD16" s="323">
        <v>4.5795999999999999E-4</v>
      </c>
      <c r="AE16" s="323">
        <v>6.3791000000000005E-8</v>
      </c>
      <c r="AF16" s="8"/>
      <c r="AG16" s="8"/>
      <c r="AH16" s="8"/>
      <c r="BF16" s="8"/>
    </row>
    <row r="17" spans="1:58" x14ac:dyDescent="0.2">
      <c r="A17" s="68"/>
      <c r="B17" s="736"/>
      <c r="C17" s="181" t="s">
        <v>54</v>
      </c>
      <c r="D17" s="358" t="s">
        <v>809</v>
      </c>
      <c r="E17" s="223">
        <v>1.36</v>
      </c>
      <c r="F17" s="223">
        <v>35554</v>
      </c>
      <c r="G17" s="236"/>
      <c r="H17" s="234"/>
      <c r="I17" s="313" t="s">
        <v>62</v>
      </c>
      <c r="J17" s="313"/>
      <c r="K17" s="313"/>
      <c r="L17" s="603">
        <v>18.126999550568598</v>
      </c>
      <c r="M17" s="603">
        <f t="shared" si="0"/>
        <v>5.0352776529357213</v>
      </c>
      <c r="N17" s="119">
        <v>0.90637000000000001</v>
      </c>
      <c r="O17" s="119">
        <v>9.6080000000000005</v>
      </c>
      <c r="P17" s="119">
        <v>2.7872000000000001E-3</v>
      </c>
      <c r="Q17" s="119">
        <v>0.18587999999999999</v>
      </c>
      <c r="R17" s="119">
        <v>8.5290000000000001E-3</v>
      </c>
      <c r="S17" s="119">
        <v>6.4247999999999996E-4</v>
      </c>
      <c r="T17" s="119">
        <v>7.9323000000000005E-2</v>
      </c>
      <c r="U17" s="119">
        <v>0.24443999999999999</v>
      </c>
      <c r="V17" s="116">
        <v>1.6248</v>
      </c>
      <c r="W17" s="323">
        <v>1.1577E-3</v>
      </c>
      <c r="X17" s="323">
        <v>0.23905000000000001</v>
      </c>
      <c r="Y17" s="323">
        <v>0.23164999999999999</v>
      </c>
      <c r="Z17" s="323">
        <v>3.1961000000000003E-2</v>
      </c>
      <c r="AA17" s="323">
        <v>0.11033999999999999</v>
      </c>
      <c r="AB17" s="323">
        <v>8.8616999999999995E-5</v>
      </c>
      <c r="AC17" s="323">
        <v>1.8641E-3</v>
      </c>
      <c r="AD17" s="323">
        <v>1.7937999999999999E-3</v>
      </c>
      <c r="AE17" s="323">
        <v>3.9541999999999998E-7</v>
      </c>
      <c r="AF17" s="8"/>
      <c r="AG17" s="8"/>
      <c r="AH17" s="8"/>
      <c r="BF17" s="8"/>
    </row>
    <row r="18" spans="1:58" ht="14.25" x14ac:dyDescent="0.25">
      <c r="A18" s="68"/>
      <c r="B18" s="736"/>
      <c r="C18" s="181" t="s">
        <v>216</v>
      </c>
      <c r="D18" s="358" t="s">
        <v>810</v>
      </c>
      <c r="E18" s="223">
        <v>1.36</v>
      </c>
      <c r="F18" s="181"/>
      <c r="G18" s="236"/>
      <c r="H18" s="234"/>
      <c r="I18" s="313" t="s">
        <v>62</v>
      </c>
      <c r="J18" s="313"/>
      <c r="K18" s="313"/>
      <c r="L18" s="603">
        <v>47.636033982152597</v>
      </c>
      <c r="M18" s="603">
        <f t="shared" si="0"/>
        <v>13.232231661709054</v>
      </c>
      <c r="N18" s="119">
        <v>2.9285999999999999</v>
      </c>
      <c r="O18" s="119">
        <v>13.289</v>
      </c>
      <c r="P18" s="119">
        <v>2.2812000000000002E-3</v>
      </c>
      <c r="Q18" s="119">
        <v>2.2081E-2</v>
      </c>
      <c r="R18" s="119">
        <v>5.6494000000000003E-2</v>
      </c>
      <c r="S18" s="119">
        <v>1.3746E-4</v>
      </c>
      <c r="T18" s="119">
        <v>5.0402000000000002E-2</v>
      </c>
      <c r="U18" s="119">
        <v>0.23283999999999999</v>
      </c>
      <c r="V18" s="116">
        <v>0.79256000000000004</v>
      </c>
      <c r="W18" s="323">
        <v>8.7600000000000004E-4</v>
      </c>
      <c r="X18" s="323">
        <v>0.97391000000000005</v>
      </c>
      <c r="Y18" s="323">
        <v>3.9056E-2</v>
      </c>
      <c r="Z18" s="323">
        <v>1.1733E-2</v>
      </c>
      <c r="AA18" s="323">
        <v>7.7890000000000001E-2</v>
      </c>
      <c r="AB18" s="323">
        <v>6.4482999999999999E-5</v>
      </c>
      <c r="AC18" s="323">
        <v>3.1310000000000001E-3</v>
      </c>
      <c r="AD18" s="323">
        <v>2.7404999999999999E-3</v>
      </c>
      <c r="AE18" s="323">
        <v>2.6566000000000001E-7</v>
      </c>
      <c r="AF18" s="8"/>
      <c r="AG18" s="8"/>
      <c r="AH18" s="8"/>
      <c r="BF18" s="8"/>
    </row>
    <row r="19" spans="1:58" ht="14.25" x14ac:dyDescent="0.25">
      <c r="A19" s="68"/>
      <c r="B19" s="736"/>
      <c r="C19" s="236" t="s">
        <v>379</v>
      </c>
      <c r="D19" s="358" t="s">
        <v>811</v>
      </c>
      <c r="E19" s="223">
        <v>1.36</v>
      </c>
      <c r="F19" s="236"/>
      <c r="G19" s="150"/>
      <c r="H19" s="233"/>
      <c r="I19" s="313" t="s">
        <v>62</v>
      </c>
      <c r="J19" s="313"/>
      <c r="K19" s="313"/>
      <c r="L19" s="603">
        <v>26.108878908326599</v>
      </c>
      <c r="M19" s="603">
        <f t="shared" si="0"/>
        <v>7.2524663634240554</v>
      </c>
      <c r="N19" s="119">
        <v>1.6167</v>
      </c>
      <c r="O19" s="119">
        <v>27.39</v>
      </c>
      <c r="P19" s="119">
        <v>5.0809E-2</v>
      </c>
      <c r="Q19" s="119">
        <v>5.6105000000000002E-2</v>
      </c>
      <c r="R19" s="119">
        <v>6.4343999999999998E-2</v>
      </c>
      <c r="S19" s="119">
        <v>3.4665999999999999E-4</v>
      </c>
      <c r="T19" s="119">
        <v>0.10946</v>
      </c>
      <c r="U19" s="119">
        <v>0.31963000000000003</v>
      </c>
      <c r="V19" s="116">
        <v>2.2107999999999999</v>
      </c>
      <c r="W19" s="323">
        <v>1.4992999999999999E-2</v>
      </c>
      <c r="X19" s="323">
        <v>0.48515999999999998</v>
      </c>
      <c r="Y19" s="323">
        <v>9.5512E-2</v>
      </c>
      <c r="Z19" s="323">
        <v>0.22259999999999999</v>
      </c>
      <c r="AA19" s="323">
        <v>0.16916</v>
      </c>
      <c r="AB19" s="323">
        <v>9.3715999999999995E-5</v>
      </c>
      <c r="AC19" s="323">
        <v>3.0435000000000002E-3</v>
      </c>
      <c r="AD19" s="323">
        <v>2.8191000000000002E-3</v>
      </c>
      <c r="AE19" s="323">
        <v>3.6375000000000001E-7</v>
      </c>
      <c r="AF19" s="8"/>
      <c r="AG19" s="8"/>
      <c r="AH19" s="8"/>
      <c r="BF19" s="8"/>
    </row>
    <row r="20" spans="1:58" ht="14.25" x14ac:dyDescent="0.25">
      <c r="A20" s="1"/>
      <c r="B20" s="736"/>
      <c r="C20" s="236" t="s">
        <v>377</v>
      </c>
      <c r="D20" s="358" t="s">
        <v>812</v>
      </c>
      <c r="E20" s="223">
        <v>1.36</v>
      </c>
      <c r="F20" s="236"/>
      <c r="G20" s="150"/>
      <c r="H20" s="233"/>
      <c r="I20" s="313" t="s">
        <v>62</v>
      </c>
      <c r="J20" s="313"/>
      <c r="K20" s="313"/>
      <c r="L20" s="603">
        <v>15.1253887554527</v>
      </c>
      <c r="M20" s="603">
        <f t="shared" ref="M20:M26" si="2">L20/3.6</f>
        <v>4.2014968765146392</v>
      </c>
      <c r="N20" s="119">
        <v>1.0038</v>
      </c>
      <c r="O20" s="119">
        <v>10.98</v>
      </c>
      <c r="P20" s="119">
        <v>3.6633E-3</v>
      </c>
      <c r="Q20" s="119">
        <v>7.1797E-2</v>
      </c>
      <c r="R20" s="119">
        <v>7.7667999999999999E-3</v>
      </c>
      <c r="S20" s="119">
        <v>4.0458999999999997E-4</v>
      </c>
      <c r="T20" s="119">
        <v>7.9260999999999998E-2</v>
      </c>
      <c r="U20" s="119">
        <v>0.26479999999999998</v>
      </c>
      <c r="V20" s="116">
        <v>1.6207</v>
      </c>
      <c r="W20" s="323">
        <v>1.8859E-3</v>
      </c>
      <c r="X20" s="323">
        <v>0.26025999999999999</v>
      </c>
      <c r="Y20" s="323">
        <v>9.0987999999999999E-2</v>
      </c>
      <c r="Z20" s="323">
        <v>2.6634999999999999E-2</v>
      </c>
      <c r="AA20" s="323">
        <v>0.11101999999999999</v>
      </c>
      <c r="AB20" s="323">
        <v>4.4048999999999998E-5</v>
      </c>
      <c r="AC20" s="323">
        <v>2.9293000000000001E-3</v>
      </c>
      <c r="AD20" s="323">
        <v>2.8468999999999999E-3</v>
      </c>
      <c r="AE20" s="323">
        <v>3.5746999999999998E-7</v>
      </c>
      <c r="AF20" s="8"/>
      <c r="AG20" s="8"/>
      <c r="AH20" s="8"/>
      <c r="BF20" s="8"/>
    </row>
    <row r="21" spans="1:58" x14ac:dyDescent="0.2">
      <c r="A21" s="68"/>
      <c r="B21" s="736"/>
      <c r="C21" s="150" t="s">
        <v>269</v>
      </c>
      <c r="D21" s="358" t="s">
        <v>813</v>
      </c>
      <c r="E21" s="223">
        <v>1.06</v>
      </c>
      <c r="F21" s="251">
        <v>32222</v>
      </c>
      <c r="G21" s="252"/>
      <c r="H21" s="253"/>
      <c r="I21" s="313" t="s">
        <v>62</v>
      </c>
      <c r="J21" s="315"/>
      <c r="K21" s="313"/>
      <c r="L21" s="603">
        <v>84.444460081823195</v>
      </c>
      <c r="M21" s="603">
        <f t="shared" si="2"/>
        <v>23.456794467173108</v>
      </c>
      <c r="N21" s="119">
        <v>2.5097999999999998</v>
      </c>
      <c r="O21" s="119">
        <v>14.627000000000001</v>
      </c>
      <c r="P21" s="119">
        <v>6.2541000000000003E-3</v>
      </c>
      <c r="Q21" s="119">
        <v>2.2887999999999999E-2</v>
      </c>
      <c r="R21" s="119">
        <v>3.6481E-3</v>
      </c>
      <c r="S21" s="119">
        <v>1.1883999999999999E-4</v>
      </c>
      <c r="T21" s="119">
        <v>4.4416999999999998E-2</v>
      </c>
      <c r="U21" s="119">
        <v>0.26490000000000002</v>
      </c>
      <c r="V21" s="116">
        <v>0.73807999999999996</v>
      </c>
      <c r="W21" s="323">
        <v>3.1310999999999999E-3</v>
      </c>
      <c r="X21" s="323">
        <v>1.8152999999999999</v>
      </c>
      <c r="Y21" s="323">
        <v>1.9435000000000001E-2</v>
      </c>
      <c r="Z21" s="323">
        <v>1.8759000000000001E-2</v>
      </c>
      <c r="AA21" s="323">
        <v>7.2867000000000001E-2</v>
      </c>
      <c r="AB21" s="323">
        <v>3.7951999999999998E-5</v>
      </c>
      <c r="AC21" s="323">
        <v>5.4592E-3</v>
      </c>
      <c r="AD21" s="323">
        <v>4.5881999999999997E-3</v>
      </c>
      <c r="AE21" s="323">
        <v>2.3970000000000001E-7</v>
      </c>
      <c r="AF21" s="8"/>
      <c r="AG21" s="8"/>
      <c r="AH21" s="8"/>
      <c r="BF21" s="8"/>
    </row>
    <row r="22" spans="1:58" x14ac:dyDescent="0.2">
      <c r="A22" s="1"/>
      <c r="B22" s="736"/>
      <c r="C22" s="252" t="s">
        <v>663</v>
      </c>
      <c r="D22" s="316" t="s">
        <v>852</v>
      </c>
      <c r="E22" s="223">
        <v>1.36</v>
      </c>
      <c r="F22" s="227"/>
      <c r="G22" s="238"/>
      <c r="H22" s="242"/>
      <c r="I22" s="422" t="s">
        <v>62</v>
      </c>
      <c r="J22" s="421"/>
      <c r="K22" s="421"/>
      <c r="L22" s="604">
        <v>98.933227039643299</v>
      </c>
      <c r="M22" s="604">
        <f t="shared" si="2"/>
        <v>27.481451955456471</v>
      </c>
      <c r="N22" s="318">
        <v>3.79454</v>
      </c>
      <c r="O22" s="318">
        <v>30.333600000000001</v>
      </c>
      <c r="P22" s="318">
        <v>8.9674999999999998E-3</v>
      </c>
      <c r="Q22" s="318">
        <v>4.49489E-2</v>
      </c>
      <c r="R22" s="318">
        <v>3.8390000000000001E-2</v>
      </c>
      <c r="S22" s="318">
        <v>8.4480999999999998E-4</v>
      </c>
      <c r="T22" s="318">
        <v>0.14163200000000001</v>
      </c>
      <c r="U22" s="318">
        <v>0.70277900000000004</v>
      </c>
      <c r="V22" s="127">
        <v>3.11463</v>
      </c>
      <c r="W22" s="597">
        <v>4.3560999999999999E-3</v>
      </c>
      <c r="X22" s="597">
        <v>1.97194</v>
      </c>
      <c r="Y22" s="597">
        <v>0.18269200000000002</v>
      </c>
      <c r="Z22" s="597">
        <v>0.11455699999999999</v>
      </c>
      <c r="AA22" s="597">
        <v>0.21262200000000001</v>
      </c>
      <c r="AB22" s="597">
        <v>1.3184500000000001E-4</v>
      </c>
      <c r="AC22" s="597">
        <v>9.1696999999999994E-3</v>
      </c>
      <c r="AD22" s="597">
        <v>8.135100000000001E-3</v>
      </c>
      <c r="AE22" s="597">
        <v>8.2106000000000002E-7</v>
      </c>
      <c r="AF22" s="8"/>
      <c r="AG22" s="8"/>
      <c r="AH22" s="8"/>
      <c r="BF22" s="8"/>
    </row>
    <row r="23" spans="1:58" x14ac:dyDescent="0.2">
      <c r="A23" s="1"/>
      <c r="B23" s="736"/>
      <c r="C23" s="252" t="s">
        <v>664</v>
      </c>
      <c r="D23" s="316" t="s">
        <v>826</v>
      </c>
      <c r="E23" s="223">
        <v>1.36</v>
      </c>
      <c r="F23" s="227"/>
      <c r="G23" s="238"/>
      <c r="H23" s="242"/>
      <c r="I23" s="422" t="s">
        <v>62</v>
      </c>
      <c r="J23" s="421"/>
      <c r="K23" s="421"/>
      <c r="L23" s="604">
        <v>89.923253912624602</v>
      </c>
      <c r="M23" s="604">
        <f>L23/3.6</f>
        <v>24.978681642395721</v>
      </c>
      <c r="N23" s="318">
        <v>5.798</v>
      </c>
      <c r="O23" s="318">
        <v>59.481000000000002</v>
      </c>
      <c r="P23" s="318">
        <v>2.6009999999999998E-2</v>
      </c>
      <c r="Q23" s="318">
        <v>7.3672000000000004</v>
      </c>
      <c r="R23" s="318">
        <v>5.3903E-2</v>
      </c>
      <c r="S23" s="318">
        <v>1.908E-3</v>
      </c>
      <c r="T23" s="318">
        <v>0.51175999999999999</v>
      </c>
      <c r="U23" s="318">
        <v>1.1276999999999999</v>
      </c>
      <c r="V23" s="127">
        <v>10.42</v>
      </c>
      <c r="W23" s="597">
        <v>1.0801E-2</v>
      </c>
      <c r="X23" s="597">
        <v>1.6874</v>
      </c>
      <c r="Y23" s="597">
        <v>0.31485999999999997</v>
      </c>
      <c r="Z23" s="597">
        <v>0.14602000000000001</v>
      </c>
      <c r="AA23" s="597">
        <v>0.70140999999999998</v>
      </c>
      <c r="AB23" s="597">
        <v>5.8177000000000001E-4</v>
      </c>
      <c r="AC23" s="597">
        <v>1.3783E-2</v>
      </c>
      <c r="AD23" s="597">
        <v>1.2945E-2</v>
      </c>
      <c r="AE23" s="597">
        <v>1.3077E-6</v>
      </c>
      <c r="AF23" s="8"/>
      <c r="AG23" s="8"/>
      <c r="AH23" s="8"/>
      <c r="BF23" s="8"/>
    </row>
    <row r="24" spans="1:58" x14ac:dyDescent="0.2">
      <c r="A24" s="1"/>
      <c r="B24" s="736"/>
      <c r="C24" s="252" t="s">
        <v>665</v>
      </c>
      <c r="D24" s="606" t="s">
        <v>857</v>
      </c>
      <c r="E24" s="223">
        <v>1.36</v>
      </c>
      <c r="F24" s="227"/>
      <c r="G24" s="238"/>
      <c r="H24" s="242"/>
      <c r="I24" s="422" t="s">
        <v>62</v>
      </c>
      <c r="J24" s="317"/>
      <c r="K24" s="319"/>
      <c r="L24" s="603">
        <v>113.56100828905539</v>
      </c>
      <c r="M24" s="603">
        <f t="shared" si="2"/>
        <v>31.54472452473761</v>
      </c>
      <c r="N24" s="119">
        <v>5.7489473993358686</v>
      </c>
      <c r="O24" s="119">
        <v>55.21913928420328</v>
      </c>
      <c r="P24" s="119">
        <v>4.7702083932300486E-2</v>
      </c>
      <c r="Q24" s="119">
        <v>3.6140927779007304</v>
      </c>
      <c r="R24" s="119">
        <v>0.15891144507523214</v>
      </c>
      <c r="S24" s="119">
        <v>3.9670699619067081E-3</v>
      </c>
      <c r="T24" s="119">
        <v>0.57401524652027491</v>
      </c>
      <c r="U24" s="119">
        <v>4.2038068596027331</v>
      </c>
      <c r="V24" s="116">
        <v>12.763650267982332</v>
      </c>
      <c r="W24" s="323">
        <v>1.6244734515508657E-2</v>
      </c>
      <c r="X24" s="323">
        <v>1.5457032856406729</v>
      </c>
      <c r="Y24" s="323">
        <v>1.4202704987504569</v>
      </c>
      <c r="Z24" s="323">
        <v>0.42317993446148416</v>
      </c>
      <c r="AA24" s="323">
        <v>0.80241576138963433</v>
      </c>
      <c r="AB24" s="323">
        <v>1.0700978486372695E-3</v>
      </c>
      <c r="AC24" s="323">
        <v>1.3904077859778222E-2</v>
      </c>
      <c r="AD24" s="323">
        <v>1.3384274597010996E-2</v>
      </c>
      <c r="AE24" s="323">
        <v>1.896405869532958E-6</v>
      </c>
      <c r="AF24" s="8"/>
      <c r="AG24" s="8"/>
      <c r="AH24" s="8"/>
      <c r="BF24" s="8"/>
    </row>
    <row r="25" spans="1:58" x14ac:dyDescent="0.2">
      <c r="A25" s="68"/>
      <c r="B25" s="736"/>
      <c r="C25" s="307" t="s">
        <v>666</v>
      </c>
      <c r="D25" s="316" t="s">
        <v>853</v>
      </c>
      <c r="E25" s="223">
        <v>1.06</v>
      </c>
      <c r="F25" s="251">
        <v>32222</v>
      </c>
      <c r="G25" s="227"/>
      <c r="H25" s="235"/>
      <c r="I25" s="422" t="s">
        <v>62</v>
      </c>
      <c r="J25" s="421"/>
      <c r="K25" s="598"/>
      <c r="L25" s="604">
        <v>91.784284512679818</v>
      </c>
      <c r="M25" s="604">
        <f t="shared" si="2"/>
        <v>25.495634586855505</v>
      </c>
      <c r="N25" s="318">
        <v>4.1076160000000002</v>
      </c>
      <c r="O25" s="318">
        <v>30.489840000000001</v>
      </c>
      <c r="P25" s="318">
        <v>1.317519E-2</v>
      </c>
      <c r="Q25" s="318">
        <v>0.27159644000000005</v>
      </c>
      <c r="R25" s="318">
        <v>3.1879940000000002E-2</v>
      </c>
      <c r="S25" s="318">
        <v>1.2287545E-3</v>
      </c>
      <c r="T25" s="318">
        <v>0.16421840000000001</v>
      </c>
      <c r="U25" s="318">
        <v>0.6461437000000001</v>
      </c>
      <c r="V25" s="127">
        <v>4.2203189999999999</v>
      </c>
      <c r="W25" s="597">
        <v>6.4755979999999999E-3</v>
      </c>
      <c r="X25" s="597">
        <v>1.4415819999999999</v>
      </c>
      <c r="Y25" s="597">
        <v>0.28455640000000004</v>
      </c>
      <c r="Z25" s="597">
        <v>0.51108746999999999</v>
      </c>
      <c r="AA25" s="597">
        <v>0.24145240000000001</v>
      </c>
      <c r="AB25" s="597">
        <v>1.3999869000000002E-4</v>
      </c>
      <c r="AC25" s="597">
        <v>1.0445266E-2</v>
      </c>
      <c r="AD25" s="597">
        <v>9.708851000000001E-3</v>
      </c>
      <c r="AE25" s="597">
        <v>1.0826015999999999E-6</v>
      </c>
      <c r="AF25" s="8"/>
      <c r="AG25" s="8"/>
      <c r="AH25" s="8"/>
      <c r="BF25" s="8"/>
    </row>
    <row r="26" spans="1:58" ht="14.25" x14ac:dyDescent="0.25">
      <c r="A26" s="1"/>
      <c r="B26" s="736"/>
      <c r="C26" s="150" t="s">
        <v>667</v>
      </c>
      <c r="D26" s="358" t="s">
        <v>814</v>
      </c>
      <c r="E26" s="223">
        <v>1.23</v>
      </c>
      <c r="F26" s="223">
        <v>23532</v>
      </c>
      <c r="G26" s="237"/>
      <c r="H26" s="241"/>
      <c r="I26" s="422" t="s">
        <v>62</v>
      </c>
      <c r="J26" s="313"/>
      <c r="K26" s="320"/>
      <c r="L26" s="603">
        <v>6.2634852578089002E-3</v>
      </c>
      <c r="M26" s="604">
        <f t="shared" si="2"/>
        <v>1.7398570160580278E-3</v>
      </c>
      <c r="N26" s="119">
        <v>4.2383999999999998E-4</v>
      </c>
      <c r="O26" s="119">
        <v>5.8237000000000002E-3</v>
      </c>
      <c r="P26" s="119">
        <v>3.1441000000000001E-6</v>
      </c>
      <c r="Q26" s="119">
        <v>6.2706999999999994E-5</v>
      </c>
      <c r="R26" s="119">
        <v>2.0772999999999999E-5</v>
      </c>
      <c r="S26" s="119">
        <v>1.5632000000000001E-7</v>
      </c>
      <c r="T26" s="119">
        <v>3.2746000000000001E-5</v>
      </c>
      <c r="U26" s="119">
        <v>1.5087E-4</v>
      </c>
      <c r="V26" s="116">
        <v>6.8725000000000004E-4</v>
      </c>
      <c r="W26" s="323">
        <v>1.1093999999999999E-6</v>
      </c>
      <c r="X26" s="323">
        <v>1.0284E-4</v>
      </c>
      <c r="Y26" s="323">
        <v>4.5904E-5</v>
      </c>
      <c r="Z26" s="323">
        <v>9.8532000000000008E-6</v>
      </c>
      <c r="AA26" s="323">
        <v>4.7926999999999997E-5</v>
      </c>
      <c r="AB26" s="323">
        <v>2.1497000000000001E-8</v>
      </c>
      <c r="AC26" s="323">
        <v>8.2900000000000002E-7</v>
      </c>
      <c r="AD26" s="323">
        <v>7.9370999999999998E-7</v>
      </c>
      <c r="AE26" s="323">
        <v>3.1596000000000001E-10</v>
      </c>
      <c r="AF26" s="8"/>
      <c r="AG26" s="8"/>
      <c r="AH26" s="8"/>
      <c r="BF26" s="8"/>
    </row>
    <row r="27" spans="1:58" x14ac:dyDescent="0.2">
      <c r="A27" s="68"/>
      <c r="B27" s="736"/>
      <c r="C27" s="617" t="s">
        <v>668</v>
      </c>
      <c r="D27" s="618" t="s">
        <v>815</v>
      </c>
      <c r="E27" s="619">
        <v>1.06</v>
      </c>
      <c r="F27" s="617"/>
      <c r="G27" s="620"/>
      <c r="H27" s="621"/>
      <c r="I27" s="622" t="s">
        <v>62</v>
      </c>
      <c r="J27" s="622"/>
      <c r="K27" s="623"/>
      <c r="L27" s="624">
        <v>124.447065709721</v>
      </c>
      <c r="M27" s="624">
        <f t="shared" ref="M27:M31" si="3">L27/3.6</f>
        <v>34.56862936381139</v>
      </c>
      <c r="N27" s="625">
        <v>7.6771000000000003</v>
      </c>
      <c r="O27" s="625">
        <v>524.34</v>
      </c>
      <c r="P27" s="625">
        <v>8.7953000000000003E-2</v>
      </c>
      <c r="Q27" s="625">
        <v>4.0640000000000003E-2</v>
      </c>
      <c r="R27" s="625">
        <v>1.6879999999999999E-2</v>
      </c>
      <c r="S27" s="625">
        <v>1.2292E-3</v>
      </c>
      <c r="T27" s="625">
        <v>0.14888000000000001</v>
      </c>
      <c r="U27" s="625">
        <v>0.85052000000000005</v>
      </c>
      <c r="V27" s="626">
        <v>4.8497000000000003</v>
      </c>
      <c r="W27" s="627">
        <v>3.0825999999999999E-2</v>
      </c>
      <c r="X27" s="627">
        <v>2.4950000000000001</v>
      </c>
      <c r="Y27" s="627">
        <v>0.21296000000000001</v>
      </c>
      <c r="Z27" s="627">
        <v>8.3482000000000001E-2</v>
      </c>
      <c r="AA27" s="627">
        <v>0.68596000000000001</v>
      </c>
      <c r="AB27" s="627">
        <v>1.1158999999999999E-4</v>
      </c>
      <c r="AC27" s="627">
        <v>2.7358E-2</v>
      </c>
      <c r="AD27" s="627">
        <v>2.6646E-2</v>
      </c>
      <c r="AE27" s="627">
        <v>1.5568000000000001E-6</v>
      </c>
      <c r="AF27" s="8"/>
      <c r="AG27" s="8"/>
      <c r="AH27" s="8"/>
      <c r="BF27" s="8"/>
    </row>
    <row r="28" spans="1:58" x14ac:dyDescent="0.2">
      <c r="A28" s="68"/>
      <c r="B28" s="736"/>
      <c r="C28" s="150" t="s">
        <v>59</v>
      </c>
      <c r="D28" s="358" t="s">
        <v>816</v>
      </c>
      <c r="E28" s="223">
        <v>1.06</v>
      </c>
      <c r="F28" s="150"/>
      <c r="G28" s="237"/>
      <c r="H28" s="241"/>
      <c r="I28" s="422" t="s">
        <v>62</v>
      </c>
      <c r="J28" s="313"/>
      <c r="K28" s="320"/>
      <c r="L28" s="603">
        <v>133.600424480014</v>
      </c>
      <c r="M28" s="603">
        <f t="shared" si="3"/>
        <v>37.111229022226112</v>
      </c>
      <c r="N28" s="119">
        <v>8.2479999999999993</v>
      </c>
      <c r="O28" s="119">
        <v>499.09</v>
      </c>
      <c r="P28" s="119">
        <v>8.5597999999999994E-2</v>
      </c>
      <c r="Q28" s="119">
        <v>5.7987999999999998E-2</v>
      </c>
      <c r="R28" s="119">
        <v>2.0081000000000002E-2</v>
      </c>
      <c r="S28" s="119">
        <v>1.3426E-3</v>
      </c>
      <c r="T28" s="119">
        <v>0.18862000000000001</v>
      </c>
      <c r="U28" s="119">
        <v>0.97914999999999996</v>
      </c>
      <c r="V28" s="116">
        <v>5.5883000000000003</v>
      </c>
      <c r="W28" s="323">
        <v>3.0249000000000002E-2</v>
      </c>
      <c r="X28" s="323">
        <v>2.6562000000000001</v>
      </c>
      <c r="Y28" s="323">
        <v>0.23400000000000001</v>
      </c>
      <c r="Z28" s="323">
        <v>0.11225</v>
      </c>
      <c r="AA28" s="323">
        <v>0.71292</v>
      </c>
      <c r="AB28" s="323">
        <v>1.2973999999999999E-4</v>
      </c>
      <c r="AC28" s="323">
        <v>2.8188999999999999E-2</v>
      </c>
      <c r="AD28" s="323">
        <v>2.7422999999999999E-2</v>
      </c>
      <c r="AE28" s="323">
        <v>1.7038000000000001E-6</v>
      </c>
      <c r="AF28" s="8"/>
      <c r="AG28" s="8"/>
      <c r="AH28" s="8"/>
      <c r="BF28" s="8"/>
    </row>
    <row r="29" spans="1:58" x14ac:dyDescent="0.2">
      <c r="A29" s="1"/>
      <c r="B29" s="736"/>
      <c r="C29" s="307" t="s">
        <v>518</v>
      </c>
      <c r="D29" s="358" t="s">
        <v>817</v>
      </c>
      <c r="E29" s="223">
        <v>1.36</v>
      </c>
      <c r="F29" s="228"/>
      <c r="G29" s="227"/>
      <c r="H29" s="235"/>
      <c r="I29" s="422" t="s">
        <v>62</v>
      </c>
      <c r="J29" s="317"/>
      <c r="K29" s="319"/>
      <c r="L29" s="603">
        <v>173.76038505559899</v>
      </c>
      <c r="M29" s="603">
        <f t="shared" si="3"/>
        <v>48.26677362655527</v>
      </c>
      <c r="N29" s="119">
        <v>11.7</v>
      </c>
      <c r="O29" s="119">
        <v>1144.4000000000001</v>
      </c>
      <c r="P29" s="119">
        <v>4.0571999999999997E-2</v>
      </c>
      <c r="Q29" s="119">
        <v>5.6184999999999999E-2</v>
      </c>
      <c r="R29" s="119">
        <v>0.11222</v>
      </c>
      <c r="S29" s="119">
        <v>3.3869999999999998E-3</v>
      </c>
      <c r="T29" s="119">
        <v>0.22664999999999999</v>
      </c>
      <c r="U29" s="119">
        <v>0.91554000000000002</v>
      </c>
      <c r="V29" s="116">
        <v>6.7973999999999997</v>
      </c>
      <c r="W29" s="323">
        <v>1.9428999999999998E-2</v>
      </c>
      <c r="X29" s="323">
        <v>2.5737999999999999</v>
      </c>
      <c r="Y29" s="323">
        <v>0.73611000000000004</v>
      </c>
      <c r="Z29" s="323">
        <v>0.85402999999999996</v>
      </c>
      <c r="AA29" s="323">
        <v>1.6382000000000001</v>
      </c>
      <c r="AB29" s="323">
        <v>2.6917999999999999E-4</v>
      </c>
      <c r="AC29" s="323">
        <v>2.8785999999999999E-2</v>
      </c>
      <c r="AD29" s="323">
        <v>2.8063999999999999E-2</v>
      </c>
      <c r="AE29" s="323">
        <v>3.5196999999999999E-6</v>
      </c>
      <c r="AF29" s="8"/>
      <c r="AG29" s="8"/>
      <c r="AH29" s="8"/>
      <c r="BF29" s="8"/>
    </row>
    <row r="30" spans="1:58" x14ac:dyDescent="0.2">
      <c r="A30" s="1"/>
      <c r="B30" s="736"/>
      <c r="C30" s="307" t="s">
        <v>652</v>
      </c>
      <c r="D30" s="358" t="s">
        <v>818</v>
      </c>
      <c r="E30" s="223">
        <v>1.31</v>
      </c>
      <c r="F30" s="228"/>
      <c r="G30" s="227"/>
      <c r="H30" s="235"/>
      <c r="I30" s="422" t="s">
        <v>62</v>
      </c>
      <c r="J30" s="317"/>
      <c r="K30" s="319"/>
      <c r="L30" s="603">
        <v>43.830662365217798</v>
      </c>
      <c r="M30" s="603">
        <f t="shared" si="3"/>
        <v>12.175183990338276</v>
      </c>
      <c r="N30" s="119">
        <v>3.4182000000000001</v>
      </c>
      <c r="O30" s="119">
        <v>9.5533000000000001</v>
      </c>
      <c r="P30" s="119">
        <v>1.5990000000000001E-2</v>
      </c>
      <c r="Q30" s="119">
        <v>1.0161999999999999E-2</v>
      </c>
      <c r="R30" s="119">
        <v>8.5740999999999994E-3</v>
      </c>
      <c r="S30" s="119">
        <v>1.3397999999999999E-3</v>
      </c>
      <c r="T30" s="119">
        <v>6.0495E-2</v>
      </c>
      <c r="U30" s="119">
        <v>0.29146</v>
      </c>
      <c r="V30" s="116">
        <v>2.7296</v>
      </c>
      <c r="W30" s="323">
        <v>6.0787999999999997E-3</v>
      </c>
      <c r="X30" s="323">
        <v>0.87026999999999999</v>
      </c>
      <c r="Y30" s="323">
        <v>0.1181</v>
      </c>
      <c r="Z30" s="323">
        <v>3.9916E-2</v>
      </c>
      <c r="AA30" s="323">
        <v>9.0787000000000007E-2</v>
      </c>
      <c r="AB30" s="323">
        <v>9.1285000000000004E-5</v>
      </c>
      <c r="AC30" s="323">
        <v>8.1951000000000003E-3</v>
      </c>
      <c r="AD30" s="323">
        <v>8.0406999999999996E-3</v>
      </c>
      <c r="AE30" s="323">
        <v>6.3157999999999999E-7</v>
      </c>
      <c r="AF30" s="8"/>
      <c r="AG30" s="8"/>
      <c r="AH30" s="8"/>
      <c r="BF30" s="8"/>
    </row>
    <row r="31" spans="1:58" x14ac:dyDescent="0.2">
      <c r="A31" s="1"/>
      <c r="B31" s="736"/>
      <c r="C31" s="307" t="s">
        <v>653</v>
      </c>
      <c r="D31" s="358" t="s">
        <v>819</v>
      </c>
      <c r="E31" s="223">
        <v>1.32</v>
      </c>
      <c r="F31" s="228"/>
      <c r="G31" s="227"/>
      <c r="H31" s="235"/>
      <c r="I31" s="422" t="s">
        <v>62</v>
      </c>
      <c r="J31" s="317"/>
      <c r="K31" s="319"/>
      <c r="L31" s="603">
        <v>1126.36393579733</v>
      </c>
      <c r="M31" s="603">
        <f t="shared" si="3"/>
        <v>312.87887105481389</v>
      </c>
      <c r="N31" s="119">
        <v>84.385000000000005</v>
      </c>
      <c r="O31" s="119">
        <v>666.19</v>
      </c>
      <c r="P31" s="119">
        <v>0.40967999999999999</v>
      </c>
      <c r="Q31" s="119">
        <v>164.12</v>
      </c>
      <c r="R31" s="119">
        <v>0.74929999999999997</v>
      </c>
      <c r="S31" s="119">
        <v>4.1908000000000001E-2</v>
      </c>
      <c r="T31" s="119">
        <v>5.8129</v>
      </c>
      <c r="U31" s="119">
        <v>15.446</v>
      </c>
      <c r="V31" s="116">
        <v>134.80000000000001</v>
      </c>
      <c r="W31" s="323">
        <v>0.17762</v>
      </c>
      <c r="X31" s="323">
        <v>20.361999999999998</v>
      </c>
      <c r="Y31" s="323">
        <v>5.0571000000000002</v>
      </c>
      <c r="Z31" s="323">
        <v>1.9899</v>
      </c>
      <c r="AA31" s="323">
        <v>8.0045999999999999</v>
      </c>
      <c r="AB31" s="323">
        <v>3.8951E-2</v>
      </c>
      <c r="AC31" s="323">
        <v>0.25276999999999999</v>
      </c>
      <c r="AD31" s="323">
        <v>0.24621999999999999</v>
      </c>
      <c r="AE31" s="323">
        <v>2.7404000000000001E-5</v>
      </c>
      <c r="AF31" s="8"/>
      <c r="AG31" s="8"/>
      <c r="AH31" s="8"/>
      <c r="BF31" s="8"/>
    </row>
    <row r="32" spans="1:58" x14ac:dyDescent="0.2">
      <c r="A32" s="68"/>
      <c r="B32" s="736"/>
      <c r="C32" s="237" t="s">
        <v>662</v>
      </c>
      <c r="D32" s="358" t="s">
        <v>820</v>
      </c>
      <c r="E32" s="223">
        <v>1.36</v>
      </c>
      <c r="F32" s="223">
        <v>35554</v>
      </c>
      <c r="G32" s="223" t="s">
        <v>461</v>
      </c>
      <c r="H32" s="423">
        <v>0.79510000000000003</v>
      </c>
      <c r="I32" s="422" t="s">
        <v>62</v>
      </c>
      <c r="J32" s="313"/>
      <c r="K32" s="320"/>
      <c r="L32" s="603">
        <v>134.56896593791399</v>
      </c>
      <c r="M32" s="603">
        <f t="shared" ref="M32:M33" si="4">L32/3.6</f>
        <v>37.380268316087218</v>
      </c>
      <c r="N32" s="119">
        <v>9.0898000000000003</v>
      </c>
      <c r="O32" s="119">
        <v>1081.2</v>
      </c>
      <c r="P32" s="119">
        <v>0.43131999999999998</v>
      </c>
      <c r="Q32" s="119">
        <v>1.9114</v>
      </c>
      <c r="R32" s="119">
        <v>0.15271000000000001</v>
      </c>
      <c r="S32" s="119">
        <v>4.6273000000000002E-2</v>
      </c>
      <c r="T32" s="119">
        <v>38.341999999999999</v>
      </c>
      <c r="U32" s="119">
        <v>9.9222000000000001</v>
      </c>
      <c r="V32" s="116">
        <v>584.32000000000005</v>
      </c>
      <c r="W32" s="323">
        <v>0.13907</v>
      </c>
      <c r="X32" s="323">
        <v>2.0787</v>
      </c>
      <c r="Y32" s="323">
        <v>0.67091999999999996</v>
      </c>
      <c r="Z32" s="323">
        <v>1.2074</v>
      </c>
      <c r="AA32" s="323">
        <v>48.152000000000001</v>
      </c>
      <c r="AB32" s="323">
        <v>8.7449999999999995E-4</v>
      </c>
      <c r="AC32" s="323">
        <v>7.3639999999999997E-2</v>
      </c>
      <c r="AD32" s="323">
        <v>7.1980000000000002E-2</v>
      </c>
      <c r="AE32" s="323">
        <v>9.0183999999999999E-6</v>
      </c>
      <c r="AF32" s="8"/>
      <c r="AG32" s="8"/>
      <c r="AH32" s="8"/>
      <c r="BF32" s="8"/>
    </row>
    <row r="33" spans="1:59" x14ac:dyDescent="0.2">
      <c r="A33" s="68"/>
      <c r="B33" s="736"/>
      <c r="C33" s="237" t="s">
        <v>661</v>
      </c>
      <c r="D33" s="358" t="s">
        <v>821</v>
      </c>
      <c r="E33" s="223">
        <v>1.36</v>
      </c>
      <c r="F33" s="223"/>
      <c r="G33" s="223"/>
      <c r="H33" s="423"/>
      <c r="I33" s="422" t="s">
        <v>62</v>
      </c>
      <c r="J33" s="422"/>
      <c r="K33" s="428"/>
      <c r="L33" s="603">
        <v>5.4660149789570598</v>
      </c>
      <c r="M33" s="209">
        <f t="shared" si="4"/>
        <v>1.5183374941547387</v>
      </c>
      <c r="N33" s="119">
        <v>0.39843000000000001</v>
      </c>
      <c r="O33" s="119">
        <v>42.142000000000003</v>
      </c>
      <c r="P33" s="119">
        <v>1.0785E-3</v>
      </c>
      <c r="Q33" s="119">
        <v>6.2304999999999999E-2</v>
      </c>
      <c r="R33" s="119">
        <v>7.3108000000000001E-3</v>
      </c>
      <c r="S33" s="119">
        <v>1.3838000000000001E-4</v>
      </c>
      <c r="T33" s="119">
        <v>4.6913999999999997E-2</v>
      </c>
      <c r="U33" s="119">
        <v>0.83779999999999999</v>
      </c>
      <c r="V33" s="116">
        <v>0.36719000000000002</v>
      </c>
      <c r="W33" s="323">
        <v>5.8617000000000001E-4</v>
      </c>
      <c r="X33" s="323">
        <v>9.9793999999999994E-2</v>
      </c>
      <c r="Y33" s="323">
        <v>2.5309999999999999E-2</v>
      </c>
      <c r="Z33" s="323">
        <v>7.2392000000000003E-3</v>
      </c>
      <c r="AA33" s="323">
        <v>0.1065</v>
      </c>
      <c r="AB33" s="323">
        <v>1.0696000000000001E-5</v>
      </c>
      <c r="AC33" s="323">
        <v>9.6261000000000003E-4</v>
      </c>
      <c r="AD33" s="323">
        <v>9.2363999999999999E-4</v>
      </c>
      <c r="AE33" s="323">
        <v>7.9495999999999999E-8</v>
      </c>
      <c r="AF33" s="8"/>
      <c r="AG33" s="8"/>
      <c r="AH33" s="8"/>
      <c r="BF33" s="8"/>
    </row>
    <row r="34" spans="1:59" x14ac:dyDescent="0.2">
      <c r="A34" s="1"/>
      <c r="B34" s="736"/>
      <c r="C34" s="237" t="s">
        <v>72</v>
      </c>
      <c r="D34" s="358" t="s">
        <v>822</v>
      </c>
      <c r="E34" s="223">
        <v>1.28</v>
      </c>
      <c r="F34" s="237"/>
      <c r="G34" s="223"/>
      <c r="H34" s="423"/>
      <c r="I34" s="422" t="s">
        <v>64</v>
      </c>
      <c r="J34" s="313"/>
      <c r="K34" s="320"/>
      <c r="L34" s="603">
        <v>9.6680393209459403</v>
      </c>
      <c r="M34" s="601">
        <f>L34/3.6</f>
        <v>2.6855664780405388</v>
      </c>
      <c r="N34" s="119">
        <v>0.32044</v>
      </c>
      <c r="O34" s="119">
        <v>1.4854000000000001</v>
      </c>
      <c r="P34" s="119">
        <v>1.0951999999999999E-3</v>
      </c>
      <c r="Q34" s="119">
        <v>1.9797999999999999E-3</v>
      </c>
      <c r="R34" s="119">
        <v>4.7102999999999997E-3</v>
      </c>
      <c r="S34" s="119">
        <v>2.8058E-4</v>
      </c>
      <c r="T34" s="119">
        <v>1.0652E-2</v>
      </c>
      <c r="U34" s="119">
        <v>4.0864999999999999E-2</v>
      </c>
      <c r="V34" s="116">
        <v>0.37636999999999998</v>
      </c>
      <c r="W34" s="323">
        <v>4.5020999999999999E-4</v>
      </c>
      <c r="X34" s="323">
        <v>8.8775000000000007E-2</v>
      </c>
      <c r="Y34" s="323">
        <v>0.19803999999999999</v>
      </c>
      <c r="Z34" s="323">
        <v>1.1283E-2</v>
      </c>
      <c r="AA34" s="323">
        <v>1.5778E-2</v>
      </c>
      <c r="AB34" s="323">
        <v>2.2657999999999999E-5</v>
      </c>
      <c r="AC34" s="323">
        <v>5.8116999999999999E-4</v>
      </c>
      <c r="AD34" s="323">
        <v>5.6205000000000003E-4</v>
      </c>
      <c r="AE34" s="323">
        <v>1.5043E-7</v>
      </c>
      <c r="AF34" s="8"/>
      <c r="AG34" s="8"/>
      <c r="AH34" s="8"/>
      <c r="BF34" s="8"/>
    </row>
    <row r="35" spans="1:59" ht="13.5" thickBot="1" x14ac:dyDescent="0.25">
      <c r="A35" s="2"/>
      <c r="B35" s="736"/>
      <c r="C35" s="420" t="s">
        <v>386</v>
      </c>
      <c r="D35" s="424" t="s">
        <v>823</v>
      </c>
      <c r="E35" s="605">
        <v>1.23</v>
      </c>
      <c r="F35" s="425">
        <v>23532</v>
      </c>
      <c r="G35" s="425"/>
      <c r="H35" s="426"/>
      <c r="I35" s="427" t="s">
        <v>64</v>
      </c>
      <c r="J35" s="321"/>
      <c r="K35" s="322"/>
      <c r="L35" s="599">
        <f>M35*3.6</f>
        <v>3.5938341740601429</v>
      </c>
      <c r="M35" s="602">
        <v>0.99828727057226196</v>
      </c>
      <c r="N35" s="326">
        <v>0.20746439999999999</v>
      </c>
      <c r="O35" s="326">
        <v>0.67435199999999995</v>
      </c>
      <c r="P35" s="326">
        <v>8.8869600000000007E-5</v>
      </c>
      <c r="Q35" s="326">
        <v>1.2027959999999999E-3</v>
      </c>
      <c r="R35" s="326">
        <v>1.562112E-4</v>
      </c>
      <c r="S35" s="326">
        <v>3.419712E-6</v>
      </c>
      <c r="T35" s="326">
        <v>7.4714400000000004E-4</v>
      </c>
      <c r="U35" s="326">
        <v>1.096452E-2</v>
      </c>
      <c r="V35" s="326">
        <v>1.102932E-2</v>
      </c>
      <c r="W35" s="600">
        <v>3.5511120000000001E-5</v>
      </c>
      <c r="X35" s="600">
        <v>7.4872800000000003E-2</v>
      </c>
      <c r="Y35" s="600">
        <v>9.8971200000000001E-4</v>
      </c>
      <c r="Z35" s="600">
        <v>2.4006240000000001E-4</v>
      </c>
      <c r="AA35" s="600">
        <v>1.7943480000000001E-3</v>
      </c>
      <c r="AB35" s="600">
        <v>2.5094880000000004E-6</v>
      </c>
      <c r="AC35" s="600">
        <v>2.0774880000000001E-4</v>
      </c>
      <c r="AD35" s="600">
        <v>1.8267479999999999E-4</v>
      </c>
      <c r="AE35" s="600">
        <v>2.6952120000000001E-8</v>
      </c>
      <c r="AF35" s="10"/>
      <c r="AG35" s="10"/>
      <c r="AH35" s="10"/>
      <c r="BF35" s="8"/>
      <c r="BG35" s="3"/>
    </row>
    <row r="36" spans="1:59" ht="27.75" x14ac:dyDescent="0.4">
      <c r="B36" s="244"/>
    </row>
    <row r="37" spans="1:59" ht="28.5" thickBot="1" x14ac:dyDescent="0.45">
      <c r="B37" s="244"/>
      <c r="C37" s="133"/>
      <c r="D37" s="133"/>
      <c r="E37" s="133"/>
      <c r="F37" s="133"/>
      <c r="G37" s="133"/>
      <c r="H37" s="133"/>
      <c r="I37" s="133"/>
      <c r="J37" s="133"/>
      <c r="K37" s="133"/>
      <c r="L37" s="243"/>
      <c r="M37" s="243"/>
      <c r="N37" s="243"/>
      <c r="O37" s="243"/>
      <c r="P37" s="243"/>
      <c r="Q37" s="243"/>
      <c r="R37" s="243"/>
      <c r="S37" s="243"/>
      <c r="T37" s="243"/>
      <c r="U37" s="243"/>
      <c r="V37" s="326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94"/>
      <c r="AI37" s="94"/>
      <c r="AJ37" s="94"/>
      <c r="AK37" s="94"/>
      <c r="AL37" s="94"/>
    </row>
    <row r="38" spans="1:59" ht="12.75" customHeight="1" x14ac:dyDescent="0.2">
      <c r="B38" s="736" t="s">
        <v>465</v>
      </c>
      <c r="C38" s="123" t="s">
        <v>658</v>
      </c>
      <c r="D38" s="737"/>
      <c r="E38" s="737"/>
      <c r="F38" s="737"/>
      <c r="G38" s="737"/>
      <c r="H38" s="737"/>
      <c r="I38" s="737"/>
      <c r="J38" s="737"/>
      <c r="K38" s="738"/>
      <c r="L38" s="209">
        <f t="shared" ref="L38:AE38" si="5">L5-(L5/$E5)</f>
        <v>46.366872446842677</v>
      </c>
      <c r="M38" s="209">
        <f t="shared" si="5"/>
        <v>12.879686790789634</v>
      </c>
      <c r="N38" s="209">
        <f t="shared" si="5"/>
        <v>4.3027941176470588</v>
      </c>
      <c r="O38" s="209">
        <f t="shared" si="5"/>
        <v>19.585058823529415</v>
      </c>
      <c r="P38" s="209">
        <f t="shared" si="5"/>
        <v>1.8675000000000004E-2</v>
      </c>
      <c r="Q38" s="209">
        <f t="shared" si="5"/>
        <v>7.9716176470588235E-2</v>
      </c>
      <c r="R38" s="209">
        <f t="shared" si="5"/>
        <v>2.439344117647059E-2</v>
      </c>
      <c r="S38" s="209">
        <f t="shared" si="5"/>
        <v>1.2908117647058826E-3</v>
      </c>
      <c r="T38" s="209">
        <f t="shared" si="5"/>
        <v>0.37447941176470589</v>
      </c>
      <c r="U38" s="209">
        <f t="shared" si="5"/>
        <v>2.5077970588235301</v>
      </c>
      <c r="V38" s="116">
        <f t="shared" si="5"/>
        <v>5.0868529411764705</v>
      </c>
      <c r="W38" s="209">
        <f t="shared" si="5"/>
        <v>8.2360588235294123E-3</v>
      </c>
      <c r="X38" s="209">
        <f t="shared" si="5"/>
        <v>0.88607647058823558</v>
      </c>
      <c r="Y38" s="209">
        <f t="shared" si="5"/>
        <v>8.1992647058823559E-2</v>
      </c>
      <c r="Z38" s="209">
        <f t="shared" si="5"/>
        <v>4.951058823529414E-2</v>
      </c>
      <c r="AA38" s="209">
        <f t="shared" si="5"/>
        <v>0.49515882352941198</v>
      </c>
      <c r="AB38" s="209">
        <f t="shared" si="5"/>
        <v>1.0447411764705883E-4</v>
      </c>
      <c r="AC38" s="209">
        <f t="shared" si="5"/>
        <v>1.1052000000000003E-2</v>
      </c>
      <c r="AD38" s="209">
        <f t="shared" si="5"/>
        <v>1.0860088235294121E-2</v>
      </c>
      <c r="AE38" s="209">
        <f t="shared" si="5"/>
        <v>9.0304411764705897E-7</v>
      </c>
      <c r="AF38" s="121"/>
      <c r="AG38" s="121"/>
      <c r="AH38" s="94"/>
      <c r="AI38" s="94"/>
      <c r="AJ38" s="94"/>
      <c r="AK38" s="94"/>
      <c r="AL38" s="94"/>
    </row>
    <row r="39" spans="1:59" ht="12.75" customHeight="1" x14ac:dyDescent="0.2">
      <c r="B39" s="736"/>
      <c r="C39" s="147" t="s">
        <v>659</v>
      </c>
      <c r="D39" s="739"/>
      <c r="E39" s="739"/>
      <c r="F39" s="739"/>
      <c r="G39" s="739"/>
      <c r="H39" s="739"/>
      <c r="I39" s="739"/>
      <c r="J39" s="739"/>
      <c r="K39" s="740"/>
      <c r="L39" s="209">
        <f t="shared" ref="L39:AE39" si="6">L6-(L6/$E6)</f>
        <v>32.77716683784729</v>
      </c>
      <c r="M39" s="209">
        <f t="shared" si="6"/>
        <v>9.1047685660686923</v>
      </c>
      <c r="N39" s="209">
        <f t="shared" si="6"/>
        <v>3.0904146341463417</v>
      </c>
      <c r="O39" s="209">
        <f t="shared" si="6"/>
        <v>14.552642276422766</v>
      </c>
      <c r="P39" s="209">
        <f t="shared" si="6"/>
        <v>8.638837398373983E-3</v>
      </c>
      <c r="Q39" s="209">
        <f t="shared" si="6"/>
        <v>2.0393333333333334</v>
      </c>
      <c r="R39" s="209">
        <f t="shared" si="6"/>
        <v>2.3271138211382117E-2</v>
      </c>
      <c r="S39" s="209">
        <f t="shared" si="6"/>
        <v>7.7437073170731705E-4</v>
      </c>
      <c r="T39" s="209">
        <f t="shared" si="6"/>
        <v>0.14086658536585361</v>
      </c>
      <c r="U39" s="209">
        <f t="shared" si="6"/>
        <v>0.31762439024390243</v>
      </c>
      <c r="V39" s="116">
        <f t="shared" si="6"/>
        <v>3.2299105691056909</v>
      </c>
      <c r="W39" s="209">
        <f t="shared" si="6"/>
        <v>4.1974065040650405E-3</v>
      </c>
      <c r="X39" s="209">
        <f t="shared" si="6"/>
        <v>0.57550487804878037</v>
      </c>
      <c r="Y39" s="209">
        <f t="shared" si="6"/>
        <v>0.18412715447154471</v>
      </c>
      <c r="Z39" s="209">
        <f t="shared" si="6"/>
        <v>3.3920325203252027E-2</v>
      </c>
      <c r="AA39" s="209">
        <f t="shared" si="6"/>
        <v>0.19306910569105684</v>
      </c>
      <c r="AB39" s="209">
        <f t="shared" si="6"/>
        <v>5.6540731707317075E-5</v>
      </c>
      <c r="AC39" s="209">
        <f t="shared" si="6"/>
        <v>4.8563658536585376E-3</v>
      </c>
      <c r="AD39" s="209">
        <f t="shared" si="6"/>
        <v>4.6762926829268282E-3</v>
      </c>
      <c r="AE39" s="209">
        <f t="shared" si="6"/>
        <v>6.2825528455284568E-7</v>
      </c>
      <c r="AF39" s="121"/>
      <c r="AG39" s="121"/>
      <c r="AH39" s="94"/>
      <c r="AI39" s="94"/>
      <c r="AJ39" s="94"/>
      <c r="AK39" s="94"/>
      <c r="AL39" s="94"/>
    </row>
    <row r="40" spans="1:59" ht="12.75" customHeight="1" x14ac:dyDescent="0.2">
      <c r="B40" s="736"/>
      <c r="C40" s="147" t="s">
        <v>660</v>
      </c>
      <c r="D40" s="739"/>
      <c r="E40" s="739"/>
      <c r="F40" s="739"/>
      <c r="G40" s="739"/>
      <c r="H40" s="739"/>
      <c r="I40" s="739"/>
      <c r="J40" s="739"/>
      <c r="K40" s="740"/>
      <c r="L40" s="209">
        <f t="shared" ref="L40:AE40" si="7">L7-(L7/$E7)</f>
        <v>28.196947067117478</v>
      </c>
      <c r="M40" s="209">
        <f t="shared" si="7"/>
        <v>7.8324852964215168</v>
      </c>
      <c r="N40" s="209">
        <f t="shared" si="7"/>
        <v>1.6991390243902442</v>
      </c>
      <c r="O40" s="209">
        <f t="shared" si="7"/>
        <v>14.458398373983741</v>
      </c>
      <c r="P40" s="209">
        <f t="shared" si="7"/>
        <v>4.8741300813008141E-3</v>
      </c>
      <c r="Q40" s="209">
        <f t="shared" si="7"/>
        <v>1.2686837398373986E-2</v>
      </c>
      <c r="R40" s="209">
        <f t="shared" si="7"/>
        <v>5.2423170731707325E-2</v>
      </c>
      <c r="S40" s="209">
        <f t="shared" si="7"/>
        <v>4.5513821138211397E-4</v>
      </c>
      <c r="T40" s="209">
        <f t="shared" si="7"/>
        <v>5.6321951219512195E-2</v>
      </c>
      <c r="U40" s="209">
        <f t="shared" si="7"/>
        <v>0.22569918699186997</v>
      </c>
      <c r="V40" s="116">
        <f t="shared" si="7"/>
        <v>1.3968479674796752</v>
      </c>
      <c r="W40" s="209">
        <f t="shared" si="7"/>
        <v>2.1825691056910571E-3</v>
      </c>
      <c r="X40" s="209">
        <f t="shared" si="7"/>
        <v>0.53386178861788602</v>
      </c>
      <c r="Y40" s="209">
        <f t="shared" si="7"/>
        <v>9.1986910569105684E-2</v>
      </c>
      <c r="Z40" s="209">
        <f t="shared" si="7"/>
        <v>3.1938211382113807E-2</v>
      </c>
      <c r="AA40" s="209">
        <f t="shared" si="7"/>
        <v>8.6036829268292703E-2</v>
      </c>
      <c r="AB40" s="209">
        <f t="shared" si="7"/>
        <v>4.0248130081300818E-5</v>
      </c>
      <c r="AC40" s="209">
        <f t="shared" si="7"/>
        <v>3.4991788617886183E-3</v>
      </c>
      <c r="AD40" s="209">
        <f t="shared" si="7"/>
        <v>3.251975609756097E-3</v>
      </c>
      <c r="AE40" s="209">
        <f t="shared" si="7"/>
        <v>3.3404227642276425E-7</v>
      </c>
      <c r="AF40" s="121"/>
      <c r="AG40" s="121"/>
      <c r="AH40" s="94"/>
      <c r="AI40" s="94"/>
      <c r="AJ40" s="94"/>
      <c r="AK40" s="94"/>
      <c r="AL40" s="94"/>
    </row>
    <row r="41" spans="1:59" ht="14.25" customHeight="1" x14ac:dyDescent="0.25">
      <c r="B41" s="736"/>
      <c r="C41" s="148" t="s">
        <v>368</v>
      </c>
      <c r="D41" s="739"/>
      <c r="E41" s="739"/>
      <c r="F41" s="739"/>
      <c r="G41" s="739"/>
      <c r="H41" s="739"/>
      <c r="I41" s="739"/>
      <c r="J41" s="739"/>
      <c r="K41" s="740"/>
      <c r="L41" s="209">
        <f t="shared" ref="L41:AE41" si="8">L8-(L8/$E8)</f>
        <v>28.424259496983709</v>
      </c>
      <c r="M41" s="209">
        <f t="shared" si="8"/>
        <v>7.8956276380510317</v>
      </c>
      <c r="N41" s="209">
        <f t="shared" si="8"/>
        <v>2.1463147058823537</v>
      </c>
      <c r="O41" s="209">
        <f t="shared" si="8"/>
        <v>20.98879411764706</v>
      </c>
      <c r="P41" s="209">
        <f t="shared" si="8"/>
        <v>1.295417647058824E-2</v>
      </c>
      <c r="Q41" s="209">
        <f t="shared" si="8"/>
        <v>7.1002058823529417</v>
      </c>
      <c r="R41" s="209">
        <f t="shared" si="8"/>
        <v>2.3229529411764704E-2</v>
      </c>
      <c r="S41" s="209">
        <f t="shared" si="8"/>
        <v>1.2377911764705884E-3</v>
      </c>
      <c r="T41" s="209">
        <f t="shared" si="8"/>
        <v>0.18628411764705888</v>
      </c>
      <c r="U41" s="209">
        <f t="shared" si="8"/>
        <v>0.45039705882352954</v>
      </c>
      <c r="V41" s="116">
        <f t="shared" si="8"/>
        <v>4.1683235294117651</v>
      </c>
      <c r="W41" s="209">
        <f t="shared" si="8"/>
        <v>4.9772647058823546E-3</v>
      </c>
      <c r="X41" s="209">
        <f t="shared" si="8"/>
        <v>0.54262058823529413</v>
      </c>
      <c r="Y41" s="209">
        <f t="shared" si="8"/>
        <v>7.5555000000000011E-2</v>
      </c>
      <c r="Z41" s="209">
        <f t="shared" si="8"/>
        <v>6.2433529411764721E-2</v>
      </c>
      <c r="AA41" s="209">
        <f t="shared" si="8"/>
        <v>0.25495676470588235</v>
      </c>
      <c r="AB41" s="209">
        <f t="shared" si="8"/>
        <v>1.6444588235294119E-3</v>
      </c>
      <c r="AC41" s="209">
        <f t="shared" si="8"/>
        <v>7.6952647058823528E-3</v>
      </c>
      <c r="AD41" s="209">
        <f t="shared" si="8"/>
        <v>7.4850882352941184E-3</v>
      </c>
      <c r="AE41" s="209">
        <f t="shared" si="8"/>
        <v>6.241500000000002E-7</v>
      </c>
      <c r="AF41" s="121"/>
      <c r="AG41" s="121"/>
      <c r="AH41" s="94"/>
      <c r="AI41" s="94"/>
      <c r="AJ41" s="94"/>
      <c r="AK41" s="94"/>
      <c r="AL41" s="94"/>
    </row>
    <row r="42" spans="1:59" ht="14.25" customHeight="1" x14ac:dyDescent="0.25">
      <c r="B42" s="736"/>
      <c r="C42" s="607" t="s">
        <v>875</v>
      </c>
      <c r="D42" s="739"/>
      <c r="E42" s="739"/>
      <c r="F42" s="739"/>
      <c r="G42" s="739"/>
      <c r="H42" s="739"/>
      <c r="I42" s="739"/>
      <c r="J42" s="739"/>
      <c r="K42" s="740"/>
      <c r="L42" s="628">
        <f t="shared" ref="L42:AE42" si="9">L9-(L9/$E9)</f>
        <v>28.424259496983709</v>
      </c>
      <c r="M42" s="628">
        <f t="shared" si="9"/>
        <v>7.8956276380510317</v>
      </c>
      <c r="N42" s="628">
        <f t="shared" si="9"/>
        <v>2.1463147058823537</v>
      </c>
      <c r="O42" s="628">
        <f t="shared" si="9"/>
        <v>20.98879411764706</v>
      </c>
      <c r="P42" s="628">
        <f t="shared" si="9"/>
        <v>1.295417647058824E-2</v>
      </c>
      <c r="Q42" s="628">
        <f t="shared" si="9"/>
        <v>7.1002058823529417</v>
      </c>
      <c r="R42" s="628">
        <f t="shared" si="9"/>
        <v>2.3229529411764704E-2</v>
      </c>
      <c r="S42" s="628">
        <f t="shared" si="9"/>
        <v>1.2377911764705884E-3</v>
      </c>
      <c r="T42" s="628">
        <f t="shared" si="9"/>
        <v>0.18628411764705888</v>
      </c>
      <c r="U42" s="628">
        <f t="shared" si="9"/>
        <v>0.45039705882352954</v>
      </c>
      <c r="V42" s="615">
        <f t="shared" si="9"/>
        <v>4.1683235294117651</v>
      </c>
      <c r="W42" s="628">
        <f t="shared" si="9"/>
        <v>4.9772647058823546E-3</v>
      </c>
      <c r="X42" s="628">
        <f t="shared" si="9"/>
        <v>0.54262058823529413</v>
      </c>
      <c r="Y42" s="628">
        <f t="shared" si="9"/>
        <v>7.5555000000000011E-2</v>
      </c>
      <c r="Z42" s="628">
        <f t="shared" si="9"/>
        <v>6.2433529411764721E-2</v>
      </c>
      <c r="AA42" s="628">
        <f t="shared" si="9"/>
        <v>0.25495676470588235</v>
      </c>
      <c r="AB42" s="628">
        <f t="shared" si="9"/>
        <v>1.6444588235294119E-3</v>
      </c>
      <c r="AC42" s="628">
        <f t="shared" si="9"/>
        <v>7.6952647058823528E-3</v>
      </c>
      <c r="AD42" s="628">
        <f t="shared" si="9"/>
        <v>7.4850882352941184E-3</v>
      </c>
      <c r="AE42" s="628">
        <f t="shared" si="9"/>
        <v>6.241500000000002E-7</v>
      </c>
      <c r="AF42" s="121"/>
      <c r="AG42" s="121"/>
      <c r="AH42" s="94"/>
      <c r="AI42" s="94"/>
      <c r="AJ42" s="94"/>
      <c r="AK42" s="94"/>
      <c r="AL42" s="94"/>
    </row>
    <row r="43" spans="1:59" ht="12.75" customHeight="1" x14ac:dyDescent="0.2">
      <c r="B43" s="736"/>
      <c r="C43" s="236" t="s">
        <v>131</v>
      </c>
      <c r="D43" s="739"/>
      <c r="E43" s="739"/>
      <c r="F43" s="739"/>
      <c r="G43" s="739"/>
      <c r="H43" s="739"/>
      <c r="I43" s="739"/>
      <c r="J43" s="739"/>
      <c r="K43" s="740"/>
      <c r="L43" s="209">
        <f>L10-(L10/$E10)</f>
        <v>36.471183965583521</v>
      </c>
      <c r="M43" s="209">
        <f t="shared" ref="M43:AE43" si="10">M10-(M10/$E10)</f>
        <v>10.130884434884308</v>
      </c>
      <c r="N43" s="209">
        <f t="shared" si="10"/>
        <v>2.9092195121951221</v>
      </c>
      <c r="O43" s="209">
        <f t="shared" si="10"/>
        <v>26.61081300813008</v>
      </c>
      <c r="P43" s="209">
        <f t="shared" si="10"/>
        <v>1.5623731707317068E-2</v>
      </c>
      <c r="Q43" s="209">
        <f t="shared" si="10"/>
        <v>8.1423739837398372</v>
      </c>
      <c r="R43" s="209">
        <f t="shared" si="10"/>
        <v>2.7884227642276424E-2</v>
      </c>
      <c r="S43" s="209">
        <f t="shared" si="10"/>
        <v>1.4856878048780482E-3</v>
      </c>
      <c r="T43" s="209">
        <f t="shared" si="10"/>
        <v>0.2298691056910569</v>
      </c>
      <c r="U43" s="209">
        <f t="shared" si="10"/>
        <v>0.56458455284552844</v>
      </c>
      <c r="V43" s="116">
        <f t="shared" si="10"/>
        <v>5.1559268292682923</v>
      </c>
      <c r="W43" s="209">
        <f t="shared" si="10"/>
        <v>6.0807886178861799E-3</v>
      </c>
      <c r="X43" s="209">
        <f t="shared" si="10"/>
        <v>0.69459999999999988</v>
      </c>
      <c r="Y43" s="209">
        <f t="shared" si="10"/>
        <v>0.10055487804878049</v>
      </c>
      <c r="Z43" s="209">
        <f t="shared" si="10"/>
        <v>7.678634146341462E-2</v>
      </c>
      <c r="AA43" s="209">
        <f t="shared" si="10"/>
        <v>0.31567967479674786</v>
      </c>
      <c r="AB43" s="209">
        <f t="shared" si="10"/>
        <v>1.8904878048780493E-3</v>
      </c>
      <c r="AC43" s="209">
        <f t="shared" si="10"/>
        <v>9.4946991869918687E-3</v>
      </c>
      <c r="AD43" s="209">
        <f t="shared" si="10"/>
        <v>9.2235609756097584E-3</v>
      </c>
      <c r="AE43" s="209">
        <f t="shared" si="10"/>
        <v>7.8183170731707302E-7</v>
      </c>
      <c r="AF43" s="121"/>
      <c r="AG43" s="121"/>
      <c r="AH43" s="94"/>
      <c r="AI43" s="94"/>
      <c r="AJ43" s="94"/>
      <c r="AK43" s="94"/>
      <c r="AL43" s="94"/>
    </row>
    <row r="44" spans="1:59" ht="12.75" customHeight="1" x14ac:dyDescent="0.25">
      <c r="B44" s="736"/>
      <c r="C44" s="236" t="s">
        <v>655</v>
      </c>
      <c r="D44" s="739"/>
      <c r="E44" s="739"/>
      <c r="F44" s="739"/>
      <c r="G44" s="739"/>
      <c r="H44" s="739"/>
      <c r="I44" s="739"/>
      <c r="J44" s="739"/>
      <c r="K44" s="740"/>
      <c r="L44" s="209">
        <f>L11-(L11/$E11)</f>
        <v>1.2056480287376901</v>
      </c>
      <c r="M44" s="209">
        <f t="shared" ref="M44:AE44" si="11">M11-(M11/$E11)</f>
        <v>0.33490223020491383</v>
      </c>
      <c r="N44" s="209">
        <f t="shared" si="11"/>
        <v>8.5888484848484881E-2</v>
      </c>
      <c r="O44" s="209">
        <f t="shared" si="11"/>
        <v>1.3435393939393938</v>
      </c>
      <c r="P44" s="209">
        <f t="shared" si="11"/>
        <v>7.9556363636363626E-4</v>
      </c>
      <c r="Q44" s="209">
        <f t="shared" si="11"/>
        <v>1.9032727272727274E-3</v>
      </c>
      <c r="R44" s="209">
        <f t="shared" si="11"/>
        <v>4.1100606060606067E-3</v>
      </c>
      <c r="S44" s="209">
        <f t="shared" si="11"/>
        <v>4.7447272727272726E-5</v>
      </c>
      <c r="T44" s="209">
        <f t="shared" si="11"/>
        <v>1.1690424242424245E-2</v>
      </c>
      <c r="U44" s="209">
        <f t="shared" si="11"/>
        <v>3.2901818181818185E-2</v>
      </c>
      <c r="V44" s="116">
        <f t="shared" si="11"/>
        <v>0.21438060606060605</v>
      </c>
      <c r="W44" s="209">
        <f t="shared" si="11"/>
        <v>2.1244606060606068E-4</v>
      </c>
      <c r="X44" s="209">
        <f t="shared" si="11"/>
        <v>1.9956121212121217E-2</v>
      </c>
      <c r="Y44" s="209">
        <f t="shared" si="11"/>
        <v>5.3466666666666662E-3</v>
      </c>
      <c r="Z44" s="209">
        <f t="shared" si="11"/>
        <v>6.9212121212121232E-3</v>
      </c>
      <c r="AA44" s="209">
        <f t="shared" si="11"/>
        <v>1.6066424242424243E-2</v>
      </c>
      <c r="AB44" s="209">
        <f t="shared" si="11"/>
        <v>8.4249696969696969E-6</v>
      </c>
      <c r="AC44" s="209">
        <f t="shared" si="11"/>
        <v>2.4339393939393943E-4</v>
      </c>
      <c r="AD44" s="209">
        <f t="shared" si="11"/>
        <v>2.3584727272727281E-4</v>
      </c>
      <c r="AE44" s="209">
        <f t="shared" si="11"/>
        <v>2.3977454545454552E-8</v>
      </c>
      <c r="AF44" s="121"/>
      <c r="AG44" s="121"/>
      <c r="AH44" s="94"/>
      <c r="AI44" s="94"/>
      <c r="AJ44" s="94"/>
      <c r="AK44" s="94"/>
      <c r="AL44" s="94"/>
    </row>
    <row r="45" spans="1:59" ht="14.25" customHeight="1" x14ac:dyDescent="0.25">
      <c r="B45" s="736"/>
      <c r="C45" s="181" t="s">
        <v>209</v>
      </c>
      <c r="D45" s="739"/>
      <c r="E45" s="739"/>
      <c r="F45" s="739"/>
      <c r="G45" s="739"/>
      <c r="H45" s="739"/>
      <c r="I45" s="739"/>
      <c r="J45" s="739"/>
      <c r="K45" s="740"/>
      <c r="L45" s="209">
        <f t="shared" ref="L45:AE45" si="12">L12-(L12/$E12)</f>
        <v>38.104879401651203</v>
      </c>
      <c r="M45" s="209">
        <f t="shared" si="12"/>
        <v>10.584688722680895</v>
      </c>
      <c r="N45" s="209">
        <f t="shared" si="12"/>
        <v>0.79205470085470076</v>
      </c>
      <c r="O45" s="209">
        <f t="shared" si="12"/>
        <v>51.985128205128206</v>
      </c>
      <c r="P45" s="209">
        <f t="shared" si="12"/>
        <v>1.2594384615384618E-2</v>
      </c>
      <c r="Q45" s="209">
        <f t="shared" si="12"/>
        <v>0.30812136752136743</v>
      </c>
      <c r="R45" s="209">
        <f t="shared" si="12"/>
        <v>0.17460598290598295</v>
      </c>
      <c r="S45" s="209">
        <f t="shared" si="12"/>
        <v>3.7420341880341863E-4</v>
      </c>
      <c r="T45" s="209">
        <f t="shared" si="12"/>
        <v>0.19685128205128199</v>
      </c>
      <c r="U45" s="209">
        <f t="shared" si="12"/>
        <v>0.21483931623931607</v>
      </c>
      <c r="V45" s="116">
        <f t="shared" si="12"/>
        <v>4.9384273504273501</v>
      </c>
      <c r="W45" s="209">
        <f t="shared" si="12"/>
        <v>4.0496324786324783E-3</v>
      </c>
      <c r="X45" s="209">
        <f t="shared" si="12"/>
        <v>0.26055042735042733</v>
      </c>
      <c r="Y45" s="209">
        <f t="shared" si="12"/>
        <v>0.23275470085470085</v>
      </c>
      <c r="Z45" s="209">
        <f t="shared" si="12"/>
        <v>2.6556324786324775E-2</v>
      </c>
      <c r="AA45" s="209">
        <f t="shared" si="12"/>
        <v>0.27512393162393156</v>
      </c>
      <c r="AB45" s="209">
        <f t="shared" si="12"/>
        <v>2.0892564102564098E-4</v>
      </c>
      <c r="AC45" s="209">
        <f t="shared" si="12"/>
        <v>2.3133076923076909E-3</v>
      </c>
      <c r="AD45" s="209">
        <f t="shared" si="12"/>
        <v>2.1895128205128202E-3</v>
      </c>
      <c r="AE45" s="209">
        <f t="shared" si="12"/>
        <v>6.4046410256410241E-7</v>
      </c>
      <c r="AF45" s="121"/>
      <c r="AG45" s="121"/>
      <c r="AH45" s="94"/>
      <c r="AI45" s="94"/>
      <c r="AJ45" s="94"/>
      <c r="AK45" s="94"/>
      <c r="AL45" s="94"/>
    </row>
    <row r="46" spans="1:59" ht="14.25" customHeight="1" x14ac:dyDescent="0.25">
      <c r="B46" s="736"/>
      <c r="C46" s="181" t="s">
        <v>210</v>
      </c>
      <c r="D46" s="739"/>
      <c r="E46" s="739"/>
      <c r="F46" s="739"/>
      <c r="G46" s="739"/>
      <c r="H46" s="739"/>
      <c r="I46" s="739"/>
      <c r="J46" s="739"/>
      <c r="K46" s="740"/>
      <c r="L46" s="209">
        <f t="shared" ref="L46:AE46" si="13">L13-(L13/$E13)</f>
        <v>1.3239989771200751</v>
      </c>
      <c r="M46" s="209">
        <f t="shared" si="13"/>
        <v>0.36777749364446555</v>
      </c>
      <c r="N46" s="209">
        <f t="shared" si="13"/>
        <v>8.9921531531531596E-2</v>
      </c>
      <c r="O46" s="209">
        <f t="shared" si="13"/>
        <v>1.4323783783783792</v>
      </c>
      <c r="P46" s="209">
        <f t="shared" si="13"/>
        <v>2.3068288288288323E-3</v>
      </c>
      <c r="Q46" s="209">
        <f t="shared" si="13"/>
        <v>5.9355405405405459E-3</v>
      </c>
      <c r="R46" s="209">
        <f t="shared" si="13"/>
        <v>8.4271891891891937E-4</v>
      </c>
      <c r="S46" s="209">
        <f t="shared" si="13"/>
        <v>3.2827567567567573E-5</v>
      </c>
      <c r="T46" s="209">
        <f t="shared" si="13"/>
        <v>8.4949729729729834E-3</v>
      </c>
      <c r="U46" s="209">
        <f t="shared" si="13"/>
        <v>2.3982972972972999E-2</v>
      </c>
      <c r="V46" s="116">
        <f t="shared" si="13"/>
        <v>0.19732612612612632</v>
      </c>
      <c r="W46" s="209">
        <f t="shared" si="13"/>
        <v>7.3298648648648709E-4</v>
      </c>
      <c r="X46" s="209">
        <f t="shared" si="13"/>
        <v>2.3223873873873896E-2</v>
      </c>
      <c r="Y46" s="209">
        <f t="shared" si="13"/>
        <v>7.2949819819819878E-3</v>
      </c>
      <c r="Z46" s="209">
        <f t="shared" si="13"/>
        <v>3.8416756756756779E-3</v>
      </c>
      <c r="AA46" s="209">
        <f t="shared" si="13"/>
        <v>1.2412162162162177E-2</v>
      </c>
      <c r="AB46" s="209">
        <f t="shared" si="13"/>
        <v>2.4509189189189222E-6</v>
      </c>
      <c r="AC46" s="209">
        <f t="shared" si="13"/>
        <v>3.0096396396396422E-4</v>
      </c>
      <c r="AD46" s="209">
        <f t="shared" si="13"/>
        <v>2.9252072072072106E-4</v>
      </c>
      <c r="AE46" s="209">
        <f t="shared" si="13"/>
        <v>2.8957747747747764E-8</v>
      </c>
      <c r="AF46" s="121"/>
      <c r="AG46" s="121"/>
      <c r="AH46" s="94"/>
      <c r="AI46" s="94"/>
      <c r="AJ46" s="94"/>
      <c r="AK46" s="94"/>
      <c r="AL46" s="94"/>
    </row>
    <row r="47" spans="1:59" ht="14.25" customHeight="1" x14ac:dyDescent="0.25">
      <c r="B47" s="736"/>
      <c r="C47" s="181" t="s">
        <v>424</v>
      </c>
      <c r="D47" s="739"/>
      <c r="E47" s="739"/>
      <c r="F47" s="739"/>
      <c r="G47" s="739"/>
      <c r="H47" s="739"/>
      <c r="I47" s="739"/>
      <c r="J47" s="739"/>
      <c r="K47" s="740"/>
      <c r="L47" s="209">
        <f t="shared" ref="L47:AE47" si="14">L14-(L14/$E14)</f>
        <v>66.62510184771736</v>
      </c>
      <c r="M47" s="209">
        <f t="shared" si="14"/>
        <v>18.506972735477063</v>
      </c>
      <c r="N47" s="209">
        <f t="shared" si="14"/>
        <v>1.7792264150943424</v>
      </c>
      <c r="O47" s="209">
        <f t="shared" si="14"/>
        <v>70.307547169811414</v>
      </c>
      <c r="P47" s="209">
        <f t="shared" si="14"/>
        <v>1.0796037735849057E-2</v>
      </c>
      <c r="Q47" s="209">
        <f t="shared" si="14"/>
        <v>0.5045773584905664</v>
      </c>
      <c r="R47" s="209">
        <f>R14-(R14/$E14)</f>
        <v>0.29041698113207559</v>
      </c>
      <c r="S47" s="209">
        <f t="shared" si="14"/>
        <v>6.8841509433962243E-4</v>
      </c>
      <c r="T47" s="209">
        <f t="shared" si="14"/>
        <v>0.28387924528301944</v>
      </c>
      <c r="U47" s="209">
        <f t="shared" si="14"/>
        <v>0.43102075471698154</v>
      </c>
      <c r="V47" s="116">
        <f t="shared" si="14"/>
        <v>7.7637735849056639</v>
      </c>
      <c r="W47" s="209">
        <f t="shared" si="14"/>
        <v>3.9519622641509405E-3</v>
      </c>
      <c r="X47" s="209">
        <f t="shared" si="14"/>
        <v>0.50178679245283142</v>
      </c>
      <c r="Y47" s="209">
        <f t="shared" si="14"/>
        <v>0.39634528301886807</v>
      </c>
      <c r="Z47" s="209">
        <f t="shared" si="14"/>
        <v>4.6262264150943477E-2</v>
      </c>
      <c r="AA47" s="209">
        <f t="shared" si="14"/>
        <v>0.39779433962264221</v>
      </c>
      <c r="AB47" s="209">
        <f t="shared" si="14"/>
        <v>3.8734528301886863E-4</v>
      </c>
      <c r="AC47" s="209">
        <f t="shared" si="14"/>
        <v>4.1422641509434033E-3</v>
      </c>
      <c r="AD47" s="209">
        <f t="shared" si="14"/>
        <v>3.9208301886792529E-3</v>
      </c>
      <c r="AE47" s="209">
        <f t="shared" si="14"/>
        <v>1.1482641509433976E-6</v>
      </c>
      <c r="AF47" s="121"/>
      <c r="AG47" s="121"/>
      <c r="AH47" s="94"/>
      <c r="AI47" s="94"/>
      <c r="AJ47" s="94"/>
      <c r="AK47" s="94"/>
      <c r="AL47" s="94"/>
    </row>
    <row r="48" spans="1:59" ht="14.25" x14ac:dyDescent="0.25">
      <c r="B48" s="736"/>
      <c r="C48" s="181" t="s">
        <v>563</v>
      </c>
      <c r="D48" s="739"/>
      <c r="E48" s="739"/>
      <c r="F48" s="739"/>
      <c r="G48" s="739"/>
      <c r="H48" s="739"/>
      <c r="I48" s="739"/>
      <c r="J48" s="739"/>
      <c r="K48" s="740"/>
      <c r="L48" s="209">
        <f t="shared" ref="L48:L49" si="15">L15-(L15/$E15)</f>
        <v>2.6686703094361945</v>
      </c>
      <c r="M48" s="209">
        <f t="shared" ref="M48:AE48" si="16">M15-(M15/$E15)</f>
        <v>0.7412973081767209</v>
      </c>
      <c r="N48" s="209">
        <f t="shared" si="16"/>
        <v>0.15260294117647061</v>
      </c>
      <c r="O48" s="209">
        <f t="shared" si="16"/>
        <v>2.8924411764705891</v>
      </c>
      <c r="P48" s="209">
        <f t="shared" si="16"/>
        <v>2.041332352941177E-3</v>
      </c>
      <c r="Q48" s="209">
        <f t="shared" si="16"/>
        <v>8.0751176470588264E-3</v>
      </c>
      <c r="R48" s="209">
        <f t="shared" si="16"/>
        <v>3.6717352941176475E-3</v>
      </c>
      <c r="S48" s="209">
        <f t="shared" si="16"/>
        <v>8.7673235294117658E-5</v>
      </c>
      <c r="T48" s="209">
        <f t="shared" si="16"/>
        <v>2.2636852941176469E-2</v>
      </c>
      <c r="U48" s="209">
        <f t="shared" si="16"/>
        <v>0.28752352941176473</v>
      </c>
      <c r="V48" s="116">
        <f t="shared" si="16"/>
        <v>0.45881470588235307</v>
      </c>
      <c r="W48" s="209">
        <f t="shared" si="16"/>
        <v>6.6639705882352959E-4</v>
      </c>
      <c r="X48" s="209">
        <f t="shared" si="16"/>
        <v>3.7577647058823535E-2</v>
      </c>
      <c r="Y48" s="209">
        <f t="shared" si="16"/>
        <v>3.1574117647058836E-2</v>
      </c>
      <c r="Z48" s="209">
        <f t="shared" si="16"/>
        <v>5.1607058823529423E-3</v>
      </c>
      <c r="AA48" s="209">
        <f t="shared" si="16"/>
        <v>3.3059117647058836E-2</v>
      </c>
      <c r="AB48" s="209">
        <f t="shared" si="16"/>
        <v>5.8071176470588231E-6</v>
      </c>
      <c r="AC48" s="209">
        <f t="shared" si="16"/>
        <v>4.6061470588235304E-4</v>
      </c>
      <c r="AD48" s="209">
        <f t="shared" si="16"/>
        <v>4.481735294117647E-4</v>
      </c>
      <c r="AE48" s="209">
        <f t="shared" si="16"/>
        <v>4.7840294117647071E-8</v>
      </c>
      <c r="AF48" s="121"/>
      <c r="AG48" s="121"/>
    </row>
    <row r="49" spans="2:33" ht="14.25" x14ac:dyDescent="0.25">
      <c r="B49" s="736"/>
      <c r="C49" s="181" t="s">
        <v>654</v>
      </c>
      <c r="D49" s="739"/>
      <c r="E49" s="739"/>
      <c r="F49" s="739"/>
      <c r="G49" s="739"/>
      <c r="H49" s="739"/>
      <c r="I49" s="739"/>
      <c r="J49" s="739"/>
      <c r="K49" s="740"/>
      <c r="L49" s="209">
        <f t="shared" si="15"/>
        <v>0.77855255760323328</v>
      </c>
      <c r="M49" s="209">
        <f t="shared" ref="M49:AE49" si="17">M16-(M16/$E16)</f>
        <v>0.21626459933423148</v>
      </c>
      <c r="N49" s="209">
        <f t="shared" si="17"/>
        <v>3.4833749999999997E-2</v>
      </c>
      <c r="O49" s="209">
        <f t="shared" si="17"/>
        <v>0.89405312500000012</v>
      </c>
      <c r="P49" s="209">
        <f t="shared" si="17"/>
        <v>1.7618124999999995E-4</v>
      </c>
      <c r="Q49" s="209">
        <f t="shared" si="17"/>
        <v>1.3115593750000001E-3</v>
      </c>
      <c r="R49" s="209">
        <f t="shared" si="17"/>
        <v>3.5229687499999996E-4</v>
      </c>
      <c r="S49" s="209">
        <f t="shared" si="17"/>
        <v>2.7160000000000004E-5</v>
      </c>
      <c r="T49" s="209">
        <f t="shared" si="17"/>
        <v>8.2645937500000002E-3</v>
      </c>
      <c r="U49" s="209">
        <f t="shared" si="17"/>
        <v>2.2146250000000006E-2</v>
      </c>
      <c r="V49" s="116">
        <f t="shared" si="17"/>
        <v>0.13905281250000001</v>
      </c>
      <c r="W49" s="209">
        <f t="shared" si="17"/>
        <v>7.1113437500000022E-5</v>
      </c>
      <c r="X49" s="209">
        <f t="shared" si="17"/>
        <v>9.3176562500000004E-3</v>
      </c>
      <c r="Y49" s="209">
        <f t="shared" si="17"/>
        <v>1.1574281249999999E-2</v>
      </c>
      <c r="Z49" s="209">
        <f t="shared" si="17"/>
        <v>2.1502906250000006E-3</v>
      </c>
      <c r="AA49" s="209">
        <f t="shared" si="17"/>
        <v>1.127415625E-2</v>
      </c>
      <c r="AB49" s="209">
        <f t="shared" si="17"/>
        <v>1.8531843750000001E-6</v>
      </c>
      <c r="AC49" s="209">
        <f t="shared" si="17"/>
        <v>1.038690625E-4</v>
      </c>
      <c r="AD49" s="209">
        <f t="shared" si="17"/>
        <v>1.0017875000000001E-4</v>
      </c>
      <c r="AE49" s="209">
        <f t="shared" si="17"/>
        <v>1.3954281250000002E-8</v>
      </c>
      <c r="AF49" s="121"/>
      <c r="AG49" s="121"/>
    </row>
    <row r="50" spans="2:33" x14ac:dyDescent="0.2">
      <c r="B50" s="736"/>
      <c r="C50" s="181" t="s">
        <v>54</v>
      </c>
      <c r="D50" s="739"/>
      <c r="E50" s="739"/>
      <c r="F50" s="739"/>
      <c r="G50" s="739"/>
      <c r="H50" s="739"/>
      <c r="I50" s="739"/>
      <c r="J50" s="739"/>
      <c r="K50" s="740"/>
      <c r="L50" s="209">
        <f t="shared" ref="L50:AE50" si="18">L17-(L17/$E17)</f>
        <v>4.7983234104446293</v>
      </c>
      <c r="M50" s="209">
        <f t="shared" si="18"/>
        <v>1.3328676140123972</v>
      </c>
      <c r="N50" s="209">
        <f t="shared" si="18"/>
        <v>0.23992147058823532</v>
      </c>
      <c r="O50" s="209">
        <f t="shared" si="18"/>
        <v>2.5432941176470596</v>
      </c>
      <c r="P50" s="209">
        <f t="shared" si="18"/>
        <v>7.3778823529411803E-4</v>
      </c>
      <c r="Q50" s="209">
        <f t="shared" si="18"/>
        <v>4.9203529411764702E-2</v>
      </c>
      <c r="R50" s="209">
        <f t="shared" si="18"/>
        <v>2.257676470588236E-3</v>
      </c>
      <c r="S50" s="209">
        <f t="shared" si="18"/>
        <v>1.7006823529411768E-4</v>
      </c>
      <c r="T50" s="209">
        <f t="shared" si="18"/>
        <v>2.0997264705882361E-2</v>
      </c>
      <c r="U50" s="209">
        <f t="shared" si="18"/>
        <v>6.4704705882352942E-2</v>
      </c>
      <c r="V50" s="116">
        <f t="shared" si="18"/>
        <v>0.43009411764705896</v>
      </c>
      <c r="W50" s="209">
        <f t="shared" si="18"/>
        <v>3.064500000000001E-4</v>
      </c>
      <c r="X50" s="209">
        <f t="shared" si="18"/>
        <v>6.3277941176470592E-2</v>
      </c>
      <c r="Y50" s="209">
        <f t="shared" si="18"/>
        <v>6.131911764705883E-2</v>
      </c>
      <c r="Z50" s="209">
        <f t="shared" si="18"/>
        <v>8.4602647058823546E-3</v>
      </c>
      <c r="AA50" s="209">
        <f t="shared" si="18"/>
        <v>2.9207647058823533E-2</v>
      </c>
      <c r="AB50" s="209">
        <f t="shared" si="18"/>
        <v>2.3457441176470589E-5</v>
      </c>
      <c r="AC50" s="209">
        <f t="shared" si="18"/>
        <v>4.9343823529411786E-4</v>
      </c>
      <c r="AD50" s="209">
        <f t="shared" si="18"/>
        <v>4.7482941176470585E-4</v>
      </c>
      <c r="AE50" s="209">
        <f t="shared" si="18"/>
        <v>1.0467E-7</v>
      </c>
      <c r="AF50" s="121"/>
      <c r="AG50" s="121"/>
    </row>
    <row r="51" spans="2:33" ht="14.25" x14ac:dyDescent="0.25">
      <c r="B51" s="736"/>
      <c r="C51" s="181" t="s">
        <v>216</v>
      </c>
      <c r="D51" s="739"/>
      <c r="E51" s="739"/>
      <c r="F51" s="739"/>
      <c r="G51" s="739"/>
      <c r="H51" s="739"/>
      <c r="I51" s="739"/>
      <c r="J51" s="739"/>
      <c r="K51" s="740"/>
      <c r="L51" s="209">
        <f t="shared" ref="L51:AE51" si="19">L18-(L18/$E18)</f>
        <v>12.609538407040397</v>
      </c>
      <c r="M51" s="209">
        <f t="shared" si="19"/>
        <v>3.5026495575112211</v>
      </c>
      <c r="N51" s="209">
        <f t="shared" si="19"/>
        <v>0.77521764705882346</v>
      </c>
      <c r="O51" s="209">
        <f t="shared" si="19"/>
        <v>3.5176764705882366</v>
      </c>
      <c r="P51" s="209">
        <f t="shared" si="19"/>
        <v>6.0384705882352962E-4</v>
      </c>
      <c r="Q51" s="209">
        <f t="shared" si="19"/>
        <v>5.8449705882352952E-3</v>
      </c>
      <c r="R51" s="209">
        <f t="shared" si="19"/>
        <v>1.4954294117647066E-2</v>
      </c>
      <c r="S51" s="209">
        <f t="shared" si="19"/>
        <v>3.6386470588235304E-5</v>
      </c>
      <c r="T51" s="209">
        <f t="shared" si="19"/>
        <v>1.3341705882352943E-2</v>
      </c>
      <c r="U51" s="209">
        <f t="shared" si="19"/>
        <v>6.1634117647058839E-2</v>
      </c>
      <c r="V51" s="116">
        <f t="shared" si="19"/>
        <v>0.20979529411764708</v>
      </c>
      <c r="W51" s="209">
        <f t="shared" si="19"/>
        <v>2.3188235294117649E-4</v>
      </c>
      <c r="X51" s="209">
        <f t="shared" si="19"/>
        <v>0.25779970588235301</v>
      </c>
      <c r="Y51" s="209">
        <f t="shared" si="19"/>
        <v>1.0338352941176472E-2</v>
      </c>
      <c r="Z51" s="209">
        <f t="shared" si="19"/>
        <v>3.105794117647059E-3</v>
      </c>
      <c r="AA51" s="209">
        <f t="shared" si="19"/>
        <v>2.0617941176470596E-2</v>
      </c>
      <c r="AB51" s="209">
        <f t="shared" si="19"/>
        <v>1.7069029411764706E-5</v>
      </c>
      <c r="AC51" s="209">
        <f t="shared" si="19"/>
        <v>8.2879411764705908E-4</v>
      </c>
      <c r="AD51" s="209">
        <f t="shared" si="19"/>
        <v>7.2542647058823542E-4</v>
      </c>
      <c r="AE51" s="209">
        <f t="shared" si="19"/>
        <v>7.0321764705882375E-8</v>
      </c>
      <c r="AF51" s="121"/>
      <c r="AG51" s="121"/>
    </row>
    <row r="52" spans="2:33" ht="14.25" x14ac:dyDescent="0.25">
      <c r="B52" s="736"/>
      <c r="C52" s="236" t="s">
        <v>379</v>
      </c>
      <c r="D52" s="739"/>
      <c r="E52" s="739"/>
      <c r="F52" s="739"/>
      <c r="G52" s="739"/>
      <c r="H52" s="739"/>
      <c r="I52" s="739"/>
      <c r="J52" s="739"/>
      <c r="K52" s="740"/>
      <c r="L52" s="209">
        <f t="shared" ref="L52:AE52" si="20">L19-(L19/$E19)</f>
        <v>6.9111738286746878</v>
      </c>
      <c r="M52" s="209">
        <f t="shared" si="20"/>
        <v>1.9197705079651914</v>
      </c>
      <c r="N52" s="209">
        <f t="shared" si="20"/>
        <v>0.42795000000000005</v>
      </c>
      <c r="O52" s="209">
        <f t="shared" si="20"/>
        <v>7.2502941176470621</v>
      </c>
      <c r="P52" s="209">
        <f t="shared" si="20"/>
        <v>1.3449441176470588E-2</v>
      </c>
      <c r="Q52" s="209">
        <f t="shared" si="20"/>
        <v>1.4851323529411771E-2</v>
      </c>
      <c r="R52" s="209">
        <f t="shared" si="20"/>
        <v>1.7032235294117647E-2</v>
      </c>
      <c r="S52" s="209">
        <f t="shared" si="20"/>
        <v>9.1762941176470587E-5</v>
      </c>
      <c r="T52" s="209">
        <f t="shared" si="20"/>
        <v>2.8974705882352944E-2</v>
      </c>
      <c r="U52" s="209">
        <f t="shared" si="20"/>
        <v>8.4607941176470608E-2</v>
      </c>
      <c r="V52" s="116">
        <f t="shared" si="20"/>
        <v>0.58521176470588254</v>
      </c>
      <c r="W52" s="209">
        <f t="shared" si="20"/>
        <v>3.9687352941176479E-3</v>
      </c>
      <c r="X52" s="209">
        <f t="shared" si="20"/>
        <v>0.12842470588235294</v>
      </c>
      <c r="Y52" s="209">
        <f t="shared" si="20"/>
        <v>2.5282588235294126E-2</v>
      </c>
      <c r="Z52" s="209">
        <f t="shared" si="20"/>
        <v>5.8923529411764708E-2</v>
      </c>
      <c r="AA52" s="209">
        <f t="shared" si="20"/>
        <v>4.4777647058823533E-2</v>
      </c>
      <c r="AB52" s="209">
        <f t="shared" si="20"/>
        <v>2.4807176470588246E-5</v>
      </c>
      <c r="AC52" s="209">
        <f t="shared" si="20"/>
        <v>8.0563235294117685E-4</v>
      </c>
      <c r="AD52" s="209">
        <f t="shared" si="20"/>
        <v>7.462323529411766E-4</v>
      </c>
      <c r="AE52" s="209">
        <f t="shared" si="20"/>
        <v>9.6286764705882356E-8</v>
      </c>
      <c r="AF52" s="121"/>
      <c r="AG52" s="121"/>
    </row>
    <row r="53" spans="2:33" ht="14.25" x14ac:dyDescent="0.25">
      <c r="B53" s="736"/>
      <c r="C53" s="236" t="s">
        <v>377</v>
      </c>
      <c r="D53" s="739"/>
      <c r="E53" s="739"/>
      <c r="F53" s="739"/>
      <c r="G53" s="739"/>
      <c r="H53" s="739"/>
      <c r="I53" s="739"/>
      <c r="J53" s="739"/>
      <c r="K53" s="740"/>
      <c r="L53" s="209">
        <f t="shared" ref="L53:AE53" si="21">L20-(L20/$E20)</f>
        <v>4.0037793764433633</v>
      </c>
      <c r="M53" s="209">
        <f t="shared" si="21"/>
        <v>1.1121609379009341</v>
      </c>
      <c r="N53" s="209">
        <f t="shared" si="21"/>
        <v>0.26571176470588243</v>
      </c>
      <c r="O53" s="209">
        <f t="shared" si="21"/>
        <v>2.9064705882352957</v>
      </c>
      <c r="P53" s="209">
        <f t="shared" si="21"/>
        <v>9.6969705882352965E-4</v>
      </c>
      <c r="Q53" s="209">
        <f t="shared" si="21"/>
        <v>1.9005088235294121E-2</v>
      </c>
      <c r="R53" s="209">
        <f t="shared" si="21"/>
        <v>2.055917647058824E-3</v>
      </c>
      <c r="S53" s="209">
        <f t="shared" si="21"/>
        <v>1.0709735294117651E-4</v>
      </c>
      <c r="T53" s="209">
        <f t="shared" si="21"/>
        <v>2.0980852941176471E-2</v>
      </c>
      <c r="U53" s="209">
        <f t="shared" si="21"/>
        <v>7.0094117647058835E-2</v>
      </c>
      <c r="V53" s="116">
        <f t="shared" si="21"/>
        <v>0.42900882352941183</v>
      </c>
      <c r="W53" s="209">
        <f t="shared" si="21"/>
        <v>4.9920882352941188E-4</v>
      </c>
      <c r="X53" s="209">
        <f t="shared" si="21"/>
        <v>6.8892352941176488E-2</v>
      </c>
      <c r="Y53" s="209">
        <f t="shared" si="21"/>
        <v>2.4085058823529418E-2</v>
      </c>
      <c r="Z53" s="209">
        <f t="shared" si="21"/>
        <v>7.0504411764705892E-3</v>
      </c>
      <c r="AA53" s="209">
        <f t="shared" si="21"/>
        <v>2.9387647058823532E-2</v>
      </c>
      <c r="AB53" s="209">
        <f t="shared" si="21"/>
        <v>1.1660029411764711E-5</v>
      </c>
      <c r="AC53" s="209">
        <f t="shared" si="21"/>
        <v>7.7540294117647065E-4</v>
      </c>
      <c r="AD53" s="209">
        <f t="shared" si="21"/>
        <v>7.5359117647058821E-4</v>
      </c>
      <c r="AE53" s="209">
        <f t="shared" si="21"/>
        <v>9.4624411764705894E-8</v>
      </c>
      <c r="AF53" s="121"/>
      <c r="AG53" s="121"/>
    </row>
    <row r="54" spans="2:33" x14ac:dyDescent="0.2">
      <c r="B54" s="736"/>
      <c r="C54" s="150" t="s">
        <v>269</v>
      </c>
      <c r="D54" s="739"/>
      <c r="E54" s="739"/>
      <c r="F54" s="739"/>
      <c r="G54" s="739"/>
      <c r="H54" s="739"/>
      <c r="I54" s="739"/>
      <c r="J54" s="739"/>
      <c r="K54" s="740"/>
      <c r="L54" s="209">
        <f t="shared" ref="L54:AE54" si="22">L21-(L21/$E21)</f>
        <v>4.7798750989711323</v>
      </c>
      <c r="M54" s="209">
        <f t="shared" si="22"/>
        <v>1.3277430830475367</v>
      </c>
      <c r="N54" s="209">
        <f t="shared" si="22"/>
        <v>0.14206415094339642</v>
      </c>
      <c r="O54" s="209">
        <f t="shared" si="22"/>
        <v>0.82794339622641644</v>
      </c>
      <c r="P54" s="209">
        <f t="shared" si="22"/>
        <v>3.5400566037735882E-4</v>
      </c>
      <c r="Q54" s="209">
        <f t="shared" si="22"/>
        <v>1.2955471698113223E-3</v>
      </c>
      <c r="R54" s="209">
        <f t="shared" si="22"/>
        <v>2.064962264150946E-4</v>
      </c>
      <c r="S54" s="209">
        <f t="shared" si="22"/>
        <v>6.7267924528301929E-6</v>
      </c>
      <c r="T54" s="209">
        <f t="shared" si="22"/>
        <v>2.5141698113207572E-3</v>
      </c>
      <c r="U54" s="209">
        <f t="shared" si="22"/>
        <v>1.4994339622641517E-2</v>
      </c>
      <c r="V54" s="116">
        <f t="shared" si="22"/>
        <v>4.1778113207547207E-2</v>
      </c>
      <c r="W54" s="209">
        <f t="shared" si="22"/>
        <v>1.7723207547169816E-4</v>
      </c>
      <c r="X54" s="209">
        <f t="shared" si="22"/>
        <v>0.10275283018867931</v>
      </c>
      <c r="Y54" s="209">
        <f t="shared" si="22"/>
        <v>1.1000943396226419E-3</v>
      </c>
      <c r="Z54" s="209">
        <f t="shared" si="22"/>
        <v>1.0618301886792456E-3</v>
      </c>
      <c r="AA54" s="209">
        <f t="shared" si="22"/>
        <v>4.124547169811324E-3</v>
      </c>
      <c r="AB54" s="209">
        <f t="shared" si="22"/>
        <v>2.1482264150943423E-6</v>
      </c>
      <c r="AC54" s="209">
        <f t="shared" si="22"/>
        <v>3.0901132075471759E-4</v>
      </c>
      <c r="AD54" s="209">
        <f t="shared" si="22"/>
        <v>2.5970943396226402E-4</v>
      </c>
      <c r="AE54" s="209">
        <f t="shared" si="22"/>
        <v>1.3567924528301909E-8</v>
      </c>
      <c r="AF54" s="121"/>
      <c r="AG54" s="121"/>
    </row>
    <row r="55" spans="2:33" x14ac:dyDescent="0.2">
      <c r="B55" s="736"/>
      <c r="C55" s="252" t="s">
        <v>663</v>
      </c>
      <c r="D55" s="739"/>
      <c r="E55" s="739"/>
      <c r="F55" s="739"/>
      <c r="G55" s="739"/>
      <c r="H55" s="739"/>
      <c r="I55" s="739"/>
      <c r="J55" s="739"/>
      <c r="K55" s="740"/>
      <c r="L55" s="209">
        <f t="shared" ref="L55:AE55" si="23">L22-(L22/$E22)</f>
        <v>26.18820715755264</v>
      </c>
      <c r="M55" s="209">
        <f t="shared" si="23"/>
        <v>7.2745019882090673</v>
      </c>
      <c r="N55" s="209">
        <f t="shared" si="23"/>
        <v>1.0044370588235294</v>
      </c>
      <c r="O55" s="209">
        <f t="shared" si="23"/>
        <v>8.0294823529411765</v>
      </c>
      <c r="P55" s="209">
        <f t="shared" si="23"/>
        <v>2.37375E-3</v>
      </c>
      <c r="Q55" s="209">
        <f t="shared" si="23"/>
        <v>1.1898238235294123E-2</v>
      </c>
      <c r="R55" s="209">
        <f t="shared" si="23"/>
        <v>1.0162058823529413E-2</v>
      </c>
      <c r="S55" s="209">
        <f t="shared" si="23"/>
        <v>2.2362617647058824E-4</v>
      </c>
      <c r="T55" s="209">
        <f t="shared" si="23"/>
        <v>3.7490823529411771E-2</v>
      </c>
      <c r="U55" s="209">
        <f t="shared" si="23"/>
        <v>0.1860297352941177</v>
      </c>
      <c r="V55" s="116">
        <f t="shared" si="23"/>
        <v>0.82446088235294113</v>
      </c>
      <c r="W55" s="209">
        <f t="shared" si="23"/>
        <v>1.1530852941176472E-3</v>
      </c>
      <c r="X55" s="209">
        <f t="shared" si="23"/>
        <v>0.52198411764705899</v>
      </c>
      <c r="Y55" s="209">
        <f t="shared" si="23"/>
        <v>4.8359647058823535E-2</v>
      </c>
      <c r="Z55" s="209">
        <f t="shared" si="23"/>
        <v>3.0323911764705891E-2</v>
      </c>
      <c r="AA55" s="209">
        <f t="shared" si="23"/>
        <v>5.6282294117647069E-2</v>
      </c>
      <c r="AB55" s="209">
        <f t="shared" si="23"/>
        <v>3.4900147058823541E-5</v>
      </c>
      <c r="AC55" s="209">
        <f t="shared" si="23"/>
        <v>2.4272735294117651E-3</v>
      </c>
      <c r="AD55" s="209">
        <f t="shared" si="23"/>
        <v>2.1534088235294121E-3</v>
      </c>
      <c r="AE55" s="209">
        <f t="shared" si="23"/>
        <v>2.1733941176470594E-7</v>
      </c>
      <c r="AF55" s="121"/>
      <c r="AG55" s="121"/>
    </row>
    <row r="56" spans="2:33" x14ac:dyDescent="0.2">
      <c r="B56" s="736"/>
      <c r="C56" s="252" t="s">
        <v>664</v>
      </c>
      <c r="D56" s="739"/>
      <c r="E56" s="739"/>
      <c r="F56" s="739"/>
      <c r="G56" s="739"/>
      <c r="H56" s="739"/>
      <c r="I56" s="739"/>
      <c r="J56" s="739"/>
      <c r="K56" s="740"/>
      <c r="L56" s="209">
        <f t="shared" ref="L56:L57" si="24">L23-(L23/$E23)</f>
        <v>23.803214270988875</v>
      </c>
      <c r="M56" s="209">
        <f t="shared" ref="M56:AE56" si="25">M23-(M23/$E23)</f>
        <v>6.6120039641635735</v>
      </c>
      <c r="N56" s="209">
        <f t="shared" si="25"/>
        <v>1.5347647058823535</v>
      </c>
      <c r="O56" s="209">
        <f t="shared" si="25"/>
        <v>15.744970588235297</v>
      </c>
      <c r="P56" s="209">
        <f t="shared" si="25"/>
        <v>6.8850000000000022E-3</v>
      </c>
      <c r="Q56" s="209">
        <f t="shared" si="25"/>
        <v>1.9501411764705887</v>
      </c>
      <c r="R56" s="209">
        <f t="shared" si="25"/>
        <v>1.4268441176470588E-2</v>
      </c>
      <c r="S56" s="209">
        <f t="shared" si="25"/>
        <v>5.0505882352941183E-4</v>
      </c>
      <c r="T56" s="209">
        <f t="shared" si="25"/>
        <v>0.13546588235294121</v>
      </c>
      <c r="U56" s="209">
        <f t="shared" si="25"/>
        <v>0.29850882352941177</v>
      </c>
      <c r="V56" s="116">
        <f t="shared" si="25"/>
        <v>2.7582352941176476</v>
      </c>
      <c r="W56" s="209">
        <f t="shared" si="25"/>
        <v>2.8590882352941185E-3</v>
      </c>
      <c r="X56" s="209">
        <f t="shared" si="25"/>
        <v>0.44666470588235296</v>
      </c>
      <c r="Y56" s="209">
        <f t="shared" si="25"/>
        <v>8.3345294117647073E-2</v>
      </c>
      <c r="Z56" s="209">
        <f t="shared" si="25"/>
        <v>3.8652352941176485E-2</v>
      </c>
      <c r="AA56" s="209">
        <f t="shared" si="25"/>
        <v>0.18566735294117653</v>
      </c>
      <c r="AB56" s="209">
        <f t="shared" si="25"/>
        <v>1.5399794117647064E-4</v>
      </c>
      <c r="AC56" s="209">
        <f t="shared" si="25"/>
        <v>3.6484411764705887E-3</v>
      </c>
      <c r="AD56" s="209">
        <f t="shared" si="25"/>
        <v>3.4266176470588248E-3</v>
      </c>
      <c r="AE56" s="209">
        <f t="shared" si="25"/>
        <v>3.4615588235294128E-7</v>
      </c>
      <c r="AF56" s="121"/>
      <c r="AG56" s="121"/>
    </row>
    <row r="57" spans="2:33" x14ac:dyDescent="0.2">
      <c r="B57" s="736"/>
      <c r="C57" s="252" t="s">
        <v>665</v>
      </c>
      <c r="D57" s="739"/>
      <c r="E57" s="739"/>
      <c r="F57" s="739"/>
      <c r="G57" s="739"/>
      <c r="H57" s="739"/>
      <c r="I57" s="739"/>
      <c r="J57" s="739"/>
      <c r="K57" s="740"/>
      <c r="L57" s="209">
        <f t="shared" si="24"/>
        <v>30.060266900044084</v>
      </c>
      <c r="M57" s="209">
        <f t="shared" ref="M57:AE57" si="26">M24-(M24/$E24)</f>
        <v>8.3500741389011353</v>
      </c>
      <c r="N57" s="209">
        <f t="shared" si="26"/>
        <v>1.521780193941848</v>
      </c>
      <c r="O57" s="209">
        <f t="shared" si="26"/>
        <v>14.616830986994991</v>
      </c>
      <c r="P57" s="209">
        <f t="shared" si="26"/>
        <v>1.2627022217373662E-2</v>
      </c>
      <c r="Q57" s="209">
        <f t="shared" si="26"/>
        <v>0.95667161767960529</v>
      </c>
      <c r="R57" s="209">
        <f t="shared" si="26"/>
        <v>4.2064794284620274E-2</v>
      </c>
      <c r="S57" s="209">
        <f t="shared" si="26"/>
        <v>1.050106754622364E-3</v>
      </c>
      <c r="T57" s="209">
        <f t="shared" si="26"/>
        <v>0.15194521231419045</v>
      </c>
      <c r="U57" s="209">
        <f t="shared" si="26"/>
        <v>1.1127724040124884</v>
      </c>
      <c r="V57" s="116">
        <f t="shared" si="26"/>
        <v>3.3786133062306174</v>
      </c>
      <c r="W57" s="209">
        <f t="shared" si="26"/>
        <v>4.3000767835169977E-3</v>
      </c>
      <c r="X57" s="209">
        <f t="shared" si="26"/>
        <v>0.4091567520813546</v>
      </c>
      <c r="Y57" s="209">
        <f t="shared" si="26"/>
        <v>0.37595395555159161</v>
      </c>
      <c r="Z57" s="209">
        <f t="shared" si="26"/>
        <v>0.112018217945687</v>
      </c>
      <c r="AA57" s="209">
        <f t="shared" si="26"/>
        <v>0.21240417213255025</v>
      </c>
      <c r="AB57" s="209">
        <f t="shared" si="26"/>
        <v>2.8326119522751258E-4</v>
      </c>
      <c r="AC57" s="209">
        <f t="shared" si="26"/>
        <v>3.680491198176589E-3</v>
      </c>
      <c r="AD57" s="209">
        <f t="shared" si="26"/>
        <v>3.542896216855853E-3</v>
      </c>
      <c r="AE57" s="209">
        <f t="shared" si="26"/>
        <v>5.019897889940184E-7</v>
      </c>
      <c r="AF57" s="121"/>
      <c r="AG57" s="121"/>
    </row>
    <row r="58" spans="2:33" x14ac:dyDescent="0.2">
      <c r="B58" s="736"/>
      <c r="C58" s="307" t="s">
        <v>666</v>
      </c>
      <c r="D58" s="739"/>
      <c r="E58" s="739"/>
      <c r="F58" s="739"/>
      <c r="G58" s="739"/>
      <c r="H58" s="739"/>
      <c r="I58" s="739"/>
      <c r="J58" s="739"/>
      <c r="K58" s="740"/>
      <c r="L58" s="209">
        <f t="shared" ref="L58:AE58" si="27">L25-(L25/$E25)</f>
        <v>5.1953368592082967</v>
      </c>
      <c r="M58" s="209">
        <f t="shared" si="27"/>
        <v>1.4431491275578594</v>
      </c>
      <c r="N58" s="209">
        <f t="shared" si="27"/>
        <v>0.23250656603773612</v>
      </c>
      <c r="O58" s="209">
        <f t="shared" si="27"/>
        <v>1.7258400000000016</v>
      </c>
      <c r="P58" s="209">
        <f t="shared" si="27"/>
        <v>7.4576547169811352E-4</v>
      </c>
      <c r="Q58" s="209">
        <f t="shared" si="27"/>
        <v>1.5373383396226403E-2</v>
      </c>
      <c r="R58" s="209">
        <f t="shared" si="27"/>
        <v>1.8045249056603783E-3</v>
      </c>
      <c r="S58" s="209">
        <f t="shared" si="27"/>
        <v>6.9552141509434014E-5</v>
      </c>
      <c r="T58" s="209">
        <f t="shared" si="27"/>
        <v>9.2953811320754809E-3</v>
      </c>
      <c r="U58" s="209">
        <f t="shared" si="27"/>
        <v>3.6574171698113278E-2</v>
      </c>
      <c r="V58" s="116">
        <f t="shared" si="27"/>
        <v>0.23888598113207582</v>
      </c>
      <c r="W58" s="209">
        <f t="shared" si="27"/>
        <v>3.6654328301886831E-4</v>
      </c>
      <c r="X58" s="209">
        <f t="shared" si="27"/>
        <v>8.1598981132075643E-2</v>
      </c>
      <c r="Y58" s="209">
        <f t="shared" si="27"/>
        <v>1.610696603773587E-2</v>
      </c>
      <c r="Z58" s="209">
        <f t="shared" si="27"/>
        <v>2.8929479433962291E-2</v>
      </c>
      <c r="AA58" s="209">
        <f t="shared" si="27"/>
        <v>1.3667116981132099E-2</v>
      </c>
      <c r="AB58" s="209">
        <f t="shared" si="27"/>
        <v>7.9244541509434151E-6</v>
      </c>
      <c r="AC58" s="209">
        <f t="shared" si="27"/>
        <v>5.9124147169811389E-4</v>
      </c>
      <c r="AD58" s="209">
        <f t="shared" si="27"/>
        <v>5.4955760377358581E-4</v>
      </c>
      <c r="AE58" s="209">
        <f t="shared" si="27"/>
        <v>6.1279335849056562E-8</v>
      </c>
      <c r="AF58" s="121"/>
      <c r="AG58" s="121"/>
    </row>
    <row r="59" spans="2:33" ht="14.25" x14ac:dyDescent="0.25">
      <c r="B59" s="736"/>
      <c r="C59" s="150" t="s">
        <v>667</v>
      </c>
      <c r="D59" s="739"/>
      <c r="E59" s="739"/>
      <c r="F59" s="739"/>
      <c r="G59" s="739"/>
      <c r="H59" s="739"/>
      <c r="I59" s="739"/>
      <c r="J59" s="739"/>
      <c r="K59" s="740"/>
      <c r="L59" s="209">
        <f t="shared" ref="L59:AE59" si="28">L26-(L26/$E26)</f>
        <v>1.1712208205658919E-3</v>
      </c>
      <c r="M59" s="209">
        <f t="shared" si="28"/>
        <v>3.2533911682385876E-4</v>
      </c>
      <c r="N59" s="209">
        <f t="shared" si="28"/>
        <v>7.925463414634146E-5</v>
      </c>
      <c r="O59" s="209">
        <f t="shared" si="28"/>
        <v>1.0889845528455283E-3</v>
      </c>
      <c r="P59" s="209">
        <f t="shared" si="28"/>
        <v>5.879211382113823E-7</v>
      </c>
      <c r="Q59" s="209">
        <f t="shared" si="28"/>
        <v>1.1725699186991867E-5</v>
      </c>
      <c r="R59" s="209">
        <f t="shared" si="28"/>
        <v>3.8843821138211369E-6</v>
      </c>
      <c r="S59" s="209">
        <f t="shared" si="28"/>
        <v>2.9230569105691054E-8</v>
      </c>
      <c r="T59" s="209">
        <f t="shared" si="28"/>
        <v>6.1232357723577247E-6</v>
      </c>
      <c r="U59" s="209">
        <f t="shared" si="28"/>
        <v>2.8211463414634132E-5</v>
      </c>
      <c r="V59" s="116">
        <f t="shared" si="28"/>
        <v>1.2851016260162604E-4</v>
      </c>
      <c r="W59" s="209">
        <f t="shared" si="28"/>
        <v>2.0744878048780483E-7</v>
      </c>
      <c r="X59" s="209">
        <f t="shared" si="28"/>
        <v>1.9230243902439021E-5</v>
      </c>
      <c r="Y59" s="209">
        <f t="shared" si="28"/>
        <v>8.5836747967479683E-6</v>
      </c>
      <c r="Z59" s="209">
        <f t="shared" si="28"/>
        <v>1.8424682926829266E-6</v>
      </c>
      <c r="AA59" s="209">
        <f t="shared" si="28"/>
        <v>8.9619593495934971E-6</v>
      </c>
      <c r="AB59" s="209">
        <f t="shared" si="28"/>
        <v>4.0197642276422749E-9</v>
      </c>
      <c r="AC59" s="209">
        <f t="shared" si="28"/>
        <v>1.5501626016260164E-7</v>
      </c>
      <c r="AD59" s="209">
        <f t="shared" si="28"/>
        <v>1.4841731707317069E-7</v>
      </c>
      <c r="AE59" s="209">
        <f t="shared" si="28"/>
        <v>5.9081951219512189E-11</v>
      </c>
      <c r="AF59" s="121"/>
      <c r="AG59" s="121"/>
    </row>
    <row r="60" spans="2:33" x14ac:dyDescent="0.2">
      <c r="B60" s="736"/>
      <c r="C60" s="617" t="s">
        <v>668</v>
      </c>
      <c r="D60" s="739"/>
      <c r="E60" s="739"/>
      <c r="F60" s="739"/>
      <c r="G60" s="739"/>
      <c r="H60" s="739"/>
      <c r="I60" s="739"/>
      <c r="J60" s="739"/>
      <c r="K60" s="740"/>
      <c r="L60" s="628">
        <f t="shared" ref="L60:AE60" si="29">L27-(L27/$E27)</f>
        <v>7.0441735307389308</v>
      </c>
      <c r="M60" s="628">
        <f t="shared" si="29"/>
        <v>1.9567148696497014</v>
      </c>
      <c r="N60" s="628">
        <f t="shared" si="29"/>
        <v>0.43455283018867963</v>
      </c>
      <c r="O60" s="628">
        <f t="shared" si="29"/>
        <v>29.679622641509468</v>
      </c>
      <c r="P60" s="628">
        <f t="shared" si="29"/>
        <v>4.9784716981132182E-3</v>
      </c>
      <c r="Q60" s="628">
        <f t="shared" si="29"/>
        <v>2.3003773584905698E-3</v>
      </c>
      <c r="R60" s="628">
        <f t="shared" si="29"/>
        <v>9.5547169811320901E-4</v>
      </c>
      <c r="S60" s="628">
        <f t="shared" si="29"/>
        <v>6.9577358490566146E-5</v>
      </c>
      <c r="T60" s="628">
        <f t="shared" si="29"/>
        <v>8.4271698113207727E-3</v>
      </c>
      <c r="U60" s="628">
        <f t="shared" si="29"/>
        <v>4.8142641509434037E-2</v>
      </c>
      <c r="V60" s="615">
        <f t="shared" si="29"/>
        <v>0.2745113207547174</v>
      </c>
      <c r="W60" s="628">
        <f t="shared" si="29"/>
        <v>1.7448679245283018E-3</v>
      </c>
      <c r="X60" s="628">
        <f t="shared" si="29"/>
        <v>0.14122641509433986</v>
      </c>
      <c r="Y60" s="628">
        <f t="shared" si="29"/>
        <v>1.2054339622641519E-2</v>
      </c>
      <c r="Z60" s="628">
        <f t="shared" si="29"/>
        <v>4.7253962264151017E-3</v>
      </c>
      <c r="AA60" s="628">
        <f t="shared" si="29"/>
        <v>3.8827924528301971E-2</v>
      </c>
      <c r="AB60" s="628">
        <f t="shared" si="29"/>
        <v>6.3164150943396231E-6</v>
      </c>
      <c r="AC60" s="628">
        <f t="shared" si="29"/>
        <v>1.5485660377358504E-3</v>
      </c>
      <c r="AD60" s="628">
        <f t="shared" si="29"/>
        <v>1.5082641509433989E-3</v>
      </c>
      <c r="AE60" s="628">
        <f t="shared" si="29"/>
        <v>8.8120754716981156E-8</v>
      </c>
      <c r="AF60" s="121"/>
      <c r="AG60" s="121"/>
    </row>
    <row r="61" spans="2:33" x14ac:dyDescent="0.2">
      <c r="B61" s="736"/>
      <c r="C61" s="150" t="s">
        <v>59</v>
      </c>
      <c r="D61" s="739"/>
      <c r="E61" s="739"/>
      <c r="F61" s="739"/>
      <c r="G61" s="739"/>
      <c r="H61" s="739"/>
      <c r="I61" s="739"/>
      <c r="J61" s="739"/>
      <c r="K61" s="740"/>
      <c r="L61" s="209">
        <f t="shared" ref="L61:AE61" si="30">L28-(L28/$E28)</f>
        <v>7.5622881781140023</v>
      </c>
      <c r="M61" s="209">
        <f t="shared" si="30"/>
        <v>2.1006356050316697</v>
      </c>
      <c r="N61" s="209">
        <f t="shared" si="30"/>
        <v>0.4668679245283025</v>
      </c>
      <c r="O61" s="209">
        <f t="shared" si="30"/>
        <v>28.250377358490596</v>
      </c>
      <c r="P61" s="209">
        <f t="shared" si="30"/>
        <v>4.845169811320757E-3</v>
      </c>
      <c r="Q61" s="209">
        <f t="shared" si="30"/>
        <v>3.28233962264151E-3</v>
      </c>
      <c r="R61" s="209">
        <f t="shared" si="30"/>
        <v>1.1366603773584928E-3</v>
      </c>
      <c r="S61" s="209">
        <f t="shared" si="30"/>
        <v>7.5996226415094405E-5</v>
      </c>
      <c r="T61" s="209">
        <f t="shared" si="30"/>
        <v>1.0676603773584925E-2</v>
      </c>
      <c r="U61" s="209">
        <f t="shared" si="30"/>
        <v>5.5423584905660461E-2</v>
      </c>
      <c r="V61" s="116">
        <f t="shared" si="30"/>
        <v>0.31631886792452857</v>
      </c>
      <c r="W61" s="209">
        <f t="shared" si="30"/>
        <v>1.7122075471698132E-3</v>
      </c>
      <c r="X61" s="209">
        <f t="shared" si="30"/>
        <v>0.15035094339622646</v>
      </c>
      <c r="Y61" s="209">
        <f t="shared" si="30"/>
        <v>1.3245283018867932E-2</v>
      </c>
      <c r="Z61" s="209">
        <f t="shared" si="30"/>
        <v>6.3537735849056726E-3</v>
      </c>
      <c r="AA61" s="209">
        <f t="shared" si="30"/>
        <v>4.0353962264151E-2</v>
      </c>
      <c r="AB61" s="209">
        <f t="shared" si="30"/>
        <v>7.3437735849056745E-6</v>
      </c>
      <c r="AC61" s="209">
        <f t="shared" si="30"/>
        <v>1.5956037735849055E-3</v>
      </c>
      <c r="AD61" s="209">
        <f t="shared" si="30"/>
        <v>1.5522452830188695E-3</v>
      </c>
      <c r="AE61" s="209">
        <f t="shared" si="30"/>
        <v>9.6441509433962246E-8</v>
      </c>
      <c r="AF61" s="121"/>
      <c r="AG61" s="121"/>
    </row>
    <row r="62" spans="2:33" x14ac:dyDescent="0.2">
      <c r="B62" s="736"/>
      <c r="C62" s="307" t="s">
        <v>518</v>
      </c>
      <c r="D62" s="739"/>
      <c r="E62" s="739"/>
      <c r="F62" s="739"/>
      <c r="G62" s="739"/>
      <c r="H62" s="739"/>
      <c r="I62" s="739"/>
      <c r="J62" s="739"/>
      <c r="K62" s="740"/>
      <c r="L62" s="209">
        <f t="shared" ref="L62" si="31">L29-(L29/$E29)</f>
        <v>45.995396044129151</v>
      </c>
      <c r="M62" s="209">
        <f t="shared" ref="M62:AE62" si="32">M29-(M29/$E29)</f>
        <v>12.776498901146986</v>
      </c>
      <c r="N62" s="209">
        <f t="shared" si="32"/>
        <v>3.0970588235294123</v>
      </c>
      <c r="O62" s="209">
        <f t="shared" si="32"/>
        <v>302.92941176470595</v>
      </c>
      <c r="P62" s="209">
        <f t="shared" si="32"/>
        <v>1.0739647058823531E-2</v>
      </c>
      <c r="Q62" s="209">
        <f t="shared" si="32"/>
        <v>1.4872500000000004E-2</v>
      </c>
      <c r="R62" s="209">
        <f t="shared" si="32"/>
        <v>2.9705294117647066E-2</v>
      </c>
      <c r="S62" s="209">
        <f t="shared" si="32"/>
        <v>8.9655882352941176E-4</v>
      </c>
      <c r="T62" s="209">
        <f t="shared" si="32"/>
        <v>5.9995588235294134E-2</v>
      </c>
      <c r="U62" s="209">
        <f t="shared" si="32"/>
        <v>0.24234882352941178</v>
      </c>
      <c r="V62" s="116">
        <f t="shared" si="32"/>
        <v>1.7993117647058829</v>
      </c>
      <c r="W62" s="209">
        <f t="shared" si="32"/>
        <v>5.142970588235294E-3</v>
      </c>
      <c r="X62" s="209">
        <f t="shared" si="32"/>
        <v>0.68130000000000002</v>
      </c>
      <c r="Y62" s="209">
        <f t="shared" si="32"/>
        <v>0.19485264705882355</v>
      </c>
      <c r="Z62" s="209">
        <f t="shared" si="32"/>
        <v>0.22606676470588238</v>
      </c>
      <c r="AA62" s="209">
        <f t="shared" si="32"/>
        <v>0.43364117647058831</v>
      </c>
      <c r="AB62" s="209">
        <f t="shared" si="32"/>
        <v>7.1253529411764716E-5</v>
      </c>
      <c r="AC62" s="209">
        <f t="shared" si="32"/>
        <v>7.6198235294117657E-3</v>
      </c>
      <c r="AD62" s="209">
        <f t="shared" si="32"/>
        <v>7.4287058823529414E-3</v>
      </c>
      <c r="AE62" s="209">
        <f t="shared" si="32"/>
        <v>9.3168529411764708E-7</v>
      </c>
      <c r="AF62" s="121"/>
      <c r="AG62" s="121"/>
    </row>
    <row r="63" spans="2:33" x14ac:dyDescent="0.2">
      <c r="B63" s="736"/>
      <c r="C63" s="307" t="s">
        <v>652</v>
      </c>
      <c r="D63" s="739"/>
      <c r="E63" s="739"/>
      <c r="F63" s="739"/>
      <c r="G63" s="739"/>
      <c r="H63" s="739"/>
      <c r="I63" s="739"/>
      <c r="J63" s="739"/>
      <c r="K63" s="740"/>
      <c r="L63" s="209">
        <f t="shared" ref="L63:AE63" si="33">L30-(L30/$E30)</f>
        <v>10.372141475738566</v>
      </c>
      <c r="M63" s="209">
        <f t="shared" si="33"/>
        <v>2.881150409927379</v>
      </c>
      <c r="N63" s="209">
        <f t="shared" si="33"/>
        <v>0.80888702290076342</v>
      </c>
      <c r="O63" s="209">
        <f t="shared" si="33"/>
        <v>2.2607045801526722</v>
      </c>
      <c r="P63" s="209">
        <f t="shared" si="33"/>
        <v>3.7838931297709925E-3</v>
      </c>
      <c r="Q63" s="209">
        <f t="shared" si="33"/>
        <v>2.4047480916030532E-3</v>
      </c>
      <c r="R63" s="209">
        <f t="shared" si="33"/>
        <v>2.0289854961832061E-3</v>
      </c>
      <c r="S63" s="209">
        <f t="shared" si="33"/>
        <v>3.1705190839694669E-4</v>
      </c>
      <c r="T63" s="209">
        <f t="shared" si="33"/>
        <v>1.4315610687022903E-2</v>
      </c>
      <c r="U63" s="209">
        <f t="shared" si="33"/>
        <v>6.89714503816794E-2</v>
      </c>
      <c r="V63" s="116">
        <f t="shared" si="33"/>
        <v>0.64593587786259565</v>
      </c>
      <c r="W63" s="209">
        <f t="shared" si="33"/>
        <v>1.4384946564885495E-3</v>
      </c>
      <c r="X63" s="209">
        <f t="shared" si="33"/>
        <v>0.20594175572519091</v>
      </c>
      <c r="Y63" s="209">
        <f t="shared" si="33"/>
        <v>2.7947328244274816E-2</v>
      </c>
      <c r="Z63" s="209">
        <f t="shared" si="33"/>
        <v>9.4457709923664139E-3</v>
      </c>
      <c r="AA63" s="209">
        <f t="shared" si="33"/>
        <v>2.1483946564885503E-2</v>
      </c>
      <c r="AB63" s="209">
        <f t="shared" si="33"/>
        <v>2.1601793893129769E-5</v>
      </c>
      <c r="AC63" s="209">
        <f t="shared" si="33"/>
        <v>1.9392984732824426E-3</v>
      </c>
      <c r="AD63" s="209">
        <f t="shared" si="33"/>
        <v>1.9027610687022906E-3</v>
      </c>
      <c r="AE63" s="209">
        <f t="shared" si="33"/>
        <v>1.4945786259541984E-7</v>
      </c>
      <c r="AF63" s="121"/>
      <c r="AG63" s="121"/>
    </row>
    <row r="64" spans="2:33" x14ac:dyDescent="0.2">
      <c r="B64" s="736"/>
      <c r="C64" s="307" t="s">
        <v>653</v>
      </c>
      <c r="D64" s="739"/>
      <c r="E64" s="739"/>
      <c r="F64" s="739"/>
      <c r="G64" s="739"/>
      <c r="H64" s="739"/>
      <c r="I64" s="739"/>
      <c r="J64" s="739"/>
      <c r="K64" s="740"/>
      <c r="L64" s="209">
        <f>L31-(L31/$E31)</f>
        <v>273.05792382965581</v>
      </c>
      <c r="M64" s="209">
        <f>M31-(M31/$E31)</f>
        <v>75.849423286015508</v>
      </c>
      <c r="N64" s="209">
        <f t="shared" ref="N64:AE64" si="34">N31-(N31/$E31)</f>
        <v>20.456969696969701</v>
      </c>
      <c r="O64" s="209">
        <f t="shared" si="34"/>
        <v>161.50060606060612</v>
      </c>
      <c r="P64" s="209">
        <f t="shared" si="34"/>
        <v>9.9316363636363647E-2</v>
      </c>
      <c r="Q64" s="209">
        <f t="shared" si="34"/>
        <v>39.786666666666676</v>
      </c>
      <c r="R64" s="209">
        <f t="shared" si="34"/>
        <v>0.18164848484848484</v>
      </c>
      <c r="S64" s="209">
        <f t="shared" si="34"/>
        <v>1.0159515151515155E-2</v>
      </c>
      <c r="T64" s="209">
        <f t="shared" si="34"/>
        <v>1.4091878787878791</v>
      </c>
      <c r="U64" s="209">
        <f t="shared" si="34"/>
        <v>3.7444848484848485</v>
      </c>
      <c r="V64" s="116">
        <f t="shared" si="34"/>
        <v>32.678787878787887</v>
      </c>
      <c r="W64" s="209">
        <f t="shared" si="34"/>
        <v>4.3059393939393953E-2</v>
      </c>
      <c r="X64" s="209">
        <f t="shared" si="34"/>
        <v>4.9362424242424243</v>
      </c>
      <c r="Y64" s="209">
        <f t="shared" si="34"/>
        <v>1.2259636363636366</v>
      </c>
      <c r="Z64" s="209">
        <f t="shared" si="34"/>
        <v>0.48240000000000016</v>
      </c>
      <c r="AA64" s="209">
        <f t="shared" si="34"/>
        <v>1.9405090909090914</v>
      </c>
      <c r="AB64" s="209">
        <f t="shared" si="34"/>
        <v>9.4426666666666687E-3</v>
      </c>
      <c r="AC64" s="209">
        <f t="shared" si="34"/>
        <v>6.1277575757575753E-2</v>
      </c>
      <c r="AD64" s="209">
        <f t="shared" si="34"/>
        <v>5.9689696969696976E-2</v>
      </c>
      <c r="AE64" s="209">
        <f t="shared" si="34"/>
        <v>6.6433939393939406E-6</v>
      </c>
      <c r="AF64" s="121"/>
      <c r="AG64" s="121"/>
    </row>
    <row r="65" spans="2:33" x14ac:dyDescent="0.2">
      <c r="B65" s="736"/>
      <c r="C65" s="237" t="s">
        <v>662</v>
      </c>
      <c r="D65" s="739"/>
      <c r="E65" s="739"/>
      <c r="F65" s="739"/>
      <c r="G65" s="739"/>
      <c r="H65" s="739"/>
      <c r="I65" s="739"/>
      <c r="J65" s="739"/>
      <c r="K65" s="740"/>
      <c r="L65" s="209">
        <f t="shared" ref="L65:V65" si="35">L32-(L32/$E32)</f>
        <v>35.621196865918421</v>
      </c>
      <c r="M65" s="209">
        <f t="shared" si="35"/>
        <v>9.8947769071995602</v>
      </c>
      <c r="N65" s="209">
        <f t="shared" si="35"/>
        <v>2.4061235294117651</v>
      </c>
      <c r="O65" s="209">
        <f t="shared" si="35"/>
        <v>286.20000000000005</v>
      </c>
      <c r="P65" s="209">
        <f t="shared" si="35"/>
        <v>0.11417294117647059</v>
      </c>
      <c r="Q65" s="209">
        <f t="shared" si="35"/>
        <v>0.50595882352941191</v>
      </c>
      <c r="R65" s="209">
        <f t="shared" si="35"/>
        <v>4.0423235294117663E-2</v>
      </c>
      <c r="S65" s="209">
        <f t="shared" si="35"/>
        <v>1.2248735294117651E-2</v>
      </c>
      <c r="T65" s="209">
        <f t="shared" si="35"/>
        <v>10.149352941176474</v>
      </c>
      <c r="U65" s="209">
        <f t="shared" si="35"/>
        <v>2.6264647058823538</v>
      </c>
      <c r="V65" s="116">
        <f t="shared" si="35"/>
        <v>154.67294117647066</v>
      </c>
      <c r="W65" s="209">
        <f t="shared" ref="W65:AE65" si="36">W32-(W32/$E32)</f>
        <v>3.6812647058823533E-2</v>
      </c>
      <c r="X65" s="209">
        <f t="shared" si="36"/>
        <v>0.55024411764705894</v>
      </c>
      <c r="Y65" s="209">
        <f t="shared" si="36"/>
        <v>0.1775964705882353</v>
      </c>
      <c r="Z65" s="209">
        <f t="shared" si="36"/>
        <v>0.3196058823529413</v>
      </c>
      <c r="AA65" s="209">
        <f t="shared" si="36"/>
        <v>12.746117647058824</v>
      </c>
      <c r="AB65" s="209">
        <f t="shared" si="36"/>
        <v>2.3148529411764714E-4</v>
      </c>
      <c r="AC65" s="209">
        <f t="shared" si="36"/>
        <v>1.9492941176470595E-2</v>
      </c>
      <c r="AD65" s="209">
        <f t="shared" si="36"/>
        <v>1.9053529411764712E-2</v>
      </c>
      <c r="AE65" s="209">
        <f t="shared" si="36"/>
        <v>2.3872235294117655E-6</v>
      </c>
      <c r="AF65" s="121"/>
      <c r="AG65" s="121"/>
    </row>
    <row r="66" spans="2:33" x14ac:dyDescent="0.2">
      <c r="B66" s="736"/>
      <c r="C66" s="237" t="s">
        <v>661</v>
      </c>
      <c r="D66" s="739"/>
      <c r="E66" s="739"/>
      <c r="F66" s="739"/>
      <c r="G66" s="739"/>
      <c r="H66" s="739"/>
      <c r="I66" s="739"/>
      <c r="J66" s="739"/>
      <c r="K66" s="740"/>
      <c r="L66" s="209">
        <f>L33-(L33/$E33)</f>
        <v>1.4468863179592217</v>
      </c>
      <c r="M66" s="209">
        <f t="shared" ref="M66:V66" si="37">M33-(M33/$E33)</f>
        <v>0.40191286609978394</v>
      </c>
      <c r="N66" s="209">
        <f t="shared" si="37"/>
        <v>0.1054667647058824</v>
      </c>
      <c r="O66" s="209">
        <f t="shared" si="37"/>
        <v>11.155235294117649</v>
      </c>
      <c r="P66" s="209">
        <f t="shared" si="37"/>
        <v>2.8548529411764716E-4</v>
      </c>
      <c r="Q66" s="209">
        <f t="shared" si="37"/>
        <v>1.64925E-2</v>
      </c>
      <c r="R66" s="209">
        <f t="shared" si="37"/>
        <v>1.9352117647058829E-3</v>
      </c>
      <c r="S66" s="209">
        <f t="shared" si="37"/>
        <v>3.6630000000000007E-5</v>
      </c>
      <c r="T66" s="209">
        <f t="shared" si="37"/>
        <v>1.2418411764705886E-2</v>
      </c>
      <c r="U66" s="209">
        <f t="shared" si="37"/>
        <v>0.22177058823529416</v>
      </c>
      <c r="V66" s="116">
        <f t="shared" si="37"/>
        <v>9.7197352941176485E-2</v>
      </c>
      <c r="W66" s="209">
        <f t="shared" ref="W66:AE66" si="38">W33-(W33/$E33)</f>
        <v>1.5516264705882354E-4</v>
      </c>
      <c r="X66" s="209">
        <f t="shared" si="38"/>
        <v>2.6416058823529417E-2</v>
      </c>
      <c r="Y66" s="209">
        <f t="shared" si="38"/>
        <v>6.699705882352941E-3</v>
      </c>
      <c r="Z66" s="209">
        <f t="shared" si="38"/>
        <v>1.9162588235294119E-3</v>
      </c>
      <c r="AA66" s="209">
        <f t="shared" si="38"/>
        <v>2.8191176470588233E-2</v>
      </c>
      <c r="AB66" s="209">
        <f t="shared" si="38"/>
        <v>2.8312941176470604E-6</v>
      </c>
      <c r="AC66" s="209">
        <f t="shared" si="38"/>
        <v>2.5480852941176478E-4</v>
      </c>
      <c r="AD66" s="209">
        <f t="shared" si="38"/>
        <v>2.4449294117647065E-4</v>
      </c>
      <c r="AE66" s="209">
        <f t="shared" si="38"/>
        <v>2.1043058823529415E-8</v>
      </c>
      <c r="AF66" s="121"/>
      <c r="AG66" s="121"/>
    </row>
    <row r="67" spans="2:33" x14ac:dyDescent="0.2">
      <c r="B67" s="736"/>
      <c r="C67" s="237" t="s">
        <v>72</v>
      </c>
      <c r="D67" s="739"/>
      <c r="E67" s="739"/>
      <c r="F67" s="739"/>
      <c r="G67" s="739"/>
      <c r="H67" s="739"/>
      <c r="I67" s="739"/>
      <c r="J67" s="739"/>
      <c r="K67" s="740"/>
      <c r="L67" s="209">
        <f t="shared" ref="L67:V67" si="39">L34-(L34/$E34)</f>
        <v>2.114883601456925</v>
      </c>
      <c r="M67" s="209">
        <f t="shared" si="39"/>
        <v>0.5874676670713681</v>
      </c>
      <c r="N67" s="209">
        <f t="shared" si="39"/>
        <v>7.0096250000000027E-2</v>
      </c>
      <c r="O67" s="209">
        <f t="shared" si="39"/>
        <v>0.32493125000000012</v>
      </c>
      <c r="P67" s="209">
        <f t="shared" si="39"/>
        <v>2.3957500000000001E-4</v>
      </c>
      <c r="Q67" s="209">
        <f t="shared" si="39"/>
        <v>4.3308124999999996E-4</v>
      </c>
      <c r="R67" s="209">
        <f t="shared" si="39"/>
        <v>1.0303781250000001E-3</v>
      </c>
      <c r="S67" s="209">
        <f t="shared" si="39"/>
        <v>6.1376875000000003E-5</v>
      </c>
      <c r="T67" s="209">
        <f t="shared" si="39"/>
        <v>2.3301250000000006E-3</v>
      </c>
      <c r="U67" s="209">
        <f t="shared" si="39"/>
        <v>8.9392187499999984E-3</v>
      </c>
      <c r="V67" s="116">
        <f t="shared" si="39"/>
        <v>8.2330937499999979E-2</v>
      </c>
      <c r="W67" s="209">
        <f t="shared" ref="W67:AE67" si="40">W34-(W34/$E34)</f>
        <v>9.8483437499999999E-5</v>
      </c>
      <c r="X67" s="209">
        <f t="shared" si="40"/>
        <v>1.9419531249999997E-2</v>
      </c>
      <c r="Y67" s="209">
        <f t="shared" si="40"/>
        <v>4.3321250000000006E-2</v>
      </c>
      <c r="Z67" s="209">
        <f t="shared" si="40"/>
        <v>2.4681562500000007E-3</v>
      </c>
      <c r="AA67" s="209">
        <f t="shared" si="40"/>
        <v>3.4514374999999996E-3</v>
      </c>
      <c r="AB67" s="209">
        <f t="shared" si="40"/>
        <v>4.9564375000000015E-6</v>
      </c>
      <c r="AC67" s="209">
        <f t="shared" si="40"/>
        <v>1.2713093750000003E-4</v>
      </c>
      <c r="AD67" s="209">
        <f t="shared" si="40"/>
        <v>1.2294843749999999E-4</v>
      </c>
      <c r="AE67" s="209">
        <f t="shared" si="40"/>
        <v>3.2906562500000006E-8</v>
      </c>
      <c r="AF67" s="121"/>
      <c r="AG67" s="121"/>
    </row>
    <row r="68" spans="2:33" ht="13.5" thickBot="1" x14ac:dyDescent="0.25">
      <c r="B68" s="736"/>
      <c r="C68" s="420" t="s">
        <v>386</v>
      </c>
      <c r="D68" s="741"/>
      <c r="E68" s="741"/>
      <c r="F68" s="741"/>
      <c r="G68" s="741"/>
      <c r="H68" s="741"/>
      <c r="I68" s="741"/>
      <c r="J68" s="741"/>
      <c r="K68" s="742"/>
      <c r="L68" s="209">
        <f t="shared" ref="L68:V68" si="41">L35-(L35/$E35)</f>
        <v>0.67201777238522986</v>
      </c>
      <c r="M68" s="209">
        <f t="shared" si="41"/>
        <v>0.18667160344034162</v>
      </c>
      <c r="N68" s="209">
        <f t="shared" si="41"/>
        <v>3.8794156097560983E-2</v>
      </c>
      <c r="O68" s="209">
        <f t="shared" si="41"/>
        <v>0.12609834146341459</v>
      </c>
      <c r="P68" s="209">
        <f t="shared" si="41"/>
        <v>1.6617892682926826E-5</v>
      </c>
      <c r="Q68" s="209">
        <f t="shared" si="41"/>
        <v>2.2491307317073161E-4</v>
      </c>
      <c r="R68" s="209">
        <f t="shared" si="41"/>
        <v>2.9210224390243907E-5</v>
      </c>
      <c r="S68" s="209">
        <f t="shared" si="41"/>
        <v>6.3945834146341464E-7</v>
      </c>
      <c r="T68" s="209">
        <f t="shared" si="41"/>
        <v>1.3970985365853656E-4</v>
      </c>
      <c r="U68" s="209">
        <f t="shared" si="41"/>
        <v>2.0502760975609751E-3</v>
      </c>
      <c r="V68" s="116">
        <f t="shared" si="41"/>
        <v>2.0623931707317075E-3</v>
      </c>
      <c r="W68" s="209">
        <f t="shared" ref="W68:AE68" si="42">W35-(W35/$E35)</f>
        <v>6.6402907317073184E-6</v>
      </c>
      <c r="X68" s="209">
        <f t="shared" si="42"/>
        <v>1.4000604878048779E-2</v>
      </c>
      <c r="Y68" s="209">
        <f t="shared" si="42"/>
        <v>1.8506809756097561E-4</v>
      </c>
      <c r="Z68" s="209">
        <f t="shared" si="42"/>
        <v>4.4889717073170722E-5</v>
      </c>
      <c r="AA68" s="209">
        <f t="shared" si="42"/>
        <v>3.3552848780487796E-4</v>
      </c>
      <c r="AB68" s="209">
        <f t="shared" si="42"/>
        <v>4.6925385365853646E-7</v>
      </c>
      <c r="AC68" s="209">
        <f t="shared" si="42"/>
        <v>3.8847336585365864E-5</v>
      </c>
      <c r="AD68" s="209">
        <f t="shared" si="42"/>
        <v>3.4158702439024381E-5</v>
      </c>
      <c r="AE68" s="209">
        <f t="shared" si="42"/>
        <v>5.0398273170731703E-9</v>
      </c>
      <c r="AF68" s="121"/>
      <c r="AG68" s="121"/>
    </row>
    <row r="69" spans="2:33" ht="27.75" x14ac:dyDescent="0.4">
      <c r="B69" s="244"/>
    </row>
    <row r="70" spans="2:33" ht="28.5" thickBot="1" x14ac:dyDescent="0.45">
      <c r="B70" s="244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</row>
    <row r="71" spans="2:33" x14ac:dyDescent="0.2">
      <c r="B71" s="736" t="s">
        <v>466</v>
      </c>
      <c r="C71" s="123" t="s">
        <v>658</v>
      </c>
      <c r="D71" s="737"/>
      <c r="E71" s="737"/>
      <c r="F71" s="737"/>
      <c r="G71" s="737"/>
      <c r="H71" s="737"/>
      <c r="I71" s="737"/>
      <c r="J71" s="737"/>
      <c r="K71" s="738"/>
      <c r="L71" s="209">
        <f t="shared" ref="L71:AE71" si="43">L5*$E5-L5</f>
        <v>63.058946527706041</v>
      </c>
      <c r="M71" s="209">
        <f t="shared" si="43"/>
        <v>17.516374035473909</v>
      </c>
      <c r="N71" s="209">
        <f t="shared" si="43"/>
        <v>5.8518000000000008</v>
      </c>
      <c r="O71" s="209">
        <f t="shared" si="43"/>
        <v>26.635680000000008</v>
      </c>
      <c r="P71" s="209">
        <f t="shared" si="43"/>
        <v>2.5398000000000004E-2</v>
      </c>
      <c r="Q71" s="209">
        <f t="shared" si="43"/>
        <v>0.10841400000000001</v>
      </c>
      <c r="R71" s="209">
        <f t="shared" si="43"/>
        <v>3.317508000000001E-2</v>
      </c>
      <c r="S71" s="209">
        <f t="shared" si="43"/>
        <v>1.7555040000000006E-3</v>
      </c>
      <c r="T71" s="209">
        <f t="shared" si="43"/>
        <v>0.50929200000000008</v>
      </c>
      <c r="U71" s="209">
        <f t="shared" si="43"/>
        <v>3.4106040000000011</v>
      </c>
      <c r="V71" s="116">
        <f t="shared" si="43"/>
        <v>6.9181200000000018</v>
      </c>
      <c r="W71" s="209">
        <f t="shared" si="43"/>
        <v>1.1201040000000006E-2</v>
      </c>
      <c r="X71" s="209">
        <f t="shared" si="43"/>
        <v>1.2050640000000006</v>
      </c>
      <c r="Y71" s="209">
        <f t="shared" si="43"/>
        <v>0.11151000000000005</v>
      </c>
      <c r="Z71" s="209">
        <f t="shared" si="43"/>
        <v>6.7334400000000044E-2</v>
      </c>
      <c r="AA71" s="209">
        <f t="shared" si="43"/>
        <v>0.67341600000000001</v>
      </c>
      <c r="AB71" s="209">
        <f t="shared" si="43"/>
        <v>1.4208480000000006E-4</v>
      </c>
      <c r="AC71" s="209">
        <f t="shared" si="43"/>
        <v>1.5030720000000004E-2</v>
      </c>
      <c r="AD71" s="209">
        <f t="shared" si="43"/>
        <v>1.4769720000000007E-2</v>
      </c>
      <c r="AE71" s="209">
        <f t="shared" si="43"/>
        <v>1.22814E-6</v>
      </c>
      <c r="AF71" s="121"/>
      <c r="AG71" s="121"/>
    </row>
    <row r="72" spans="2:33" x14ac:dyDescent="0.2">
      <c r="B72" s="736"/>
      <c r="C72" s="147" t="s">
        <v>659</v>
      </c>
      <c r="D72" s="739"/>
      <c r="E72" s="739"/>
      <c r="F72" s="739"/>
      <c r="G72" s="739"/>
      <c r="H72" s="739"/>
      <c r="I72" s="739"/>
      <c r="J72" s="739"/>
      <c r="K72" s="740"/>
      <c r="L72" s="209">
        <f t="shared" ref="L72:AE72" si="44">L6*$E6-L6</f>
        <v>40.315915210552163</v>
      </c>
      <c r="M72" s="209">
        <f t="shared" si="44"/>
        <v>11.19886533626449</v>
      </c>
      <c r="N72" s="209">
        <f t="shared" si="44"/>
        <v>3.8012100000000011</v>
      </c>
      <c r="O72" s="209">
        <f t="shared" si="44"/>
        <v>17.899749999999997</v>
      </c>
      <c r="P72" s="209">
        <f t="shared" si="44"/>
        <v>1.062577E-2</v>
      </c>
      <c r="Q72" s="209">
        <f t="shared" si="44"/>
        <v>2.5083800000000007</v>
      </c>
      <c r="R72" s="209">
        <f t="shared" si="44"/>
        <v>2.8623499999999996E-2</v>
      </c>
      <c r="S72" s="209">
        <f t="shared" si="44"/>
        <v>9.5247599999999984E-4</v>
      </c>
      <c r="T72" s="209">
        <f t="shared" si="44"/>
        <v>0.17326589999999997</v>
      </c>
      <c r="U72" s="209">
        <f t="shared" si="44"/>
        <v>0.39067800000000008</v>
      </c>
      <c r="V72" s="116">
        <f t="shared" si="44"/>
        <v>3.9727899999999998</v>
      </c>
      <c r="W72" s="209">
        <f t="shared" si="44"/>
        <v>5.1628100000000003E-3</v>
      </c>
      <c r="X72" s="209">
        <f t="shared" si="44"/>
        <v>0.70787099999999992</v>
      </c>
      <c r="Y72" s="209">
        <f t="shared" si="44"/>
        <v>0.22647639999999991</v>
      </c>
      <c r="Z72" s="209">
        <f t="shared" si="44"/>
        <v>4.1722000000000009E-2</v>
      </c>
      <c r="AA72" s="209">
        <f t="shared" si="44"/>
        <v>0.23747499999999988</v>
      </c>
      <c r="AB72" s="209">
        <f t="shared" si="44"/>
        <v>6.9545099999999993E-5</v>
      </c>
      <c r="AC72" s="209">
        <f t="shared" si="44"/>
        <v>5.9733299999999989E-3</v>
      </c>
      <c r="AD72" s="209">
        <f t="shared" si="44"/>
        <v>5.7518399999999976E-3</v>
      </c>
      <c r="AE72" s="209">
        <f t="shared" si="44"/>
        <v>7.7275400000000004E-7</v>
      </c>
      <c r="AF72" s="121"/>
      <c r="AG72" s="121"/>
    </row>
    <row r="73" spans="2:33" x14ac:dyDescent="0.2">
      <c r="B73" s="736"/>
      <c r="C73" s="147" t="s">
        <v>660</v>
      </c>
      <c r="D73" s="739"/>
      <c r="E73" s="739"/>
      <c r="F73" s="739"/>
      <c r="G73" s="739"/>
      <c r="H73" s="739"/>
      <c r="I73" s="739"/>
      <c r="J73" s="739"/>
      <c r="K73" s="740"/>
      <c r="L73" s="209">
        <f t="shared" ref="L73:AE73" si="45">L7*$E7-L7</f>
        <v>34.682244892554479</v>
      </c>
      <c r="M73" s="209">
        <f t="shared" si="45"/>
        <v>9.6339569145984711</v>
      </c>
      <c r="N73" s="209">
        <f t="shared" si="45"/>
        <v>2.0899409999999996</v>
      </c>
      <c r="O73" s="209">
        <f t="shared" si="45"/>
        <v>17.783829999999995</v>
      </c>
      <c r="P73" s="209">
        <f t="shared" si="45"/>
        <v>5.9951800000000027E-3</v>
      </c>
      <c r="Q73" s="209">
        <f t="shared" si="45"/>
        <v>1.5604809999999997E-2</v>
      </c>
      <c r="R73" s="209">
        <f t="shared" si="45"/>
        <v>6.4480499999999996E-2</v>
      </c>
      <c r="S73" s="209">
        <f t="shared" si="45"/>
        <v>5.5981999999999994E-4</v>
      </c>
      <c r="T73" s="209">
        <f t="shared" si="45"/>
        <v>6.9276000000000004E-2</v>
      </c>
      <c r="U73" s="209">
        <f t="shared" si="45"/>
        <v>0.27760999999999991</v>
      </c>
      <c r="V73" s="116">
        <f t="shared" si="45"/>
        <v>1.7181230000000003</v>
      </c>
      <c r="W73" s="209">
        <f t="shared" si="45"/>
        <v>2.684559999999999E-3</v>
      </c>
      <c r="X73" s="209">
        <f t="shared" si="45"/>
        <v>0.65664999999999996</v>
      </c>
      <c r="Y73" s="209">
        <f t="shared" si="45"/>
        <v>0.11314389999999996</v>
      </c>
      <c r="Z73" s="209">
        <f t="shared" si="45"/>
        <v>3.9283999999999986E-2</v>
      </c>
      <c r="AA73" s="209">
        <f t="shared" si="45"/>
        <v>0.10582530000000001</v>
      </c>
      <c r="AB73" s="209">
        <f t="shared" si="45"/>
        <v>4.9505199999999995E-5</v>
      </c>
      <c r="AC73" s="209">
        <f t="shared" si="45"/>
        <v>4.3039900000000006E-3</v>
      </c>
      <c r="AD73" s="209">
        <f t="shared" si="45"/>
        <v>3.9999299999999988E-3</v>
      </c>
      <c r="AE73" s="209">
        <f t="shared" si="45"/>
        <v>4.1087199999999982E-7</v>
      </c>
      <c r="AF73" s="121"/>
      <c r="AG73" s="121"/>
    </row>
    <row r="74" spans="2:33" ht="14.25" x14ac:dyDescent="0.25">
      <c r="B74" s="736"/>
      <c r="C74" s="148" t="s">
        <v>368</v>
      </c>
      <c r="D74" s="739"/>
      <c r="E74" s="739"/>
      <c r="F74" s="739"/>
      <c r="G74" s="739"/>
      <c r="H74" s="739"/>
      <c r="I74" s="739"/>
      <c r="J74" s="739"/>
      <c r="K74" s="740"/>
      <c r="L74" s="209">
        <f t="shared" ref="L74:AE74" si="46">L8*$E8-L8</f>
        <v>38.65699291589786</v>
      </c>
      <c r="M74" s="209">
        <f t="shared" si="46"/>
        <v>10.738053587749405</v>
      </c>
      <c r="N74" s="209">
        <f t="shared" si="46"/>
        <v>2.9189880000000006</v>
      </c>
      <c r="O74" s="209">
        <f t="shared" si="46"/>
        <v>28.544760000000011</v>
      </c>
      <c r="P74" s="209">
        <f t="shared" si="46"/>
        <v>1.7617680000000004E-2</v>
      </c>
      <c r="Q74" s="209">
        <f t="shared" si="46"/>
        <v>9.6562800000000024</v>
      </c>
      <c r="R74" s="209">
        <f t="shared" si="46"/>
        <v>3.1592160000000008E-2</v>
      </c>
      <c r="S74" s="209">
        <f t="shared" si="46"/>
        <v>1.6833960000000002E-3</v>
      </c>
      <c r="T74" s="209">
        <f t="shared" si="46"/>
        <v>0.25334640000000008</v>
      </c>
      <c r="U74" s="209">
        <f t="shared" si="46"/>
        <v>0.61254000000000031</v>
      </c>
      <c r="V74" s="116">
        <f t="shared" si="46"/>
        <v>5.66892</v>
      </c>
      <c r="W74" s="209">
        <f t="shared" si="46"/>
        <v>6.7690800000000002E-3</v>
      </c>
      <c r="X74" s="209">
        <f t="shared" si="46"/>
        <v>0.73796400000000029</v>
      </c>
      <c r="Y74" s="209">
        <f t="shared" si="46"/>
        <v>0.10275480000000003</v>
      </c>
      <c r="Z74" s="209">
        <f t="shared" si="46"/>
        <v>8.4909600000000002E-2</v>
      </c>
      <c r="AA74" s="209">
        <f t="shared" si="46"/>
        <v>0.34674120000000019</v>
      </c>
      <c r="AB74" s="209">
        <f t="shared" si="46"/>
        <v>2.2364640000000005E-3</v>
      </c>
      <c r="AC74" s="209">
        <f t="shared" si="46"/>
        <v>1.0465560000000006E-2</v>
      </c>
      <c r="AD74" s="209">
        <f t="shared" si="46"/>
        <v>1.017972E-2</v>
      </c>
      <c r="AE74" s="209">
        <f t="shared" si="46"/>
        <v>8.4884400000000019E-7</v>
      </c>
      <c r="AF74" s="121"/>
      <c r="AG74" s="121"/>
    </row>
    <row r="75" spans="2:33" ht="14.25" x14ac:dyDescent="0.25">
      <c r="B75" s="736"/>
      <c r="C75" s="607" t="s">
        <v>875</v>
      </c>
      <c r="D75" s="739"/>
      <c r="E75" s="739"/>
      <c r="F75" s="739"/>
      <c r="G75" s="739"/>
      <c r="H75" s="739"/>
      <c r="I75" s="739"/>
      <c r="J75" s="739"/>
      <c r="K75" s="740"/>
      <c r="L75" s="628">
        <f t="shared" ref="L75:AE75" si="47">L9*$E9-L9</f>
        <v>38.65699291589786</v>
      </c>
      <c r="M75" s="628">
        <f t="shared" si="47"/>
        <v>10.738053587749405</v>
      </c>
      <c r="N75" s="628">
        <f t="shared" si="47"/>
        <v>2.9189880000000006</v>
      </c>
      <c r="O75" s="628">
        <f t="shared" si="47"/>
        <v>28.544760000000011</v>
      </c>
      <c r="P75" s="628">
        <f t="shared" si="47"/>
        <v>1.7617680000000004E-2</v>
      </c>
      <c r="Q75" s="628">
        <f t="shared" si="47"/>
        <v>9.6562800000000024</v>
      </c>
      <c r="R75" s="628">
        <f t="shared" si="47"/>
        <v>3.1592160000000008E-2</v>
      </c>
      <c r="S75" s="628">
        <f t="shared" si="47"/>
        <v>1.6833960000000002E-3</v>
      </c>
      <c r="T75" s="628">
        <f t="shared" si="47"/>
        <v>0.25334640000000008</v>
      </c>
      <c r="U75" s="628">
        <f t="shared" si="47"/>
        <v>0.61254000000000031</v>
      </c>
      <c r="V75" s="615">
        <f t="shared" si="47"/>
        <v>5.66892</v>
      </c>
      <c r="W75" s="628">
        <f t="shared" si="47"/>
        <v>6.7690800000000002E-3</v>
      </c>
      <c r="X75" s="628">
        <f t="shared" si="47"/>
        <v>0.73796400000000029</v>
      </c>
      <c r="Y75" s="628">
        <f t="shared" si="47"/>
        <v>0.10275480000000003</v>
      </c>
      <c r="Z75" s="628">
        <f t="shared" si="47"/>
        <v>8.4909600000000002E-2</v>
      </c>
      <c r="AA75" s="628">
        <f t="shared" si="47"/>
        <v>0.34674120000000019</v>
      </c>
      <c r="AB75" s="628">
        <f t="shared" si="47"/>
        <v>2.2364640000000005E-3</v>
      </c>
      <c r="AC75" s="628">
        <f t="shared" si="47"/>
        <v>1.0465560000000006E-2</v>
      </c>
      <c r="AD75" s="628">
        <f t="shared" si="47"/>
        <v>1.017972E-2</v>
      </c>
      <c r="AE75" s="628">
        <f t="shared" si="47"/>
        <v>8.4884400000000019E-7</v>
      </c>
      <c r="AF75" s="121"/>
      <c r="AG75" s="121"/>
    </row>
    <row r="76" spans="2:33" x14ac:dyDescent="0.2">
      <c r="B76" s="736"/>
      <c r="C76" s="236" t="s">
        <v>131</v>
      </c>
      <c r="D76" s="739"/>
      <c r="E76" s="739"/>
      <c r="F76" s="739"/>
      <c r="G76" s="739"/>
      <c r="H76" s="739"/>
      <c r="I76" s="739"/>
      <c r="J76" s="739"/>
      <c r="K76" s="740"/>
      <c r="L76" s="209">
        <f t="shared" ref="L76:L77" si="48">L10*$E10-L10</f>
        <v>44.859556277667735</v>
      </c>
      <c r="M76" s="209">
        <f t="shared" ref="M76:AE76" si="49">M10*$E10-M10</f>
        <v>12.4609878549077</v>
      </c>
      <c r="N76" s="209">
        <f t="shared" si="49"/>
        <v>3.5783400000000007</v>
      </c>
      <c r="O76" s="209">
        <f t="shared" si="49"/>
        <v>32.731300000000005</v>
      </c>
      <c r="P76" s="209">
        <f t="shared" si="49"/>
        <v>1.9217189999999995E-2</v>
      </c>
      <c r="Q76" s="209">
        <f t="shared" si="49"/>
        <v>10.015119999999996</v>
      </c>
      <c r="R76" s="209">
        <f t="shared" si="49"/>
        <v>3.4297600000000011E-2</v>
      </c>
      <c r="S76" s="209">
        <f t="shared" si="49"/>
        <v>1.8273960000000002E-3</v>
      </c>
      <c r="T76" s="209">
        <f t="shared" si="49"/>
        <v>0.28273900000000007</v>
      </c>
      <c r="U76" s="209">
        <f t="shared" si="49"/>
        <v>0.69443900000000003</v>
      </c>
      <c r="V76" s="116">
        <f t="shared" si="49"/>
        <v>6.3417900000000031</v>
      </c>
      <c r="W76" s="209">
        <f t="shared" si="49"/>
        <v>7.4793699999999991E-3</v>
      </c>
      <c r="X76" s="209">
        <f t="shared" si="49"/>
        <v>0.85435799999999951</v>
      </c>
      <c r="Y76" s="209">
        <f t="shared" si="49"/>
        <v>0.12368250000000003</v>
      </c>
      <c r="Z76" s="209">
        <f t="shared" si="49"/>
        <v>9.4447199999999953E-2</v>
      </c>
      <c r="AA76" s="209">
        <f t="shared" si="49"/>
        <v>0.38828600000000013</v>
      </c>
      <c r="AB76" s="209">
        <f t="shared" si="49"/>
        <v>2.3252999999999989E-3</v>
      </c>
      <c r="AC76" s="209">
        <f t="shared" si="49"/>
        <v>1.1678479999999998E-2</v>
      </c>
      <c r="AD76" s="209">
        <f t="shared" si="49"/>
        <v>1.1344979999999998E-2</v>
      </c>
      <c r="AE76" s="209">
        <f t="shared" si="49"/>
        <v>9.6165300000000023E-7</v>
      </c>
      <c r="AF76" s="121"/>
      <c r="AG76" s="121"/>
    </row>
    <row r="77" spans="2:33" ht="14.25" x14ac:dyDescent="0.25">
      <c r="B77" s="736"/>
      <c r="C77" s="236" t="s">
        <v>655</v>
      </c>
      <c r="D77" s="739"/>
      <c r="E77" s="739"/>
      <c r="F77" s="739"/>
      <c r="G77" s="739"/>
      <c r="H77" s="739"/>
      <c r="I77" s="739"/>
      <c r="J77" s="739"/>
      <c r="K77" s="740"/>
      <c r="L77" s="209">
        <f t="shared" si="48"/>
        <v>1.5914553979337507</v>
      </c>
      <c r="M77" s="209">
        <f t="shared" ref="M77:AE77" si="50">M11*$E11-M11</f>
        <v>0.4420709438704864</v>
      </c>
      <c r="N77" s="209">
        <f t="shared" si="50"/>
        <v>0.1133728</v>
      </c>
      <c r="O77" s="209">
        <f t="shared" si="50"/>
        <v>1.7734719999999999</v>
      </c>
      <c r="P77" s="209">
        <f t="shared" si="50"/>
        <v>1.0501439999999998E-3</v>
      </c>
      <c r="Q77" s="209">
        <f t="shared" si="50"/>
        <v>2.5123200000000002E-3</v>
      </c>
      <c r="R77" s="209">
        <f t="shared" si="50"/>
        <v>5.4252800000000011E-3</v>
      </c>
      <c r="S77" s="209">
        <f t="shared" si="50"/>
        <v>6.2630399999999989E-5</v>
      </c>
      <c r="T77" s="209">
        <f t="shared" si="50"/>
        <v>1.5431360000000005E-2</v>
      </c>
      <c r="U77" s="209">
        <f t="shared" si="50"/>
        <v>4.3430400000000008E-2</v>
      </c>
      <c r="V77" s="116">
        <f t="shared" si="50"/>
        <v>0.28298240000000008</v>
      </c>
      <c r="W77" s="209">
        <f t="shared" si="50"/>
        <v>2.8042879999999994E-4</v>
      </c>
      <c r="X77" s="209">
        <f t="shared" si="50"/>
        <v>2.6342080000000004E-2</v>
      </c>
      <c r="Y77" s="209">
        <f t="shared" si="50"/>
        <v>7.0576000000000007E-3</v>
      </c>
      <c r="Z77" s="209">
        <f t="shared" si="50"/>
        <v>9.1359999999999983E-3</v>
      </c>
      <c r="AA77" s="209">
        <f t="shared" si="50"/>
        <v>2.1207680000000007E-2</v>
      </c>
      <c r="AB77" s="209">
        <f t="shared" si="50"/>
        <v>1.1120960000000001E-5</v>
      </c>
      <c r="AC77" s="209">
        <f t="shared" si="50"/>
        <v>3.2127999999999996E-4</v>
      </c>
      <c r="AD77" s="209">
        <f t="shared" si="50"/>
        <v>3.1131840000000002E-4</v>
      </c>
      <c r="AE77" s="209">
        <f t="shared" si="50"/>
        <v>3.1650240000000019E-8</v>
      </c>
      <c r="AF77" s="121"/>
      <c r="AG77" s="121"/>
    </row>
    <row r="78" spans="2:33" ht="14.25" x14ac:dyDescent="0.25">
      <c r="B78" s="736"/>
      <c r="C78" s="181" t="s">
        <v>209</v>
      </c>
      <c r="D78" s="739"/>
      <c r="E78" s="739"/>
      <c r="F78" s="739"/>
      <c r="G78" s="739"/>
      <c r="H78" s="739"/>
      <c r="I78" s="739"/>
      <c r="J78" s="739"/>
      <c r="K78" s="740"/>
      <c r="L78" s="209">
        <f t="shared" ref="L78:AE78" si="51">L12*$E12-L12</f>
        <v>44.582708899931902</v>
      </c>
      <c r="M78" s="209">
        <f t="shared" si="51"/>
        <v>12.384085805536643</v>
      </c>
      <c r="N78" s="209">
        <f t="shared" si="51"/>
        <v>0.92670399999999997</v>
      </c>
      <c r="O78" s="209">
        <f t="shared" si="51"/>
        <v>60.822599999999966</v>
      </c>
      <c r="P78" s="209">
        <f t="shared" si="51"/>
        <v>1.4735429999999994E-2</v>
      </c>
      <c r="Q78" s="209">
        <f t="shared" si="51"/>
        <v>0.36050199999999988</v>
      </c>
      <c r="R78" s="209">
        <f t="shared" si="51"/>
        <v>0.20428899999999994</v>
      </c>
      <c r="S78" s="209">
        <f t="shared" si="51"/>
        <v>4.3781799999999997E-4</v>
      </c>
      <c r="T78" s="209">
        <f t="shared" si="51"/>
        <v>0.23031599999999997</v>
      </c>
      <c r="U78" s="209">
        <f t="shared" si="51"/>
        <v>0.25136199999999986</v>
      </c>
      <c r="V78" s="116">
        <f t="shared" si="51"/>
        <v>5.7779600000000002</v>
      </c>
      <c r="W78" s="209">
        <f t="shared" si="51"/>
        <v>4.738069999999997E-3</v>
      </c>
      <c r="X78" s="209">
        <f t="shared" si="51"/>
        <v>0.30484399999999989</v>
      </c>
      <c r="Y78" s="209">
        <f t="shared" si="51"/>
        <v>0.27232299999999987</v>
      </c>
      <c r="Z78" s="209">
        <f t="shared" si="51"/>
        <v>3.1070899999999985E-2</v>
      </c>
      <c r="AA78" s="209">
        <f t="shared" si="51"/>
        <v>0.32189500000000004</v>
      </c>
      <c r="AB78" s="209">
        <f t="shared" si="51"/>
        <v>2.4444299999999979E-4</v>
      </c>
      <c r="AC78" s="209">
        <f t="shared" si="51"/>
        <v>2.7065699999999984E-3</v>
      </c>
      <c r="AD78" s="209">
        <f t="shared" si="51"/>
        <v>2.5617299999999999E-3</v>
      </c>
      <c r="AE78" s="209">
        <f t="shared" si="51"/>
        <v>7.4934299999999988E-7</v>
      </c>
      <c r="AF78" s="121"/>
      <c r="AG78" s="121"/>
    </row>
    <row r="79" spans="2:33" ht="14.25" x14ac:dyDescent="0.25">
      <c r="B79" s="736"/>
      <c r="C79" s="181" t="s">
        <v>210</v>
      </c>
      <c r="D79" s="739"/>
      <c r="E79" s="739"/>
      <c r="F79" s="739"/>
      <c r="G79" s="739"/>
      <c r="H79" s="739"/>
      <c r="I79" s="739"/>
      <c r="J79" s="739"/>
      <c r="K79" s="740"/>
      <c r="L79" s="209">
        <f t="shared" ref="L79:AE79" si="52">L13*$E13-L13</f>
        <v>1.4696388646032847</v>
      </c>
      <c r="M79" s="209">
        <f t="shared" si="52"/>
        <v>0.40823301794535682</v>
      </c>
      <c r="N79" s="209">
        <f t="shared" si="52"/>
        <v>9.9812899999999982E-2</v>
      </c>
      <c r="O79" s="209">
        <f t="shared" si="52"/>
        <v>1.5899400000000021</v>
      </c>
      <c r="P79" s="209">
        <f t="shared" si="52"/>
        <v>2.5605800000000033E-3</v>
      </c>
      <c r="Q79" s="209">
        <f t="shared" si="52"/>
        <v>6.5884500000000026E-3</v>
      </c>
      <c r="R79" s="209">
        <f t="shared" si="52"/>
        <v>9.3541800000000036E-4</v>
      </c>
      <c r="S79" s="209">
        <f t="shared" si="52"/>
        <v>3.6438600000000007E-5</v>
      </c>
      <c r="T79" s="209">
        <f t="shared" si="52"/>
        <v>9.4294200000000078E-3</v>
      </c>
      <c r="U79" s="209">
        <f t="shared" si="52"/>
        <v>2.6621100000000009E-2</v>
      </c>
      <c r="V79" s="116">
        <f t="shared" si="52"/>
        <v>0.21903200000000034</v>
      </c>
      <c r="W79" s="209">
        <f t="shared" si="52"/>
        <v>8.1361500000000017E-4</v>
      </c>
      <c r="X79" s="209">
        <f t="shared" si="52"/>
        <v>2.5778500000000037E-2</v>
      </c>
      <c r="Y79" s="209">
        <f t="shared" si="52"/>
        <v>8.0974300000000027E-3</v>
      </c>
      <c r="Z79" s="209">
        <f t="shared" si="52"/>
        <v>4.2642600000000058E-3</v>
      </c>
      <c r="AA79" s="209">
        <f t="shared" si="52"/>
        <v>1.3777500000000026E-2</v>
      </c>
      <c r="AB79" s="209">
        <f t="shared" si="52"/>
        <v>2.7205200000000036E-6</v>
      </c>
      <c r="AC79" s="209">
        <f t="shared" si="52"/>
        <v>3.3407000000000011E-4</v>
      </c>
      <c r="AD79" s="209">
        <f t="shared" si="52"/>
        <v>3.2469800000000043E-4</v>
      </c>
      <c r="AE79" s="209">
        <f t="shared" si="52"/>
        <v>3.2143100000000044E-8</v>
      </c>
      <c r="AF79" s="121"/>
      <c r="AG79" s="121"/>
    </row>
    <row r="80" spans="2:33" ht="14.25" x14ac:dyDescent="0.25">
      <c r="B80" s="736"/>
      <c r="C80" s="181" t="s">
        <v>424</v>
      </c>
      <c r="D80" s="739"/>
      <c r="E80" s="739"/>
      <c r="F80" s="739"/>
      <c r="G80" s="739"/>
      <c r="H80" s="739"/>
      <c r="I80" s="739"/>
      <c r="J80" s="739"/>
      <c r="K80" s="740"/>
      <c r="L80" s="209">
        <f t="shared" ref="L80:AE80" si="53">L14*$E14-L14</f>
        <v>70.622607958580375</v>
      </c>
      <c r="M80" s="209">
        <f t="shared" si="53"/>
        <v>19.617391099605697</v>
      </c>
      <c r="N80" s="209">
        <f t="shared" si="53"/>
        <v>1.8859800000000035</v>
      </c>
      <c r="O80" s="209">
        <f t="shared" si="53"/>
        <v>74.526000000000067</v>
      </c>
      <c r="P80" s="209">
        <f t="shared" si="53"/>
        <v>1.1443800000000004E-2</v>
      </c>
      <c r="Q80" s="209">
        <f t="shared" si="53"/>
        <v>0.53485200000000077</v>
      </c>
      <c r="R80" s="209">
        <f t="shared" si="53"/>
        <v>0.30784199999999995</v>
      </c>
      <c r="S80" s="209">
        <f t="shared" si="53"/>
        <v>7.2972000000000141E-4</v>
      </c>
      <c r="T80" s="209">
        <f t="shared" si="53"/>
        <v>0.30091200000000029</v>
      </c>
      <c r="U80" s="209">
        <f t="shared" si="53"/>
        <v>0.45688200000000112</v>
      </c>
      <c r="V80" s="116">
        <f t="shared" si="53"/>
        <v>8.2296000000000049</v>
      </c>
      <c r="W80" s="209">
        <f t="shared" si="53"/>
        <v>4.1890799999999978E-3</v>
      </c>
      <c r="X80" s="209">
        <f t="shared" si="53"/>
        <v>0.5318940000000012</v>
      </c>
      <c r="Y80" s="209">
        <f t="shared" si="53"/>
        <v>0.42012600000000067</v>
      </c>
      <c r="Z80" s="209">
        <f t="shared" si="53"/>
        <v>4.9038000000000026E-2</v>
      </c>
      <c r="AA80" s="209">
        <f t="shared" si="53"/>
        <v>0.42166200000000043</v>
      </c>
      <c r="AB80" s="209">
        <f t="shared" si="53"/>
        <v>4.1058600000000011E-4</v>
      </c>
      <c r="AC80" s="209">
        <f t="shared" si="53"/>
        <v>4.3908000000000003E-3</v>
      </c>
      <c r="AD80" s="209">
        <f t="shared" si="53"/>
        <v>4.1560800000000064E-3</v>
      </c>
      <c r="AE80" s="209">
        <f t="shared" si="53"/>
        <v>1.2171599999999997E-6</v>
      </c>
      <c r="AF80" s="121"/>
      <c r="AG80" s="121"/>
    </row>
    <row r="81" spans="2:33" ht="14.25" x14ac:dyDescent="0.25">
      <c r="B81" s="736"/>
      <c r="C81" s="181" t="s">
        <v>563</v>
      </c>
      <c r="D81" s="739"/>
      <c r="E81" s="739"/>
      <c r="F81" s="739"/>
      <c r="G81" s="739"/>
      <c r="H81" s="739"/>
      <c r="I81" s="739"/>
      <c r="J81" s="739"/>
      <c r="K81" s="740"/>
      <c r="L81" s="209">
        <f t="shared" ref="L81:L82" si="54">L15*$E15-L15</f>
        <v>3.6293916208332249</v>
      </c>
      <c r="M81" s="209">
        <f t="shared" ref="M81:AE81" si="55">M15*$E15-M15</f>
        <v>1.0081643391203401</v>
      </c>
      <c r="N81" s="209">
        <f t="shared" si="55"/>
        <v>0.20754000000000006</v>
      </c>
      <c r="O81" s="209">
        <f t="shared" si="55"/>
        <v>3.933720000000001</v>
      </c>
      <c r="P81" s="209">
        <f t="shared" si="55"/>
        <v>2.7762120000000001E-3</v>
      </c>
      <c r="Q81" s="209">
        <f t="shared" si="55"/>
        <v>1.0982160000000005E-2</v>
      </c>
      <c r="R81" s="209">
        <f t="shared" si="55"/>
        <v>4.9935600000000028E-3</v>
      </c>
      <c r="S81" s="209">
        <f t="shared" si="55"/>
        <v>1.1923560000000002E-4</v>
      </c>
      <c r="T81" s="209">
        <f t="shared" si="55"/>
        <v>3.078612E-2</v>
      </c>
      <c r="U81" s="209">
        <f t="shared" si="55"/>
        <v>0.39103200000000005</v>
      </c>
      <c r="V81" s="116">
        <f t="shared" si="55"/>
        <v>0.62398799999999999</v>
      </c>
      <c r="W81" s="209">
        <f t="shared" si="55"/>
        <v>9.0630000000000051E-4</v>
      </c>
      <c r="X81" s="209">
        <f t="shared" si="55"/>
        <v>5.1105600000000001E-2</v>
      </c>
      <c r="Y81" s="209">
        <f t="shared" si="55"/>
        <v>4.2940800000000001E-2</v>
      </c>
      <c r="Z81" s="209">
        <f t="shared" si="55"/>
        <v>7.0185600000000001E-3</v>
      </c>
      <c r="AA81" s="209">
        <f t="shared" si="55"/>
        <v>4.4960400000000011E-2</v>
      </c>
      <c r="AB81" s="209">
        <f t="shared" si="55"/>
        <v>7.8976800000000026E-6</v>
      </c>
      <c r="AC81" s="209">
        <f t="shared" si="55"/>
        <v>6.2643600000000018E-4</v>
      </c>
      <c r="AD81" s="209">
        <f t="shared" si="55"/>
        <v>6.0951600000000005E-4</v>
      </c>
      <c r="AE81" s="209">
        <f t="shared" si="55"/>
        <v>6.5062800000000021E-8</v>
      </c>
      <c r="AF81" s="121"/>
      <c r="AG81" s="121"/>
    </row>
    <row r="82" spans="2:33" ht="14.25" x14ac:dyDescent="0.25">
      <c r="B82" s="736"/>
      <c r="C82" s="181" t="s">
        <v>654</v>
      </c>
      <c r="D82" s="739"/>
      <c r="E82" s="739"/>
      <c r="F82" s="739"/>
      <c r="G82" s="739"/>
      <c r="H82" s="739"/>
      <c r="I82" s="739"/>
      <c r="J82" s="739"/>
      <c r="K82" s="740"/>
      <c r="L82" s="209">
        <f t="shared" si="54"/>
        <v>0.99654727373213925</v>
      </c>
      <c r="M82" s="209">
        <f t="shared" ref="M82:AE82" si="56">M16*$E16-M16</f>
        <v>0.27681868714781643</v>
      </c>
      <c r="N82" s="209">
        <f t="shared" si="56"/>
        <v>4.4587199999999994E-2</v>
      </c>
      <c r="O82" s="209">
        <f t="shared" si="56"/>
        <v>1.1443880000000002</v>
      </c>
      <c r="P82" s="209">
        <f t="shared" si="56"/>
        <v>2.2551199999999998E-4</v>
      </c>
      <c r="Q82" s="209">
        <f t="shared" si="56"/>
        <v>1.6787959999999998E-3</v>
      </c>
      <c r="R82" s="209">
        <f t="shared" si="56"/>
        <v>4.5093999999999993E-4</v>
      </c>
      <c r="S82" s="209">
        <f t="shared" si="56"/>
        <v>3.476480000000001E-5</v>
      </c>
      <c r="T82" s="209">
        <f t="shared" si="56"/>
        <v>1.057868E-2</v>
      </c>
      <c r="U82" s="209">
        <f t="shared" si="56"/>
        <v>2.8347199999999989E-2</v>
      </c>
      <c r="V82" s="116">
        <f t="shared" si="56"/>
        <v>0.17798760000000002</v>
      </c>
      <c r="W82" s="209">
        <f t="shared" si="56"/>
        <v>9.1025200000000017E-5</v>
      </c>
      <c r="X82" s="209">
        <f t="shared" si="56"/>
        <v>1.1926600000000002E-2</v>
      </c>
      <c r="Y82" s="209">
        <f t="shared" si="56"/>
        <v>1.4815080000000008E-2</v>
      </c>
      <c r="Z82" s="209">
        <f t="shared" si="56"/>
        <v>2.7523720000000012E-3</v>
      </c>
      <c r="AA82" s="209">
        <f t="shared" si="56"/>
        <v>1.443092E-2</v>
      </c>
      <c r="AB82" s="209">
        <f t="shared" si="56"/>
        <v>2.3720759999999999E-6</v>
      </c>
      <c r="AC82" s="209">
        <f t="shared" si="56"/>
        <v>1.3295240000000001E-4</v>
      </c>
      <c r="AD82" s="209">
        <f t="shared" si="56"/>
        <v>1.2822880000000004E-4</v>
      </c>
      <c r="AE82" s="209">
        <f t="shared" si="56"/>
        <v>1.7861479999999998E-8</v>
      </c>
      <c r="AF82" s="121"/>
      <c r="AG82" s="121"/>
    </row>
    <row r="83" spans="2:33" x14ac:dyDescent="0.2">
      <c r="B83" s="736"/>
      <c r="C83" s="181" t="s">
        <v>54</v>
      </c>
      <c r="D83" s="739"/>
      <c r="E83" s="739"/>
      <c r="F83" s="739"/>
      <c r="G83" s="739"/>
      <c r="H83" s="739"/>
      <c r="I83" s="739"/>
      <c r="J83" s="739"/>
      <c r="K83" s="740"/>
      <c r="L83" s="209">
        <f t="shared" ref="L83:AE83" si="57">L17*$E17-L17</f>
        <v>6.5257198382046973</v>
      </c>
      <c r="M83" s="209">
        <f t="shared" si="57"/>
        <v>1.8126999550568605</v>
      </c>
      <c r="N83" s="209">
        <f t="shared" si="57"/>
        <v>0.32629320000000017</v>
      </c>
      <c r="O83" s="209">
        <f t="shared" si="57"/>
        <v>3.4588800000000006</v>
      </c>
      <c r="P83" s="209">
        <f t="shared" si="57"/>
        <v>1.0033920000000005E-3</v>
      </c>
      <c r="Q83" s="209">
        <f t="shared" si="57"/>
        <v>6.6916799999999999E-2</v>
      </c>
      <c r="R83" s="209">
        <f t="shared" si="57"/>
        <v>3.0704400000000007E-3</v>
      </c>
      <c r="S83" s="209">
        <f t="shared" si="57"/>
        <v>2.3129280000000008E-4</v>
      </c>
      <c r="T83" s="209">
        <f t="shared" si="57"/>
        <v>2.8556280000000003E-2</v>
      </c>
      <c r="U83" s="209">
        <f t="shared" si="57"/>
        <v>8.7998400000000032E-2</v>
      </c>
      <c r="V83" s="116">
        <f t="shared" si="57"/>
        <v>0.58492800000000011</v>
      </c>
      <c r="W83" s="209">
        <f t="shared" si="57"/>
        <v>4.1677200000000015E-4</v>
      </c>
      <c r="X83" s="209">
        <f t="shared" si="57"/>
        <v>8.6058000000000051E-2</v>
      </c>
      <c r="Y83" s="209">
        <f t="shared" si="57"/>
        <v>8.3393999999999996E-2</v>
      </c>
      <c r="Z83" s="209">
        <f t="shared" si="57"/>
        <v>1.1505960000000003E-2</v>
      </c>
      <c r="AA83" s="209">
        <f t="shared" si="57"/>
        <v>3.9722400000000019E-2</v>
      </c>
      <c r="AB83" s="209">
        <f t="shared" si="57"/>
        <v>3.1902120000000002E-5</v>
      </c>
      <c r="AC83" s="209">
        <f t="shared" si="57"/>
        <v>6.7107600000000005E-4</v>
      </c>
      <c r="AD83" s="209">
        <f t="shared" si="57"/>
        <v>6.4576800000000012E-4</v>
      </c>
      <c r="AE83" s="209">
        <f t="shared" si="57"/>
        <v>1.4235120000000001E-7</v>
      </c>
      <c r="AF83" s="121"/>
      <c r="AG83" s="121"/>
    </row>
    <row r="84" spans="2:33" ht="14.25" x14ac:dyDescent="0.25">
      <c r="B84" s="736"/>
      <c r="C84" s="181" t="s">
        <v>216</v>
      </c>
      <c r="D84" s="739"/>
      <c r="E84" s="739"/>
      <c r="F84" s="739"/>
      <c r="G84" s="739"/>
      <c r="H84" s="739"/>
      <c r="I84" s="739"/>
      <c r="J84" s="739"/>
      <c r="K84" s="740"/>
      <c r="L84" s="209">
        <f t="shared" ref="L84:AE84" si="58">L18*$E18-L18</f>
        <v>17.148972233574938</v>
      </c>
      <c r="M84" s="209">
        <f t="shared" si="58"/>
        <v>4.7636033982152597</v>
      </c>
      <c r="N84" s="209">
        <f t="shared" si="58"/>
        <v>1.0542960000000003</v>
      </c>
      <c r="O84" s="209">
        <f t="shared" si="58"/>
        <v>4.7840400000000027</v>
      </c>
      <c r="P84" s="209">
        <f t="shared" si="58"/>
        <v>8.212320000000003E-4</v>
      </c>
      <c r="Q84" s="209">
        <f t="shared" si="58"/>
        <v>7.9491600000000037E-3</v>
      </c>
      <c r="R84" s="209">
        <f t="shared" si="58"/>
        <v>2.033784000000001E-2</v>
      </c>
      <c r="S84" s="209">
        <f t="shared" si="58"/>
        <v>4.9485600000000006E-5</v>
      </c>
      <c r="T84" s="209">
        <f t="shared" si="58"/>
        <v>1.8144720000000003E-2</v>
      </c>
      <c r="U84" s="209">
        <f t="shared" si="58"/>
        <v>8.3822400000000019E-2</v>
      </c>
      <c r="V84" s="116">
        <f t="shared" si="58"/>
        <v>0.28532160000000018</v>
      </c>
      <c r="W84" s="209">
        <f t="shared" si="58"/>
        <v>3.1536000000000021E-4</v>
      </c>
      <c r="X84" s="209">
        <f t="shared" si="58"/>
        <v>0.35060760000000002</v>
      </c>
      <c r="Y84" s="209">
        <f t="shared" si="58"/>
        <v>1.4060160000000002E-2</v>
      </c>
      <c r="Z84" s="209">
        <f t="shared" si="58"/>
        <v>4.2238800000000028E-3</v>
      </c>
      <c r="AA84" s="209">
        <f t="shared" si="58"/>
        <v>2.8040400000000007E-2</v>
      </c>
      <c r="AB84" s="209">
        <f t="shared" si="58"/>
        <v>2.3213880000000003E-5</v>
      </c>
      <c r="AC84" s="209">
        <f t="shared" si="58"/>
        <v>1.1271600000000003E-3</v>
      </c>
      <c r="AD84" s="209">
        <f t="shared" si="58"/>
        <v>9.8658000000000036E-4</v>
      </c>
      <c r="AE84" s="209">
        <f t="shared" si="58"/>
        <v>9.5637600000000004E-8</v>
      </c>
      <c r="AF84" s="121"/>
      <c r="AG84" s="121"/>
    </row>
    <row r="85" spans="2:33" ht="14.25" x14ac:dyDescent="0.25">
      <c r="B85" s="736"/>
      <c r="C85" s="236" t="s">
        <v>379</v>
      </c>
      <c r="D85" s="739"/>
      <c r="E85" s="739"/>
      <c r="F85" s="739"/>
      <c r="G85" s="739"/>
      <c r="H85" s="739"/>
      <c r="I85" s="739"/>
      <c r="J85" s="739"/>
      <c r="K85" s="740"/>
      <c r="L85" s="209">
        <f t="shared" ref="L85:AE85" si="59">L19*$E19-L19</f>
        <v>9.3991964069975786</v>
      </c>
      <c r="M85" s="209">
        <f t="shared" si="59"/>
        <v>2.6108878908326609</v>
      </c>
      <c r="N85" s="209">
        <f t="shared" si="59"/>
        <v>0.58201199999999997</v>
      </c>
      <c r="O85" s="209">
        <f t="shared" si="59"/>
        <v>9.8604000000000056</v>
      </c>
      <c r="P85" s="209">
        <f t="shared" si="59"/>
        <v>1.8291240000000007E-2</v>
      </c>
      <c r="Q85" s="209">
        <f t="shared" si="59"/>
        <v>2.0197800000000002E-2</v>
      </c>
      <c r="R85" s="209">
        <f t="shared" si="59"/>
        <v>2.3163840000000005E-2</v>
      </c>
      <c r="S85" s="209">
        <f t="shared" si="59"/>
        <v>1.2479760000000005E-4</v>
      </c>
      <c r="T85" s="209">
        <f t="shared" si="59"/>
        <v>3.9405600000000013E-2</v>
      </c>
      <c r="U85" s="209">
        <f t="shared" si="59"/>
        <v>0.11506680000000002</v>
      </c>
      <c r="V85" s="116">
        <f t="shared" si="59"/>
        <v>0.79588800000000015</v>
      </c>
      <c r="W85" s="209">
        <f t="shared" si="59"/>
        <v>5.3974799999999996E-3</v>
      </c>
      <c r="X85" s="209">
        <f t="shared" si="59"/>
        <v>0.17465760000000002</v>
      </c>
      <c r="Y85" s="209">
        <f t="shared" si="59"/>
        <v>3.438432000000001E-2</v>
      </c>
      <c r="Z85" s="209">
        <f t="shared" si="59"/>
        <v>8.0136000000000013E-2</v>
      </c>
      <c r="AA85" s="209">
        <f t="shared" si="59"/>
        <v>6.0897600000000024E-2</v>
      </c>
      <c r="AB85" s="209">
        <f t="shared" si="59"/>
        <v>3.3737760000000005E-5</v>
      </c>
      <c r="AC85" s="209">
        <f t="shared" si="59"/>
        <v>1.09566E-3</v>
      </c>
      <c r="AD85" s="209">
        <f t="shared" si="59"/>
        <v>1.0148760000000005E-3</v>
      </c>
      <c r="AE85" s="209">
        <f t="shared" si="59"/>
        <v>1.3094999999999999E-7</v>
      </c>
      <c r="AF85" s="121"/>
      <c r="AG85" s="121"/>
    </row>
    <row r="86" spans="2:33" ht="14.25" x14ac:dyDescent="0.25">
      <c r="B86" s="736"/>
      <c r="C86" s="236" t="s">
        <v>377</v>
      </c>
      <c r="D86" s="739"/>
      <c r="E86" s="739"/>
      <c r="F86" s="739"/>
      <c r="G86" s="739"/>
      <c r="H86" s="739"/>
      <c r="I86" s="739"/>
      <c r="J86" s="739"/>
      <c r="K86" s="740"/>
      <c r="L86" s="209">
        <f t="shared" ref="L86:AE86" si="60">L20*$E20-L20</f>
        <v>5.4451399519629753</v>
      </c>
      <c r="M86" s="209">
        <f t="shared" si="60"/>
        <v>1.5125388755452702</v>
      </c>
      <c r="N86" s="209">
        <f t="shared" si="60"/>
        <v>0.36136800000000013</v>
      </c>
      <c r="O86" s="209">
        <f t="shared" si="60"/>
        <v>3.9528000000000016</v>
      </c>
      <c r="P86" s="209">
        <f t="shared" si="60"/>
        <v>1.318788E-3</v>
      </c>
      <c r="Q86" s="209">
        <f t="shared" si="60"/>
        <v>2.5846920000000009E-2</v>
      </c>
      <c r="R86" s="209">
        <f t="shared" si="60"/>
        <v>2.7960480000000015E-3</v>
      </c>
      <c r="S86" s="209">
        <f t="shared" si="60"/>
        <v>1.4565239999999999E-4</v>
      </c>
      <c r="T86" s="209">
        <f t="shared" si="60"/>
        <v>2.8533960000000011E-2</v>
      </c>
      <c r="U86" s="209">
        <f t="shared" si="60"/>
        <v>9.5328000000000024E-2</v>
      </c>
      <c r="V86" s="116">
        <f t="shared" si="60"/>
        <v>0.58345200000000008</v>
      </c>
      <c r="W86" s="209">
        <f t="shared" si="60"/>
        <v>6.7892400000000024E-4</v>
      </c>
      <c r="X86" s="209">
        <f t="shared" si="60"/>
        <v>9.3693600000000044E-2</v>
      </c>
      <c r="Y86" s="209">
        <f t="shared" si="60"/>
        <v>3.2755680000000009E-2</v>
      </c>
      <c r="Z86" s="209">
        <f t="shared" si="60"/>
        <v>9.5886000000000027E-3</v>
      </c>
      <c r="AA86" s="209">
        <f t="shared" si="60"/>
        <v>3.9967200000000022E-2</v>
      </c>
      <c r="AB86" s="209">
        <f t="shared" si="60"/>
        <v>1.5857640000000005E-5</v>
      </c>
      <c r="AC86" s="209">
        <f t="shared" si="60"/>
        <v>1.0545480000000006E-3</v>
      </c>
      <c r="AD86" s="209">
        <f t="shared" si="60"/>
        <v>1.0248840000000002E-3</v>
      </c>
      <c r="AE86" s="209">
        <f t="shared" si="60"/>
        <v>1.2868920000000003E-7</v>
      </c>
      <c r="AF86" s="121"/>
      <c r="AG86" s="121"/>
    </row>
    <row r="87" spans="2:33" x14ac:dyDescent="0.2">
      <c r="B87" s="736"/>
      <c r="C87" s="150" t="s">
        <v>269</v>
      </c>
      <c r="D87" s="739"/>
      <c r="E87" s="739"/>
      <c r="F87" s="739"/>
      <c r="G87" s="739"/>
      <c r="H87" s="739"/>
      <c r="I87" s="739"/>
      <c r="J87" s="739"/>
      <c r="K87" s="740"/>
      <c r="L87" s="209">
        <f t="shared" ref="L87:AE87" si="61">L21*$E21-L21</f>
        <v>5.0666676049093979</v>
      </c>
      <c r="M87" s="209">
        <f t="shared" si="61"/>
        <v>1.4074076680303875</v>
      </c>
      <c r="N87" s="209">
        <f t="shared" si="61"/>
        <v>0.15058799999999994</v>
      </c>
      <c r="O87" s="209">
        <f t="shared" si="61"/>
        <v>0.87762000000000029</v>
      </c>
      <c r="P87" s="209">
        <f t="shared" si="61"/>
        <v>3.7524600000000009E-4</v>
      </c>
      <c r="Q87" s="209">
        <f t="shared" si="61"/>
        <v>1.373280000000001E-3</v>
      </c>
      <c r="R87" s="209">
        <f t="shared" si="61"/>
        <v>2.1888600000000017E-4</v>
      </c>
      <c r="S87" s="209">
        <f t="shared" si="61"/>
        <v>7.1303999999999953E-6</v>
      </c>
      <c r="T87" s="209">
        <f t="shared" si="61"/>
        <v>2.6650200000000041E-3</v>
      </c>
      <c r="U87" s="209">
        <f t="shared" si="61"/>
        <v>1.5894000000000019E-2</v>
      </c>
      <c r="V87" s="116">
        <f t="shared" si="61"/>
        <v>4.4284800000000013E-2</v>
      </c>
      <c r="W87" s="209">
        <f t="shared" si="61"/>
        <v>1.8786600000000007E-4</v>
      </c>
      <c r="X87" s="209">
        <f t="shared" si="61"/>
        <v>0.10891800000000007</v>
      </c>
      <c r="Y87" s="209">
        <f t="shared" si="61"/>
        <v>1.1660999999999998E-3</v>
      </c>
      <c r="Z87" s="209">
        <f t="shared" si="61"/>
        <v>1.1255400000000013E-3</v>
      </c>
      <c r="AA87" s="209">
        <f t="shared" si="61"/>
        <v>4.3720200000000042E-3</v>
      </c>
      <c r="AB87" s="209">
        <f t="shared" si="61"/>
        <v>2.2771200000000003E-6</v>
      </c>
      <c r="AC87" s="209">
        <f t="shared" si="61"/>
        <v>3.2755200000000005E-4</v>
      </c>
      <c r="AD87" s="209">
        <f t="shared" si="61"/>
        <v>2.752919999999999E-4</v>
      </c>
      <c r="AE87" s="209">
        <f t="shared" si="61"/>
        <v>1.4382000000000003E-8</v>
      </c>
      <c r="AF87" s="121"/>
      <c r="AG87" s="121"/>
    </row>
    <row r="88" spans="2:33" x14ac:dyDescent="0.2">
      <c r="B88" s="736"/>
      <c r="C88" s="252" t="s">
        <v>663</v>
      </c>
      <c r="D88" s="739"/>
      <c r="E88" s="739"/>
      <c r="F88" s="739"/>
      <c r="G88" s="739"/>
      <c r="H88" s="739"/>
      <c r="I88" s="739"/>
      <c r="J88" s="739"/>
      <c r="K88" s="740"/>
      <c r="L88" s="209">
        <f t="shared" ref="L88:AE88" si="62">L22*$E22-L22</f>
        <v>35.615961734271593</v>
      </c>
      <c r="M88" s="209">
        <f t="shared" si="62"/>
        <v>9.8933227039643299</v>
      </c>
      <c r="N88" s="209">
        <f t="shared" si="62"/>
        <v>1.3660344000000006</v>
      </c>
      <c r="O88" s="209">
        <f t="shared" si="62"/>
        <v>10.920096000000004</v>
      </c>
      <c r="P88" s="209">
        <f t="shared" si="62"/>
        <v>3.2283000000000017E-3</v>
      </c>
      <c r="Q88" s="209">
        <f t="shared" si="62"/>
        <v>1.6181604000000002E-2</v>
      </c>
      <c r="R88" s="209">
        <f t="shared" si="62"/>
        <v>1.3820400000000004E-2</v>
      </c>
      <c r="S88" s="209">
        <f t="shared" si="62"/>
        <v>3.0413160000000012E-4</v>
      </c>
      <c r="T88" s="209">
        <f t="shared" si="62"/>
        <v>5.0987520000000008E-2</v>
      </c>
      <c r="U88" s="209">
        <f t="shared" si="62"/>
        <v>0.2530004400000001</v>
      </c>
      <c r="V88" s="116">
        <f t="shared" si="62"/>
        <v>1.1212667999999999</v>
      </c>
      <c r="W88" s="209">
        <f t="shared" si="62"/>
        <v>1.568196E-3</v>
      </c>
      <c r="X88" s="209">
        <f t="shared" si="62"/>
        <v>0.70989840000000015</v>
      </c>
      <c r="Y88" s="209">
        <f t="shared" si="62"/>
        <v>6.5769120000000014E-2</v>
      </c>
      <c r="Z88" s="209">
        <f t="shared" si="62"/>
        <v>4.1240520000000003E-2</v>
      </c>
      <c r="AA88" s="209">
        <f t="shared" si="62"/>
        <v>7.6543920000000015E-2</v>
      </c>
      <c r="AB88" s="209">
        <f t="shared" si="62"/>
        <v>4.7464200000000005E-5</v>
      </c>
      <c r="AC88" s="209">
        <f t="shared" si="62"/>
        <v>3.3010920000000003E-3</v>
      </c>
      <c r="AD88" s="209">
        <f t="shared" si="62"/>
        <v>2.9286360000000018E-3</v>
      </c>
      <c r="AE88" s="209">
        <f t="shared" si="62"/>
        <v>2.9558160000000014E-7</v>
      </c>
      <c r="AF88" s="121"/>
      <c r="AG88" s="121"/>
    </row>
    <row r="89" spans="2:33" x14ac:dyDescent="0.2">
      <c r="B89" s="736"/>
      <c r="C89" s="252" t="s">
        <v>664</v>
      </c>
      <c r="D89" s="739"/>
      <c r="E89" s="739"/>
      <c r="F89" s="739"/>
      <c r="G89" s="739"/>
      <c r="H89" s="739"/>
      <c r="I89" s="739"/>
      <c r="J89" s="739"/>
      <c r="K89" s="740"/>
      <c r="L89" s="209">
        <f t="shared" ref="L89" si="63">L23*$E23-L23</f>
        <v>32.372371408544865</v>
      </c>
      <c r="M89" s="209">
        <f t="shared" ref="M89:AE89" si="64">M23*$E23-M23</f>
        <v>8.9923253912624617</v>
      </c>
      <c r="N89" s="209">
        <f t="shared" si="64"/>
        <v>2.0872800000000007</v>
      </c>
      <c r="O89" s="209">
        <f t="shared" si="64"/>
        <v>21.413160000000012</v>
      </c>
      <c r="P89" s="209">
        <f t="shared" si="64"/>
        <v>9.3635999999999997E-3</v>
      </c>
      <c r="Q89" s="209">
        <f t="shared" si="64"/>
        <v>2.6521920000000012</v>
      </c>
      <c r="R89" s="209">
        <f t="shared" si="64"/>
        <v>1.9405079999999998E-2</v>
      </c>
      <c r="S89" s="209">
        <f t="shared" si="64"/>
        <v>6.8688000000000039E-4</v>
      </c>
      <c r="T89" s="209">
        <f t="shared" si="64"/>
        <v>0.1842336</v>
      </c>
      <c r="U89" s="209">
        <f t="shared" si="64"/>
        <v>0.405972</v>
      </c>
      <c r="V89" s="116">
        <f t="shared" si="64"/>
        <v>3.7512000000000008</v>
      </c>
      <c r="W89" s="209">
        <f t="shared" si="64"/>
        <v>3.8883600000000004E-3</v>
      </c>
      <c r="X89" s="209">
        <f t="shared" si="64"/>
        <v>0.607464</v>
      </c>
      <c r="Y89" s="209">
        <f t="shared" si="64"/>
        <v>0.11334959999999999</v>
      </c>
      <c r="Z89" s="209">
        <f t="shared" si="64"/>
        <v>5.2567200000000008E-2</v>
      </c>
      <c r="AA89" s="209">
        <f t="shared" si="64"/>
        <v>0.25250760000000005</v>
      </c>
      <c r="AB89" s="209">
        <f t="shared" si="64"/>
        <v>2.094372000000001E-4</v>
      </c>
      <c r="AC89" s="209">
        <f t="shared" si="64"/>
        <v>4.9618800000000018E-3</v>
      </c>
      <c r="AD89" s="209">
        <f t="shared" si="64"/>
        <v>4.6602000000000015E-3</v>
      </c>
      <c r="AE89" s="209">
        <f t="shared" si="64"/>
        <v>4.7077200000000008E-7</v>
      </c>
      <c r="AF89" s="121"/>
      <c r="AG89" s="121"/>
    </row>
    <row r="90" spans="2:33" x14ac:dyDescent="0.2">
      <c r="B90" s="736"/>
      <c r="C90" s="252" t="s">
        <v>665</v>
      </c>
      <c r="D90" s="739"/>
      <c r="E90" s="739"/>
      <c r="F90" s="739"/>
      <c r="G90" s="739"/>
      <c r="H90" s="739"/>
      <c r="I90" s="739"/>
      <c r="J90" s="739"/>
      <c r="K90" s="740"/>
      <c r="L90" s="209">
        <f t="shared" ref="L90:AE90" si="65">L24*$E24-L24</f>
        <v>40.881962984059953</v>
      </c>
      <c r="M90" s="209">
        <f t="shared" si="65"/>
        <v>11.356100828905539</v>
      </c>
      <c r="N90" s="209">
        <f t="shared" si="65"/>
        <v>2.0696210637609136</v>
      </c>
      <c r="O90" s="209">
        <f t="shared" si="65"/>
        <v>19.878890142313182</v>
      </c>
      <c r="P90" s="209">
        <f t="shared" si="65"/>
        <v>1.7172750215628176E-2</v>
      </c>
      <c r="Q90" s="209">
        <f t="shared" si="65"/>
        <v>1.3010734000442636</v>
      </c>
      <c r="R90" s="209">
        <f t="shared" si="65"/>
        <v>5.7208120227083575E-2</v>
      </c>
      <c r="S90" s="209">
        <f t="shared" si="65"/>
        <v>1.4281451862864156E-3</v>
      </c>
      <c r="T90" s="209">
        <f t="shared" si="65"/>
        <v>0.20664548874729904</v>
      </c>
      <c r="U90" s="209">
        <f t="shared" si="65"/>
        <v>1.5133704694569845</v>
      </c>
      <c r="V90" s="116">
        <f t="shared" si="65"/>
        <v>4.5949140964736408</v>
      </c>
      <c r="W90" s="209">
        <f t="shared" si="65"/>
        <v>5.8481044255831172E-3</v>
      </c>
      <c r="X90" s="209">
        <f t="shared" si="65"/>
        <v>0.55645318283064249</v>
      </c>
      <c r="Y90" s="209">
        <f t="shared" si="65"/>
        <v>0.51129737955016452</v>
      </c>
      <c r="Z90" s="209">
        <f t="shared" si="65"/>
        <v>0.15234477640613431</v>
      </c>
      <c r="AA90" s="209">
        <f t="shared" si="65"/>
        <v>0.28886967410026854</v>
      </c>
      <c r="AB90" s="209">
        <f t="shared" si="65"/>
        <v>3.8523522550941718E-4</v>
      </c>
      <c r="AC90" s="209">
        <f t="shared" si="65"/>
        <v>5.0054680295201597E-3</v>
      </c>
      <c r="AD90" s="209">
        <f t="shared" si="65"/>
        <v>4.8183388549239582E-3</v>
      </c>
      <c r="AE90" s="209">
        <f t="shared" si="65"/>
        <v>6.8270611303186526E-7</v>
      </c>
      <c r="AF90" s="121"/>
      <c r="AG90" s="121"/>
    </row>
    <row r="91" spans="2:33" x14ac:dyDescent="0.2">
      <c r="B91" s="736"/>
      <c r="C91" s="307" t="s">
        <v>666</v>
      </c>
      <c r="D91" s="739"/>
      <c r="E91" s="739"/>
      <c r="F91" s="739"/>
      <c r="G91" s="739"/>
      <c r="H91" s="739"/>
      <c r="I91" s="739"/>
      <c r="J91" s="739"/>
      <c r="K91" s="740"/>
      <c r="L91" s="209">
        <f t="shared" ref="L91:AE91" si="66">L25*$E25-L25</f>
        <v>5.5070570707607942</v>
      </c>
      <c r="M91" s="209">
        <f t="shared" si="66"/>
        <v>1.5297380752113305</v>
      </c>
      <c r="N91" s="209">
        <f t="shared" si="66"/>
        <v>0.24645696000000061</v>
      </c>
      <c r="O91" s="209">
        <f t="shared" si="66"/>
        <v>1.8293904000000012</v>
      </c>
      <c r="P91" s="209">
        <f t="shared" si="66"/>
        <v>7.9051140000000082E-4</v>
      </c>
      <c r="Q91" s="209">
        <f t="shared" si="66"/>
        <v>1.6295786400000012E-2</v>
      </c>
      <c r="R91" s="209">
        <f t="shared" si="66"/>
        <v>1.9127963999999997E-3</v>
      </c>
      <c r="S91" s="209">
        <f t="shared" si="66"/>
        <v>7.3725269999999968E-5</v>
      </c>
      <c r="T91" s="209">
        <f t="shared" si="66"/>
        <v>9.8531040000000014E-3</v>
      </c>
      <c r="U91" s="209">
        <f t="shared" si="66"/>
        <v>3.8768622000000086E-2</v>
      </c>
      <c r="V91" s="116">
        <f t="shared" si="66"/>
        <v>0.25321914000000056</v>
      </c>
      <c r="W91" s="209">
        <f t="shared" si="66"/>
        <v>3.8853588000000057E-4</v>
      </c>
      <c r="X91" s="209">
        <f t="shared" si="66"/>
        <v>8.6494920000000031E-2</v>
      </c>
      <c r="Y91" s="209">
        <f t="shared" si="66"/>
        <v>1.7073384000000025E-2</v>
      </c>
      <c r="Z91" s="209">
        <f t="shared" si="66"/>
        <v>3.066524820000005E-2</v>
      </c>
      <c r="AA91" s="209">
        <f t="shared" si="66"/>
        <v>1.4487144000000007E-2</v>
      </c>
      <c r="AB91" s="209">
        <f t="shared" si="66"/>
        <v>8.3999213999999978E-6</v>
      </c>
      <c r="AC91" s="209">
        <f t="shared" si="66"/>
        <v>6.2671596000000128E-4</v>
      </c>
      <c r="AD91" s="209">
        <f t="shared" si="66"/>
        <v>5.8253106000000048E-4</v>
      </c>
      <c r="AE91" s="209">
        <f t="shared" si="66"/>
        <v>6.4956095999999994E-8</v>
      </c>
      <c r="AF91" s="121"/>
      <c r="AG91" s="121"/>
    </row>
    <row r="92" spans="2:33" ht="14.25" x14ac:dyDescent="0.25">
      <c r="B92" s="736"/>
      <c r="C92" s="150" t="s">
        <v>667</v>
      </c>
      <c r="D92" s="739"/>
      <c r="E92" s="739"/>
      <c r="F92" s="739"/>
      <c r="G92" s="739"/>
      <c r="H92" s="739"/>
      <c r="I92" s="739"/>
      <c r="J92" s="739"/>
      <c r="K92" s="740"/>
      <c r="L92" s="209">
        <f t="shared" ref="L92:AE92" si="67">L26*$E26-L26</f>
        <v>1.4406016092960473E-3</v>
      </c>
      <c r="M92" s="209">
        <f t="shared" si="67"/>
        <v>4.0016711369334629E-4</v>
      </c>
      <c r="N92" s="209">
        <f t="shared" si="67"/>
        <v>9.7483199999999948E-5</v>
      </c>
      <c r="O92" s="209">
        <f t="shared" si="67"/>
        <v>1.3394510000000002E-3</v>
      </c>
      <c r="P92" s="209">
        <f t="shared" si="67"/>
        <v>7.2314300000000003E-7</v>
      </c>
      <c r="Q92" s="209">
        <f t="shared" si="67"/>
        <v>1.4422609999999994E-5</v>
      </c>
      <c r="R92" s="209">
        <f t="shared" si="67"/>
        <v>4.7777899999999995E-6</v>
      </c>
      <c r="S92" s="209">
        <f t="shared" si="67"/>
        <v>3.595360000000001E-8</v>
      </c>
      <c r="T92" s="209">
        <f t="shared" si="67"/>
        <v>7.5315799999999995E-6</v>
      </c>
      <c r="U92" s="209">
        <f t="shared" si="67"/>
        <v>3.470010000000001E-5</v>
      </c>
      <c r="V92" s="116">
        <f t="shared" si="67"/>
        <v>1.5806749999999997E-4</v>
      </c>
      <c r="W92" s="209">
        <f t="shared" si="67"/>
        <v>2.5516199999999991E-7</v>
      </c>
      <c r="X92" s="209">
        <f t="shared" si="67"/>
        <v>2.3653199999999999E-5</v>
      </c>
      <c r="Y92" s="209">
        <f t="shared" si="67"/>
        <v>1.0557919999999997E-5</v>
      </c>
      <c r="Z92" s="209">
        <f t="shared" si="67"/>
        <v>2.2662360000000006E-6</v>
      </c>
      <c r="AA92" s="209">
        <f t="shared" si="67"/>
        <v>1.102321E-5</v>
      </c>
      <c r="AB92" s="209">
        <f t="shared" si="67"/>
        <v>4.9443100000000007E-9</v>
      </c>
      <c r="AC92" s="209">
        <f t="shared" si="67"/>
        <v>1.9066999999999995E-7</v>
      </c>
      <c r="AD92" s="209">
        <f t="shared" si="67"/>
        <v>1.8255329999999996E-7</v>
      </c>
      <c r="AE92" s="209">
        <f t="shared" si="67"/>
        <v>7.2670800000000015E-11</v>
      </c>
      <c r="AF92" s="121"/>
      <c r="AG92" s="121"/>
    </row>
    <row r="93" spans="2:33" x14ac:dyDescent="0.2">
      <c r="B93" s="736"/>
      <c r="C93" s="617" t="s">
        <v>668</v>
      </c>
      <c r="D93" s="739"/>
      <c r="E93" s="739"/>
      <c r="F93" s="739"/>
      <c r="G93" s="739"/>
      <c r="H93" s="739"/>
      <c r="I93" s="739"/>
      <c r="J93" s="739"/>
      <c r="K93" s="740"/>
      <c r="L93" s="628">
        <f t="shared" ref="L93:AE93" si="68">L27*$E27-L27</f>
        <v>7.4668239425832752</v>
      </c>
      <c r="M93" s="628">
        <f t="shared" si="68"/>
        <v>2.0741177618286883</v>
      </c>
      <c r="N93" s="628">
        <f t="shared" si="68"/>
        <v>0.46062600000000042</v>
      </c>
      <c r="O93" s="628">
        <f t="shared" si="68"/>
        <v>31.46040000000005</v>
      </c>
      <c r="P93" s="628">
        <f t="shared" si="68"/>
        <v>5.2771800000000063E-3</v>
      </c>
      <c r="Q93" s="628">
        <f t="shared" si="68"/>
        <v>2.4384000000000003E-3</v>
      </c>
      <c r="R93" s="628">
        <f t="shared" si="68"/>
        <v>1.0128000000000012E-3</v>
      </c>
      <c r="S93" s="628">
        <f t="shared" si="68"/>
        <v>7.3752000000000062E-5</v>
      </c>
      <c r="T93" s="628">
        <f t="shared" si="68"/>
        <v>8.9328000000000185E-3</v>
      </c>
      <c r="U93" s="628">
        <f t="shared" si="68"/>
        <v>5.1031200000000054E-2</v>
      </c>
      <c r="V93" s="615">
        <f t="shared" si="68"/>
        <v>0.29098200000000052</v>
      </c>
      <c r="W93" s="628">
        <f t="shared" si="68"/>
        <v>1.8495600000000001E-3</v>
      </c>
      <c r="X93" s="628">
        <f t="shared" si="68"/>
        <v>0.14970000000000017</v>
      </c>
      <c r="Y93" s="628">
        <f t="shared" si="68"/>
        <v>1.27776E-2</v>
      </c>
      <c r="Z93" s="628">
        <f t="shared" si="68"/>
        <v>5.00892E-3</v>
      </c>
      <c r="AA93" s="628">
        <f t="shared" si="68"/>
        <v>4.1157600000000016E-2</v>
      </c>
      <c r="AB93" s="628">
        <f t="shared" si="68"/>
        <v>6.6954000000000037E-6</v>
      </c>
      <c r="AC93" s="628">
        <f t="shared" si="68"/>
        <v>1.6414800000000007E-3</v>
      </c>
      <c r="AD93" s="628">
        <f t="shared" si="68"/>
        <v>1.5987600000000012E-3</v>
      </c>
      <c r="AE93" s="628">
        <f t="shared" si="68"/>
        <v>9.3408000000000038E-8</v>
      </c>
      <c r="AF93" s="121"/>
      <c r="AG93" s="121"/>
    </row>
    <row r="94" spans="2:33" x14ac:dyDescent="0.2">
      <c r="B94" s="736"/>
      <c r="C94" s="150" t="s">
        <v>59</v>
      </c>
      <c r="D94" s="739"/>
      <c r="E94" s="739"/>
      <c r="F94" s="739"/>
      <c r="G94" s="739"/>
      <c r="H94" s="739"/>
      <c r="I94" s="739"/>
      <c r="J94" s="739"/>
      <c r="K94" s="740"/>
      <c r="L94" s="209">
        <f t="shared" ref="L94:AE94" si="69">L28*$E28-L28</f>
        <v>8.0160254688008479</v>
      </c>
      <c r="M94" s="209">
        <f t="shared" si="69"/>
        <v>2.2266737413335704</v>
      </c>
      <c r="N94" s="209">
        <f t="shared" si="69"/>
        <v>0.49488000000000021</v>
      </c>
      <c r="O94" s="209">
        <f t="shared" si="69"/>
        <v>29.945400000000006</v>
      </c>
      <c r="P94" s="209">
        <f t="shared" si="69"/>
        <v>5.1358800000000093E-3</v>
      </c>
      <c r="Q94" s="209">
        <f t="shared" si="69"/>
        <v>3.4792800000000013E-3</v>
      </c>
      <c r="R94" s="209">
        <f t="shared" si="69"/>
        <v>1.204860000000002E-3</v>
      </c>
      <c r="S94" s="209">
        <f t="shared" si="69"/>
        <v>8.0556000000000074E-5</v>
      </c>
      <c r="T94" s="209">
        <f t="shared" si="69"/>
        <v>1.1317199999999999E-2</v>
      </c>
      <c r="U94" s="209">
        <f t="shared" si="69"/>
        <v>5.874899999999994E-2</v>
      </c>
      <c r="V94" s="116">
        <f t="shared" si="69"/>
        <v>0.33529799999999987</v>
      </c>
      <c r="W94" s="209">
        <f t="shared" si="69"/>
        <v>1.8149400000000045E-3</v>
      </c>
      <c r="X94" s="209">
        <f t="shared" si="69"/>
        <v>0.15937200000000029</v>
      </c>
      <c r="Y94" s="209">
        <f t="shared" si="69"/>
        <v>1.4040000000000025E-2</v>
      </c>
      <c r="Z94" s="209">
        <f t="shared" si="69"/>
        <v>6.7350000000000049E-3</v>
      </c>
      <c r="AA94" s="209">
        <f t="shared" si="69"/>
        <v>4.2775200000000013E-2</v>
      </c>
      <c r="AB94" s="209">
        <f t="shared" si="69"/>
        <v>7.7843999999999928E-6</v>
      </c>
      <c r="AC94" s="209">
        <f t="shared" si="69"/>
        <v>1.691340000000003E-3</v>
      </c>
      <c r="AD94" s="209">
        <f t="shared" si="69"/>
        <v>1.6453800000000018E-3</v>
      </c>
      <c r="AE94" s="209">
        <f t="shared" si="69"/>
        <v>1.0222800000000019E-7</v>
      </c>
      <c r="AF94" s="121"/>
      <c r="AG94" s="121"/>
    </row>
    <row r="95" spans="2:33" x14ac:dyDescent="0.2">
      <c r="B95" s="736"/>
      <c r="C95" s="307" t="s">
        <v>518</v>
      </c>
      <c r="D95" s="739"/>
      <c r="E95" s="739"/>
      <c r="F95" s="739"/>
      <c r="G95" s="739"/>
      <c r="H95" s="739"/>
      <c r="I95" s="739"/>
      <c r="J95" s="739"/>
      <c r="K95" s="740"/>
      <c r="L95" s="209">
        <f t="shared" ref="L95:AE95" si="70">L29*$E29-L29</f>
        <v>62.55373862001565</v>
      </c>
      <c r="M95" s="209">
        <f t="shared" si="70"/>
        <v>17.376038505559897</v>
      </c>
      <c r="N95" s="209">
        <f t="shared" si="70"/>
        <v>4.2120000000000015</v>
      </c>
      <c r="O95" s="209">
        <f t="shared" si="70"/>
        <v>411.98400000000015</v>
      </c>
      <c r="P95" s="209">
        <f t="shared" si="70"/>
        <v>1.4605920000000001E-2</v>
      </c>
      <c r="Q95" s="209">
        <f t="shared" si="70"/>
        <v>2.0226600000000011E-2</v>
      </c>
      <c r="R95" s="209">
        <f t="shared" si="70"/>
        <v>4.039920000000001E-2</v>
      </c>
      <c r="S95" s="209">
        <f t="shared" si="70"/>
        <v>1.2193199999999999E-3</v>
      </c>
      <c r="T95" s="209">
        <f t="shared" si="70"/>
        <v>8.1594000000000028E-2</v>
      </c>
      <c r="U95" s="209">
        <f t="shared" si="70"/>
        <v>0.32959440000000018</v>
      </c>
      <c r="V95" s="116">
        <f t="shared" si="70"/>
        <v>2.447064000000001</v>
      </c>
      <c r="W95" s="209">
        <f t="shared" si="70"/>
        <v>6.9944400000000011E-3</v>
      </c>
      <c r="X95" s="209">
        <f t="shared" si="70"/>
        <v>0.92656800000000006</v>
      </c>
      <c r="Y95" s="209">
        <f t="shared" si="70"/>
        <v>0.26499960000000011</v>
      </c>
      <c r="Z95" s="209">
        <f t="shared" si="70"/>
        <v>0.30745080000000014</v>
      </c>
      <c r="AA95" s="209">
        <f t="shared" si="70"/>
        <v>0.58975200000000005</v>
      </c>
      <c r="AB95" s="209">
        <f t="shared" si="70"/>
        <v>9.6904800000000035E-5</v>
      </c>
      <c r="AC95" s="209">
        <f t="shared" si="70"/>
        <v>1.0362960000000004E-2</v>
      </c>
      <c r="AD95" s="209">
        <f t="shared" si="70"/>
        <v>1.0103040000000001E-2</v>
      </c>
      <c r="AE95" s="209">
        <f t="shared" si="70"/>
        <v>1.2670920000000003E-6</v>
      </c>
      <c r="AF95" s="121"/>
      <c r="AG95" s="121"/>
    </row>
    <row r="96" spans="2:33" x14ac:dyDescent="0.2">
      <c r="B96" s="736"/>
      <c r="C96" s="307" t="s">
        <v>652</v>
      </c>
      <c r="D96" s="739"/>
      <c r="E96" s="739"/>
      <c r="F96" s="739"/>
      <c r="G96" s="739"/>
      <c r="H96" s="739"/>
      <c r="I96" s="739"/>
      <c r="J96" s="739"/>
      <c r="K96" s="740"/>
      <c r="L96" s="209">
        <f t="shared" ref="L96:AE96" si="71">L30*$E30-L30</f>
        <v>13.587505333217521</v>
      </c>
      <c r="M96" s="209">
        <f t="shared" si="71"/>
        <v>3.774307037004867</v>
      </c>
      <c r="N96" s="209">
        <f t="shared" si="71"/>
        <v>1.0596420000000006</v>
      </c>
      <c r="O96" s="209">
        <f t="shared" si="71"/>
        <v>2.9615229999999997</v>
      </c>
      <c r="P96" s="209">
        <f t="shared" si="71"/>
        <v>4.9569000000000002E-3</v>
      </c>
      <c r="Q96" s="209">
        <f t="shared" si="71"/>
        <v>3.1502200000000005E-3</v>
      </c>
      <c r="R96" s="209">
        <f t="shared" si="71"/>
        <v>2.6579710000000003E-3</v>
      </c>
      <c r="S96" s="209">
        <f t="shared" si="71"/>
        <v>4.1533800000000012E-4</v>
      </c>
      <c r="T96" s="209">
        <f t="shared" si="71"/>
        <v>1.8753449999999998E-2</v>
      </c>
      <c r="U96" s="209">
        <f t="shared" si="71"/>
        <v>9.0352600000000005E-2</v>
      </c>
      <c r="V96" s="116">
        <f t="shared" si="71"/>
        <v>0.84617600000000026</v>
      </c>
      <c r="W96" s="209">
        <f t="shared" si="71"/>
        <v>1.8844279999999996E-3</v>
      </c>
      <c r="X96" s="209">
        <f t="shared" si="71"/>
        <v>0.26978369999999996</v>
      </c>
      <c r="Y96" s="209">
        <f t="shared" si="71"/>
        <v>3.6611000000000019E-2</v>
      </c>
      <c r="Z96" s="209">
        <f t="shared" si="71"/>
        <v>1.2373960000000003E-2</v>
      </c>
      <c r="AA96" s="209">
        <f t="shared" si="71"/>
        <v>2.8143970000000004E-2</v>
      </c>
      <c r="AB96" s="209">
        <f t="shared" si="71"/>
        <v>2.8298350000000003E-5</v>
      </c>
      <c r="AC96" s="209">
        <f t="shared" si="71"/>
        <v>2.5404810000000007E-3</v>
      </c>
      <c r="AD96" s="209">
        <f t="shared" si="71"/>
        <v>2.4926170000000008E-3</v>
      </c>
      <c r="AE96" s="209">
        <f t="shared" si="71"/>
        <v>1.9578980000000005E-7</v>
      </c>
      <c r="AF96" s="121"/>
      <c r="AG96" s="121"/>
    </row>
    <row r="97" spans="2:33" x14ac:dyDescent="0.2">
      <c r="B97" s="736"/>
      <c r="C97" s="307" t="s">
        <v>653</v>
      </c>
      <c r="D97" s="739"/>
      <c r="E97" s="739"/>
      <c r="F97" s="739"/>
      <c r="G97" s="739"/>
      <c r="H97" s="739"/>
      <c r="I97" s="739"/>
      <c r="J97" s="739"/>
      <c r="K97" s="740"/>
      <c r="L97" s="209">
        <f>L31*$E31-L31</f>
        <v>360.43645945514572</v>
      </c>
      <c r="M97" s="209">
        <f>M31*$E31-M31</f>
        <v>100.12123873754047</v>
      </c>
      <c r="N97" s="209">
        <f t="shared" ref="N97:AE97" si="72">N31*$E31-N31</f>
        <v>27.003200000000007</v>
      </c>
      <c r="O97" s="209">
        <f t="shared" si="72"/>
        <v>213.18080000000009</v>
      </c>
      <c r="P97" s="209">
        <f t="shared" si="72"/>
        <v>0.13109759999999998</v>
      </c>
      <c r="Q97" s="209">
        <f t="shared" si="72"/>
        <v>52.518400000000014</v>
      </c>
      <c r="R97" s="209">
        <f t="shared" si="72"/>
        <v>0.23977599999999999</v>
      </c>
      <c r="S97" s="209">
        <f t="shared" si="72"/>
        <v>1.3410560000000002E-2</v>
      </c>
      <c r="T97" s="209">
        <f t="shared" si="72"/>
        <v>1.8601280000000004</v>
      </c>
      <c r="U97" s="209">
        <f t="shared" si="72"/>
        <v>4.9427199999999996</v>
      </c>
      <c r="V97" s="116">
        <f t="shared" si="72"/>
        <v>43.136000000000024</v>
      </c>
      <c r="W97" s="209">
        <f t="shared" si="72"/>
        <v>5.6838400000000011E-2</v>
      </c>
      <c r="X97" s="209">
        <f t="shared" si="72"/>
        <v>6.5158400000000007</v>
      </c>
      <c r="Y97" s="209">
        <f t="shared" si="72"/>
        <v>1.6182720000000002</v>
      </c>
      <c r="Z97" s="209">
        <f t="shared" si="72"/>
        <v>0.636768</v>
      </c>
      <c r="AA97" s="209">
        <f t="shared" si="72"/>
        <v>2.5614720000000002</v>
      </c>
      <c r="AB97" s="209">
        <f t="shared" si="72"/>
        <v>1.2464320000000001E-2</v>
      </c>
      <c r="AC97" s="209">
        <f t="shared" si="72"/>
        <v>8.0886400000000025E-2</v>
      </c>
      <c r="AD97" s="209">
        <f t="shared" si="72"/>
        <v>7.8790400000000038E-2</v>
      </c>
      <c r="AE97" s="209">
        <f t="shared" si="72"/>
        <v>8.7692799999999995E-6</v>
      </c>
      <c r="AF97" s="121"/>
      <c r="AG97" s="121"/>
    </row>
    <row r="98" spans="2:33" x14ac:dyDescent="0.2">
      <c r="B98" s="736"/>
      <c r="C98" s="237" t="s">
        <v>662</v>
      </c>
      <c r="D98" s="739"/>
      <c r="E98" s="739"/>
      <c r="F98" s="739"/>
      <c r="G98" s="739"/>
      <c r="H98" s="739"/>
      <c r="I98" s="739"/>
      <c r="J98" s="739"/>
      <c r="K98" s="740"/>
      <c r="L98" s="209">
        <f t="shared" ref="L98:AE98" si="73">L32*$E32-L32</f>
        <v>48.444827737649035</v>
      </c>
      <c r="M98" s="209">
        <f t="shared" si="73"/>
        <v>13.456896593791399</v>
      </c>
      <c r="N98" s="209">
        <f t="shared" si="73"/>
        <v>3.2723280000000017</v>
      </c>
      <c r="O98" s="209">
        <f t="shared" si="73"/>
        <v>389.2320000000002</v>
      </c>
      <c r="P98" s="209">
        <f t="shared" si="73"/>
        <v>0.1552752</v>
      </c>
      <c r="Q98" s="209">
        <f t="shared" si="73"/>
        <v>0.68810400000000005</v>
      </c>
      <c r="R98" s="209">
        <f t="shared" si="73"/>
        <v>5.4975600000000013E-2</v>
      </c>
      <c r="S98" s="209">
        <f t="shared" si="73"/>
        <v>1.6658280000000004E-2</v>
      </c>
      <c r="T98" s="209">
        <f t="shared" si="73"/>
        <v>13.80312</v>
      </c>
      <c r="U98" s="209">
        <f t="shared" si="73"/>
        <v>3.5719920000000016</v>
      </c>
      <c r="V98" s="116">
        <f t="shared" si="73"/>
        <v>210.35520000000008</v>
      </c>
      <c r="W98" s="209">
        <f t="shared" si="73"/>
        <v>5.0065200000000004E-2</v>
      </c>
      <c r="X98" s="209">
        <f t="shared" si="73"/>
        <v>0.748332</v>
      </c>
      <c r="Y98" s="209">
        <f t="shared" si="73"/>
        <v>0.24153120000000006</v>
      </c>
      <c r="Z98" s="209">
        <f t="shared" si="73"/>
        <v>0.43466400000000016</v>
      </c>
      <c r="AA98" s="209">
        <f t="shared" si="73"/>
        <v>17.334720000000004</v>
      </c>
      <c r="AB98" s="209">
        <f t="shared" si="73"/>
        <v>3.1482000000000005E-4</v>
      </c>
      <c r="AC98" s="209">
        <f t="shared" si="73"/>
        <v>2.6510400000000003E-2</v>
      </c>
      <c r="AD98" s="209">
        <f t="shared" si="73"/>
        <v>2.5912800000000014E-2</v>
      </c>
      <c r="AE98" s="209">
        <f t="shared" si="73"/>
        <v>3.2466240000000011E-6</v>
      </c>
      <c r="AF98" s="121"/>
      <c r="AG98" s="121"/>
    </row>
    <row r="99" spans="2:33" x14ac:dyDescent="0.2">
      <c r="B99" s="736"/>
      <c r="C99" s="237" t="s">
        <v>661</v>
      </c>
      <c r="D99" s="739"/>
      <c r="E99" s="739"/>
      <c r="F99" s="739"/>
      <c r="G99" s="739"/>
      <c r="H99" s="739"/>
      <c r="I99" s="739"/>
      <c r="J99" s="739"/>
      <c r="K99" s="740"/>
      <c r="L99" s="209">
        <f t="shared" ref="L99:AE99" si="74">L33*$E33-L33</f>
        <v>1.9677653924245417</v>
      </c>
      <c r="M99" s="209">
        <f t="shared" si="74"/>
        <v>0.54660149789570589</v>
      </c>
      <c r="N99" s="209">
        <f t="shared" si="74"/>
        <v>0.14343480000000003</v>
      </c>
      <c r="O99" s="209">
        <f t="shared" si="74"/>
        <v>15.171120000000002</v>
      </c>
      <c r="P99" s="209">
        <f t="shared" si="74"/>
        <v>3.8826000000000008E-4</v>
      </c>
      <c r="Q99" s="209">
        <f t="shared" si="74"/>
        <v>2.24298E-2</v>
      </c>
      <c r="R99" s="209">
        <f t="shared" si="74"/>
        <v>2.6318880000000015E-3</v>
      </c>
      <c r="S99" s="209">
        <f t="shared" si="74"/>
        <v>4.9816800000000028E-5</v>
      </c>
      <c r="T99" s="209">
        <f t="shared" si="74"/>
        <v>1.6889040000000008E-2</v>
      </c>
      <c r="U99" s="209">
        <f t="shared" si="74"/>
        <v>0.30160799999999999</v>
      </c>
      <c r="V99" s="116">
        <f t="shared" si="74"/>
        <v>0.13218840000000004</v>
      </c>
      <c r="W99" s="209">
        <f t="shared" si="74"/>
        <v>2.1102120000000011E-4</v>
      </c>
      <c r="X99" s="209">
        <f t="shared" si="74"/>
        <v>3.5925840000000014E-2</v>
      </c>
      <c r="Y99" s="209">
        <f t="shared" si="74"/>
        <v>9.1116000000000044E-3</v>
      </c>
      <c r="Z99" s="209">
        <f t="shared" si="74"/>
        <v>2.6061120000000016E-3</v>
      </c>
      <c r="AA99" s="209">
        <f t="shared" si="74"/>
        <v>3.8339999999999999E-2</v>
      </c>
      <c r="AB99" s="209">
        <f t="shared" si="74"/>
        <v>3.8505600000000006E-6</v>
      </c>
      <c r="AC99" s="209">
        <f t="shared" si="74"/>
        <v>3.4653960000000008E-4</v>
      </c>
      <c r="AD99" s="209">
        <f t="shared" si="74"/>
        <v>3.3251040000000008E-4</v>
      </c>
      <c r="AE99" s="209">
        <f t="shared" si="74"/>
        <v>2.8618560000000005E-8</v>
      </c>
      <c r="AF99" s="121"/>
      <c r="AG99" s="121"/>
    </row>
    <row r="100" spans="2:33" x14ac:dyDescent="0.2">
      <c r="B100" s="736"/>
      <c r="C100" s="237" t="s">
        <v>72</v>
      </c>
      <c r="D100" s="739"/>
      <c r="E100" s="739"/>
      <c r="F100" s="739"/>
      <c r="G100" s="739"/>
      <c r="H100" s="739"/>
      <c r="I100" s="739"/>
      <c r="J100" s="739"/>
      <c r="K100" s="740"/>
      <c r="L100" s="209">
        <f t="shared" ref="L100:AE100" si="75">L34*$E34-L34</f>
        <v>2.7070510098648644</v>
      </c>
      <c r="M100" s="209">
        <f t="shared" si="75"/>
        <v>0.75195861385135077</v>
      </c>
      <c r="N100" s="209">
        <f t="shared" si="75"/>
        <v>8.9723200000000003E-2</v>
      </c>
      <c r="O100" s="209">
        <f t="shared" si="75"/>
        <v>0.41591200000000006</v>
      </c>
      <c r="P100" s="209">
        <f t="shared" si="75"/>
        <v>3.0665599999999999E-4</v>
      </c>
      <c r="Q100" s="209">
        <f t="shared" si="75"/>
        <v>5.5434400000000002E-4</v>
      </c>
      <c r="R100" s="209">
        <f t="shared" si="75"/>
        <v>1.3188840000000002E-3</v>
      </c>
      <c r="S100" s="209">
        <f t="shared" si="75"/>
        <v>7.8562399999999985E-5</v>
      </c>
      <c r="T100" s="209">
        <f t="shared" si="75"/>
        <v>2.9825600000000004E-3</v>
      </c>
      <c r="U100" s="209">
        <f t="shared" si="75"/>
        <v>1.14422E-2</v>
      </c>
      <c r="V100" s="116">
        <f t="shared" si="75"/>
        <v>0.10538360000000002</v>
      </c>
      <c r="W100" s="209">
        <f t="shared" si="75"/>
        <v>1.2605879999999997E-4</v>
      </c>
      <c r="X100" s="209">
        <f t="shared" si="75"/>
        <v>2.4857000000000004E-2</v>
      </c>
      <c r="Y100" s="209">
        <f t="shared" si="75"/>
        <v>5.5451199999999978E-2</v>
      </c>
      <c r="Z100" s="209">
        <f t="shared" si="75"/>
        <v>3.1592400000000007E-3</v>
      </c>
      <c r="AA100" s="209">
        <f t="shared" si="75"/>
        <v>4.4178399999999993E-3</v>
      </c>
      <c r="AB100" s="209">
        <f t="shared" si="75"/>
        <v>6.3442399999999987E-6</v>
      </c>
      <c r="AC100" s="209">
        <f t="shared" si="75"/>
        <v>1.6272759999999998E-4</v>
      </c>
      <c r="AD100" s="209">
        <f t="shared" si="75"/>
        <v>1.5737400000000006E-4</v>
      </c>
      <c r="AE100" s="209">
        <f t="shared" si="75"/>
        <v>4.2120400000000004E-8</v>
      </c>
      <c r="AF100" s="121"/>
      <c r="AG100" s="121"/>
    </row>
    <row r="101" spans="2:33" ht="13.5" thickBot="1" x14ac:dyDescent="0.25">
      <c r="B101" s="736"/>
      <c r="C101" s="420" t="s">
        <v>386</v>
      </c>
      <c r="D101" s="741"/>
      <c r="E101" s="741"/>
      <c r="F101" s="741"/>
      <c r="G101" s="741"/>
      <c r="H101" s="741"/>
      <c r="I101" s="741"/>
      <c r="J101" s="741"/>
      <c r="K101" s="742"/>
      <c r="L101" s="209">
        <f t="shared" ref="L101:AE101" si="76">L35*$E35-L35</f>
        <v>0.82658186003383305</v>
      </c>
      <c r="M101" s="209">
        <f t="shared" si="76"/>
        <v>0.22960607223162033</v>
      </c>
      <c r="N101" s="209">
        <f t="shared" si="76"/>
        <v>4.7716811999999997E-2</v>
      </c>
      <c r="O101" s="209">
        <f t="shared" si="76"/>
        <v>0.15510095999999995</v>
      </c>
      <c r="P101" s="209">
        <f t="shared" si="76"/>
        <v>2.0440007999999996E-5</v>
      </c>
      <c r="Q101" s="209">
        <f t="shared" si="76"/>
        <v>2.7664307999999992E-4</v>
      </c>
      <c r="R101" s="209">
        <f t="shared" si="76"/>
        <v>3.5928575999999988E-5</v>
      </c>
      <c r="S101" s="209">
        <f t="shared" si="76"/>
        <v>7.8653375999999965E-7</v>
      </c>
      <c r="T101" s="209">
        <f t="shared" si="76"/>
        <v>1.7184312000000004E-4</v>
      </c>
      <c r="U101" s="209">
        <f t="shared" si="76"/>
        <v>2.521839599999999E-3</v>
      </c>
      <c r="V101" s="116">
        <f t="shared" si="76"/>
        <v>2.5367436000000004E-3</v>
      </c>
      <c r="W101" s="209">
        <f t="shared" si="76"/>
        <v>8.1675575999999982E-6</v>
      </c>
      <c r="X101" s="209">
        <f t="shared" si="76"/>
        <v>1.7220743999999996E-2</v>
      </c>
      <c r="Y101" s="209">
        <f t="shared" si="76"/>
        <v>2.2763376000000009E-4</v>
      </c>
      <c r="Z101" s="209">
        <f t="shared" si="76"/>
        <v>5.5214351999999993E-5</v>
      </c>
      <c r="AA101" s="209">
        <f t="shared" si="76"/>
        <v>4.1270003999999984E-4</v>
      </c>
      <c r="AB101" s="209">
        <f t="shared" si="76"/>
        <v>5.7718224000000012E-7</v>
      </c>
      <c r="AC101" s="209">
        <f t="shared" si="76"/>
        <v>4.7782223999999983E-5</v>
      </c>
      <c r="AD101" s="209">
        <f t="shared" si="76"/>
        <v>4.2015204000000008E-5</v>
      </c>
      <c r="AE101" s="209">
        <f t="shared" si="76"/>
        <v>6.1989875999999975E-9</v>
      </c>
      <c r="AF101" s="121"/>
      <c r="AG101" s="121"/>
    </row>
  </sheetData>
  <mergeCells count="6">
    <mergeCell ref="C2:V2"/>
    <mergeCell ref="B5:B35"/>
    <mergeCell ref="B38:B68"/>
    <mergeCell ref="B71:B101"/>
    <mergeCell ref="D38:K68"/>
    <mergeCell ref="D71:K101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13F9C-87C7-47E8-9F47-CCBAB7A9E393}">
  <sheetPr>
    <tabColor theme="4"/>
  </sheetPr>
  <dimension ref="B2:T42"/>
  <sheetViews>
    <sheetView zoomScale="115" zoomScaleNormal="115" workbookViewId="0">
      <selection activeCell="K25" sqref="K25:K36"/>
    </sheetView>
  </sheetViews>
  <sheetFormatPr baseColWidth="10" defaultColWidth="11.42578125" defaultRowHeight="12.75" x14ac:dyDescent="0.2"/>
  <cols>
    <col min="1" max="1" width="11.42578125" style="13"/>
    <col min="2" max="2" width="3.28515625" style="13" bestFit="1" customWidth="1"/>
    <col min="3" max="3" width="2.7109375" style="13" customWidth="1"/>
    <col min="4" max="4" width="16.28515625" style="13" customWidth="1"/>
    <col min="5" max="5" width="29.140625" style="13" bestFit="1" customWidth="1"/>
    <col min="6" max="7" width="15.7109375" style="13" customWidth="1"/>
    <col min="8" max="8" width="61.7109375" style="16" bestFit="1" customWidth="1"/>
    <col min="9" max="10" width="7.7109375" style="13" customWidth="1"/>
    <col min="11" max="11" width="14.7109375" style="13" bestFit="1" customWidth="1"/>
    <col min="12" max="12" width="2.7109375" style="13" customWidth="1"/>
    <col min="13" max="17" width="15.7109375" style="13" customWidth="1"/>
    <col min="18" max="16384" width="11.42578125" style="13"/>
  </cols>
  <sheetData>
    <row r="2" spans="2:20" x14ac:dyDescent="0.2">
      <c r="F2" s="743" t="s">
        <v>73</v>
      </c>
      <c r="G2" s="743"/>
      <c r="H2" s="743"/>
      <c r="I2" s="743"/>
      <c r="J2" s="743"/>
      <c r="K2" s="743"/>
      <c r="M2" s="743" t="s">
        <v>74</v>
      </c>
      <c r="N2" s="743"/>
      <c r="O2" s="743"/>
      <c r="P2" s="743"/>
      <c r="Q2" s="743"/>
    </row>
    <row r="3" spans="2:20" ht="67.5" customHeight="1" thickBot="1" x14ac:dyDescent="0.3">
      <c r="B3" s="744" t="s">
        <v>75</v>
      </c>
      <c r="D3" s="14" t="s">
        <v>76</v>
      </c>
      <c r="E3" s="15" t="s">
        <v>77</v>
      </c>
      <c r="F3" s="92" t="s">
        <v>78</v>
      </c>
      <c r="G3" s="92" t="s">
        <v>383</v>
      </c>
      <c r="H3" s="92" t="s">
        <v>79</v>
      </c>
      <c r="I3" s="745" t="s">
        <v>80</v>
      </c>
      <c r="J3" s="745"/>
      <c r="K3" s="92" t="s">
        <v>81</v>
      </c>
      <c r="M3" s="92" t="s">
        <v>82</v>
      </c>
      <c r="N3" s="92" t="s">
        <v>384</v>
      </c>
      <c r="O3" s="92" t="s">
        <v>81</v>
      </c>
      <c r="P3" s="92" t="s">
        <v>83</v>
      </c>
      <c r="Q3" s="92" t="s">
        <v>385</v>
      </c>
    </row>
    <row r="4" spans="2:20" ht="13.9" customHeight="1" x14ac:dyDescent="0.2">
      <c r="B4" s="744"/>
      <c r="D4" s="746" t="s">
        <v>84</v>
      </c>
      <c r="E4" s="13" t="s">
        <v>85</v>
      </c>
      <c r="F4" s="18">
        <f>45*2/3*2/3</f>
        <v>20</v>
      </c>
      <c r="G4" s="18">
        <v>0</v>
      </c>
      <c r="H4" s="18" t="s">
        <v>86</v>
      </c>
      <c r="I4" s="13">
        <v>250</v>
      </c>
      <c r="J4" s="13" t="s">
        <v>87</v>
      </c>
      <c r="K4" s="37">
        <f>I4*'Cell parameters'!D5*'Cell parameters'!D37*('Cell parameters'!D34*1000)*('Cell parameters'!D48/1000)*'Cell parameters'!D4/1000</f>
        <v>339.58440000000002</v>
      </c>
      <c r="M4" s="17">
        <f t="shared" ref="M4:N15" si="0">$K$9*F4/$K4</f>
        <v>10.740573873695109</v>
      </c>
      <c r="N4" s="17">
        <f t="shared" si="0"/>
        <v>0</v>
      </c>
      <c r="O4" s="17">
        <f>$K$9</f>
        <v>182.36656672772148</v>
      </c>
      <c r="P4" s="31">
        <f>2*M4/O4</f>
        <v>0.11779104104899989</v>
      </c>
      <c r="Q4" s="31">
        <f>2*N4/O4</f>
        <v>0</v>
      </c>
      <c r="S4" s="17">
        <f>P4+Q4</f>
        <v>0.11779104104899989</v>
      </c>
      <c r="T4" s="13">
        <f>F4</f>
        <v>20</v>
      </c>
    </row>
    <row r="5" spans="2:20" x14ac:dyDescent="0.2">
      <c r="B5" s="744"/>
      <c r="D5" s="747"/>
      <c r="E5" s="13" t="s">
        <v>88</v>
      </c>
      <c r="F5" s="16">
        <v>75</v>
      </c>
      <c r="G5" s="16">
        <v>825</v>
      </c>
      <c r="H5" s="16" t="s">
        <v>89</v>
      </c>
      <c r="I5" s="13">
        <f>30*0.7*60</f>
        <v>1260</v>
      </c>
      <c r="J5" s="13" t="s">
        <v>90</v>
      </c>
      <c r="K5" s="37">
        <f>I5*'Cell parameters'!D80*2/1000</f>
        <v>273.54985009158224</v>
      </c>
      <c r="M5" s="17">
        <f>$K$9*F5/$K5</f>
        <v>50</v>
      </c>
      <c r="N5" s="17">
        <f t="shared" si="0"/>
        <v>549.99999999999989</v>
      </c>
      <c r="O5" s="17">
        <f t="shared" ref="O5:O17" si="1">$K$9</f>
        <v>182.36656672772148</v>
      </c>
      <c r="P5" s="31">
        <f t="shared" ref="P5:P8" si="2">2*M5/O5</f>
        <v>0.54834612393237003</v>
      </c>
      <c r="Q5" s="31">
        <f t="shared" ref="Q5:Q8" si="3">2*N5/O5</f>
        <v>6.0318073632560694</v>
      </c>
      <c r="S5" s="17">
        <f t="shared" ref="S5:S17" si="4">P5+Q5</f>
        <v>6.5801534871884391</v>
      </c>
    </row>
    <row r="6" spans="2:20" x14ac:dyDescent="0.2">
      <c r="B6" s="744"/>
      <c r="D6" s="747"/>
      <c r="E6" s="13" t="s">
        <v>91</v>
      </c>
      <c r="F6" s="16">
        <v>60</v>
      </c>
      <c r="G6" s="16">
        <v>0</v>
      </c>
      <c r="H6" s="16" t="s">
        <v>92</v>
      </c>
      <c r="I6" s="13">
        <f>30*0.8*60</f>
        <v>1440</v>
      </c>
      <c r="J6" s="13" t="s">
        <v>90</v>
      </c>
      <c r="K6" s="37">
        <f>I6*'Cell parameters'!D80*2/1000</f>
        <v>312.62840010466539</v>
      </c>
      <c r="M6" s="17">
        <f t="shared" si="0"/>
        <v>35</v>
      </c>
      <c r="N6" s="17">
        <f t="shared" si="0"/>
        <v>0</v>
      </c>
      <c r="O6" s="17">
        <f>$K$9</f>
        <v>182.36656672772148</v>
      </c>
      <c r="P6" s="31">
        <f t="shared" si="2"/>
        <v>0.38384228675265908</v>
      </c>
      <c r="Q6" s="31">
        <f t="shared" si="3"/>
        <v>0</v>
      </c>
      <c r="S6" s="17">
        <f t="shared" si="4"/>
        <v>0.38384228675265908</v>
      </c>
    </row>
    <row r="7" spans="2:20" x14ac:dyDescent="0.2">
      <c r="B7" s="744"/>
      <c r="D7" s="747"/>
      <c r="E7" s="13" t="s">
        <v>93</v>
      </c>
      <c r="F7" s="16">
        <v>45</v>
      </c>
      <c r="G7" s="16">
        <v>0</v>
      </c>
      <c r="H7" s="16" t="s">
        <v>94</v>
      </c>
      <c r="I7" s="13">
        <f>80*0.75*60</f>
        <v>3600</v>
      </c>
      <c r="J7" s="13" t="s">
        <v>90</v>
      </c>
      <c r="K7" s="37">
        <f>I7*'Cell parameters'!D80*2/1000</f>
        <v>781.57100026166347</v>
      </c>
      <c r="M7" s="17">
        <f t="shared" si="0"/>
        <v>10.5</v>
      </c>
      <c r="N7" s="17">
        <f t="shared" si="0"/>
        <v>0</v>
      </c>
      <c r="O7" s="17">
        <f t="shared" si="1"/>
        <v>182.36656672772148</v>
      </c>
      <c r="P7" s="31">
        <f t="shared" si="2"/>
        <v>0.11515268602579772</v>
      </c>
      <c r="Q7" s="31">
        <f t="shared" si="3"/>
        <v>0</v>
      </c>
      <c r="S7" s="17">
        <f t="shared" si="4"/>
        <v>0.11515268602579772</v>
      </c>
    </row>
    <row r="8" spans="2:20" x14ac:dyDescent="0.2">
      <c r="B8" s="744"/>
      <c r="D8" s="748"/>
      <c r="E8" s="19" t="s">
        <v>95</v>
      </c>
      <c r="F8" s="20">
        <v>5</v>
      </c>
      <c r="G8" s="20">
        <v>210</v>
      </c>
      <c r="H8" s="20" t="s">
        <v>96</v>
      </c>
      <c r="I8" s="19">
        <f>3*4*4900*0.8/24</f>
        <v>1960</v>
      </c>
      <c r="J8" s="19" t="s">
        <v>90</v>
      </c>
      <c r="K8" s="38">
        <f>I8*'Cell parameters'!D80*2/1000</f>
        <v>425.52198903135007</v>
      </c>
      <c r="L8" s="19"/>
      <c r="M8" s="21">
        <f t="shared" si="0"/>
        <v>2.1428571428571428</v>
      </c>
      <c r="N8" s="21">
        <f t="shared" si="0"/>
        <v>90.000000000000014</v>
      </c>
      <c r="O8" s="21">
        <f t="shared" si="1"/>
        <v>182.36656672772148</v>
      </c>
      <c r="P8" s="32">
        <f t="shared" si="2"/>
        <v>2.3500548168530144E-2</v>
      </c>
      <c r="Q8" s="32">
        <f t="shared" si="3"/>
        <v>0.98702302307826628</v>
      </c>
      <c r="S8" s="17">
        <f t="shared" si="4"/>
        <v>1.0105235712467964</v>
      </c>
    </row>
    <row r="9" spans="2:20" x14ac:dyDescent="0.2">
      <c r="B9" s="744"/>
      <c r="D9" s="749" t="s">
        <v>97</v>
      </c>
      <c r="E9" s="13" t="s">
        <v>98</v>
      </c>
      <c r="F9" s="28">
        <v>25</v>
      </c>
      <c r="G9" s="28">
        <v>0</v>
      </c>
      <c r="I9" s="34">
        <v>840</v>
      </c>
      <c r="J9" s="13" t="s">
        <v>90</v>
      </c>
      <c r="K9" s="39">
        <f>I9*'Cell parameters'!D80*2/1000</f>
        <v>182.36656672772148</v>
      </c>
      <c r="M9" s="17">
        <f>$K$9*F9/$K9</f>
        <v>25</v>
      </c>
      <c r="N9" s="17">
        <f t="shared" si="0"/>
        <v>0</v>
      </c>
      <c r="O9" s="17">
        <f t="shared" si="1"/>
        <v>182.36656672772148</v>
      </c>
      <c r="P9" s="31">
        <f>M9/O9</f>
        <v>0.13708653098309251</v>
      </c>
      <c r="Q9" s="31">
        <f>N9/O9</f>
        <v>0</v>
      </c>
      <c r="S9" s="17">
        <f t="shared" si="4"/>
        <v>0.13708653098309251</v>
      </c>
    </row>
    <row r="10" spans="2:20" x14ac:dyDescent="0.2">
      <c r="B10" s="744"/>
      <c r="D10" s="750"/>
      <c r="E10" s="13" t="s">
        <v>99</v>
      </c>
      <c r="F10" s="18">
        <v>160</v>
      </c>
      <c r="G10" s="18">
        <v>0</v>
      </c>
      <c r="I10" s="34">
        <v>840</v>
      </c>
      <c r="J10" s="13" t="s">
        <v>90</v>
      </c>
      <c r="K10" s="37">
        <f>I10*'Cell parameters'!D80*2/1000</f>
        <v>182.36656672772148</v>
      </c>
      <c r="M10" s="17">
        <f t="shared" si="0"/>
        <v>160</v>
      </c>
      <c r="N10" s="17">
        <f t="shared" si="0"/>
        <v>0</v>
      </c>
      <c r="O10" s="17">
        <f t="shared" si="1"/>
        <v>182.36656672772148</v>
      </c>
      <c r="P10" s="31">
        <f t="shared" ref="P10:P17" si="5">M10/O10</f>
        <v>0.87735379829179216</v>
      </c>
      <c r="Q10" s="31">
        <f t="shared" ref="Q10:Q16" si="6">N10/O10</f>
        <v>0</v>
      </c>
      <c r="S10" s="17">
        <f t="shared" si="4"/>
        <v>0.87735379829179216</v>
      </c>
    </row>
    <row r="11" spans="2:20" x14ac:dyDescent="0.2">
      <c r="B11" s="744"/>
      <c r="D11" s="751"/>
      <c r="E11" s="19" t="s">
        <v>100</v>
      </c>
      <c r="F11" s="36">
        <v>200</v>
      </c>
      <c r="G11" s="36">
        <v>0</v>
      </c>
      <c r="H11" s="20"/>
      <c r="I11" s="35">
        <v>840</v>
      </c>
      <c r="J11" s="19" t="s">
        <v>90</v>
      </c>
      <c r="K11" s="38">
        <f>I11*'Cell parameters'!D80*2/1000</f>
        <v>182.36656672772148</v>
      </c>
      <c r="L11" s="19"/>
      <c r="M11" s="21">
        <f t="shared" si="0"/>
        <v>200</v>
      </c>
      <c r="N11" s="21">
        <f t="shared" si="0"/>
        <v>0</v>
      </c>
      <c r="O11" s="21">
        <f t="shared" si="1"/>
        <v>182.36656672772148</v>
      </c>
      <c r="P11" s="32">
        <f t="shared" si="5"/>
        <v>1.0966922478647401</v>
      </c>
      <c r="Q11" s="32">
        <f t="shared" si="6"/>
        <v>0</v>
      </c>
      <c r="S11" s="17">
        <f t="shared" si="4"/>
        <v>1.0966922478647401</v>
      </c>
    </row>
    <row r="12" spans="2:20" x14ac:dyDescent="0.2">
      <c r="B12" s="744"/>
      <c r="D12" s="747" t="s">
        <v>101</v>
      </c>
      <c r="E12" s="13" t="s">
        <v>102</v>
      </c>
      <c r="F12" s="18">
        <v>0</v>
      </c>
      <c r="G12" s="18">
        <v>25</v>
      </c>
      <c r="H12" s="16" t="s">
        <v>520</v>
      </c>
      <c r="I12" s="34">
        <v>840</v>
      </c>
      <c r="J12" s="13" t="s">
        <v>90</v>
      </c>
      <c r="K12" s="37">
        <f>I12*'Cell parameters'!D80*2/1000</f>
        <v>182.36656672772148</v>
      </c>
      <c r="M12" s="17">
        <f t="shared" si="0"/>
        <v>0</v>
      </c>
      <c r="N12" s="17">
        <f t="shared" si="0"/>
        <v>25</v>
      </c>
      <c r="O12" s="17">
        <f t="shared" si="1"/>
        <v>182.36656672772148</v>
      </c>
      <c r="P12" s="31">
        <f t="shared" si="5"/>
        <v>0</v>
      </c>
      <c r="Q12" s="31">
        <f t="shared" si="6"/>
        <v>0.13708653098309251</v>
      </c>
      <c r="S12" s="17">
        <f t="shared" si="4"/>
        <v>0.13708653098309251</v>
      </c>
    </row>
    <row r="13" spans="2:20" ht="12.75" customHeight="1" x14ac:dyDescent="0.2">
      <c r="B13" s="744"/>
      <c r="D13" s="747"/>
      <c r="E13" s="13" t="s">
        <v>103</v>
      </c>
      <c r="F13" s="18">
        <v>1000</v>
      </c>
      <c r="G13" s="18">
        <v>0</v>
      </c>
      <c r="H13" s="16" t="s">
        <v>521</v>
      </c>
      <c r="I13" s="34">
        <f>1000/5*0.55*'Cell parameters'!D7</f>
        <v>506.67181851351012</v>
      </c>
      <c r="J13" s="13" t="s">
        <v>90</v>
      </c>
      <c r="K13" s="37">
        <f>I13*'Cell parameters'!D80*2/1000</f>
        <v>110.00000000000003</v>
      </c>
      <c r="M13" s="17">
        <f t="shared" si="0"/>
        <v>1657.8778793429221</v>
      </c>
      <c r="N13" s="17">
        <f t="shared" si="0"/>
        <v>0</v>
      </c>
      <c r="O13" s="17">
        <f t="shared" si="1"/>
        <v>182.36656672772148</v>
      </c>
      <c r="P13" s="31">
        <f t="shared" si="5"/>
        <v>9.0909090909090882</v>
      </c>
      <c r="Q13" s="31">
        <f t="shared" si="6"/>
        <v>0</v>
      </c>
      <c r="S13" s="17">
        <f t="shared" si="4"/>
        <v>9.0909090909090882</v>
      </c>
    </row>
    <row r="14" spans="2:20" x14ac:dyDescent="0.2">
      <c r="B14" s="744"/>
      <c r="D14" s="747"/>
      <c r="E14" s="13" t="s">
        <v>104</v>
      </c>
      <c r="F14" s="18">
        <v>0</v>
      </c>
      <c r="G14" s="18">
        <v>40</v>
      </c>
      <c r="H14" s="16" t="s">
        <v>522</v>
      </c>
      <c r="I14" s="34">
        <v>840</v>
      </c>
      <c r="J14" s="13" t="s">
        <v>90</v>
      </c>
      <c r="K14" s="37">
        <f>I14*'Cell parameters'!D80*2/1000</f>
        <v>182.36656672772148</v>
      </c>
      <c r="M14" s="17">
        <f t="shared" si="0"/>
        <v>0</v>
      </c>
      <c r="N14" s="17">
        <f t="shared" si="0"/>
        <v>40</v>
      </c>
      <c r="O14" s="17">
        <f t="shared" si="1"/>
        <v>182.36656672772148</v>
      </c>
      <c r="P14" s="31">
        <f t="shared" si="5"/>
        <v>0</v>
      </c>
      <c r="Q14" s="31">
        <f t="shared" si="6"/>
        <v>0.21933844957294804</v>
      </c>
      <c r="S14" s="17">
        <f t="shared" si="4"/>
        <v>0.21933844957294804</v>
      </c>
    </row>
    <row r="15" spans="2:20" x14ac:dyDescent="0.2">
      <c r="B15" s="744"/>
      <c r="D15" s="748"/>
      <c r="E15" s="19" t="s">
        <v>105</v>
      </c>
      <c r="F15" s="29">
        <v>100</v>
      </c>
      <c r="G15" s="29">
        <v>0</v>
      </c>
      <c r="H15" s="20"/>
      <c r="I15" s="35">
        <v>840</v>
      </c>
      <c r="J15" s="19" t="s">
        <v>90</v>
      </c>
      <c r="K15" s="38">
        <f>I15*'Cell parameters'!D80*2/1000</f>
        <v>182.36656672772148</v>
      </c>
      <c r="M15" s="21">
        <f t="shared" si="0"/>
        <v>100</v>
      </c>
      <c r="N15" s="21">
        <f t="shared" si="0"/>
        <v>0</v>
      </c>
      <c r="O15" s="21">
        <f t="shared" si="1"/>
        <v>182.36656672772148</v>
      </c>
      <c r="P15" s="32">
        <f t="shared" si="5"/>
        <v>0.54834612393237003</v>
      </c>
      <c r="Q15" s="32">
        <f t="shared" si="6"/>
        <v>0</v>
      </c>
      <c r="S15" s="17">
        <f t="shared" si="4"/>
        <v>0.54834612393237003</v>
      </c>
    </row>
    <row r="16" spans="2:20" x14ac:dyDescent="0.2">
      <c r="B16" s="744"/>
      <c r="D16" s="749" t="s">
        <v>106</v>
      </c>
      <c r="E16" s="13" t="s">
        <v>107</v>
      </c>
      <c r="F16" s="30">
        <v>200</v>
      </c>
      <c r="G16" s="30">
        <v>0</v>
      </c>
      <c r="I16" s="34"/>
      <c r="K16" s="17"/>
      <c r="M16" s="13">
        <f>F16</f>
        <v>200</v>
      </c>
      <c r="N16" s="13">
        <f>G16</f>
        <v>0</v>
      </c>
      <c r="O16" s="17">
        <f t="shared" si="1"/>
        <v>182.36656672772148</v>
      </c>
      <c r="P16" s="31">
        <f>M16/O16</f>
        <v>1.0966922478647401</v>
      </c>
      <c r="Q16" s="31">
        <f t="shared" si="6"/>
        <v>0</v>
      </c>
      <c r="S16" s="17">
        <f t="shared" si="4"/>
        <v>1.0966922478647401</v>
      </c>
    </row>
    <row r="17" spans="2:19" x14ac:dyDescent="0.2">
      <c r="B17" s="744"/>
      <c r="D17" s="750"/>
      <c r="E17" s="13" t="s">
        <v>108</v>
      </c>
      <c r="F17" s="16">
        <v>163</v>
      </c>
      <c r="G17" s="16">
        <v>913</v>
      </c>
      <c r="H17" s="16" t="s">
        <v>109</v>
      </c>
      <c r="I17" s="34"/>
      <c r="K17" s="17"/>
      <c r="M17" s="13">
        <f>F17</f>
        <v>163</v>
      </c>
      <c r="N17" s="13">
        <f>G17</f>
        <v>913</v>
      </c>
      <c r="O17" s="17">
        <f t="shared" si="1"/>
        <v>182.36656672772148</v>
      </c>
      <c r="P17" s="31">
        <f t="shared" si="5"/>
        <v>0.89380418200976319</v>
      </c>
      <c r="Q17" s="31">
        <f>N17/O17</f>
        <v>5.0064001115025389</v>
      </c>
      <c r="S17" s="17">
        <f t="shared" si="4"/>
        <v>5.900204293512302</v>
      </c>
    </row>
    <row r="18" spans="2:19" x14ac:dyDescent="0.2">
      <c r="B18" s="744"/>
      <c r="D18" s="750"/>
      <c r="E18" s="13" t="s">
        <v>110</v>
      </c>
      <c r="F18" s="16"/>
      <c r="G18" s="16"/>
      <c r="I18" s="34"/>
      <c r="K18" s="17"/>
      <c r="O18" s="17"/>
      <c r="P18" s="17"/>
      <c r="Q18" s="17"/>
    </row>
    <row r="19" spans="2:19" x14ac:dyDescent="0.2">
      <c r="B19" s="744"/>
      <c r="D19" s="93"/>
      <c r="F19" s="22"/>
      <c r="G19" s="22"/>
      <c r="M19" s="24" t="s">
        <v>111</v>
      </c>
      <c r="N19" s="25">
        <f>SUM(M4:N17)</f>
        <v>4232.261310359474</v>
      </c>
      <c r="O19" s="24" t="s">
        <v>112</v>
      </c>
      <c r="P19" s="24">
        <f>SUM(P4:P18)</f>
        <v>14.929516907783942</v>
      </c>
      <c r="Q19" s="24">
        <f>SUM(Q4:Q18)</f>
        <v>12.381655478392915</v>
      </c>
    </row>
    <row r="20" spans="2:19" ht="13.5" thickBot="1" x14ac:dyDescent="0.25">
      <c r="B20" s="744"/>
      <c r="D20" s="93"/>
      <c r="F20" s="22"/>
      <c r="G20" s="22"/>
      <c r="P20" s="24"/>
      <c r="Q20" s="26">
        <f>P19+Q19</f>
        <v>27.311172386176857</v>
      </c>
    </row>
    <row r="21" spans="2:19" ht="13.5" thickTop="1" x14ac:dyDescent="0.2">
      <c r="D21" s="27"/>
    </row>
    <row r="23" spans="2:19" x14ac:dyDescent="0.2">
      <c r="F23" s="743" t="s">
        <v>73</v>
      </c>
      <c r="G23" s="743"/>
      <c r="H23" s="743"/>
      <c r="I23" s="743"/>
      <c r="J23" s="743"/>
      <c r="K23" s="743"/>
      <c r="M23" s="743" t="s">
        <v>74</v>
      </c>
      <c r="N23" s="743"/>
      <c r="O23" s="743"/>
      <c r="P23" s="743"/>
      <c r="Q23" s="743"/>
    </row>
    <row r="24" spans="2:19" ht="67.5" customHeight="1" thickBot="1" x14ac:dyDescent="0.3">
      <c r="B24" s="744" t="s">
        <v>523</v>
      </c>
      <c r="D24" s="14" t="s">
        <v>76</v>
      </c>
      <c r="E24" s="15" t="s">
        <v>77</v>
      </c>
      <c r="F24" s="99" t="s">
        <v>78</v>
      </c>
      <c r="G24" s="182" t="s">
        <v>383</v>
      </c>
      <c r="H24" s="99" t="s">
        <v>79</v>
      </c>
      <c r="I24" s="745" t="s">
        <v>80</v>
      </c>
      <c r="J24" s="745"/>
      <c r="K24" s="99" t="s">
        <v>81</v>
      </c>
      <c r="M24" s="99" t="s">
        <v>82</v>
      </c>
      <c r="N24" s="182" t="s">
        <v>384</v>
      </c>
      <c r="O24" s="99" t="s">
        <v>81</v>
      </c>
      <c r="P24" s="99" t="s">
        <v>83</v>
      </c>
      <c r="Q24" s="182" t="s">
        <v>385</v>
      </c>
    </row>
    <row r="25" spans="2:19" x14ac:dyDescent="0.2">
      <c r="B25" s="744"/>
      <c r="D25" s="746" t="s">
        <v>84</v>
      </c>
      <c r="E25" s="13" t="s">
        <v>85</v>
      </c>
      <c r="F25" s="18">
        <f>45*2/3*2/3</f>
        <v>20</v>
      </c>
      <c r="G25" s="18">
        <v>0</v>
      </c>
      <c r="H25" s="18" t="s">
        <v>86</v>
      </c>
      <c r="I25" s="13">
        <v>250</v>
      </c>
      <c r="J25" s="13" t="s">
        <v>87</v>
      </c>
      <c r="K25" s="37">
        <f>I25*'Cell parameters'!E5*'Cell parameters'!E37*('Cell parameters'!E34*1000)*('Cell parameters'!E48/1000)*'Cell parameters'!E4/1000</f>
        <v>343.197</v>
      </c>
      <c r="M25" s="17">
        <f>$K$9*F25/$K25</f>
        <v>10.627515201340424</v>
      </c>
      <c r="N25" s="17">
        <f t="shared" ref="N25:N36" si="7">$K$9*G25/$K25</f>
        <v>0</v>
      </c>
      <c r="O25" s="17">
        <f>$K$9</f>
        <v>182.36656672772148</v>
      </c>
      <c r="P25" s="31">
        <f>2*M25/O25</f>
        <v>0.11655113535374727</v>
      </c>
      <c r="Q25" s="31">
        <f>2*N25/O25</f>
        <v>0</v>
      </c>
      <c r="S25" s="17">
        <f>P25+Q25</f>
        <v>0.11655113535374727</v>
      </c>
    </row>
    <row r="26" spans="2:19" x14ac:dyDescent="0.2">
      <c r="B26" s="744"/>
      <c r="D26" s="747"/>
      <c r="E26" s="13" t="s">
        <v>88</v>
      </c>
      <c r="F26" s="16">
        <v>75</v>
      </c>
      <c r="G26" s="16">
        <v>825</v>
      </c>
      <c r="H26" s="16" t="s">
        <v>89</v>
      </c>
      <c r="I26" s="13">
        <f>30*0.7*60</f>
        <v>1260</v>
      </c>
      <c r="J26" s="13" t="s">
        <v>90</v>
      </c>
      <c r="K26" s="37">
        <f>I26*'Cell parameters'!E80*2/1000</f>
        <v>535.2062284400522</v>
      </c>
      <c r="M26" s="17">
        <f t="shared" ref="M26:M29" si="8">$K$9*F26/$K26</f>
        <v>25.555555555555554</v>
      </c>
      <c r="N26" s="17">
        <f t="shared" si="7"/>
        <v>281.11111111111109</v>
      </c>
      <c r="O26" s="17">
        <f t="shared" ref="O26:O38" si="9">$K$9</f>
        <v>182.36656672772148</v>
      </c>
      <c r="P26" s="31">
        <f t="shared" ref="P26:P29" si="10">2*M26/O26</f>
        <v>0.28026579667654467</v>
      </c>
      <c r="Q26" s="31">
        <f t="shared" ref="Q26:Q29" si="11">2*N26/O26</f>
        <v>3.0829237634419915</v>
      </c>
      <c r="S26" s="17">
        <f>P26+Q26</f>
        <v>3.3631895601185362</v>
      </c>
    </row>
    <row r="27" spans="2:19" x14ac:dyDescent="0.2">
      <c r="B27" s="744"/>
      <c r="D27" s="747"/>
      <c r="E27" s="13" t="s">
        <v>91</v>
      </c>
      <c r="F27" s="16">
        <v>60</v>
      </c>
      <c r="G27" s="16">
        <v>0</v>
      </c>
      <c r="H27" s="16" t="s">
        <v>92</v>
      </c>
      <c r="I27" s="13">
        <f>30*0.8*60</f>
        <v>1440</v>
      </c>
      <c r="J27" s="13" t="s">
        <v>90</v>
      </c>
      <c r="K27" s="37">
        <f>I27*'Cell parameters'!E80*2/1000</f>
        <v>611.66426107434529</v>
      </c>
      <c r="M27" s="17">
        <f t="shared" si="8"/>
        <v>17.888888888888889</v>
      </c>
      <c r="N27" s="17">
        <f t="shared" si="7"/>
        <v>0</v>
      </c>
      <c r="O27" s="17">
        <f t="shared" si="9"/>
        <v>182.36656672772148</v>
      </c>
      <c r="P27" s="31">
        <f t="shared" si="10"/>
        <v>0.1961860576735813</v>
      </c>
      <c r="Q27" s="31">
        <f t="shared" si="11"/>
        <v>0</v>
      </c>
      <c r="S27" s="17">
        <f t="shared" ref="S27:S38" si="12">P27+Q27</f>
        <v>0.1961860576735813</v>
      </c>
    </row>
    <row r="28" spans="2:19" x14ac:dyDescent="0.2">
      <c r="B28" s="744"/>
      <c r="D28" s="747"/>
      <c r="E28" s="13" t="s">
        <v>93</v>
      </c>
      <c r="F28" s="16">
        <v>45</v>
      </c>
      <c r="G28" s="16">
        <v>0</v>
      </c>
      <c r="H28" s="16" t="s">
        <v>94</v>
      </c>
      <c r="I28" s="13">
        <f>80*0.75*60</f>
        <v>3600</v>
      </c>
      <c r="J28" s="13" t="s">
        <v>90</v>
      </c>
      <c r="K28" s="37">
        <f>I28*'Cell parameters'!E80*2/1000</f>
        <v>1529.1606526858634</v>
      </c>
      <c r="M28" s="17">
        <f t="shared" si="8"/>
        <v>5.3666666666666663</v>
      </c>
      <c r="N28" s="17">
        <f t="shared" si="7"/>
        <v>0</v>
      </c>
      <c r="O28" s="17">
        <f t="shared" si="9"/>
        <v>182.36656672772148</v>
      </c>
      <c r="P28" s="31">
        <f t="shared" si="10"/>
        <v>5.8855817302074384E-2</v>
      </c>
      <c r="Q28" s="31">
        <f t="shared" si="11"/>
        <v>0</v>
      </c>
      <c r="S28" s="17">
        <f t="shared" si="12"/>
        <v>5.8855817302074384E-2</v>
      </c>
    </row>
    <row r="29" spans="2:19" x14ac:dyDescent="0.2">
      <c r="B29" s="744"/>
      <c r="D29" s="748"/>
      <c r="E29" s="19" t="s">
        <v>95</v>
      </c>
      <c r="F29" s="20">
        <v>5</v>
      </c>
      <c r="G29" s="20">
        <v>210</v>
      </c>
      <c r="H29" s="20" t="s">
        <v>96</v>
      </c>
      <c r="I29" s="19">
        <f>3*4*4900*0.8/24</f>
        <v>1960</v>
      </c>
      <c r="J29" s="19" t="s">
        <v>90</v>
      </c>
      <c r="K29" s="38">
        <f>I29*'Cell parameters'!E80*2/1000</f>
        <v>832.5430220178589</v>
      </c>
      <c r="L29" s="19"/>
      <c r="M29" s="21">
        <f t="shared" si="8"/>
        <v>1.0952380952380951</v>
      </c>
      <c r="N29" s="21">
        <f t="shared" si="7"/>
        <v>46</v>
      </c>
      <c r="O29" s="21">
        <f t="shared" si="9"/>
        <v>182.36656672772148</v>
      </c>
      <c r="P29" s="32">
        <f t="shared" si="10"/>
        <v>1.2011391286137629E-2</v>
      </c>
      <c r="Q29" s="32">
        <f t="shared" si="11"/>
        <v>0.50447843401778047</v>
      </c>
      <c r="S29" s="17">
        <f t="shared" si="12"/>
        <v>0.51648982530391807</v>
      </c>
    </row>
    <row r="30" spans="2:19" x14ac:dyDescent="0.2">
      <c r="B30" s="744"/>
      <c r="D30" s="749" t="s">
        <v>97</v>
      </c>
      <c r="E30" s="13" t="s">
        <v>98</v>
      </c>
      <c r="F30" s="28">
        <v>25</v>
      </c>
      <c r="G30" s="28">
        <v>0</v>
      </c>
      <c r="I30" s="34">
        <v>840</v>
      </c>
      <c r="J30" s="13" t="s">
        <v>90</v>
      </c>
      <c r="K30" s="39">
        <f>I30*'Cell parameters'!E80*2/1000</f>
        <v>356.80415229336813</v>
      </c>
      <c r="M30" s="17">
        <f>$K$9*F30/$K30</f>
        <v>12.777777777777777</v>
      </c>
      <c r="N30" s="17">
        <f t="shared" si="7"/>
        <v>0</v>
      </c>
      <c r="O30" s="17">
        <f>$K$9</f>
        <v>182.36656672772148</v>
      </c>
      <c r="P30" s="31">
        <f>M30/O30</f>
        <v>7.0066449169136166E-2</v>
      </c>
      <c r="Q30" s="31">
        <f>N30/O30</f>
        <v>0</v>
      </c>
      <c r="S30" s="17">
        <f t="shared" si="12"/>
        <v>7.0066449169136166E-2</v>
      </c>
    </row>
    <row r="31" spans="2:19" x14ac:dyDescent="0.2">
      <c r="B31" s="744"/>
      <c r="D31" s="750"/>
      <c r="E31" s="13" t="s">
        <v>99</v>
      </c>
      <c r="F31" s="18">
        <v>160</v>
      </c>
      <c r="G31" s="18">
        <v>0</v>
      </c>
      <c r="I31" s="34">
        <v>840</v>
      </c>
      <c r="J31" s="13" t="s">
        <v>90</v>
      </c>
      <c r="K31" s="37">
        <f>I31*'Cell parameters'!E80*2/1000</f>
        <v>356.80415229336813</v>
      </c>
      <c r="M31" s="17">
        <f t="shared" ref="M31:M36" si="13">$K$9*F31/$K31</f>
        <v>81.777777777777771</v>
      </c>
      <c r="N31" s="17">
        <f t="shared" si="7"/>
        <v>0</v>
      </c>
      <c r="O31" s="17">
        <f t="shared" si="9"/>
        <v>182.36656672772148</v>
      </c>
      <c r="P31" s="31">
        <f t="shared" ref="P31:P36" si="14">M31/O31</f>
        <v>0.44842527468247151</v>
      </c>
      <c r="Q31" s="31">
        <f t="shared" ref="Q31:Q38" si="15">N31/O31</f>
        <v>0</v>
      </c>
      <c r="S31" s="17">
        <f t="shared" si="12"/>
        <v>0.44842527468247151</v>
      </c>
    </row>
    <row r="32" spans="2:19" x14ac:dyDescent="0.2">
      <c r="B32" s="744"/>
      <c r="D32" s="751"/>
      <c r="E32" s="19" t="s">
        <v>100</v>
      </c>
      <c r="F32" s="36">
        <v>200</v>
      </c>
      <c r="G32" s="36">
        <v>0</v>
      </c>
      <c r="H32" s="20"/>
      <c r="I32" s="35">
        <v>840</v>
      </c>
      <c r="J32" s="19" t="s">
        <v>90</v>
      </c>
      <c r="K32" s="38">
        <f>I32*'Cell parameters'!E80*2/1000</f>
        <v>356.80415229336813</v>
      </c>
      <c r="L32" s="19"/>
      <c r="M32" s="21">
        <f t="shared" si="13"/>
        <v>102.22222222222221</v>
      </c>
      <c r="N32" s="21">
        <f t="shared" si="7"/>
        <v>0</v>
      </c>
      <c r="O32" s="21">
        <f t="shared" si="9"/>
        <v>182.36656672772148</v>
      </c>
      <c r="P32" s="32">
        <f t="shared" si="14"/>
        <v>0.56053159335308933</v>
      </c>
      <c r="Q32" s="32">
        <f t="shared" si="15"/>
        <v>0</v>
      </c>
      <c r="S32" s="17">
        <f t="shared" si="12"/>
        <v>0.56053159335308933</v>
      </c>
    </row>
    <row r="33" spans="2:19" x14ac:dyDescent="0.2">
      <c r="B33" s="744"/>
      <c r="D33" s="747" t="s">
        <v>101</v>
      </c>
      <c r="E33" s="13" t="s">
        <v>102</v>
      </c>
      <c r="F33" s="18">
        <v>0</v>
      </c>
      <c r="G33" s="18">
        <v>25</v>
      </c>
      <c r="H33" s="16" t="s">
        <v>520</v>
      </c>
      <c r="I33" s="34">
        <v>840</v>
      </c>
      <c r="J33" s="13" t="s">
        <v>90</v>
      </c>
      <c r="K33" s="37">
        <f>I33*'Cell parameters'!E80*2/1000</f>
        <v>356.80415229336813</v>
      </c>
      <c r="M33" s="17">
        <f t="shared" si="13"/>
        <v>0</v>
      </c>
      <c r="N33" s="17">
        <f t="shared" si="7"/>
        <v>12.777777777777777</v>
      </c>
      <c r="O33" s="17">
        <f t="shared" si="9"/>
        <v>182.36656672772148</v>
      </c>
      <c r="P33" s="31">
        <f t="shared" si="14"/>
        <v>0</v>
      </c>
      <c r="Q33" s="31">
        <f t="shared" si="15"/>
        <v>7.0066449169136166E-2</v>
      </c>
      <c r="S33" s="17">
        <f t="shared" si="12"/>
        <v>7.0066449169136166E-2</v>
      </c>
    </row>
    <row r="34" spans="2:19" x14ac:dyDescent="0.2">
      <c r="B34" s="744"/>
      <c r="D34" s="747"/>
      <c r="E34" s="13" t="s">
        <v>103</v>
      </c>
      <c r="F34" s="18">
        <v>1000</v>
      </c>
      <c r="G34" s="18">
        <v>0</v>
      </c>
      <c r="H34" s="16" t="s">
        <v>521</v>
      </c>
      <c r="I34" s="34">
        <f>1000/5*0.55*'Cell parameters'!E7</f>
        <v>258.96559612912733</v>
      </c>
      <c r="J34" s="13" t="s">
        <v>90</v>
      </c>
      <c r="K34" s="37">
        <f>I34*'Cell parameters'!E80*2/1000</f>
        <v>110.00000000000001</v>
      </c>
      <c r="M34" s="17">
        <f t="shared" si="13"/>
        <v>1657.8778793429224</v>
      </c>
      <c r="N34" s="17">
        <f t="shared" si="7"/>
        <v>0</v>
      </c>
      <c r="O34" s="17">
        <f t="shared" si="9"/>
        <v>182.36656672772148</v>
      </c>
      <c r="P34" s="31">
        <f t="shared" si="14"/>
        <v>9.0909090909090899</v>
      </c>
      <c r="Q34" s="31">
        <f t="shared" si="15"/>
        <v>0</v>
      </c>
      <c r="S34" s="17">
        <f t="shared" si="12"/>
        <v>9.0909090909090899</v>
      </c>
    </row>
    <row r="35" spans="2:19" x14ac:dyDescent="0.2">
      <c r="B35" s="744"/>
      <c r="D35" s="747"/>
      <c r="E35" s="13" t="s">
        <v>104</v>
      </c>
      <c r="F35" s="18">
        <v>0</v>
      </c>
      <c r="G35" s="18">
        <v>40</v>
      </c>
      <c r="H35" s="16" t="s">
        <v>522</v>
      </c>
      <c r="I35" s="34">
        <v>840</v>
      </c>
      <c r="J35" s="13" t="s">
        <v>90</v>
      </c>
      <c r="K35" s="37">
        <f>I35*'Cell parameters'!E80*2/1000</f>
        <v>356.80415229336813</v>
      </c>
      <c r="M35" s="17">
        <f t="shared" si="13"/>
        <v>0</v>
      </c>
      <c r="N35" s="17">
        <f t="shared" si="7"/>
        <v>20.444444444444443</v>
      </c>
      <c r="O35" s="17">
        <f t="shared" si="9"/>
        <v>182.36656672772148</v>
      </c>
      <c r="P35" s="31">
        <f t="shared" si="14"/>
        <v>0</v>
      </c>
      <c r="Q35" s="31">
        <f t="shared" si="15"/>
        <v>0.11210631867061788</v>
      </c>
      <c r="S35" s="17">
        <f t="shared" si="12"/>
        <v>0.11210631867061788</v>
      </c>
    </row>
    <row r="36" spans="2:19" x14ac:dyDescent="0.2">
      <c r="B36" s="744"/>
      <c r="D36" s="748"/>
      <c r="E36" s="19" t="s">
        <v>105</v>
      </c>
      <c r="F36" s="29">
        <v>100</v>
      </c>
      <c r="G36" s="29">
        <v>0</v>
      </c>
      <c r="H36" s="20"/>
      <c r="I36" s="35">
        <v>840</v>
      </c>
      <c r="J36" s="19" t="s">
        <v>90</v>
      </c>
      <c r="K36" s="38">
        <f>I36*'Cell parameters'!E80*2/1000</f>
        <v>356.80415229336813</v>
      </c>
      <c r="M36" s="21">
        <f t="shared" si="13"/>
        <v>51.111111111111107</v>
      </c>
      <c r="N36" s="21">
        <f t="shared" si="7"/>
        <v>0</v>
      </c>
      <c r="O36" s="21">
        <f t="shared" si="9"/>
        <v>182.36656672772148</v>
      </c>
      <c r="P36" s="32">
        <f t="shared" si="14"/>
        <v>0.28026579667654467</v>
      </c>
      <c r="Q36" s="32">
        <f t="shared" si="15"/>
        <v>0</v>
      </c>
      <c r="S36" s="17">
        <f t="shared" si="12"/>
        <v>0.28026579667654467</v>
      </c>
    </row>
    <row r="37" spans="2:19" x14ac:dyDescent="0.2">
      <c r="B37" s="744"/>
      <c r="D37" s="749" t="s">
        <v>106</v>
      </c>
      <c r="E37" s="13" t="s">
        <v>107</v>
      </c>
      <c r="F37" s="30">
        <v>200</v>
      </c>
      <c r="G37" s="30">
        <v>0</v>
      </c>
      <c r="I37" s="34"/>
      <c r="K37" s="17"/>
      <c r="M37" s="13">
        <f>F37</f>
        <v>200</v>
      </c>
      <c r="N37" s="13">
        <f>G37</f>
        <v>0</v>
      </c>
      <c r="O37" s="17">
        <f t="shared" si="9"/>
        <v>182.36656672772148</v>
      </c>
      <c r="P37" s="31">
        <f>M37/O37</f>
        <v>1.0966922478647401</v>
      </c>
      <c r="Q37" s="31">
        <f t="shared" si="15"/>
        <v>0</v>
      </c>
      <c r="S37" s="17">
        <f t="shared" si="12"/>
        <v>1.0966922478647401</v>
      </c>
    </row>
    <row r="38" spans="2:19" x14ac:dyDescent="0.2">
      <c r="B38" s="744"/>
      <c r="D38" s="750"/>
      <c r="E38" s="13" t="s">
        <v>108</v>
      </c>
      <c r="F38" s="16">
        <v>163</v>
      </c>
      <c r="G38" s="16">
        <v>913</v>
      </c>
      <c r="H38" s="16" t="s">
        <v>109</v>
      </c>
      <c r="I38" s="34"/>
      <c r="K38" s="17"/>
      <c r="M38" s="13">
        <f>F38</f>
        <v>163</v>
      </c>
      <c r="N38" s="13">
        <f>G38</f>
        <v>913</v>
      </c>
      <c r="O38" s="17">
        <f t="shared" si="9"/>
        <v>182.36656672772148</v>
      </c>
      <c r="P38" s="31">
        <f t="shared" ref="P38" si="16">M38/O38</f>
        <v>0.89380418200976319</v>
      </c>
      <c r="Q38" s="31">
        <f t="shared" si="15"/>
        <v>5.0064001115025389</v>
      </c>
      <c r="S38" s="17">
        <f t="shared" si="12"/>
        <v>5.900204293512302</v>
      </c>
    </row>
    <row r="39" spans="2:19" x14ac:dyDescent="0.2">
      <c r="B39" s="744"/>
      <c r="D39" s="750"/>
      <c r="E39" s="13" t="s">
        <v>110</v>
      </c>
      <c r="F39" s="16"/>
      <c r="G39" s="16"/>
      <c r="I39" s="34"/>
      <c r="K39" s="17"/>
      <c r="O39" s="17"/>
      <c r="P39" s="17"/>
      <c r="Q39" s="17"/>
    </row>
    <row r="40" spans="2:19" x14ac:dyDescent="0.2">
      <c r="B40" s="744"/>
      <c r="D40" s="93"/>
      <c r="F40" s="22"/>
      <c r="G40" s="22"/>
      <c r="M40" s="24" t="s">
        <v>111</v>
      </c>
      <c r="N40" s="25">
        <f>SUM(M25:N38)</f>
        <v>3602.6339659728342</v>
      </c>
      <c r="O40" s="24" t="s">
        <v>112</v>
      </c>
      <c r="P40" s="25">
        <f>SUM(P25:P39)</f>
        <v>13.104564832956919</v>
      </c>
      <c r="Q40" s="25">
        <f>SUM(Q25:Q39)</f>
        <v>8.7759750768020659</v>
      </c>
    </row>
    <row r="41" spans="2:19" ht="13.5" thickBot="1" x14ac:dyDescent="0.25">
      <c r="B41" s="744"/>
      <c r="D41" s="93"/>
      <c r="F41" s="22"/>
      <c r="G41" s="22"/>
      <c r="P41" s="24"/>
      <c r="Q41" s="51">
        <f>P40+Q40</f>
        <v>21.880539909758987</v>
      </c>
    </row>
    <row r="42" spans="2:19" ht="13.5" thickTop="1" x14ac:dyDescent="0.2"/>
  </sheetData>
  <mergeCells count="16">
    <mergeCell ref="F23:K23"/>
    <mergeCell ref="M23:Q23"/>
    <mergeCell ref="B24:B41"/>
    <mergeCell ref="I24:J24"/>
    <mergeCell ref="D25:D29"/>
    <mergeCell ref="D30:D32"/>
    <mergeCell ref="D33:D36"/>
    <mergeCell ref="D37:D39"/>
    <mergeCell ref="F2:K2"/>
    <mergeCell ref="M2:Q2"/>
    <mergeCell ref="B3:B20"/>
    <mergeCell ref="I3:J3"/>
    <mergeCell ref="D4:D8"/>
    <mergeCell ref="D9:D11"/>
    <mergeCell ref="D12:D15"/>
    <mergeCell ref="D16:D18"/>
  </mergeCell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2F62D-2852-402E-B33C-8733CFD37A31}">
  <sheetPr>
    <tabColor theme="4"/>
  </sheetPr>
  <dimension ref="B2:S42"/>
  <sheetViews>
    <sheetView topLeftCell="E1" zoomScale="85" zoomScaleNormal="85" workbookViewId="0">
      <selection activeCell="K25" sqref="K25:K36"/>
    </sheetView>
  </sheetViews>
  <sheetFormatPr baseColWidth="10" defaultColWidth="11.42578125" defaultRowHeight="12.75" x14ac:dyDescent="0.2"/>
  <cols>
    <col min="1" max="1" width="11.42578125" style="13"/>
    <col min="2" max="2" width="3.28515625" style="13" bestFit="1" customWidth="1"/>
    <col min="3" max="3" width="2.7109375" style="13" customWidth="1"/>
    <col min="4" max="4" width="16.28515625" style="13" customWidth="1"/>
    <col min="5" max="5" width="29.140625" style="13" bestFit="1" customWidth="1"/>
    <col min="6" max="7" width="15.7109375" style="13" customWidth="1"/>
    <col min="8" max="8" width="61.7109375" style="16" bestFit="1" customWidth="1"/>
    <col min="9" max="10" width="7.7109375" style="13" customWidth="1"/>
    <col min="11" max="11" width="14.7109375" style="13" bestFit="1" customWidth="1"/>
    <col min="12" max="12" width="2.7109375" style="13" customWidth="1"/>
    <col min="13" max="17" width="15.7109375" style="13" customWidth="1"/>
    <col min="18" max="16384" width="11.42578125" style="13"/>
  </cols>
  <sheetData>
    <row r="2" spans="2:19" x14ac:dyDescent="0.2">
      <c r="F2" s="743" t="s">
        <v>73</v>
      </c>
      <c r="G2" s="743"/>
      <c r="H2" s="743"/>
      <c r="I2" s="743"/>
      <c r="J2" s="743"/>
      <c r="K2" s="743"/>
      <c r="M2" s="743" t="s">
        <v>74</v>
      </c>
      <c r="N2" s="743"/>
      <c r="O2" s="743"/>
      <c r="P2" s="743"/>
      <c r="Q2" s="743"/>
    </row>
    <row r="3" spans="2:19" ht="67.5" customHeight="1" thickBot="1" x14ac:dyDescent="0.3">
      <c r="B3" s="744" t="s">
        <v>75</v>
      </c>
      <c r="D3" s="14" t="s">
        <v>76</v>
      </c>
      <c r="E3" s="15" t="s">
        <v>77</v>
      </c>
      <c r="F3" s="182" t="s">
        <v>78</v>
      </c>
      <c r="G3" s="182" t="s">
        <v>383</v>
      </c>
      <c r="H3" s="182" t="s">
        <v>79</v>
      </c>
      <c r="I3" s="745" t="s">
        <v>80</v>
      </c>
      <c r="J3" s="745"/>
      <c r="K3" s="182" t="s">
        <v>81</v>
      </c>
      <c r="M3" s="182" t="s">
        <v>82</v>
      </c>
      <c r="N3" s="182" t="s">
        <v>384</v>
      </c>
      <c r="O3" s="182" t="s">
        <v>81</v>
      </c>
      <c r="P3" s="182" t="s">
        <v>83</v>
      </c>
      <c r="Q3" s="182" t="s">
        <v>385</v>
      </c>
    </row>
    <row r="4" spans="2:19" ht="13.9" customHeight="1" x14ac:dyDescent="0.2">
      <c r="B4" s="744"/>
      <c r="D4" s="746" t="s">
        <v>84</v>
      </c>
      <c r="E4" s="13" t="s">
        <v>85</v>
      </c>
      <c r="F4" s="18">
        <f>45*2/3*2/3</f>
        <v>20</v>
      </c>
      <c r="G4" s="18">
        <v>0</v>
      </c>
      <c r="H4" s="18" t="s">
        <v>86</v>
      </c>
      <c r="I4" s="13">
        <v>250</v>
      </c>
      <c r="J4" s="13" t="s">
        <v>87</v>
      </c>
      <c r="K4" s="37">
        <f>I4*'Cell parameters'!F5*'Cell parameters'!F37*('Cell parameters'!F34*1000)*('Cell parameters'!F48/1000)*'Cell parameters'!F4/1000</f>
        <v>339.58440000000002</v>
      </c>
      <c r="M4" s="17">
        <f t="shared" ref="M4:N15" si="0">$K$9*F4/$K4</f>
        <v>8.175254884222765</v>
      </c>
      <c r="N4" s="17">
        <f t="shared" si="0"/>
        <v>0</v>
      </c>
      <c r="O4" s="17">
        <f>$K$9</f>
        <v>138.80945123529287</v>
      </c>
      <c r="P4" s="31">
        <f>2*M4/O4</f>
        <v>0.11779104104899989</v>
      </c>
      <c r="Q4" s="31">
        <f>2*N4/O4</f>
        <v>0</v>
      </c>
      <c r="S4" s="17"/>
    </row>
    <row r="5" spans="2:19" x14ac:dyDescent="0.2">
      <c r="B5" s="744"/>
      <c r="D5" s="747"/>
      <c r="E5" s="13" t="s">
        <v>88</v>
      </c>
      <c r="F5" s="16">
        <v>75</v>
      </c>
      <c r="G5" s="16">
        <v>825</v>
      </c>
      <c r="H5" s="16" t="s">
        <v>89</v>
      </c>
      <c r="I5" s="13">
        <f>30*0.7*60</f>
        <v>1260</v>
      </c>
      <c r="J5" s="13" t="s">
        <v>90</v>
      </c>
      <c r="K5" s="37">
        <f>I5*'Cell parameters'!F80*2/1000</f>
        <v>208.21417685293926</v>
      </c>
      <c r="M5" s="17">
        <f>$K$9*F5/$K5</f>
        <v>50.000000000000014</v>
      </c>
      <c r="N5" s="17">
        <f t="shared" si="0"/>
        <v>550.00000000000011</v>
      </c>
      <c r="O5" s="17">
        <f t="shared" ref="O5:O17" si="1">$K$9</f>
        <v>138.80945123529287</v>
      </c>
      <c r="P5" s="31">
        <f t="shared" ref="P5:P8" si="2">2*M5/O5</f>
        <v>0.72041204046324059</v>
      </c>
      <c r="Q5" s="31">
        <f t="shared" ref="Q5:Q8" si="3">2*N5/O5</f>
        <v>7.9245324450956458</v>
      </c>
      <c r="S5" s="17"/>
    </row>
    <row r="6" spans="2:19" x14ac:dyDescent="0.2">
      <c r="B6" s="744"/>
      <c r="D6" s="747"/>
      <c r="E6" s="13" t="s">
        <v>91</v>
      </c>
      <c r="F6" s="16">
        <v>60</v>
      </c>
      <c r="G6" s="16">
        <v>0</v>
      </c>
      <c r="H6" s="16" t="s">
        <v>92</v>
      </c>
      <c r="I6" s="13">
        <f>30*0.8*60</f>
        <v>1440</v>
      </c>
      <c r="J6" s="13" t="s">
        <v>90</v>
      </c>
      <c r="K6" s="37">
        <f>I6*'Cell parameters'!F80*2/1000</f>
        <v>237.95905926050204</v>
      </c>
      <c r="M6" s="17">
        <f t="shared" si="0"/>
        <v>35.000000000000007</v>
      </c>
      <c r="N6" s="17">
        <f t="shared" si="0"/>
        <v>0</v>
      </c>
      <c r="O6" s="17">
        <f>$K$9</f>
        <v>138.80945123529287</v>
      </c>
      <c r="P6" s="31">
        <f t="shared" si="2"/>
        <v>0.50428842832426835</v>
      </c>
      <c r="Q6" s="31">
        <f t="shared" si="3"/>
        <v>0</v>
      </c>
      <c r="S6" s="17"/>
    </row>
    <row r="7" spans="2:19" x14ac:dyDescent="0.2">
      <c r="B7" s="744"/>
      <c r="D7" s="747"/>
      <c r="E7" s="13" t="s">
        <v>93</v>
      </c>
      <c r="F7" s="16">
        <v>45</v>
      </c>
      <c r="G7" s="16">
        <v>0</v>
      </c>
      <c r="H7" s="16" t="s">
        <v>94</v>
      </c>
      <c r="I7" s="13">
        <f>80*0.75*60</f>
        <v>3600</v>
      </c>
      <c r="J7" s="13" t="s">
        <v>90</v>
      </c>
      <c r="K7" s="37">
        <f>I7*'Cell parameters'!F80*2/1000</f>
        <v>594.89764815125511</v>
      </c>
      <c r="M7" s="17">
        <f t="shared" si="0"/>
        <v>10.5</v>
      </c>
      <c r="N7" s="17">
        <f t="shared" si="0"/>
        <v>0</v>
      </c>
      <c r="O7" s="17">
        <f t="shared" si="1"/>
        <v>138.80945123529287</v>
      </c>
      <c r="P7" s="31">
        <f t="shared" si="2"/>
        <v>0.15128652849728047</v>
      </c>
      <c r="Q7" s="31">
        <f t="shared" si="3"/>
        <v>0</v>
      </c>
      <c r="S7" s="17"/>
    </row>
    <row r="8" spans="2:19" x14ac:dyDescent="0.2">
      <c r="B8" s="744"/>
      <c r="D8" s="748"/>
      <c r="E8" s="19" t="s">
        <v>95</v>
      </c>
      <c r="F8" s="20">
        <v>5</v>
      </c>
      <c r="G8" s="20">
        <v>210</v>
      </c>
      <c r="H8" s="20" t="s">
        <v>96</v>
      </c>
      <c r="I8" s="19">
        <f>3*4*4900*0.8/24</f>
        <v>1960</v>
      </c>
      <c r="J8" s="19" t="s">
        <v>90</v>
      </c>
      <c r="K8" s="38">
        <f>I8*'Cell parameters'!F80*2/1000</f>
        <v>323.88871954901668</v>
      </c>
      <c r="L8" s="19"/>
      <c r="M8" s="21">
        <f t="shared" si="0"/>
        <v>2.1428571428571428</v>
      </c>
      <c r="N8" s="21">
        <f t="shared" si="0"/>
        <v>90</v>
      </c>
      <c r="O8" s="21">
        <f t="shared" si="1"/>
        <v>138.80945123529287</v>
      </c>
      <c r="P8" s="32">
        <f t="shared" si="2"/>
        <v>3.0874801734138872E-2</v>
      </c>
      <c r="Q8" s="32">
        <f t="shared" si="3"/>
        <v>1.2967416728338328</v>
      </c>
      <c r="S8" s="17"/>
    </row>
    <row r="9" spans="2:19" x14ac:dyDescent="0.2">
      <c r="B9" s="744"/>
      <c r="D9" s="749" t="s">
        <v>97</v>
      </c>
      <c r="E9" s="13" t="s">
        <v>98</v>
      </c>
      <c r="F9" s="28">
        <v>25</v>
      </c>
      <c r="G9" s="28">
        <v>0</v>
      </c>
      <c r="I9" s="34">
        <v>840</v>
      </c>
      <c r="J9" s="13" t="s">
        <v>90</v>
      </c>
      <c r="K9" s="39">
        <f>I9*'Cell parameters'!F80*2/1000</f>
        <v>138.80945123529287</v>
      </c>
      <c r="M9" s="17">
        <f>$K$9*F9/$K9</f>
        <v>25</v>
      </c>
      <c r="N9" s="17">
        <f t="shared" si="0"/>
        <v>0</v>
      </c>
      <c r="O9" s="17">
        <f t="shared" si="1"/>
        <v>138.80945123529287</v>
      </c>
      <c r="P9" s="31">
        <f>M9/O9</f>
        <v>0.18010301011581009</v>
      </c>
      <c r="Q9" s="31">
        <f>N9/O9</f>
        <v>0</v>
      </c>
      <c r="S9" s="17"/>
    </row>
    <row r="10" spans="2:19" x14ac:dyDescent="0.2">
      <c r="B10" s="744"/>
      <c r="D10" s="750"/>
      <c r="E10" s="13" t="s">
        <v>99</v>
      </c>
      <c r="F10" s="18">
        <v>160</v>
      </c>
      <c r="G10" s="18">
        <v>0</v>
      </c>
      <c r="I10" s="34">
        <v>840</v>
      </c>
      <c r="J10" s="13" t="s">
        <v>90</v>
      </c>
      <c r="K10" s="37">
        <f>I10*'Cell parameters'!F80*2/1000</f>
        <v>138.80945123529287</v>
      </c>
      <c r="M10" s="17">
        <f t="shared" si="0"/>
        <v>160</v>
      </c>
      <c r="N10" s="17">
        <f t="shared" si="0"/>
        <v>0</v>
      </c>
      <c r="O10" s="17">
        <f t="shared" si="1"/>
        <v>138.80945123529287</v>
      </c>
      <c r="P10" s="31">
        <f t="shared" ref="P10:P17" si="4">M10/O10</f>
        <v>1.1526592647411846</v>
      </c>
      <c r="Q10" s="31">
        <f t="shared" ref="Q10:Q16" si="5">N10/O10</f>
        <v>0</v>
      </c>
      <c r="S10" s="17"/>
    </row>
    <row r="11" spans="2:19" x14ac:dyDescent="0.2">
      <c r="B11" s="744"/>
      <c r="D11" s="751"/>
      <c r="E11" s="19" t="s">
        <v>100</v>
      </c>
      <c r="F11" s="36">
        <v>200</v>
      </c>
      <c r="G11" s="36">
        <v>0</v>
      </c>
      <c r="H11" s="20"/>
      <c r="I11" s="35">
        <v>840</v>
      </c>
      <c r="J11" s="19" t="s">
        <v>90</v>
      </c>
      <c r="K11" s="38">
        <f>I11*'Cell parameters'!F80*2/1000</f>
        <v>138.80945123529287</v>
      </c>
      <c r="L11" s="19"/>
      <c r="M11" s="21">
        <f t="shared" si="0"/>
        <v>200</v>
      </c>
      <c r="N11" s="21">
        <f t="shared" si="0"/>
        <v>0</v>
      </c>
      <c r="O11" s="21">
        <f t="shared" si="1"/>
        <v>138.80945123529287</v>
      </c>
      <c r="P11" s="32">
        <f t="shared" si="4"/>
        <v>1.4408240809264807</v>
      </c>
      <c r="Q11" s="32">
        <f t="shared" si="5"/>
        <v>0</v>
      </c>
      <c r="S11" s="17"/>
    </row>
    <row r="12" spans="2:19" x14ac:dyDescent="0.2">
      <c r="B12" s="744"/>
      <c r="D12" s="747" t="s">
        <v>101</v>
      </c>
      <c r="E12" s="13" t="s">
        <v>102</v>
      </c>
      <c r="F12" s="18">
        <v>0</v>
      </c>
      <c r="G12" s="18">
        <v>25</v>
      </c>
      <c r="H12" s="16" t="s">
        <v>520</v>
      </c>
      <c r="I12" s="34">
        <v>840</v>
      </c>
      <c r="J12" s="13" t="s">
        <v>90</v>
      </c>
      <c r="K12" s="37">
        <f>I12*'Cell parameters'!F80*2/1000</f>
        <v>138.80945123529287</v>
      </c>
      <c r="M12" s="17">
        <f t="shared" si="0"/>
        <v>0</v>
      </c>
      <c r="N12" s="17">
        <f t="shared" si="0"/>
        <v>25</v>
      </c>
      <c r="O12" s="17">
        <f t="shared" si="1"/>
        <v>138.80945123529287</v>
      </c>
      <c r="P12" s="31">
        <f t="shared" si="4"/>
        <v>0</v>
      </c>
      <c r="Q12" s="31">
        <f t="shared" si="5"/>
        <v>0.18010301011581009</v>
      </c>
      <c r="S12" s="17"/>
    </row>
    <row r="13" spans="2:19" ht="12.75" customHeight="1" x14ac:dyDescent="0.2">
      <c r="B13" s="744"/>
      <c r="D13" s="747"/>
      <c r="E13" s="13" t="s">
        <v>103</v>
      </c>
      <c r="F13" s="18">
        <v>1000</v>
      </c>
      <c r="G13" s="18">
        <v>0</v>
      </c>
      <c r="H13" s="16" t="s">
        <v>521</v>
      </c>
      <c r="I13" s="34">
        <f>1000/5*0.55*'Cell parameters'!F7</f>
        <v>665.66072538803428</v>
      </c>
      <c r="J13" s="13" t="s">
        <v>90</v>
      </c>
      <c r="K13" s="37">
        <f>I13*'Cell parameters'!F80*2/1000</f>
        <v>110.00000000000001</v>
      </c>
      <c r="M13" s="17">
        <f t="shared" si="0"/>
        <v>1261.9041021390258</v>
      </c>
      <c r="N13" s="17">
        <f t="shared" si="0"/>
        <v>0</v>
      </c>
      <c r="O13" s="17">
        <f t="shared" si="1"/>
        <v>138.80945123529287</v>
      </c>
      <c r="P13" s="31">
        <f t="shared" si="4"/>
        <v>9.0909090909090882</v>
      </c>
      <c r="Q13" s="31">
        <f t="shared" si="5"/>
        <v>0</v>
      </c>
      <c r="S13" s="17"/>
    </row>
    <row r="14" spans="2:19" x14ac:dyDescent="0.2">
      <c r="B14" s="744"/>
      <c r="D14" s="747"/>
      <c r="E14" s="13" t="s">
        <v>104</v>
      </c>
      <c r="F14" s="18">
        <v>0</v>
      </c>
      <c r="G14" s="18">
        <v>40</v>
      </c>
      <c r="H14" s="16" t="s">
        <v>522</v>
      </c>
      <c r="I14" s="34">
        <v>840</v>
      </c>
      <c r="J14" s="13" t="s">
        <v>90</v>
      </c>
      <c r="K14" s="37">
        <f>I14*'Cell parameters'!F80*2/1000</f>
        <v>138.80945123529287</v>
      </c>
      <c r="M14" s="17">
        <f t="shared" si="0"/>
        <v>0</v>
      </c>
      <c r="N14" s="17">
        <f t="shared" si="0"/>
        <v>40</v>
      </c>
      <c r="O14" s="17">
        <f t="shared" si="1"/>
        <v>138.80945123529287</v>
      </c>
      <c r="P14" s="31">
        <f t="shared" si="4"/>
        <v>0</v>
      </c>
      <c r="Q14" s="31">
        <f t="shared" si="5"/>
        <v>0.28816481618529616</v>
      </c>
      <c r="S14" s="17"/>
    </row>
    <row r="15" spans="2:19" x14ac:dyDescent="0.2">
      <c r="B15" s="744"/>
      <c r="D15" s="748"/>
      <c r="E15" s="19" t="s">
        <v>105</v>
      </c>
      <c r="F15" s="29">
        <v>100</v>
      </c>
      <c r="G15" s="29">
        <v>0</v>
      </c>
      <c r="H15" s="20"/>
      <c r="I15" s="35">
        <v>840</v>
      </c>
      <c r="J15" s="19" t="s">
        <v>90</v>
      </c>
      <c r="K15" s="38">
        <f>I15*'Cell parameters'!F80*2/1000</f>
        <v>138.80945123529287</v>
      </c>
      <c r="M15" s="21">
        <f t="shared" si="0"/>
        <v>100</v>
      </c>
      <c r="N15" s="21">
        <f t="shared" si="0"/>
        <v>0</v>
      </c>
      <c r="O15" s="21">
        <f t="shared" si="1"/>
        <v>138.80945123529287</v>
      </c>
      <c r="P15" s="32">
        <f t="shared" si="4"/>
        <v>0.72041204046324037</v>
      </c>
      <c r="Q15" s="32">
        <f t="shared" si="5"/>
        <v>0</v>
      </c>
      <c r="S15" s="17"/>
    </row>
    <row r="16" spans="2:19" x14ac:dyDescent="0.2">
      <c r="B16" s="744"/>
      <c r="D16" s="749" t="s">
        <v>106</v>
      </c>
      <c r="E16" s="13" t="s">
        <v>107</v>
      </c>
      <c r="F16" s="30">
        <v>200</v>
      </c>
      <c r="G16" s="30">
        <v>0</v>
      </c>
      <c r="I16" s="34"/>
      <c r="K16" s="17"/>
      <c r="M16" s="13">
        <f>F16</f>
        <v>200</v>
      </c>
      <c r="N16" s="13">
        <f>G16</f>
        <v>0</v>
      </c>
      <c r="O16" s="17">
        <f t="shared" si="1"/>
        <v>138.80945123529287</v>
      </c>
      <c r="P16" s="31">
        <f>M16/O16</f>
        <v>1.4408240809264807</v>
      </c>
      <c r="Q16" s="31">
        <f t="shared" si="5"/>
        <v>0</v>
      </c>
      <c r="S16" s="17"/>
    </row>
    <row r="17" spans="2:19" x14ac:dyDescent="0.2">
      <c r="B17" s="744"/>
      <c r="D17" s="750"/>
      <c r="E17" s="13" t="s">
        <v>108</v>
      </c>
      <c r="F17" s="16">
        <v>163</v>
      </c>
      <c r="G17" s="16">
        <v>913</v>
      </c>
      <c r="H17" s="16" t="s">
        <v>109</v>
      </c>
      <c r="I17" s="34"/>
      <c r="K17" s="17"/>
      <c r="M17" s="13">
        <f>F17</f>
        <v>163</v>
      </c>
      <c r="N17" s="13">
        <f>G17</f>
        <v>913</v>
      </c>
      <c r="O17" s="17">
        <f t="shared" si="1"/>
        <v>138.80945123529287</v>
      </c>
      <c r="P17" s="31">
        <f t="shared" si="4"/>
        <v>1.1742716259550818</v>
      </c>
      <c r="Q17" s="31">
        <f>N17/O17</f>
        <v>6.5773619294293848</v>
      </c>
      <c r="S17" s="17"/>
    </row>
    <row r="18" spans="2:19" x14ac:dyDescent="0.2">
      <c r="B18" s="744"/>
      <c r="D18" s="750"/>
      <c r="E18" s="13" t="s">
        <v>110</v>
      </c>
      <c r="F18" s="16"/>
      <c r="G18" s="16"/>
      <c r="I18" s="34"/>
      <c r="K18" s="17"/>
      <c r="O18" s="17"/>
      <c r="P18" s="17"/>
      <c r="Q18" s="17"/>
    </row>
    <row r="19" spans="2:19" x14ac:dyDescent="0.2">
      <c r="B19" s="744"/>
      <c r="D19" s="93"/>
      <c r="F19" s="22"/>
      <c r="G19" s="22"/>
      <c r="M19" s="24" t="s">
        <v>111</v>
      </c>
      <c r="N19" s="25">
        <f>SUM(M4:N17)</f>
        <v>3833.7222141661059</v>
      </c>
      <c r="O19" s="24" t="s">
        <v>112</v>
      </c>
      <c r="P19" s="24">
        <f>SUM(P4:P18)</f>
        <v>16.724656034105294</v>
      </c>
      <c r="Q19" s="24">
        <f>SUM(Q4:Q18)</f>
        <v>16.26690387365997</v>
      </c>
    </row>
    <row r="20" spans="2:19" ht="13.5" thickBot="1" x14ac:dyDescent="0.25">
      <c r="B20" s="744"/>
      <c r="D20" s="93"/>
      <c r="F20" s="22"/>
      <c r="G20" s="22"/>
      <c r="P20" s="24"/>
      <c r="Q20" s="26">
        <f>P19+Q19</f>
        <v>32.991559907765264</v>
      </c>
    </row>
    <row r="21" spans="2:19" ht="13.5" thickTop="1" x14ac:dyDescent="0.2">
      <c r="D21" s="27"/>
    </row>
    <row r="23" spans="2:19" x14ac:dyDescent="0.2">
      <c r="F23" s="743" t="s">
        <v>73</v>
      </c>
      <c r="G23" s="743"/>
      <c r="H23" s="743"/>
      <c r="I23" s="743"/>
      <c r="J23" s="743"/>
      <c r="K23" s="743"/>
      <c r="M23" s="743" t="s">
        <v>74</v>
      </c>
      <c r="N23" s="743"/>
      <c r="O23" s="743"/>
      <c r="P23" s="743"/>
      <c r="Q23" s="743"/>
    </row>
    <row r="24" spans="2:19" ht="67.5" customHeight="1" thickBot="1" x14ac:dyDescent="0.3">
      <c r="B24" s="744" t="s">
        <v>523</v>
      </c>
      <c r="D24" s="14" t="s">
        <v>76</v>
      </c>
      <c r="E24" s="15" t="s">
        <v>77</v>
      </c>
      <c r="F24" s="182" t="s">
        <v>78</v>
      </c>
      <c r="G24" s="182" t="s">
        <v>383</v>
      </c>
      <c r="H24" s="182" t="s">
        <v>79</v>
      </c>
      <c r="I24" s="745" t="s">
        <v>80</v>
      </c>
      <c r="J24" s="745"/>
      <c r="K24" s="182" t="s">
        <v>81</v>
      </c>
      <c r="M24" s="182" t="s">
        <v>82</v>
      </c>
      <c r="N24" s="182" t="s">
        <v>384</v>
      </c>
      <c r="O24" s="182" t="s">
        <v>81</v>
      </c>
      <c r="P24" s="182" t="s">
        <v>83</v>
      </c>
      <c r="Q24" s="182" t="s">
        <v>385</v>
      </c>
    </row>
    <row r="25" spans="2:19" x14ac:dyDescent="0.2">
      <c r="B25" s="744"/>
      <c r="D25" s="746" t="s">
        <v>84</v>
      </c>
      <c r="E25" s="13" t="s">
        <v>85</v>
      </c>
      <c r="F25" s="18">
        <f>45*2/3*2/3</f>
        <v>20</v>
      </c>
      <c r="G25" s="18">
        <v>0</v>
      </c>
      <c r="H25" s="18" t="s">
        <v>86</v>
      </c>
      <c r="I25" s="13">
        <v>250</v>
      </c>
      <c r="J25" s="13" t="s">
        <v>87</v>
      </c>
      <c r="K25" s="37">
        <f>I25*'Cell parameters'!G5*'Cell parameters'!G37*('Cell parameters'!G34*1000)*('Cell parameters'!G48/1000)*'Cell parameters'!G4/1000</f>
        <v>343.197</v>
      </c>
      <c r="M25" s="17">
        <f>$K$9*F25/$K25</f>
        <v>8.0891995696519992</v>
      </c>
      <c r="N25" s="17">
        <f t="shared" ref="N25:N36" si="6">$K$9*G25/$K25</f>
        <v>0</v>
      </c>
      <c r="O25" s="17">
        <f>$K$9</f>
        <v>138.80945123529287</v>
      </c>
      <c r="P25" s="31">
        <f>2*M25/O25</f>
        <v>0.11655113535374725</v>
      </c>
      <c r="Q25" s="31">
        <f>2*N25/O25</f>
        <v>0</v>
      </c>
      <c r="S25" s="17"/>
    </row>
    <row r="26" spans="2:19" x14ac:dyDescent="0.2">
      <c r="B26" s="744"/>
      <c r="D26" s="747"/>
      <c r="E26" s="13" t="s">
        <v>88</v>
      </c>
      <c r="F26" s="16">
        <v>75</v>
      </c>
      <c r="G26" s="16">
        <v>825</v>
      </c>
      <c r="H26" s="16" t="s">
        <v>89</v>
      </c>
      <c r="I26" s="13">
        <f>30*0.7*60</f>
        <v>1260</v>
      </c>
      <c r="J26" s="13" t="s">
        <v>90</v>
      </c>
      <c r="K26" s="37">
        <f>I26*'Cell parameters'!G80*2/1000</f>
        <v>407.3755634079248</v>
      </c>
      <c r="M26" s="17">
        <f t="shared" ref="M26:M29" si="7">$K$9*F26/$K26</f>
        <v>25.55555555555555</v>
      </c>
      <c r="N26" s="17">
        <f t="shared" si="6"/>
        <v>281.11111111111109</v>
      </c>
      <c r="O26" s="17">
        <f t="shared" ref="O26:O38" si="8">$K$9</f>
        <v>138.80945123529287</v>
      </c>
      <c r="P26" s="31">
        <f t="shared" ref="P26:P29" si="9">2*M26/O26</f>
        <v>0.36821059845898946</v>
      </c>
      <c r="Q26" s="31">
        <f t="shared" ref="Q26:Q29" si="10">2*N26/O26</f>
        <v>4.0503165830488843</v>
      </c>
      <c r="S26" s="17"/>
    </row>
    <row r="27" spans="2:19" x14ac:dyDescent="0.2">
      <c r="B27" s="744"/>
      <c r="D27" s="747"/>
      <c r="E27" s="13" t="s">
        <v>91</v>
      </c>
      <c r="F27" s="16">
        <v>60</v>
      </c>
      <c r="G27" s="16">
        <v>0</v>
      </c>
      <c r="H27" s="16" t="s">
        <v>92</v>
      </c>
      <c r="I27" s="13">
        <f>30*0.8*60</f>
        <v>1440</v>
      </c>
      <c r="J27" s="13" t="s">
        <v>90</v>
      </c>
      <c r="K27" s="37">
        <f>I27*'Cell parameters'!G80*2/1000</f>
        <v>465.57207246619976</v>
      </c>
      <c r="M27" s="17">
        <f t="shared" si="7"/>
        <v>17.888888888888886</v>
      </c>
      <c r="N27" s="17">
        <f t="shared" si="6"/>
        <v>0</v>
      </c>
      <c r="O27" s="17">
        <f t="shared" si="8"/>
        <v>138.80945123529287</v>
      </c>
      <c r="P27" s="31">
        <f t="shared" si="9"/>
        <v>0.2577474189212926</v>
      </c>
      <c r="Q27" s="31">
        <f t="shared" si="10"/>
        <v>0</v>
      </c>
      <c r="S27" s="17"/>
    </row>
    <row r="28" spans="2:19" x14ac:dyDescent="0.2">
      <c r="B28" s="744"/>
      <c r="D28" s="747"/>
      <c r="E28" s="13" t="s">
        <v>93</v>
      </c>
      <c r="F28" s="16">
        <v>45</v>
      </c>
      <c r="G28" s="16">
        <v>0</v>
      </c>
      <c r="H28" s="16" t="s">
        <v>94</v>
      </c>
      <c r="I28" s="13">
        <f>80*0.75*60</f>
        <v>3600</v>
      </c>
      <c r="J28" s="13" t="s">
        <v>90</v>
      </c>
      <c r="K28" s="37">
        <f>I28*'Cell parameters'!G80*2/1000</f>
        <v>1163.9301811654993</v>
      </c>
      <c r="M28" s="17">
        <f t="shared" si="7"/>
        <v>5.3666666666666663</v>
      </c>
      <c r="N28" s="17">
        <f t="shared" si="6"/>
        <v>0</v>
      </c>
      <c r="O28" s="17">
        <f t="shared" si="8"/>
        <v>138.80945123529287</v>
      </c>
      <c r="P28" s="31">
        <f t="shared" si="9"/>
        <v>7.7324225676387789E-2</v>
      </c>
      <c r="Q28" s="31">
        <f t="shared" si="10"/>
        <v>0</v>
      </c>
      <c r="S28" s="17"/>
    </row>
    <row r="29" spans="2:19" x14ac:dyDescent="0.2">
      <c r="B29" s="744"/>
      <c r="D29" s="748"/>
      <c r="E29" s="19" t="s">
        <v>95</v>
      </c>
      <c r="F29" s="20">
        <v>5</v>
      </c>
      <c r="G29" s="20">
        <v>210</v>
      </c>
      <c r="H29" s="20" t="s">
        <v>96</v>
      </c>
      <c r="I29" s="19">
        <f>3*4*4900*0.8/24</f>
        <v>1960</v>
      </c>
      <c r="J29" s="19" t="s">
        <v>90</v>
      </c>
      <c r="K29" s="38">
        <f>I29*'Cell parameters'!G80*2/1000</f>
        <v>633.6953208567719</v>
      </c>
      <c r="L29" s="19"/>
      <c r="M29" s="21">
        <f t="shared" si="7"/>
        <v>1.0952380952380949</v>
      </c>
      <c r="N29" s="21">
        <f t="shared" si="6"/>
        <v>45.999999999999993</v>
      </c>
      <c r="O29" s="21">
        <f t="shared" si="8"/>
        <v>138.80945123529287</v>
      </c>
      <c r="P29" s="32">
        <f t="shared" si="9"/>
        <v>1.5780454219670975E-2</v>
      </c>
      <c r="Q29" s="32">
        <f t="shared" si="10"/>
        <v>0.66277907722618101</v>
      </c>
      <c r="S29" s="17"/>
    </row>
    <row r="30" spans="2:19" x14ac:dyDescent="0.2">
      <c r="B30" s="744"/>
      <c r="D30" s="749" t="s">
        <v>97</v>
      </c>
      <c r="E30" s="13" t="s">
        <v>98</v>
      </c>
      <c r="F30" s="28">
        <v>25</v>
      </c>
      <c r="G30" s="28">
        <v>0</v>
      </c>
      <c r="I30" s="34">
        <v>840</v>
      </c>
      <c r="J30" s="13" t="s">
        <v>90</v>
      </c>
      <c r="K30" s="39">
        <f>I30*'Cell parameters'!G80*2/1000</f>
        <v>271.58370893861655</v>
      </c>
      <c r="M30" s="17">
        <f>$K$9*F30/$K30</f>
        <v>12.777777777777775</v>
      </c>
      <c r="N30" s="17">
        <f t="shared" si="6"/>
        <v>0</v>
      </c>
      <c r="O30" s="17">
        <f t="shared" si="8"/>
        <v>138.80945123529287</v>
      </c>
      <c r="P30" s="31">
        <f>M30/O30</f>
        <v>9.2052649614747364E-2</v>
      </c>
      <c r="Q30" s="31">
        <f>N30/O30</f>
        <v>0</v>
      </c>
      <c r="S30" s="17"/>
    </row>
    <row r="31" spans="2:19" x14ac:dyDescent="0.2">
      <c r="B31" s="744"/>
      <c r="D31" s="750"/>
      <c r="E31" s="13" t="s">
        <v>99</v>
      </c>
      <c r="F31" s="18">
        <v>160</v>
      </c>
      <c r="G31" s="18">
        <v>0</v>
      </c>
      <c r="I31" s="34">
        <v>840</v>
      </c>
      <c r="J31" s="13" t="s">
        <v>90</v>
      </c>
      <c r="K31" s="37">
        <f>I31*'Cell parameters'!G80*2/1000</f>
        <v>271.58370893861655</v>
      </c>
      <c r="M31" s="17">
        <f t="shared" ref="M31:M36" si="11">$K$9*F31/$K31</f>
        <v>81.777777777777757</v>
      </c>
      <c r="N31" s="17">
        <f t="shared" si="6"/>
        <v>0</v>
      </c>
      <c r="O31" s="17">
        <f t="shared" si="8"/>
        <v>138.80945123529287</v>
      </c>
      <c r="P31" s="31">
        <f t="shared" ref="P31:P36" si="12">M31/O31</f>
        <v>0.58913695753438311</v>
      </c>
      <c r="Q31" s="31">
        <f t="shared" ref="Q31:Q38" si="13">N31/O31</f>
        <v>0</v>
      </c>
      <c r="S31" s="17"/>
    </row>
    <row r="32" spans="2:19" x14ac:dyDescent="0.2">
      <c r="B32" s="744"/>
      <c r="D32" s="751"/>
      <c r="E32" s="19" t="s">
        <v>100</v>
      </c>
      <c r="F32" s="36">
        <v>200</v>
      </c>
      <c r="G32" s="36">
        <v>0</v>
      </c>
      <c r="H32" s="20"/>
      <c r="I32" s="35">
        <v>840</v>
      </c>
      <c r="J32" s="19" t="s">
        <v>90</v>
      </c>
      <c r="K32" s="38">
        <f>I32*'Cell parameters'!G80*2/1000</f>
        <v>271.58370893861655</v>
      </c>
      <c r="L32" s="19"/>
      <c r="M32" s="21">
        <f t="shared" si="11"/>
        <v>102.2222222222222</v>
      </c>
      <c r="N32" s="21">
        <f t="shared" si="6"/>
        <v>0</v>
      </c>
      <c r="O32" s="21">
        <f t="shared" si="8"/>
        <v>138.80945123529287</v>
      </c>
      <c r="P32" s="32">
        <f t="shared" si="12"/>
        <v>0.73642119691797892</v>
      </c>
      <c r="Q32" s="32">
        <f t="shared" si="13"/>
        <v>0</v>
      </c>
      <c r="S32" s="17"/>
    </row>
    <row r="33" spans="2:19" x14ac:dyDescent="0.2">
      <c r="B33" s="744"/>
      <c r="D33" s="747" t="s">
        <v>101</v>
      </c>
      <c r="E33" s="13" t="s">
        <v>102</v>
      </c>
      <c r="F33" s="18">
        <v>0</v>
      </c>
      <c r="G33" s="18">
        <v>25</v>
      </c>
      <c r="H33" s="16" t="s">
        <v>520</v>
      </c>
      <c r="I33" s="34">
        <v>840</v>
      </c>
      <c r="J33" s="13" t="s">
        <v>90</v>
      </c>
      <c r="K33" s="37">
        <f>I33*'Cell parameters'!G80*2/1000</f>
        <v>271.58370893861655</v>
      </c>
      <c r="M33" s="17">
        <f t="shared" si="11"/>
        <v>0</v>
      </c>
      <c r="N33" s="17">
        <f t="shared" si="6"/>
        <v>12.777777777777775</v>
      </c>
      <c r="O33" s="17">
        <f t="shared" si="8"/>
        <v>138.80945123529287</v>
      </c>
      <c r="P33" s="31">
        <f t="shared" si="12"/>
        <v>0</v>
      </c>
      <c r="Q33" s="31">
        <f t="shared" si="13"/>
        <v>9.2052649614747364E-2</v>
      </c>
      <c r="S33" s="17"/>
    </row>
    <row r="34" spans="2:19" x14ac:dyDescent="0.2">
      <c r="B34" s="744"/>
      <c r="D34" s="747"/>
      <c r="E34" s="13" t="s">
        <v>103</v>
      </c>
      <c r="F34" s="18">
        <v>1000</v>
      </c>
      <c r="G34" s="18">
        <v>0</v>
      </c>
      <c r="H34" s="16" t="s">
        <v>521</v>
      </c>
      <c r="I34" s="34">
        <f>1000/5*0.55*'Cell parameters'!G7</f>
        <v>340.2265929761063</v>
      </c>
      <c r="J34" s="13" t="s">
        <v>90</v>
      </c>
      <c r="K34" s="37">
        <f>I34*'Cell parameters'!G80*2/1000</f>
        <v>110.00000000000001</v>
      </c>
      <c r="M34" s="17">
        <f t="shared" si="11"/>
        <v>1261.9041021390258</v>
      </c>
      <c r="N34" s="17">
        <f t="shared" si="6"/>
        <v>0</v>
      </c>
      <c r="O34" s="17">
        <f t="shared" si="8"/>
        <v>138.80945123529287</v>
      </c>
      <c r="P34" s="31">
        <f t="shared" si="12"/>
        <v>9.0909090909090882</v>
      </c>
      <c r="Q34" s="31">
        <f t="shared" si="13"/>
        <v>0</v>
      </c>
      <c r="S34" s="17"/>
    </row>
    <row r="35" spans="2:19" x14ac:dyDescent="0.2">
      <c r="B35" s="744"/>
      <c r="D35" s="747"/>
      <c r="E35" s="13" t="s">
        <v>104</v>
      </c>
      <c r="F35" s="18">
        <v>0</v>
      </c>
      <c r="G35" s="18">
        <v>40</v>
      </c>
      <c r="H35" s="16" t="s">
        <v>522</v>
      </c>
      <c r="I35" s="34">
        <v>840</v>
      </c>
      <c r="J35" s="13" t="s">
        <v>90</v>
      </c>
      <c r="K35" s="37">
        <f>I35*'Cell parameters'!G80*2/1000</f>
        <v>271.58370893861655</v>
      </c>
      <c r="M35" s="17">
        <f t="shared" si="11"/>
        <v>0</v>
      </c>
      <c r="N35" s="17">
        <f t="shared" si="6"/>
        <v>20.444444444444439</v>
      </c>
      <c r="O35" s="17">
        <f t="shared" si="8"/>
        <v>138.80945123529287</v>
      </c>
      <c r="P35" s="31">
        <f t="shared" si="12"/>
        <v>0</v>
      </c>
      <c r="Q35" s="31">
        <f t="shared" si="13"/>
        <v>0.14728423938359578</v>
      </c>
      <c r="S35" s="17"/>
    </row>
    <row r="36" spans="2:19" x14ac:dyDescent="0.2">
      <c r="B36" s="744"/>
      <c r="D36" s="748"/>
      <c r="E36" s="19" t="s">
        <v>105</v>
      </c>
      <c r="F36" s="29">
        <v>100</v>
      </c>
      <c r="G36" s="29">
        <v>0</v>
      </c>
      <c r="H36" s="20"/>
      <c r="I36" s="35">
        <v>840</v>
      </c>
      <c r="J36" s="19" t="s">
        <v>90</v>
      </c>
      <c r="K36" s="38">
        <f>I36*'Cell parameters'!G80*2/1000</f>
        <v>271.58370893861655</v>
      </c>
      <c r="M36" s="21">
        <f t="shared" si="11"/>
        <v>51.1111111111111</v>
      </c>
      <c r="N36" s="21">
        <f t="shared" si="6"/>
        <v>0</v>
      </c>
      <c r="O36" s="21">
        <f t="shared" si="8"/>
        <v>138.80945123529287</v>
      </c>
      <c r="P36" s="32">
        <f t="shared" si="12"/>
        <v>0.36821059845898946</v>
      </c>
      <c r="Q36" s="32">
        <f t="shared" si="13"/>
        <v>0</v>
      </c>
      <c r="S36" s="17"/>
    </row>
    <row r="37" spans="2:19" x14ac:dyDescent="0.2">
      <c r="B37" s="744"/>
      <c r="D37" s="749" t="s">
        <v>106</v>
      </c>
      <c r="E37" s="13" t="s">
        <v>107</v>
      </c>
      <c r="F37" s="30">
        <v>200</v>
      </c>
      <c r="G37" s="30">
        <v>0</v>
      </c>
      <c r="I37" s="34"/>
      <c r="K37" s="17"/>
      <c r="M37" s="13">
        <f>F37</f>
        <v>200</v>
      </c>
      <c r="N37" s="13">
        <f>G37</f>
        <v>0</v>
      </c>
      <c r="O37" s="17">
        <f t="shared" si="8"/>
        <v>138.80945123529287</v>
      </c>
      <c r="P37" s="31">
        <f>M37/O37</f>
        <v>1.4408240809264807</v>
      </c>
      <c r="Q37" s="31">
        <f t="shared" si="13"/>
        <v>0</v>
      </c>
      <c r="S37" s="17"/>
    </row>
    <row r="38" spans="2:19" x14ac:dyDescent="0.2">
      <c r="B38" s="744"/>
      <c r="D38" s="750"/>
      <c r="E38" s="13" t="s">
        <v>108</v>
      </c>
      <c r="F38" s="16">
        <v>163</v>
      </c>
      <c r="G38" s="16">
        <v>913</v>
      </c>
      <c r="H38" s="16" t="s">
        <v>109</v>
      </c>
      <c r="I38" s="34"/>
      <c r="K38" s="17"/>
      <c r="M38" s="13">
        <f>F38</f>
        <v>163</v>
      </c>
      <c r="N38" s="13">
        <f>G38</f>
        <v>913</v>
      </c>
      <c r="O38" s="17">
        <f t="shared" si="8"/>
        <v>138.80945123529287</v>
      </c>
      <c r="P38" s="31">
        <f t="shared" ref="P38" si="14">M38/O38</f>
        <v>1.1742716259550818</v>
      </c>
      <c r="Q38" s="31">
        <f t="shared" si="13"/>
        <v>6.5773619294293848</v>
      </c>
      <c r="S38" s="17"/>
    </row>
    <row r="39" spans="2:19" x14ac:dyDescent="0.2">
      <c r="B39" s="744"/>
      <c r="D39" s="750"/>
      <c r="E39" s="13" t="s">
        <v>110</v>
      </c>
      <c r="F39" s="16"/>
      <c r="G39" s="16"/>
      <c r="I39" s="34"/>
      <c r="K39" s="17"/>
      <c r="O39" s="17"/>
      <c r="P39" s="17"/>
      <c r="Q39" s="17"/>
    </row>
    <row r="40" spans="2:19" x14ac:dyDescent="0.2">
      <c r="B40" s="744"/>
      <c r="D40" s="93"/>
      <c r="F40" s="22"/>
      <c r="G40" s="22"/>
      <c r="M40" s="24" t="s">
        <v>111</v>
      </c>
      <c r="N40" s="25">
        <f>SUM(M25:N38)</f>
        <v>3204.1218731372492</v>
      </c>
      <c r="O40" s="24" t="s">
        <v>112</v>
      </c>
      <c r="P40" s="25">
        <f>SUM(P25:P39)</f>
        <v>14.327440032946839</v>
      </c>
      <c r="Q40" s="25">
        <f>SUM(Q25:Q39)</f>
        <v>11.529794478702794</v>
      </c>
    </row>
    <row r="41" spans="2:19" ht="13.5" thickBot="1" x14ac:dyDescent="0.25">
      <c r="B41" s="744"/>
      <c r="D41" s="93"/>
      <c r="F41" s="22"/>
      <c r="G41" s="22"/>
      <c r="P41" s="24"/>
      <c r="Q41" s="51">
        <f>P40+Q40</f>
        <v>25.857234511649633</v>
      </c>
    </row>
    <row r="42" spans="2:19" ht="13.5" thickTop="1" x14ac:dyDescent="0.2"/>
  </sheetData>
  <mergeCells count="16">
    <mergeCell ref="F23:K23"/>
    <mergeCell ref="M23:Q23"/>
    <mergeCell ref="B24:B41"/>
    <mergeCell ref="I24:J24"/>
    <mergeCell ref="D25:D29"/>
    <mergeCell ref="D30:D32"/>
    <mergeCell ref="D33:D36"/>
    <mergeCell ref="D37:D39"/>
    <mergeCell ref="F2:K2"/>
    <mergeCell ref="M2:Q2"/>
    <mergeCell ref="B3:B20"/>
    <mergeCell ref="I3:J3"/>
    <mergeCell ref="D4:D8"/>
    <mergeCell ref="D9:D11"/>
    <mergeCell ref="D12:D15"/>
    <mergeCell ref="D16:D18"/>
  </mergeCell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54BDF-0276-419B-9CAA-665CE5A8473C}">
  <sheetPr>
    <tabColor theme="4"/>
  </sheetPr>
  <dimension ref="B2:S42"/>
  <sheetViews>
    <sheetView topLeftCell="D1" zoomScale="85" zoomScaleNormal="85" workbookViewId="0">
      <selection activeCell="K25" sqref="K25:K36"/>
    </sheetView>
  </sheetViews>
  <sheetFormatPr baseColWidth="10" defaultColWidth="11.42578125" defaultRowHeight="12.75" x14ac:dyDescent="0.2"/>
  <cols>
    <col min="1" max="1" width="11.42578125" style="13"/>
    <col min="2" max="2" width="3.28515625" style="13" bestFit="1" customWidth="1"/>
    <col min="3" max="3" width="2.7109375" style="13" customWidth="1"/>
    <col min="4" max="4" width="16.28515625" style="13" customWidth="1"/>
    <col min="5" max="5" width="29.140625" style="13" bestFit="1" customWidth="1"/>
    <col min="6" max="7" width="15.7109375" style="13" customWidth="1"/>
    <col min="8" max="8" width="61.7109375" style="16" bestFit="1" customWidth="1"/>
    <col min="9" max="10" width="7.7109375" style="13" customWidth="1"/>
    <col min="11" max="11" width="14.7109375" style="13" bestFit="1" customWidth="1"/>
    <col min="12" max="12" width="2.7109375" style="13" customWidth="1"/>
    <col min="13" max="17" width="15.7109375" style="13" customWidth="1"/>
    <col min="18" max="16384" width="11.42578125" style="13"/>
  </cols>
  <sheetData>
    <row r="2" spans="2:19" x14ac:dyDescent="0.2">
      <c r="F2" s="743" t="s">
        <v>73</v>
      </c>
      <c r="G2" s="743"/>
      <c r="H2" s="743"/>
      <c r="I2" s="743"/>
      <c r="J2" s="743"/>
      <c r="K2" s="743"/>
      <c r="M2" s="743" t="s">
        <v>74</v>
      </c>
      <c r="N2" s="743"/>
      <c r="O2" s="743"/>
      <c r="P2" s="743"/>
      <c r="Q2" s="743"/>
    </row>
    <row r="3" spans="2:19" ht="67.5" customHeight="1" thickBot="1" x14ac:dyDescent="0.3">
      <c r="B3" s="744" t="s">
        <v>75</v>
      </c>
      <c r="D3" s="14" t="s">
        <v>76</v>
      </c>
      <c r="E3" s="15" t="s">
        <v>77</v>
      </c>
      <c r="F3" s="182" t="s">
        <v>78</v>
      </c>
      <c r="G3" s="182" t="s">
        <v>383</v>
      </c>
      <c r="H3" s="182" t="s">
        <v>79</v>
      </c>
      <c r="I3" s="745" t="s">
        <v>80</v>
      </c>
      <c r="J3" s="745"/>
      <c r="K3" s="182" t="s">
        <v>81</v>
      </c>
      <c r="M3" s="182" t="s">
        <v>82</v>
      </c>
      <c r="N3" s="182" t="s">
        <v>384</v>
      </c>
      <c r="O3" s="182" t="s">
        <v>81</v>
      </c>
      <c r="P3" s="182" t="s">
        <v>83</v>
      </c>
      <c r="Q3" s="182" t="s">
        <v>385</v>
      </c>
    </row>
    <row r="4" spans="2:19" ht="13.9" customHeight="1" x14ac:dyDescent="0.2">
      <c r="B4" s="744"/>
      <c r="D4" s="746" t="s">
        <v>84</v>
      </c>
      <c r="E4" s="13" t="s">
        <v>85</v>
      </c>
      <c r="F4" s="18">
        <f>45*2/3*2/3</f>
        <v>20</v>
      </c>
      <c r="G4" s="18">
        <v>0</v>
      </c>
      <c r="H4" s="18" t="s">
        <v>86</v>
      </c>
      <c r="I4" s="13">
        <v>250</v>
      </c>
      <c r="J4" s="13" t="s">
        <v>87</v>
      </c>
      <c r="K4" s="37">
        <f>I4*'Cell parameters'!H5*'Cell parameters'!H37*('Cell parameters'!H34*1000)*('Cell parameters'!H48/1000)*'Cell parameters'!H4/1000</f>
        <v>339.58440000000002</v>
      </c>
      <c r="M4" s="17">
        <f t="shared" ref="M4:N15" si="0">$K$9*F4/$K4</f>
        <v>8.4193442833504868</v>
      </c>
      <c r="N4" s="17">
        <f t="shared" si="0"/>
        <v>0</v>
      </c>
      <c r="O4" s="17">
        <f>$K$9</f>
        <v>142.95389884275025</v>
      </c>
      <c r="P4" s="31">
        <f>2*M4/O4</f>
        <v>0.1177910410489999</v>
      </c>
      <c r="Q4" s="31">
        <f>2*N4/O4</f>
        <v>0</v>
      </c>
      <c r="S4" s="17"/>
    </row>
    <row r="5" spans="2:19" x14ac:dyDescent="0.2">
      <c r="B5" s="744"/>
      <c r="D5" s="747"/>
      <c r="E5" s="13" t="s">
        <v>88</v>
      </c>
      <c r="F5" s="16">
        <v>75</v>
      </c>
      <c r="G5" s="16">
        <v>825</v>
      </c>
      <c r="H5" s="16" t="s">
        <v>89</v>
      </c>
      <c r="I5" s="13">
        <f>30*0.7*60</f>
        <v>1260</v>
      </c>
      <c r="J5" s="13" t="s">
        <v>90</v>
      </c>
      <c r="K5" s="37">
        <f>I5*'Cell parameters'!H80*2/1000</f>
        <v>214.43084826412542</v>
      </c>
      <c r="M5" s="17">
        <f>$K$9*F5/$K5</f>
        <v>49.999999999999993</v>
      </c>
      <c r="N5" s="17">
        <f t="shared" si="0"/>
        <v>549.99999999999989</v>
      </c>
      <c r="O5" s="17">
        <f t="shared" ref="O5:O17" si="1">$K$9</f>
        <v>142.95389884275025</v>
      </c>
      <c r="P5" s="31">
        <f t="shared" ref="P5:P8" si="2">2*M5/O5</f>
        <v>0.69952621656020941</v>
      </c>
      <c r="Q5" s="31">
        <f t="shared" ref="Q5:Q8" si="3">2*N5/O5</f>
        <v>7.6947883821623035</v>
      </c>
      <c r="S5" s="17"/>
    </row>
    <row r="6" spans="2:19" x14ac:dyDescent="0.2">
      <c r="B6" s="744"/>
      <c r="D6" s="747"/>
      <c r="E6" s="13" t="s">
        <v>91</v>
      </c>
      <c r="F6" s="16">
        <v>60</v>
      </c>
      <c r="G6" s="16">
        <v>0</v>
      </c>
      <c r="H6" s="16" t="s">
        <v>92</v>
      </c>
      <c r="I6" s="13">
        <f>30*0.8*60</f>
        <v>1440</v>
      </c>
      <c r="J6" s="13" t="s">
        <v>90</v>
      </c>
      <c r="K6" s="37">
        <f>I6*'Cell parameters'!H80*2/1000</f>
        <v>245.0638265875719</v>
      </c>
      <c r="M6" s="17">
        <f t="shared" si="0"/>
        <v>34.999999999999993</v>
      </c>
      <c r="N6" s="17">
        <f t="shared" si="0"/>
        <v>0</v>
      </c>
      <c r="O6" s="17">
        <f>$K$9</f>
        <v>142.95389884275025</v>
      </c>
      <c r="P6" s="31">
        <f t="shared" si="2"/>
        <v>0.48966835159214661</v>
      </c>
      <c r="Q6" s="31">
        <f t="shared" si="3"/>
        <v>0</v>
      </c>
      <c r="S6" s="17"/>
    </row>
    <row r="7" spans="2:19" x14ac:dyDescent="0.2">
      <c r="B7" s="744"/>
      <c r="D7" s="747"/>
      <c r="E7" s="13" t="s">
        <v>93</v>
      </c>
      <c r="F7" s="16">
        <v>45</v>
      </c>
      <c r="G7" s="16">
        <v>0</v>
      </c>
      <c r="H7" s="16" t="s">
        <v>94</v>
      </c>
      <c r="I7" s="13">
        <f>80*0.75*60</f>
        <v>3600</v>
      </c>
      <c r="J7" s="13" t="s">
        <v>90</v>
      </c>
      <c r="K7" s="37">
        <f>I7*'Cell parameters'!H80*2/1000</f>
        <v>612.65956646892971</v>
      </c>
      <c r="M7" s="17">
        <f t="shared" si="0"/>
        <v>10.5</v>
      </c>
      <c r="N7" s="17">
        <f t="shared" si="0"/>
        <v>0</v>
      </c>
      <c r="O7" s="17">
        <f t="shared" si="1"/>
        <v>142.95389884275025</v>
      </c>
      <c r="P7" s="31">
        <f t="shared" si="2"/>
        <v>0.14690050547764399</v>
      </c>
      <c r="Q7" s="31">
        <f t="shared" si="3"/>
        <v>0</v>
      </c>
      <c r="S7" s="17"/>
    </row>
    <row r="8" spans="2:19" x14ac:dyDescent="0.2">
      <c r="B8" s="744"/>
      <c r="D8" s="748"/>
      <c r="E8" s="19" t="s">
        <v>95</v>
      </c>
      <c r="F8" s="20">
        <v>5</v>
      </c>
      <c r="G8" s="20">
        <v>210</v>
      </c>
      <c r="H8" s="20" t="s">
        <v>96</v>
      </c>
      <c r="I8" s="19">
        <f>3*4*4900*0.8/24</f>
        <v>1960</v>
      </c>
      <c r="J8" s="19" t="s">
        <v>90</v>
      </c>
      <c r="K8" s="38">
        <f>I8*'Cell parameters'!H80*2/1000</f>
        <v>333.55909729975065</v>
      </c>
      <c r="L8" s="19"/>
      <c r="M8" s="21">
        <f t="shared" si="0"/>
        <v>2.1428571428571423</v>
      </c>
      <c r="N8" s="21">
        <f t="shared" si="0"/>
        <v>89.999999999999972</v>
      </c>
      <c r="O8" s="21">
        <f t="shared" si="1"/>
        <v>142.95389884275025</v>
      </c>
      <c r="P8" s="32">
        <f t="shared" si="2"/>
        <v>2.9979694995437546E-2</v>
      </c>
      <c r="Q8" s="32">
        <f t="shared" si="3"/>
        <v>1.2591471898083768</v>
      </c>
      <c r="S8" s="17"/>
    </row>
    <row r="9" spans="2:19" x14ac:dyDescent="0.2">
      <c r="B9" s="744"/>
      <c r="D9" s="749" t="s">
        <v>97</v>
      </c>
      <c r="E9" s="13" t="s">
        <v>98</v>
      </c>
      <c r="F9" s="28">
        <v>25</v>
      </c>
      <c r="G9" s="28">
        <v>0</v>
      </c>
      <c r="I9" s="34">
        <v>840</v>
      </c>
      <c r="J9" s="13" t="s">
        <v>90</v>
      </c>
      <c r="K9" s="39">
        <f>I9*'Cell parameters'!H80*2/1000</f>
        <v>142.95389884275025</v>
      </c>
      <c r="M9" s="17">
        <f>$K$9*F9/$K9</f>
        <v>25</v>
      </c>
      <c r="N9" s="17">
        <f t="shared" si="0"/>
        <v>0</v>
      </c>
      <c r="O9" s="17">
        <f t="shared" si="1"/>
        <v>142.95389884275025</v>
      </c>
      <c r="P9" s="31">
        <f>M9/O9</f>
        <v>0.17488155414005238</v>
      </c>
      <c r="Q9" s="31">
        <f>N9/O9</f>
        <v>0</v>
      </c>
      <c r="S9" s="17"/>
    </row>
    <row r="10" spans="2:19" x14ac:dyDescent="0.2">
      <c r="B10" s="744"/>
      <c r="D10" s="750"/>
      <c r="E10" s="13" t="s">
        <v>99</v>
      </c>
      <c r="F10" s="18">
        <v>160</v>
      </c>
      <c r="G10" s="18">
        <v>0</v>
      </c>
      <c r="I10" s="34">
        <v>840</v>
      </c>
      <c r="J10" s="13" t="s">
        <v>90</v>
      </c>
      <c r="K10" s="37">
        <f>I10*'Cell parameters'!H80*2/1000</f>
        <v>142.95389884275025</v>
      </c>
      <c r="M10" s="17">
        <f t="shared" si="0"/>
        <v>160</v>
      </c>
      <c r="N10" s="17">
        <f t="shared" si="0"/>
        <v>0</v>
      </c>
      <c r="O10" s="17">
        <f t="shared" si="1"/>
        <v>142.95389884275025</v>
      </c>
      <c r="P10" s="31">
        <f t="shared" ref="P10:P17" si="4">M10/O10</f>
        <v>1.1192419464963352</v>
      </c>
      <c r="Q10" s="31">
        <f t="shared" ref="Q10:Q16" si="5">N10/O10</f>
        <v>0</v>
      </c>
      <c r="S10" s="17"/>
    </row>
    <row r="11" spans="2:19" x14ac:dyDescent="0.2">
      <c r="B11" s="744"/>
      <c r="D11" s="751"/>
      <c r="E11" s="19" t="s">
        <v>100</v>
      </c>
      <c r="F11" s="36">
        <v>200</v>
      </c>
      <c r="G11" s="36">
        <v>0</v>
      </c>
      <c r="H11" s="20"/>
      <c r="I11" s="35">
        <v>840</v>
      </c>
      <c r="J11" s="19" t="s">
        <v>90</v>
      </c>
      <c r="K11" s="38">
        <f>I11*'Cell parameters'!H80*2/1000</f>
        <v>142.95389884275025</v>
      </c>
      <c r="L11" s="19"/>
      <c r="M11" s="21">
        <f t="shared" si="0"/>
        <v>200</v>
      </c>
      <c r="N11" s="21">
        <f t="shared" si="0"/>
        <v>0</v>
      </c>
      <c r="O11" s="21">
        <f t="shared" si="1"/>
        <v>142.95389884275025</v>
      </c>
      <c r="P11" s="32">
        <f t="shared" si="4"/>
        <v>1.399052433120419</v>
      </c>
      <c r="Q11" s="32">
        <f t="shared" si="5"/>
        <v>0</v>
      </c>
      <c r="S11" s="17"/>
    </row>
    <row r="12" spans="2:19" x14ac:dyDescent="0.2">
      <c r="B12" s="744"/>
      <c r="D12" s="747" t="s">
        <v>101</v>
      </c>
      <c r="E12" s="13" t="s">
        <v>102</v>
      </c>
      <c r="F12" s="18">
        <v>0</v>
      </c>
      <c r="G12" s="18">
        <v>25</v>
      </c>
      <c r="H12" s="16" t="s">
        <v>520</v>
      </c>
      <c r="I12" s="34">
        <v>840</v>
      </c>
      <c r="J12" s="13" t="s">
        <v>90</v>
      </c>
      <c r="K12" s="37">
        <f>I12*'Cell parameters'!H80*2/1000</f>
        <v>142.95389884275025</v>
      </c>
      <c r="M12" s="17">
        <f t="shared" si="0"/>
        <v>0</v>
      </c>
      <c r="N12" s="17">
        <f t="shared" si="0"/>
        <v>25</v>
      </c>
      <c r="O12" s="17">
        <f t="shared" si="1"/>
        <v>142.95389884275025</v>
      </c>
      <c r="P12" s="31">
        <f t="shared" si="4"/>
        <v>0</v>
      </c>
      <c r="Q12" s="31">
        <f t="shared" si="5"/>
        <v>0.17488155414005238</v>
      </c>
      <c r="S12" s="17"/>
    </row>
    <row r="13" spans="2:19" ht="12.75" customHeight="1" x14ac:dyDescent="0.2">
      <c r="B13" s="744"/>
      <c r="D13" s="747"/>
      <c r="E13" s="13" t="s">
        <v>103</v>
      </c>
      <c r="F13" s="18">
        <v>1000</v>
      </c>
      <c r="G13" s="18">
        <v>0</v>
      </c>
      <c r="H13" s="16" t="s">
        <v>521</v>
      </c>
      <c r="I13" s="34">
        <f>1000/5*0.55*'Cell parameters'!H7</f>
        <v>646.36222410163361</v>
      </c>
      <c r="J13" s="13" t="s">
        <v>90</v>
      </c>
      <c r="K13" s="37">
        <f>I13*'Cell parameters'!H80*2/1000</f>
        <v>110.00000000000001</v>
      </c>
      <c r="M13" s="17">
        <f t="shared" si="0"/>
        <v>1299.5808985704568</v>
      </c>
      <c r="N13" s="17">
        <f t="shared" si="0"/>
        <v>0</v>
      </c>
      <c r="O13" s="17">
        <f t="shared" si="1"/>
        <v>142.95389884275025</v>
      </c>
      <c r="P13" s="31">
        <f t="shared" si="4"/>
        <v>9.0909090909090917</v>
      </c>
      <c r="Q13" s="31">
        <f t="shared" si="5"/>
        <v>0</v>
      </c>
      <c r="S13" s="17"/>
    </row>
    <row r="14" spans="2:19" x14ac:dyDescent="0.2">
      <c r="B14" s="744"/>
      <c r="D14" s="747"/>
      <c r="E14" s="13" t="s">
        <v>104</v>
      </c>
      <c r="F14" s="18">
        <v>0</v>
      </c>
      <c r="G14" s="18">
        <v>40</v>
      </c>
      <c r="H14" s="16" t="s">
        <v>522</v>
      </c>
      <c r="I14" s="34">
        <v>840</v>
      </c>
      <c r="J14" s="13" t="s">
        <v>90</v>
      </c>
      <c r="K14" s="37">
        <f>I14*'Cell parameters'!H80*2/1000</f>
        <v>142.95389884275025</v>
      </c>
      <c r="M14" s="17">
        <f t="shared" si="0"/>
        <v>0</v>
      </c>
      <c r="N14" s="17">
        <f t="shared" si="0"/>
        <v>40</v>
      </c>
      <c r="O14" s="17">
        <f t="shared" si="1"/>
        <v>142.95389884275025</v>
      </c>
      <c r="P14" s="31">
        <f t="shared" si="4"/>
        <v>0</v>
      </c>
      <c r="Q14" s="31">
        <f t="shared" si="5"/>
        <v>0.27981048662408381</v>
      </c>
      <c r="S14" s="17"/>
    </row>
    <row r="15" spans="2:19" x14ac:dyDescent="0.2">
      <c r="B15" s="744"/>
      <c r="D15" s="748"/>
      <c r="E15" s="19" t="s">
        <v>105</v>
      </c>
      <c r="F15" s="29">
        <v>100</v>
      </c>
      <c r="G15" s="29">
        <v>0</v>
      </c>
      <c r="H15" s="20"/>
      <c r="I15" s="35">
        <v>840</v>
      </c>
      <c r="J15" s="19" t="s">
        <v>90</v>
      </c>
      <c r="K15" s="38">
        <f>I15*'Cell parameters'!H80*2/1000</f>
        <v>142.95389884275025</v>
      </c>
      <c r="M15" s="21">
        <f t="shared" si="0"/>
        <v>100</v>
      </c>
      <c r="N15" s="21">
        <f t="shared" si="0"/>
        <v>0</v>
      </c>
      <c r="O15" s="21">
        <f t="shared" si="1"/>
        <v>142.95389884275025</v>
      </c>
      <c r="P15" s="32">
        <f t="shared" si="4"/>
        <v>0.69952621656020952</v>
      </c>
      <c r="Q15" s="32">
        <f t="shared" si="5"/>
        <v>0</v>
      </c>
      <c r="S15" s="17"/>
    </row>
    <row r="16" spans="2:19" x14ac:dyDescent="0.2">
      <c r="B16" s="744"/>
      <c r="D16" s="749" t="s">
        <v>106</v>
      </c>
      <c r="E16" s="13" t="s">
        <v>107</v>
      </c>
      <c r="F16" s="30">
        <v>200</v>
      </c>
      <c r="G16" s="30">
        <v>0</v>
      </c>
      <c r="I16" s="34"/>
      <c r="K16" s="17"/>
      <c r="M16" s="13">
        <f>F16</f>
        <v>200</v>
      </c>
      <c r="N16" s="13">
        <f>G16</f>
        <v>0</v>
      </c>
      <c r="O16" s="17">
        <f t="shared" si="1"/>
        <v>142.95389884275025</v>
      </c>
      <c r="P16" s="31">
        <f>M16/O16</f>
        <v>1.399052433120419</v>
      </c>
      <c r="Q16" s="31">
        <f t="shared" si="5"/>
        <v>0</v>
      </c>
      <c r="S16" s="17"/>
    </row>
    <row r="17" spans="2:19" x14ac:dyDescent="0.2">
      <c r="B17" s="744"/>
      <c r="D17" s="750"/>
      <c r="E17" s="13" t="s">
        <v>108</v>
      </c>
      <c r="F17" s="16">
        <v>163</v>
      </c>
      <c r="G17" s="16">
        <v>913</v>
      </c>
      <c r="H17" s="16" t="s">
        <v>109</v>
      </c>
      <c r="I17" s="34"/>
      <c r="K17" s="17"/>
      <c r="M17" s="13">
        <f>F17</f>
        <v>163</v>
      </c>
      <c r="N17" s="13">
        <f>G17</f>
        <v>913</v>
      </c>
      <c r="O17" s="17">
        <f t="shared" si="1"/>
        <v>142.95389884275025</v>
      </c>
      <c r="P17" s="31">
        <f t="shared" si="4"/>
        <v>1.1402277329931416</v>
      </c>
      <c r="Q17" s="31">
        <f>N17/O17</f>
        <v>6.3866743571947131</v>
      </c>
      <c r="S17" s="17"/>
    </row>
    <row r="18" spans="2:19" x14ac:dyDescent="0.2">
      <c r="B18" s="744"/>
      <c r="D18" s="750"/>
      <c r="E18" s="13" t="s">
        <v>110</v>
      </c>
      <c r="F18" s="16"/>
      <c r="G18" s="16"/>
      <c r="I18" s="34"/>
      <c r="K18" s="17"/>
      <c r="O18" s="17"/>
      <c r="P18" s="17"/>
      <c r="Q18" s="17"/>
    </row>
    <row r="19" spans="2:19" x14ac:dyDescent="0.2">
      <c r="B19" s="744"/>
      <c r="D19" s="23"/>
      <c r="F19" s="22"/>
      <c r="G19" s="22"/>
      <c r="M19" s="24" t="s">
        <v>111</v>
      </c>
      <c r="N19" s="25">
        <f>SUM(M4:N17)</f>
        <v>3871.6430999966642</v>
      </c>
      <c r="O19" s="24" t="s">
        <v>112</v>
      </c>
      <c r="P19" s="24">
        <f>SUM(P4:P18)</f>
        <v>16.506757217014108</v>
      </c>
      <c r="Q19" s="24">
        <f>SUM(Q4:Q18)</f>
        <v>15.795301969929529</v>
      </c>
    </row>
    <row r="20" spans="2:19" ht="13.5" thickBot="1" x14ac:dyDescent="0.25">
      <c r="B20" s="744"/>
      <c r="D20" s="23"/>
      <c r="F20" s="22"/>
      <c r="G20" s="22"/>
      <c r="P20" s="24"/>
      <c r="Q20" s="26">
        <f>P19+Q19</f>
        <v>32.302059186943637</v>
      </c>
    </row>
    <row r="21" spans="2:19" ht="13.5" thickTop="1" x14ac:dyDescent="0.2">
      <c r="D21" s="27"/>
    </row>
    <row r="23" spans="2:19" x14ac:dyDescent="0.2">
      <c r="F23" s="743" t="s">
        <v>73</v>
      </c>
      <c r="G23" s="743"/>
      <c r="H23" s="743"/>
      <c r="I23" s="743"/>
      <c r="J23" s="743"/>
      <c r="K23" s="743"/>
      <c r="M23" s="743" t="s">
        <v>74</v>
      </c>
      <c r="N23" s="743"/>
      <c r="O23" s="743"/>
      <c r="P23" s="743"/>
      <c r="Q23" s="743"/>
    </row>
    <row r="24" spans="2:19" ht="67.5" customHeight="1" thickBot="1" x14ac:dyDescent="0.3">
      <c r="B24" s="744" t="s">
        <v>523</v>
      </c>
      <c r="D24" s="14" t="s">
        <v>76</v>
      </c>
      <c r="E24" s="15" t="s">
        <v>77</v>
      </c>
      <c r="F24" s="182" t="s">
        <v>78</v>
      </c>
      <c r="G24" s="182" t="s">
        <v>383</v>
      </c>
      <c r="H24" s="182" t="s">
        <v>79</v>
      </c>
      <c r="I24" s="745" t="s">
        <v>80</v>
      </c>
      <c r="J24" s="745"/>
      <c r="K24" s="182" t="s">
        <v>81</v>
      </c>
      <c r="M24" s="182" t="s">
        <v>82</v>
      </c>
      <c r="N24" s="182" t="s">
        <v>384</v>
      </c>
      <c r="O24" s="182" t="s">
        <v>81</v>
      </c>
      <c r="P24" s="182" t="s">
        <v>83</v>
      </c>
      <c r="Q24" s="182" t="s">
        <v>385</v>
      </c>
    </row>
    <row r="25" spans="2:19" x14ac:dyDescent="0.2">
      <c r="B25" s="744"/>
      <c r="D25" s="746" t="s">
        <v>84</v>
      </c>
      <c r="E25" s="13" t="s">
        <v>85</v>
      </c>
      <c r="F25" s="18">
        <f>45*2/3*2/3</f>
        <v>20</v>
      </c>
      <c r="G25" s="18">
        <v>0</v>
      </c>
      <c r="H25" s="18" t="s">
        <v>86</v>
      </c>
      <c r="I25" s="13">
        <v>250</v>
      </c>
      <c r="J25" s="13" t="s">
        <v>87</v>
      </c>
      <c r="K25" s="37">
        <f>I25*'Cell parameters'!I5*'Cell parameters'!I37*('Cell parameters'!I34*1000)*('Cell parameters'!I48/1000)*'Cell parameters'!I4/1000</f>
        <v>343.197</v>
      </c>
      <c r="M25" s="17">
        <f>$K$9*F25/$K25</f>
        <v>8.3307196066836404</v>
      </c>
      <c r="N25" s="17">
        <f t="shared" ref="N25:N36" si="6">$K$9*G25/$K25</f>
        <v>0</v>
      </c>
      <c r="O25" s="17">
        <f>$K$9</f>
        <v>142.95389884275025</v>
      </c>
      <c r="P25" s="31">
        <f>2*M25/O25</f>
        <v>0.11655113535374728</v>
      </c>
      <c r="Q25" s="31">
        <f>2*N25/O25</f>
        <v>0</v>
      </c>
      <c r="S25" s="17"/>
    </row>
    <row r="26" spans="2:19" x14ac:dyDescent="0.2">
      <c r="B26" s="744"/>
      <c r="D26" s="747"/>
      <c r="E26" s="13" t="s">
        <v>88</v>
      </c>
      <c r="F26" s="16">
        <v>75</v>
      </c>
      <c r="G26" s="16">
        <v>825</v>
      </c>
      <c r="H26" s="16" t="s">
        <v>89</v>
      </c>
      <c r="I26" s="13">
        <f>30*0.7*60</f>
        <v>1260</v>
      </c>
      <c r="J26" s="13" t="s">
        <v>90</v>
      </c>
      <c r="K26" s="37">
        <f>I26*'Cell parameters'!I80*2/1000</f>
        <v>419.53861616894091</v>
      </c>
      <c r="M26" s="17">
        <f t="shared" ref="M26:M29" si="7">$K$9*F26/$K26</f>
        <v>25.555555555555557</v>
      </c>
      <c r="N26" s="17">
        <f t="shared" si="6"/>
        <v>281.11111111111114</v>
      </c>
      <c r="O26" s="17">
        <f t="shared" ref="O26:O38" si="8">$K$9</f>
        <v>142.95389884275025</v>
      </c>
      <c r="P26" s="31">
        <f t="shared" ref="P26:P29" si="9">2*M26/O26</f>
        <v>0.35753562179744047</v>
      </c>
      <c r="Q26" s="31">
        <f t="shared" ref="Q26:Q29" si="10">2*N26/O26</f>
        <v>3.9328918397718451</v>
      </c>
      <c r="S26" s="17"/>
    </row>
    <row r="27" spans="2:19" x14ac:dyDescent="0.2">
      <c r="B27" s="744"/>
      <c r="D27" s="747"/>
      <c r="E27" s="13" t="s">
        <v>91</v>
      </c>
      <c r="F27" s="16">
        <v>60</v>
      </c>
      <c r="G27" s="16">
        <v>0</v>
      </c>
      <c r="H27" s="16" t="s">
        <v>92</v>
      </c>
      <c r="I27" s="13">
        <f>30*0.8*60</f>
        <v>1440</v>
      </c>
      <c r="J27" s="13" t="s">
        <v>90</v>
      </c>
      <c r="K27" s="37">
        <f>I27*'Cell parameters'!I80*2/1000</f>
        <v>479.47270419307534</v>
      </c>
      <c r="M27" s="17">
        <f t="shared" si="7"/>
        <v>17.888888888888889</v>
      </c>
      <c r="N27" s="17">
        <f t="shared" si="6"/>
        <v>0</v>
      </c>
      <c r="O27" s="17">
        <f t="shared" si="8"/>
        <v>142.95389884275025</v>
      </c>
      <c r="P27" s="31">
        <f t="shared" si="9"/>
        <v>0.25027493525820832</v>
      </c>
      <c r="Q27" s="31">
        <f t="shared" si="10"/>
        <v>0</v>
      </c>
      <c r="S27" s="17"/>
    </row>
    <row r="28" spans="2:19" x14ac:dyDescent="0.2">
      <c r="B28" s="744"/>
      <c r="D28" s="747"/>
      <c r="E28" s="13" t="s">
        <v>93</v>
      </c>
      <c r="F28" s="16">
        <v>45</v>
      </c>
      <c r="G28" s="16">
        <v>0</v>
      </c>
      <c r="H28" s="16" t="s">
        <v>94</v>
      </c>
      <c r="I28" s="13">
        <f>80*0.75*60</f>
        <v>3600</v>
      </c>
      <c r="J28" s="13" t="s">
        <v>90</v>
      </c>
      <c r="K28" s="37">
        <f>I28*'Cell parameters'!I80*2/1000</f>
        <v>1198.6817604826883</v>
      </c>
      <c r="M28" s="17">
        <f t="shared" si="7"/>
        <v>5.3666666666666671</v>
      </c>
      <c r="N28" s="17">
        <f t="shared" si="6"/>
        <v>0</v>
      </c>
      <c r="O28" s="17">
        <f t="shared" si="8"/>
        <v>142.95389884275025</v>
      </c>
      <c r="P28" s="31">
        <f t="shared" si="9"/>
        <v>7.5082480577462501E-2</v>
      </c>
      <c r="Q28" s="31">
        <f t="shared" si="10"/>
        <v>0</v>
      </c>
      <c r="S28" s="17"/>
    </row>
    <row r="29" spans="2:19" x14ac:dyDescent="0.2">
      <c r="B29" s="744"/>
      <c r="D29" s="748"/>
      <c r="E29" s="19" t="s">
        <v>95</v>
      </c>
      <c r="F29" s="20">
        <v>5</v>
      </c>
      <c r="G29" s="20">
        <v>210</v>
      </c>
      <c r="H29" s="20" t="s">
        <v>96</v>
      </c>
      <c r="I29" s="19">
        <f>3*4*4900*0.8/24</f>
        <v>1960</v>
      </c>
      <c r="J29" s="19" t="s">
        <v>90</v>
      </c>
      <c r="K29" s="38">
        <f>I29*'Cell parameters'!I80*2/1000</f>
        <v>652.61562515168589</v>
      </c>
      <c r="L29" s="19"/>
      <c r="M29" s="21">
        <f t="shared" si="7"/>
        <v>1.0952380952380953</v>
      </c>
      <c r="N29" s="21">
        <f t="shared" si="6"/>
        <v>46</v>
      </c>
      <c r="O29" s="21">
        <f t="shared" si="8"/>
        <v>142.95389884275025</v>
      </c>
      <c r="P29" s="32">
        <f t="shared" si="9"/>
        <v>1.5322955219890307E-2</v>
      </c>
      <c r="Q29" s="32">
        <f t="shared" si="10"/>
        <v>0.64356411923539281</v>
      </c>
      <c r="S29" s="17"/>
    </row>
    <row r="30" spans="2:19" x14ac:dyDescent="0.2">
      <c r="B30" s="744"/>
      <c r="D30" s="749" t="s">
        <v>97</v>
      </c>
      <c r="E30" s="13" t="s">
        <v>98</v>
      </c>
      <c r="F30" s="28">
        <v>25</v>
      </c>
      <c r="G30" s="28">
        <v>0</v>
      </c>
      <c r="I30" s="34">
        <v>840</v>
      </c>
      <c r="J30" s="13" t="s">
        <v>90</v>
      </c>
      <c r="K30" s="39">
        <f>I30*'Cell parameters'!I80*2/1000</f>
        <v>279.69241077929399</v>
      </c>
      <c r="M30" s="17">
        <f>$K$9*F30/$K30</f>
        <v>12.777777777777775</v>
      </c>
      <c r="N30" s="17">
        <f t="shared" si="6"/>
        <v>0</v>
      </c>
      <c r="O30" s="17">
        <f t="shared" si="8"/>
        <v>142.95389884275025</v>
      </c>
      <c r="P30" s="31">
        <f>M30/O30</f>
        <v>8.938390544936009E-2</v>
      </c>
      <c r="Q30" s="31">
        <f>N30/O30</f>
        <v>0</v>
      </c>
      <c r="S30" s="17"/>
    </row>
    <row r="31" spans="2:19" x14ac:dyDescent="0.2">
      <c r="B31" s="744"/>
      <c r="D31" s="750"/>
      <c r="E31" s="13" t="s">
        <v>99</v>
      </c>
      <c r="F31" s="18">
        <v>160</v>
      </c>
      <c r="G31" s="18">
        <v>0</v>
      </c>
      <c r="I31" s="34">
        <v>840</v>
      </c>
      <c r="J31" s="13" t="s">
        <v>90</v>
      </c>
      <c r="K31" s="37">
        <f>I31*'Cell parameters'!I80*2/1000</f>
        <v>279.69241077929399</v>
      </c>
      <c r="M31" s="17">
        <f t="shared" ref="M31:M36" si="11">$K$9*F31/$K31</f>
        <v>81.777777777777771</v>
      </c>
      <c r="N31" s="17">
        <f t="shared" si="6"/>
        <v>0</v>
      </c>
      <c r="O31" s="17">
        <f t="shared" si="8"/>
        <v>142.95389884275025</v>
      </c>
      <c r="P31" s="31">
        <f t="shared" ref="P31:P36" si="12">M31/O31</f>
        <v>0.57205699487590467</v>
      </c>
      <c r="Q31" s="31">
        <f t="shared" ref="Q31:Q38" si="13">N31/O31</f>
        <v>0</v>
      </c>
      <c r="S31" s="17"/>
    </row>
    <row r="32" spans="2:19" x14ac:dyDescent="0.2">
      <c r="B32" s="744"/>
      <c r="D32" s="751"/>
      <c r="E32" s="19" t="s">
        <v>100</v>
      </c>
      <c r="F32" s="36">
        <v>200</v>
      </c>
      <c r="G32" s="36">
        <v>0</v>
      </c>
      <c r="H32" s="20"/>
      <c r="I32" s="35">
        <v>840</v>
      </c>
      <c r="J32" s="19" t="s">
        <v>90</v>
      </c>
      <c r="K32" s="38">
        <f>I32*'Cell parameters'!I80*2/1000</f>
        <v>279.69241077929399</v>
      </c>
      <c r="L32" s="19"/>
      <c r="M32" s="21">
        <f t="shared" si="11"/>
        <v>102.2222222222222</v>
      </c>
      <c r="N32" s="21">
        <f t="shared" si="6"/>
        <v>0</v>
      </c>
      <c r="O32" s="21">
        <f t="shared" si="8"/>
        <v>142.95389884275025</v>
      </c>
      <c r="P32" s="32">
        <f t="shared" si="12"/>
        <v>0.71507124359488072</v>
      </c>
      <c r="Q32" s="32">
        <f t="shared" si="13"/>
        <v>0</v>
      </c>
      <c r="S32" s="17"/>
    </row>
    <row r="33" spans="2:19" x14ac:dyDescent="0.2">
      <c r="B33" s="744"/>
      <c r="D33" s="747" t="s">
        <v>101</v>
      </c>
      <c r="E33" s="13" t="s">
        <v>102</v>
      </c>
      <c r="F33" s="18">
        <v>0</v>
      </c>
      <c r="G33" s="18">
        <v>25</v>
      </c>
      <c r="H33" s="16" t="s">
        <v>520</v>
      </c>
      <c r="I33" s="34">
        <v>840</v>
      </c>
      <c r="J33" s="13" t="s">
        <v>90</v>
      </c>
      <c r="K33" s="37">
        <f>I33*'Cell parameters'!I80*2/1000</f>
        <v>279.69241077929399</v>
      </c>
      <c r="M33" s="17">
        <f t="shared" si="11"/>
        <v>0</v>
      </c>
      <c r="N33" s="17">
        <f t="shared" si="6"/>
        <v>12.777777777777775</v>
      </c>
      <c r="O33" s="17">
        <f t="shared" si="8"/>
        <v>142.95389884275025</v>
      </c>
      <c r="P33" s="31">
        <f t="shared" si="12"/>
        <v>0</v>
      </c>
      <c r="Q33" s="31">
        <f t="shared" si="13"/>
        <v>8.938390544936009E-2</v>
      </c>
      <c r="S33" s="17"/>
    </row>
    <row r="34" spans="2:19" x14ac:dyDescent="0.2">
      <c r="B34" s="744"/>
      <c r="D34" s="747"/>
      <c r="E34" s="13" t="s">
        <v>103</v>
      </c>
      <c r="F34" s="18">
        <v>1000</v>
      </c>
      <c r="G34" s="18">
        <v>0</v>
      </c>
      <c r="H34" s="16" t="s">
        <v>521</v>
      </c>
      <c r="I34" s="34">
        <f>1000/5*0.55*'Cell parameters'!I7</f>
        <v>330.36291454083505</v>
      </c>
      <c r="J34" s="13" t="s">
        <v>90</v>
      </c>
      <c r="K34" s="37">
        <f>I34*'Cell parameters'!I80*2/1000</f>
        <v>110.00000000000003</v>
      </c>
      <c r="M34" s="17">
        <f t="shared" si="11"/>
        <v>1299.5808985704566</v>
      </c>
      <c r="N34" s="17">
        <f t="shared" si="6"/>
        <v>0</v>
      </c>
      <c r="O34" s="17">
        <f t="shared" si="8"/>
        <v>142.95389884275025</v>
      </c>
      <c r="P34" s="31">
        <f t="shared" si="12"/>
        <v>9.0909090909090899</v>
      </c>
      <c r="Q34" s="31">
        <f t="shared" si="13"/>
        <v>0</v>
      </c>
      <c r="S34" s="17"/>
    </row>
    <row r="35" spans="2:19" x14ac:dyDescent="0.2">
      <c r="B35" s="744"/>
      <c r="D35" s="747"/>
      <c r="E35" s="13" t="s">
        <v>104</v>
      </c>
      <c r="F35" s="18">
        <v>0</v>
      </c>
      <c r="G35" s="18">
        <v>40</v>
      </c>
      <c r="H35" s="16" t="s">
        <v>522</v>
      </c>
      <c r="I35" s="34">
        <v>840</v>
      </c>
      <c r="J35" s="13" t="s">
        <v>90</v>
      </c>
      <c r="K35" s="37">
        <f>I35*'Cell parameters'!I80*2/1000</f>
        <v>279.69241077929399</v>
      </c>
      <c r="M35" s="17">
        <f t="shared" si="11"/>
        <v>0</v>
      </c>
      <c r="N35" s="17">
        <f t="shared" si="6"/>
        <v>20.444444444444443</v>
      </c>
      <c r="O35" s="17">
        <f t="shared" si="8"/>
        <v>142.95389884275025</v>
      </c>
      <c r="P35" s="31">
        <f t="shared" si="12"/>
        <v>0</v>
      </c>
      <c r="Q35" s="31">
        <f t="shared" si="13"/>
        <v>0.14301424871897617</v>
      </c>
      <c r="S35" s="17"/>
    </row>
    <row r="36" spans="2:19" x14ac:dyDescent="0.2">
      <c r="B36" s="744"/>
      <c r="D36" s="748"/>
      <c r="E36" s="19" t="s">
        <v>105</v>
      </c>
      <c r="F36" s="29">
        <v>100</v>
      </c>
      <c r="G36" s="29">
        <v>0</v>
      </c>
      <c r="H36" s="20"/>
      <c r="I36" s="35">
        <v>840</v>
      </c>
      <c r="J36" s="19" t="s">
        <v>90</v>
      </c>
      <c r="K36" s="38">
        <f>I36*'Cell parameters'!I80*2/1000</f>
        <v>279.69241077929399</v>
      </c>
      <c r="M36" s="21">
        <f t="shared" si="11"/>
        <v>51.1111111111111</v>
      </c>
      <c r="N36" s="21">
        <f t="shared" si="6"/>
        <v>0</v>
      </c>
      <c r="O36" s="21">
        <f t="shared" si="8"/>
        <v>142.95389884275025</v>
      </c>
      <c r="P36" s="32">
        <f t="shared" si="12"/>
        <v>0.35753562179744036</v>
      </c>
      <c r="Q36" s="32">
        <f t="shared" si="13"/>
        <v>0</v>
      </c>
      <c r="S36" s="17"/>
    </row>
    <row r="37" spans="2:19" x14ac:dyDescent="0.2">
      <c r="B37" s="744"/>
      <c r="D37" s="749" t="s">
        <v>106</v>
      </c>
      <c r="E37" s="13" t="s">
        <v>107</v>
      </c>
      <c r="F37" s="30">
        <v>200</v>
      </c>
      <c r="G37" s="30">
        <v>0</v>
      </c>
      <c r="I37" s="34"/>
      <c r="K37" s="17"/>
      <c r="M37" s="13">
        <f>F37</f>
        <v>200</v>
      </c>
      <c r="N37" s="13">
        <f>G37</f>
        <v>0</v>
      </c>
      <c r="O37" s="17">
        <f t="shared" si="8"/>
        <v>142.95389884275025</v>
      </c>
      <c r="P37" s="31">
        <f>M37/O37</f>
        <v>1.399052433120419</v>
      </c>
      <c r="Q37" s="31">
        <f t="shared" si="13"/>
        <v>0</v>
      </c>
      <c r="S37" s="17"/>
    </row>
    <row r="38" spans="2:19" x14ac:dyDescent="0.2">
      <c r="B38" s="744"/>
      <c r="D38" s="750"/>
      <c r="E38" s="13" t="s">
        <v>108</v>
      </c>
      <c r="F38" s="16">
        <v>163</v>
      </c>
      <c r="G38" s="16">
        <v>913</v>
      </c>
      <c r="H38" s="16" t="s">
        <v>109</v>
      </c>
      <c r="I38" s="34"/>
      <c r="K38" s="17"/>
      <c r="M38" s="13">
        <f>F38</f>
        <v>163</v>
      </c>
      <c r="N38" s="13">
        <f>G38</f>
        <v>913</v>
      </c>
      <c r="O38" s="17">
        <f t="shared" si="8"/>
        <v>142.95389884275025</v>
      </c>
      <c r="P38" s="31">
        <f t="shared" ref="P38" si="14">M38/O38</f>
        <v>1.1402277329931416</v>
      </c>
      <c r="Q38" s="31">
        <f t="shared" si="13"/>
        <v>6.3866743571947131</v>
      </c>
      <c r="S38" s="17"/>
    </row>
    <row r="39" spans="2:19" x14ac:dyDescent="0.2">
      <c r="B39" s="744"/>
      <c r="D39" s="750"/>
      <c r="E39" s="13" t="s">
        <v>110</v>
      </c>
      <c r="F39" s="16"/>
      <c r="G39" s="16"/>
      <c r="I39" s="34"/>
      <c r="K39" s="17"/>
      <c r="O39" s="17"/>
      <c r="P39" s="17"/>
      <c r="Q39" s="17"/>
    </row>
    <row r="40" spans="2:19" x14ac:dyDescent="0.2">
      <c r="B40" s="744"/>
      <c r="D40" s="23"/>
      <c r="F40" s="22"/>
      <c r="G40" s="22"/>
      <c r="M40" s="24" t="s">
        <v>111</v>
      </c>
      <c r="N40" s="25">
        <f>SUM(M25:N38)</f>
        <v>3242.0401896057119</v>
      </c>
      <c r="O40" s="24" t="s">
        <v>112</v>
      </c>
      <c r="P40" s="25">
        <f>SUM(P25:P39)</f>
        <v>14.179004150946986</v>
      </c>
      <c r="Q40" s="25">
        <f>SUM(Q25:Q39)</f>
        <v>11.195528470370288</v>
      </c>
    </row>
    <row r="41" spans="2:19" ht="13.5" thickBot="1" x14ac:dyDescent="0.25">
      <c r="B41" s="744"/>
      <c r="D41" s="23"/>
      <c r="F41" s="22"/>
      <c r="G41" s="22"/>
      <c r="P41" s="24"/>
      <c r="Q41" s="51">
        <f>P40+Q40</f>
        <v>25.374532621317272</v>
      </c>
    </row>
    <row r="42" spans="2:19" ht="13.5" thickTop="1" x14ac:dyDescent="0.2"/>
  </sheetData>
  <mergeCells count="16">
    <mergeCell ref="F2:K2"/>
    <mergeCell ref="M2:Q2"/>
    <mergeCell ref="B3:B20"/>
    <mergeCell ref="I3:J3"/>
    <mergeCell ref="D4:D8"/>
    <mergeCell ref="D9:D11"/>
    <mergeCell ref="D12:D15"/>
    <mergeCell ref="D16:D18"/>
    <mergeCell ref="F23:K23"/>
    <mergeCell ref="M23:Q23"/>
    <mergeCell ref="B24:B41"/>
    <mergeCell ref="I24:J24"/>
    <mergeCell ref="D25:D29"/>
    <mergeCell ref="D30:D32"/>
    <mergeCell ref="D33:D36"/>
    <mergeCell ref="D37:D39"/>
  </mergeCell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5A73E-BA31-432A-AAFE-6F7D99EB458B}">
  <sheetPr>
    <tabColor theme="4"/>
  </sheetPr>
  <dimension ref="B2:S42"/>
  <sheetViews>
    <sheetView topLeftCell="E1" workbookViewId="0">
      <selection activeCell="K25" sqref="K25:K36"/>
    </sheetView>
  </sheetViews>
  <sheetFormatPr baseColWidth="10" defaultColWidth="11.42578125" defaultRowHeight="12.75" x14ac:dyDescent="0.2"/>
  <cols>
    <col min="1" max="1" width="11.42578125" style="13"/>
    <col min="2" max="2" width="3.28515625" style="13" bestFit="1" customWidth="1"/>
    <col min="3" max="3" width="2.7109375" style="13" customWidth="1"/>
    <col min="4" max="4" width="16.28515625" style="13" customWidth="1"/>
    <col min="5" max="5" width="29.140625" style="13" bestFit="1" customWidth="1"/>
    <col min="6" max="7" width="15.7109375" style="13" customWidth="1"/>
    <col min="8" max="8" width="61.7109375" style="16" bestFit="1" customWidth="1"/>
    <col min="9" max="10" width="7.7109375" style="13" customWidth="1"/>
    <col min="11" max="11" width="14.7109375" style="13" bestFit="1" customWidth="1"/>
    <col min="12" max="12" width="2.7109375" style="13" customWidth="1"/>
    <col min="13" max="17" width="15.7109375" style="13" customWidth="1"/>
    <col min="18" max="16384" width="11.42578125" style="13"/>
  </cols>
  <sheetData>
    <row r="2" spans="2:19" x14ac:dyDescent="0.2">
      <c r="F2" s="743" t="s">
        <v>73</v>
      </c>
      <c r="G2" s="743"/>
      <c r="H2" s="743"/>
      <c r="I2" s="743"/>
      <c r="J2" s="743"/>
      <c r="K2" s="743"/>
      <c r="M2" s="743" t="s">
        <v>74</v>
      </c>
      <c r="N2" s="743"/>
      <c r="O2" s="743"/>
      <c r="P2" s="743"/>
      <c r="Q2" s="743"/>
    </row>
    <row r="3" spans="2:19" ht="67.5" customHeight="1" thickBot="1" x14ac:dyDescent="0.3">
      <c r="B3" s="744" t="s">
        <v>75</v>
      </c>
      <c r="D3" s="14" t="s">
        <v>76</v>
      </c>
      <c r="E3" s="15" t="s">
        <v>77</v>
      </c>
      <c r="F3" s="182" t="s">
        <v>78</v>
      </c>
      <c r="G3" s="182" t="s">
        <v>383</v>
      </c>
      <c r="H3" s="182" t="s">
        <v>79</v>
      </c>
      <c r="I3" s="745" t="s">
        <v>80</v>
      </c>
      <c r="J3" s="745"/>
      <c r="K3" s="182" t="s">
        <v>81</v>
      </c>
      <c r="M3" s="182" t="s">
        <v>82</v>
      </c>
      <c r="N3" s="182" t="s">
        <v>384</v>
      </c>
      <c r="O3" s="182" t="s">
        <v>81</v>
      </c>
      <c r="P3" s="182" t="s">
        <v>83</v>
      </c>
      <c r="Q3" s="182" t="s">
        <v>385</v>
      </c>
    </row>
    <row r="4" spans="2:19" ht="13.9" customHeight="1" x14ac:dyDescent="0.2">
      <c r="B4" s="744"/>
      <c r="D4" s="746" t="s">
        <v>84</v>
      </c>
      <c r="E4" s="13" t="s">
        <v>85</v>
      </c>
      <c r="F4" s="18">
        <f>45*2/3*2/3</f>
        <v>20</v>
      </c>
      <c r="G4" s="18">
        <v>0</v>
      </c>
      <c r="H4" s="18" t="s">
        <v>86</v>
      </c>
      <c r="I4" s="13">
        <v>250</v>
      </c>
      <c r="J4" s="13" t="s">
        <v>87</v>
      </c>
      <c r="K4" s="37">
        <f>I4*'Cell parameters'!J5*'Cell parameters'!J37*('Cell parameters'!J34*1000)*('Cell parameters'!J48/1000)*'Cell parameters'!J4/1000</f>
        <v>434.82285000000002</v>
      </c>
      <c r="M4" s="17">
        <f t="shared" ref="M4:N8" si="0">$K$9*F4/$K4</f>
        <v>7.857651702455354</v>
      </c>
      <c r="N4" s="17">
        <f t="shared" si="0"/>
        <v>0</v>
      </c>
      <c r="O4" s="17">
        <f t="shared" ref="O4:O9" si="1">$K$9</f>
        <v>170.83432537844948</v>
      </c>
      <c r="P4" s="31">
        <f>2*M4/O4</f>
        <v>9.1991485728038433E-2</v>
      </c>
      <c r="Q4" s="31">
        <f>2*N4/O4</f>
        <v>0</v>
      </c>
      <c r="S4" s="17"/>
    </row>
    <row r="5" spans="2:19" x14ac:dyDescent="0.2">
      <c r="B5" s="744"/>
      <c r="D5" s="747"/>
      <c r="E5" s="13" t="s">
        <v>88</v>
      </c>
      <c r="F5" s="16">
        <v>75</v>
      </c>
      <c r="G5" s="16">
        <v>825</v>
      </c>
      <c r="H5" s="16" t="s">
        <v>89</v>
      </c>
      <c r="I5" s="13">
        <f>30*0.7*60</f>
        <v>1260</v>
      </c>
      <c r="J5" s="13" t="s">
        <v>90</v>
      </c>
      <c r="K5" s="37">
        <f>I5*'Cell parameters'!J80*2/1000</f>
        <v>256.25148806767425</v>
      </c>
      <c r="M5" s="17">
        <f t="shared" si="0"/>
        <v>49.999999999999993</v>
      </c>
      <c r="N5" s="17">
        <f t="shared" si="0"/>
        <v>549.99999999999989</v>
      </c>
      <c r="O5" s="17">
        <f t="shared" si="1"/>
        <v>170.83432537844948</v>
      </c>
      <c r="P5" s="31">
        <f t="shared" ref="P5:P8" si="2">2*M5/O5</f>
        <v>0.58536245440411272</v>
      </c>
      <c r="Q5" s="31">
        <f t="shared" ref="Q5:Q8" si="3">2*N5/O5</f>
        <v>6.4389869984452393</v>
      </c>
      <c r="S5" s="17"/>
    </row>
    <row r="6" spans="2:19" x14ac:dyDescent="0.2">
      <c r="B6" s="744"/>
      <c r="D6" s="747"/>
      <c r="E6" s="13" t="s">
        <v>91</v>
      </c>
      <c r="F6" s="16">
        <v>60</v>
      </c>
      <c r="G6" s="16">
        <v>0</v>
      </c>
      <c r="H6" s="16" t="s">
        <v>92</v>
      </c>
      <c r="I6" s="13">
        <f>30*0.8*60</f>
        <v>1440</v>
      </c>
      <c r="J6" s="13" t="s">
        <v>90</v>
      </c>
      <c r="K6" s="37">
        <f>I6*'Cell parameters'!J80*2/1000</f>
        <v>292.8588435059134</v>
      </c>
      <c r="M6" s="17">
        <f t="shared" si="0"/>
        <v>35</v>
      </c>
      <c r="N6" s="17">
        <f t="shared" si="0"/>
        <v>0</v>
      </c>
      <c r="O6" s="17">
        <f t="shared" si="1"/>
        <v>170.83432537844948</v>
      </c>
      <c r="P6" s="31">
        <f t="shared" si="2"/>
        <v>0.40975371808287897</v>
      </c>
      <c r="Q6" s="31">
        <f t="shared" si="3"/>
        <v>0</v>
      </c>
    </row>
    <row r="7" spans="2:19" x14ac:dyDescent="0.2">
      <c r="B7" s="744"/>
      <c r="D7" s="747"/>
      <c r="E7" s="13" t="s">
        <v>93</v>
      </c>
      <c r="F7" s="16">
        <v>45</v>
      </c>
      <c r="G7" s="16">
        <v>0</v>
      </c>
      <c r="H7" s="16" t="s">
        <v>94</v>
      </c>
      <c r="I7" s="13">
        <f>80*0.75*60</f>
        <v>3600</v>
      </c>
      <c r="J7" s="13" t="s">
        <v>90</v>
      </c>
      <c r="K7" s="37">
        <f>I7*'Cell parameters'!J80*2/1000</f>
        <v>732.14710876478352</v>
      </c>
      <c r="M7" s="17">
        <f t="shared" si="0"/>
        <v>10.5</v>
      </c>
      <c r="N7" s="17">
        <f t="shared" si="0"/>
        <v>0</v>
      </c>
      <c r="O7" s="17">
        <f t="shared" si="1"/>
        <v>170.83432537844948</v>
      </c>
      <c r="P7" s="31">
        <f t="shared" si="2"/>
        <v>0.12292611542486369</v>
      </c>
      <c r="Q7" s="31">
        <f t="shared" si="3"/>
        <v>0</v>
      </c>
    </row>
    <row r="8" spans="2:19" x14ac:dyDescent="0.2">
      <c r="B8" s="744"/>
      <c r="D8" s="748"/>
      <c r="E8" s="19" t="s">
        <v>95</v>
      </c>
      <c r="F8" s="20">
        <v>5</v>
      </c>
      <c r="G8" s="20">
        <v>210</v>
      </c>
      <c r="H8" s="20" t="s">
        <v>96</v>
      </c>
      <c r="I8" s="19">
        <f>3*4*4900*0.8/24</f>
        <v>1960</v>
      </c>
      <c r="J8" s="19" t="s">
        <v>90</v>
      </c>
      <c r="K8" s="38">
        <f>I8*'Cell parameters'!J80*2/1000</f>
        <v>398.61342588304882</v>
      </c>
      <c r="L8" s="19"/>
      <c r="M8" s="21">
        <f t="shared" si="0"/>
        <v>2.1428571428571423</v>
      </c>
      <c r="N8" s="21">
        <f t="shared" si="0"/>
        <v>90</v>
      </c>
      <c r="O8" s="21">
        <f t="shared" si="1"/>
        <v>170.83432537844948</v>
      </c>
      <c r="P8" s="32">
        <f t="shared" si="2"/>
        <v>2.5086962331604828E-2</v>
      </c>
      <c r="Q8" s="32">
        <f t="shared" si="3"/>
        <v>1.0536524179274029</v>
      </c>
    </row>
    <row r="9" spans="2:19" x14ac:dyDescent="0.2">
      <c r="B9" s="744"/>
      <c r="D9" s="749" t="s">
        <v>97</v>
      </c>
      <c r="E9" s="13" t="s">
        <v>98</v>
      </c>
      <c r="F9" s="28">
        <v>25</v>
      </c>
      <c r="G9" s="28">
        <v>0</v>
      </c>
      <c r="I9" s="34">
        <v>840</v>
      </c>
      <c r="J9" s="13" t="s">
        <v>90</v>
      </c>
      <c r="K9" s="39">
        <f>I9*'Cell parameters'!J80*2/1000</f>
        <v>170.83432537844948</v>
      </c>
      <c r="M9" s="17">
        <f>$K$9*F9/$K9</f>
        <v>25</v>
      </c>
      <c r="N9" s="17">
        <f t="shared" ref="M9:N15" si="4">$K$9*G9/$K9</f>
        <v>0</v>
      </c>
      <c r="O9" s="17">
        <f t="shared" si="1"/>
        <v>170.83432537844948</v>
      </c>
      <c r="P9" s="31">
        <f>M9/O9</f>
        <v>0.14634061360102821</v>
      </c>
      <c r="Q9" s="31">
        <f>N9/O9</f>
        <v>0</v>
      </c>
    </row>
    <row r="10" spans="2:19" x14ac:dyDescent="0.2">
      <c r="B10" s="744"/>
      <c r="D10" s="750"/>
      <c r="E10" s="13" t="s">
        <v>99</v>
      </c>
      <c r="F10" s="18">
        <v>160</v>
      </c>
      <c r="G10" s="18">
        <v>0</v>
      </c>
      <c r="I10" s="34">
        <v>840</v>
      </c>
      <c r="J10" s="13" t="s">
        <v>90</v>
      </c>
      <c r="K10" s="37">
        <f>I10*'Cell parameters'!J80*2/1000</f>
        <v>170.83432537844948</v>
      </c>
      <c r="M10" s="17">
        <f t="shared" si="4"/>
        <v>160</v>
      </c>
      <c r="N10" s="17">
        <f t="shared" si="4"/>
        <v>0</v>
      </c>
      <c r="O10" s="17">
        <f t="shared" ref="O10:O17" si="5">$K$9</f>
        <v>170.83432537844948</v>
      </c>
      <c r="P10" s="31">
        <f t="shared" ref="P10:P17" si="6">M10/O10</f>
        <v>0.93657992704658044</v>
      </c>
      <c r="Q10" s="31">
        <f t="shared" ref="Q10:Q17" si="7">N10/O10</f>
        <v>0</v>
      </c>
    </row>
    <row r="11" spans="2:19" x14ac:dyDescent="0.2">
      <c r="B11" s="744"/>
      <c r="D11" s="751"/>
      <c r="E11" s="19" t="s">
        <v>100</v>
      </c>
      <c r="F11" s="36">
        <v>200</v>
      </c>
      <c r="G11" s="36">
        <v>0</v>
      </c>
      <c r="H11" s="20"/>
      <c r="I11" s="35">
        <v>840</v>
      </c>
      <c r="J11" s="19" t="s">
        <v>90</v>
      </c>
      <c r="K11" s="38">
        <f>I11*'Cell parameters'!J80*2/1000</f>
        <v>170.83432537844948</v>
      </c>
      <c r="L11" s="19"/>
      <c r="M11" s="21">
        <f t="shared" si="4"/>
        <v>200</v>
      </c>
      <c r="N11" s="21">
        <f t="shared" si="4"/>
        <v>0</v>
      </c>
      <c r="O11" s="21">
        <f t="shared" si="5"/>
        <v>170.83432537844948</v>
      </c>
      <c r="P11" s="32">
        <f t="shared" si="6"/>
        <v>1.1707249088082257</v>
      </c>
      <c r="Q11" s="32">
        <f t="shared" si="7"/>
        <v>0</v>
      </c>
    </row>
    <row r="12" spans="2:19" x14ac:dyDescent="0.2">
      <c r="B12" s="744"/>
      <c r="D12" s="747" t="s">
        <v>101</v>
      </c>
      <c r="E12" s="13" t="s">
        <v>102</v>
      </c>
      <c r="F12" s="18">
        <v>0</v>
      </c>
      <c r="G12" s="18">
        <v>25</v>
      </c>
      <c r="H12" s="16" t="s">
        <v>520</v>
      </c>
      <c r="I12" s="34">
        <v>840</v>
      </c>
      <c r="J12" s="13" t="s">
        <v>90</v>
      </c>
      <c r="K12" s="37">
        <f>I12*'Cell parameters'!J80*2/1000</f>
        <v>170.83432537844948</v>
      </c>
      <c r="M12" s="17">
        <f t="shared" ref="M12" si="8">$K$9*F12/$K12</f>
        <v>0</v>
      </c>
      <c r="N12" s="17">
        <f t="shared" ref="N12" si="9">$K$9*G12/$K12</f>
        <v>25</v>
      </c>
      <c r="O12" s="17">
        <f t="shared" si="5"/>
        <v>170.83432537844948</v>
      </c>
      <c r="P12" s="31">
        <f t="shared" ref="P12" si="10">M12/O12</f>
        <v>0</v>
      </c>
      <c r="Q12" s="31">
        <f t="shared" ref="Q12" si="11">N12/O12</f>
        <v>0.14634061360102821</v>
      </c>
    </row>
    <row r="13" spans="2:19" ht="12.75" customHeight="1" x14ac:dyDescent="0.2">
      <c r="B13" s="744"/>
      <c r="D13" s="747"/>
      <c r="E13" s="13" t="s">
        <v>103</v>
      </c>
      <c r="F13" s="18">
        <v>1000</v>
      </c>
      <c r="G13" s="18">
        <v>0</v>
      </c>
      <c r="H13" s="16" t="s">
        <v>521</v>
      </c>
      <c r="I13" s="34">
        <f>1000/5*0.55*'Cell parameters'!J7</f>
        <v>540.8749078694002</v>
      </c>
      <c r="J13" s="13" t="s">
        <v>90</v>
      </c>
      <c r="K13" s="37">
        <f>I13*'Cell parameters'!J80*2/1000</f>
        <v>110</v>
      </c>
      <c r="M13" s="17">
        <f t="shared" si="4"/>
        <v>1553.0393216222681</v>
      </c>
      <c r="N13" s="17">
        <f t="shared" si="4"/>
        <v>0</v>
      </c>
      <c r="O13" s="17">
        <f t="shared" si="5"/>
        <v>170.83432537844948</v>
      </c>
      <c r="P13" s="31">
        <f t="shared" si="6"/>
        <v>9.0909090909090917</v>
      </c>
      <c r="Q13" s="31">
        <f t="shared" si="7"/>
        <v>0</v>
      </c>
    </row>
    <row r="14" spans="2:19" x14ac:dyDescent="0.2">
      <c r="B14" s="744"/>
      <c r="D14" s="747"/>
      <c r="E14" s="13" t="s">
        <v>104</v>
      </c>
      <c r="F14" s="18">
        <v>0</v>
      </c>
      <c r="G14" s="18">
        <v>40</v>
      </c>
      <c r="H14" s="16" t="s">
        <v>522</v>
      </c>
      <c r="I14" s="34">
        <v>840</v>
      </c>
      <c r="J14" s="13" t="s">
        <v>90</v>
      </c>
      <c r="K14" s="37">
        <f>I14*'Cell parameters'!J80*2/1000</f>
        <v>170.83432537844948</v>
      </c>
      <c r="M14" s="17">
        <f t="shared" si="4"/>
        <v>0</v>
      </c>
      <c r="N14" s="17">
        <f t="shared" si="4"/>
        <v>40</v>
      </c>
      <c r="O14" s="17">
        <f t="shared" si="5"/>
        <v>170.83432537844948</v>
      </c>
      <c r="P14" s="31">
        <f t="shared" si="6"/>
        <v>0</v>
      </c>
      <c r="Q14" s="31">
        <f t="shared" si="7"/>
        <v>0.23414498176164511</v>
      </c>
    </row>
    <row r="15" spans="2:19" x14ac:dyDescent="0.2">
      <c r="B15" s="744"/>
      <c r="D15" s="748"/>
      <c r="E15" s="19" t="s">
        <v>105</v>
      </c>
      <c r="F15" s="29">
        <v>100</v>
      </c>
      <c r="G15" s="29">
        <v>0</v>
      </c>
      <c r="H15" s="20"/>
      <c r="I15" s="35">
        <v>840</v>
      </c>
      <c r="J15" s="19" t="s">
        <v>90</v>
      </c>
      <c r="K15" s="38">
        <f>I15*'Cell parameters'!J80*2/1000</f>
        <v>170.83432537844948</v>
      </c>
      <c r="M15" s="21">
        <f t="shared" si="4"/>
        <v>100</v>
      </c>
      <c r="N15" s="21">
        <f t="shared" si="4"/>
        <v>0</v>
      </c>
      <c r="O15" s="21">
        <f t="shared" si="5"/>
        <v>170.83432537844948</v>
      </c>
      <c r="P15" s="32">
        <f t="shared" si="6"/>
        <v>0.58536245440411283</v>
      </c>
      <c r="Q15" s="32">
        <f t="shared" si="7"/>
        <v>0</v>
      </c>
    </row>
    <row r="16" spans="2:19" x14ac:dyDescent="0.2">
      <c r="B16" s="744"/>
      <c r="D16" s="749" t="s">
        <v>106</v>
      </c>
      <c r="E16" s="13" t="s">
        <v>107</v>
      </c>
      <c r="F16" s="30">
        <v>200</v>
      </c>
      <c r="G16" s="30">
        <v>0</v>
      </c>
      <c r="I16" s="34"/>
      <c r="K16" s="17"/>
      <c r="M16" s="13">
        <f>F16</f>
        <v>200</v>
      </c>
      <c r="N16" s="13">
        <f>G16</f>
        <v>0</v>
      </c>
      <c r="O16" s="17">
        <f t="shared" si="5"/>
        <v>170.83432537844948</v>
      </c>
      <c r="P16" s="31">
        <f>M16/O16</f>
        <v>1.1707249088082257</v>
      </c>
      <c r="Q16" s="31">
        <f t="shared" si="7"/>
        <v>0</v>
      </c>
    </row>
    <row r="17" spans="2:17" x14ac:dyDescent="0.2">
      <c r="B17" s="744"/>
      <c r="D17" s="750"/>
      <c r="E17" s="13" t="s">
        <v>108</v>
      </c>
      <c r="F17" s="16">
        <v>163</v>
      </c>
      <c r="G17" s="16">
        <v>913</v>
      </c>
      <c r="H17" s="16" t="s">
        <v>109</v>
      </c>
      <c r="I17" s="34"/>
      <c r="K17" s="17"/>
      <c r="M17" s="13">
        <f>F17</f>
        <v>163</v>
      </c>
      <c r="N17" s="13">
        <f>G17</f>
        <v>913</v>
      </c>
      <c r="O17" s="17">
        <f t="shared" si="5"/>
        <v>170.83432537844948</v>
      </c>
      <c r="P17" s="31">
        <f t="shared" si="6"/>
        <v>0.95414080067870388</v>
      </c>
      <c r="Q17" s="31">
        <f t="shared" si="7"/>
        <v>5.3443592087095499</v>
      </c>
    </row>
    <row r="18" spans="2:17" x14ac:dyDescent="0.2">
      <c r="B18" s="744"/>
      <c r="D18" s="750"/>
      <c r="E18" s="13" t="s">
        <v>110</v>
      </c>
      <c r="F18" s="16"/>
      <c r="G18" s="16"/>
      <c r="I18" s="34"/>
      <c r="K18" s="17"/>
      <c r="O18" s="17"/>
      <c r="P18" s="17"/>
      <c r="Q18" s="17"/>
    </row>
    <row r="19" spans="2:17" x14ac:dyDescent="0.2">
      <c r="B19" s="744"/>
      <c r="D19" s="23"/>
      <c r="F19" s="22"/>
      <c r="G19" s="22"/>
      <c r="M19" s="24" t="s">
        <v>111</v>
      </c>
      <c r="N19" s="25">
        <f>SUM(M4:N17)</f>
        <v>4124.53983046758</v>
      </c>
      <c r="O19" s="24" t="s">
        <v>112</v>
      </c>
      <c r="P19" s="24">
        <f>SUM(P4:P18)</f>
        <v>15.289903440227466</v>
      </c>
      <c r="Q19" s="24">
        <f>SUM(Q4:Q18)</f>
        <v>13.217484220444865</v>
      </c>
    </row>
    <row r="20" spans="2:17" ht="13.5" thickBot="1" x14ac:dyDescent="0.25">
      <c r="B20" s="744"/>
      <c r="D20" s="23"/>
      <c r="F20" s="22"/>
      <c r="G20" s="22"/>
      <c r="P20" s="24"/>
      <c r="Q20" s="26">
        <f>P19+Q19</f>
        <v>28.507387660672329</v>
      </c>
    </row>
    <row r="21" spans="2:17" ht="13.5" thickTop="1" x14ac:dyDescent="0.2">
      <c r="D21" s="27"/>
    </row>
    <row r="23" spans="2:17" x14ac:dyDescent="0.2">
      <c r="F23" s="743" t="s">
        <v>73</v>
      </c>
      <c r="G23" s="743"/>
      <c r="H23" s="743"/>
      <c r="I23" s="743"/>
      <c r="J23" s="743"/>
      <c r="K23" s="743"/>
      <c r="M23" s="743" t="s">
        <v>74</v>
      </c>
      <c r="N23" s="743"/>
      <c r="O23" s="743"/>
      <c r="P23" s="743"/>
      <c r="Q23" s="743"/>
    </row>
    <row r="24" spans="2:17" ht="67.5" customHeight="1" thickBot="1" x14ac:dyDescent="0.3">
      <c r="B24" s="744" t="s">
        <v>523</v>
      </c>
      <c r="D24" s="14" t="s">
        <v>76</v>
      </c>
      <c r="E24" s="15" t="s">
        <v>77</v>
      </c>
      <c r="F24" s="182" t="s">
        <v>78</v>
      </c>
      <c r="G24" s="182" t="s">
        <v>383</v>
      </c>
      <c r="H24" s="182" t="s">
        <v>79</v>
      </c>
      <c r="I24" s="745" t="s">
        <v>80</v>
      </c>
      <c r="J24" s="745"/>
      <c r="K24" s="182" t="s">
        <v>81</v>
      </c>
      <c r="M24" s="182" t="s">
        <v>82</v>
      </c>
      <c r="N24" s="182" t="s">
        <v>384</v>
      </c>
      <c r="O24" s="182" t="s">
        <v>81</v>
      </c>
      <c r="P24" s="182" t="s">
        <v>83</v>
      </c>
      <c r="Q24" s="182" t="s">
        <v>385</v>
      </c>
    </row>
    <row r="25" spans="2:17" x14ac:dyDescent="0.2">
      <c r="B25" s="744"/>
      <c r="D25" s="746" t="s">
        <v>84</v>
      </c>
      <c r="E25" s="13" t="s">
        <v>85</v>
      </c>
      <c r="F25" s="18">
        <f>45*2/3*2/3</f>
        <v>20</v>
      </c>
      <c r="G25" s="18">
        <v>0</v>
      </c>
      <c r="H25" s="18" t="s">
        <v>86</v>
      </c>
      <c r="I25" s="13">
        <v>250</v>
      </c>
      <c r="J25" s="13" t="s">
        <v>87</v>
      </c>
      <c r="K25" s="37">
        <f>I25*'Cell parameters'!K5*'Cell parameters'!K37*('Cell parameters'!K34*1000)*('Cell parameters'!K48/1000)*'Cell parameters'!K4/1000</f>
        <v>439.44862499999999</v>
      </c>
      <c r="M25" s="17">
        <f>$K$9*F25/$K25</f>
        <v>7.7749395792716145</v>
      </c>
      <c r="N25" s="17">
        <f t="shared" ref="N25:N36" si="12">$K$9*G25/$K25</f>
        <v>0</v>
      </c>
      <c r="O25" s="17">
        <f t="shared" ref="O25:O38" si="13">$K$9</f>
        <v>170.83432537844948</v>
      </c>
      <c r="P25" s="31">
        <f>2*M25/O25</f>
        <v>9.1023154299322243E-2</v>
      </c>
      <c r="Q25" s="31">
        <f>2*N25/O25</f>
        <v>0</v>
      </c>
    </row>
    <row r="26" spans="2:17" x14ac:dyDescent="0.2">
      <c r="B26" s="744"/>
      <c r="D26" s="747"/>
      <c r="E26" s="13" t="s">
        <v>88</v>
      </c>
      <c r="F26" s="16">
        <v>75</v>
      </c>
      <c r="G26" s="16">
        <v>825</v>
      </c>
      <c r="H26" s="16" t="s">
        <v>89</v>
      </c>
      <c r="I26" s="13">
        <f>30*0.7*60</f>
        <v>1260</v>
      </c>
      <c r="J26" s="13" t="s">
        <v>90</v>
      </c>
      <c r="K26" s="37">
        <f>I26*'Cell parameters'!K80*2/1000</f>
        <v>501.36160708892794</v>
      </c>
      <c r="M26" s="17">
        <f t="shared" ref="M26:M29" si="14">$K$9*F26/$K26</f>
        <v>25.55555555555555</v>
      </c>
      <c r="N26" s="17">
        <f t="shared" si="12"/>
        <v>281.11111111111103</v>
      </c>
      <c r="O26" s="17">
        <f t="shared" si="13"/>
        <v>170.83432537844948</v>
      </c>
      <c r="P26" s="31">
        <f t="shared" ref="P26:P29" si="15">2*M26/O26</f>
        <v>0.29918525447321315</v>
      </c>
      <c r="Q26" s="31">
        <f t="shared" ref="Q26:Q29" si="16">2*N26/O26</f>
        <v>3.2910377992053443</v>
      </c>
    </row>
    <row r="27" spans="2:17" x14ac:dyDescent="0.2">
      <c r="B27" s="744"/>
      <c r="D27" s="747"/>
      <c r="E27" s="13" t="s">
        <v>91</v>
      </c>
      <c r="F27" s="16">
        <v>60</v>
      </c>
      <c r="G27" s="16">
        <v>0</v>
      </c>
      <c r="H27" s="16" t="s">
        <v>92</v>
      </c>
      <c r="I27" s="13">
        <f>30*0.8*60</f>
        <v>1440</v>
      </c>
      <c r="J27" s="13" t="s">
        <v>90</v>
      </c>
      <c r="K27" s="37">
        <f>I27*'Cell parameters'!K80*2/1000</f>
        <v>572.98469381591758</v>
      </c>
      <c r="M27" s="17">
        <f t="shared" si="14"/>
        <v>17.888888888888886</v>
      </c>
      <c r="N27" s="17">
        <f t="shared" si="12"/>
        <v>0</v>
      </c>
      <c r="O27" s="17">
        <f t="shared" si="13"/>
        <v>170.83432537844948</v>
      </c>
      <c r="P27" s="31">
        <f t="shared" si="15"/>
        <v>0.20942967813124921</v>
      </c>
      <c r="Q27" s="31">
        <f t="shared" si="16"/>
        <v>0</v>
      </c>
    </row>
    <row r="28" spans="2:17" x14ac:dyDescent="0.2">
      <c r="B28" s="744"/>
      <c r="D28" s="747"/>
      <c r="E28" s="13" t="s">
        <v>93</v>
      </c>
      <c r="F28" s="16">
        <v>45</v>
      </c>
      <c r="G28" s="16">
        <v>0</v>
      </c>
      <c r="H28" s="16" t="s">
        <v>94</v>
      </c>
      <c r="I28" s="13">
        <f>80*0.75*60</f>
        <v>3600</v>
      </c>
      <c r="J28" s="13" t="s">
        <v>90</v>
      </c>
      <c r="K28" s="37">
        <f>I28*'Cell parameters'!K80*2/1000</f>
        <v>1432.461734539794</v>
      </c>
      <c r="M28" s="17">
        <f t="shared" si="14"/>
        <v>5.3666666666666663</v>
      </c>
      <c r="N28" s="17">
        <f t="shared" si="12"/>
        <v>0</v>
      </c>
      <c r="O28" s="17">
        <f t="shared" si="13"/>
        <v>170.83432537844948</v>
      </c>
      <c r="P28" s="31">
        <f t="shared" si="15"/>
        <v>6.2828903439374764E-2</v>
      </c>
      <c r="Q28" s="31">
        <f t="shared" si="16"/>
        <v>0</v>
      </c>
    </row>
    <row r="29" spans="2:17" x14ac:dyDescent="0.2">
      <c r="B29" s="744"/>
      <c r="D29" s="748"/>
      <c r="E29" s="19" t="s">
        <v>95</v>
      </c>
      <c r="F29" s="20">
        <v>5</v>
      </c>
      <c r="G29" s="20">
        <v>210</v>
      </c>
      <c r="H29" s="20" t="s">
        <v>96</v>
      </c>
      <c r="I29" s="19">
        <f>3*4*4900*0.8/24</f>
        <v>1960</v>
      </c>
      <c r="J29" s="19" t="s">
        <v>90</v>
      </c>
      <c r="K29" s="38">
        <f>I29*'Cell parameters'!K80*2/1000</f>
        <v>779.8958332494434</v>
      </c>
      <c r="L29" s="19"/>
      <c r="M29" s="21">
        <f t="shared" si="14"/>
        <v>1.0952380952380949</v>
      </c>
      <c r="N29" s="21">
        <f t="shared" si="12"/>
        <v>45.999999999999993</v>
      </c>
      <c r="O29" s="21">
        <f t="shared" si="13"/>
        <v>170.83432537844948</v>
      </c>
      <c r="P29" s="32">
        <f t="shared" si="15"/>
        <v>1.2822225191709133E-2</v>
      </c>
      <c r="Q29" s="32">
        <f t="shared" si="16"/>
        <v>0.53853345805178365</v>
      </c>
    </row>
    <row r="30" spans="2:17" x14ac:dyDescent="0.2">
      <c r="B30" s="744"/>
      <c r="D30" s="749" t="s">
        <v>97</v>
      </c>
      <c r="E30" s="13" t="s">
        <v>98</v>
      </c>
      <c r="F30" s="28">
        <v>25</v>
      </c>
      <c r="G30" s="28">
        <v>0</v>
      </c>
      <c r="I30" s="34">
        <v>840</v>
      </c>
      <c r="J30" s="13" t="s">
        <v>90</v>
      </c>
      <c r="K30" s="39">
        <f>I30*'Cell parameters'!K80*2/1000</f>
        <v>334.24107139261866</v>
      </c>
      <c r="M30" s="17">
        <f>$K$9*F30/$K30</f>
        <v>12.777777777777771</v>
      </c>
      <c r="N30" s="17">
        <f t="shared" si="12"/>
        <v>0</v>
      </c>
      <c r="O30" s="17">
        <f t="shared" si="13"/>
        <v>170.83432537844948</v>
      </c>
      <c r="P30" s="31">
        <f>M30/O30</f>
        <v>7.4796313618303259E-2</v>
      </c>
      <c r="Q30" s="31">
        <f>N30/O30</f>
        <v>0</v>
      </c>
    </row>
    <row r="31" spans="2:17" x14ac:dyDescent="0.2">
      <c r="B31" s="744"/>
      <c r="D31" s="750"/>
      <c r="E31" s="13" t="s">
        <v>99</v>
      </c>
      <c r="F31" s="18">
        <v>160</v>
      </c>
      <c r="G31" s="18">
        <v>0</v>
      </c>
      <c r="I31" s="34">
        <v>840</v>
      </c>
      <c r="J31" s="13" t="s">
        <v>90</v>
      </c>
      <c r="K31" s="37">
        <f>I31*'Cell parameters'!K80*2/1000</f>
        <v>334.24107139261866</v>
      </c>
      <c r="M31" s="17">
        <f t="shared" ref="M31:M36" si="17">$K$9*F31/$K31</f>
        <v>81.777777777777743</v>
      </c>
      <c r="N31" s="17">
        <f t="shared" si="12"/>
        <v>0</v>
      </c>
      <c r="O31" s="17">
        <f t="shared" si="13"/>
        <v>170.83432537844948</v>
      </c>
      <c r="P31" s="31">
        <f t="shared" ref="P31:P36" si="18">M31/O31</f>
        <v>0.4786964071571409</v>
      </c>
      <c r="Q31" s="31">
        <f t="shared" ref="Q31:Q38" si="19">N31/O31</f>
        <v>0</v>
      </c>
    </row>
    <row r="32" spans="2:17" x14ac:dyDescent="0.2">
      <c r="B32" s="744"/>
      <c r="D32" s="751"/>
      <c r="E32" s="19" t="s">
        <v>100</v>
      </c>
      <c r="F32" s="36">
        <v>200</v>
      </c>
      <c r="G32" s="36">
        <v>0</v>
      </c>
      <c r="H32" s="20"/>
      <c r="I32" s="35">
        <v>840</v>
      </c>
      <c r="J32" s="19" t="s">
        <v>90</v>
      </c>
      <c r="K32" s="38">
        <f>I32*'Cell parameters'!K80*2/1000</f>
        <v>334.24107139261866</v>
      </c>
      <c r="L32" s="19"/>
      <c r="M32" s="21">
        <f t="shared" si="17"/>
        <v>102.22222222222217</v>
      </c>
      <c r="N32" s="21">
        <f t="shared" si="12"/>
        <v>0</v>
      </c>
      <c r="O32" s="21">
        <f t="shared" si="13"/>
        <v>170.83432537844948</v>
      </c>
      <c r="P32" s="32">
        <f t="shared" si="18"/>
        <v>0.59837050894642607</v>
      </c>
      <c r="Q32" s="32">
        <f t="shared" si="19"/>
        <v>0</v>
      </c>
    </row>
    <row r="33" spans="2:17" x14ac:dyDescent="0.2">
      <c r="B33" s="744"/>
      <c r="D33" s="747" t="s">
        <v>101</v>
      </c>
      <c r="E33" s="13" t="s">
        <v>102</v>
      </c>
      <c r="F33" s="18">
        <v>0</v>
      </c>
      <c r="G33" s="18">
        <v>25</v>
      </c>
      <c r="H33" s="16" t="s">
        <v>520</v>
      </c>
      <c r="I33" s="34">
        <v>840</v>
      </c>
      <c r="J33" s="13" t="s">
        <v>90</v>
      </c>
      <c r="K33" s="37">
        <f>I33*'Cell parameters'!K80*2/1000</f>
        <v>334.24107139261866</v>
      </c>
      <c r="M33" s="17">
        <f t="shared" si="17"/>
        <v>0</v>
      </c>
      <c r="N33" s="17">
        <f t="shared" si="12"/>
        <v>12.777777777777771</v>
      </c>
      <c r="O33" s="17">
        <f t="shared" si="13"/>
        <v>170.83432537844948</v>
      </c>
      <c r="P33" s="31">
        <f t="shared" si="18"/>
        <v>0</v>
      </c>
      <c r="Q33" s="31">
        <f t="shared" si="19"/>
        <v>7.4796313618303259E-2</v>
      </c>
    </row>
    <row r="34" spans="2:17" x14ac:dyDescent="0.2">
      <c r="B34" s="744"/>
      <c r="D34" s="747"/>
      <c r="E34" s="13" t="s">
        <v>103</v>
      </c>
      <c r="F34" s="18">
        <v>1000</v>
      </c>
      <c r="G34" s="18">
        <v>0</v>
      </c>
      <c r="H34" s="16" t="s">
        <v>521</v>
      </c>
      <c r="I34" s="34">
        <f>1000/5*0.55*'Cell parameters'!K7</f>
        <v>276.447175133249</v>
      </c>
      <c r="J34" s="13" t="s">
        <v>90</v>
      </c>
      <c r="K34" s="37">
        <f>I34*'Cell parameters'!K80*2/1000</f>
        <v>110.00000000000003</v>
      </c>
      <c r="M34" s="17">
        <f t="shared" si="17"/>
        <v>1553.0393216222676</v>
      </c>
      <c r="N34" s="17">
        <f t="shared" si="12"/>
        <v>0</v>
      </c>
      <c r="O34" s="17">
        <f t="shared" si="13"/>
        <v>170.83432537844948</v>
      </c>
      <c r="P34" s="31">
        <f t="shared" si="18"/>
        <v>9.0909090909090882</v>
      </c>
      <c r="Q34" s="31">
        <f t="shared" si="19"/>
        <v>0</v>
      </c>
    </row>
    <row r="35" spans="2:17" x14ac:dyDescent="0.2">
      <c r="B35" s="744"/>
      <c r="D35" s="747"/>
      <c r="E35" s="13" t="s">
        <v>104</v>
      </c>
      <c r="F35" s="18">
        <v>0</v>
      </c>
      <c r="G35" s="18">
        <v>40</v>
      </c>
      <c r="H35" s="16" t="s">
        <v>522</v>
      </c>
      <c r="I35" s="34">
        <v>840</v>
      </c>
      <c r="J35" s="13" t="s">
        <v>90</v>
      </c>
      <c r="K35" s="37">
        <f>I35*'Cell parameters'!K80*2/1000</f>
        <v>334.24107139261866</v>
      </c>
      <c r="M35" s="17">
        <f t="shared" si="17"/>
        <v>0</v>
      </c>
      <c r="N35" s="17">
        <f t="shared" si="12"/>
        <v>20.444444444444436</v>
      </c>
      <c r="O35" s="17">
        <f t="shared" si="13"/>
        <v>170.83432537844948</v>
      </c>
      <c r="P35" s="31">
        <f t="shared" si="18"/>
        <v>0</v>
      </c>
      <c r="Q35" s="31">
        <f t="shared" si="19"/>
        <v>0.11967410178928523</v>
      </c>
    </row>
    <row r="36" spans="2:17" x14ac:dyDescent="0.2">
      <c r="B36" s="744"/>
      <c r="D36" s="748"/>
      <c r="E36" s="19" t="s">
        <v>105</v>
      </c>
      <c r="F36" s="29">
        <v>100</v>
      </c>
      <c r="G36" s="29">
        <v>0</v>
      </c>
      <c r="H36" s="20"/>
      <c r="I36" s="35">
        <v>840</v>
      </c>
      <c r="J36" s="19" t="s">
        <v>90</v>
      </c>
      <c r="K36" s="38">
        <f>I36*'Cell parameters'!K80*2/1000</f>
        <v>334.24107139261866</v>
      </c>
      <c r="M36" s="21">
        <f t="shared" si="17"/>
        <v>51.111111111111086</v>
      </c>
      <c r="N36" s="21">
        <f t="shared" si="12"/>
        <v>0</v>
      </c>
      <c r="O36" s="21">
        <f t="shared" si="13"/>
        <v>170.83432537844948</v>
      </c>
      <c r="P36" s="32">
        <f t="shared" si="18"/>
        <v>0.29918525447321304</v>
      </c>
      <c r="Q36" s="32">
        <f t="shared" si="19"/>
        <v>0</v>
      </c>
    </row>
    <row r="37" spans="2:17" x14ac:dyDescent="0.2">
      <c r="B37" s="744"/>
      <c r="D37" s="749" t="s">
        <v>106</v>
      </c>
      <c r="E37" s="13" t="s">
        <v>107</v>
      </c>
      <c r="F37" s="30">
        <v>200</v>
      </c>
      <c r="G37" s="30">
        <v>0</v>
      </c>
      <c r="I37" s="34"/>
      <c r="K37" s="17"/>
      <c r="M37" s="13">
        <f>F37</f>
        <v>200</v>
      </c>
      <c r="N37" s="13">
        <f>G37</f>
        <v>0</v>
      </c>
      <c r="O37" s="17">
        <f t="shared" si="13"/>
        <v>170.83432537844948</v>
      </c>
      <c r="P37" s="31">
        <f>M37/O37</f>
        <v>1.1707249088082257</v>
      </c>
      <c r="Q37" s="31">
        <f t="shared" si="19"/>
        <v>0</v>
      </c>
    </row>
    <row r="38" spans="2:17" x14ac:dyDescent="0.2">
      <c r="B38" s="744"/>
      <c r="D38" s="750"/>
      <c r="E38" s="13" t="s">
        <v>108</v>
      </c>
      <c r="F38" s="16">
        <v>163</v>
      </c>
      <c r="G38" s="16">
        <v>913</v>
      </c>
      <c r="H38" s="16" t="s">
        <v>109</v>
      </c>
      <c r="I38" s="34"/>
      <c r="K38" s="17"/>
      <c r="M38" s="13">
        <f>F38</f>
        <v>163</v>
      </c>
      <c r="N38" s="13">
        <f>G38</f>
        <v>913</v>
      </c>
      <c r="O38" s="17">
        <f t="shared" si="13"/>
        <v>170.83432537844948</v>
      </c>
      <c r="P38" s="31">
        <f t="shared" ref="P38" si="20">M38/O38</f>
        <v>0.95414080067870388</v>
      </c>
      <c r="Q38" s="31">
        <f t="shared" si="19"/>
        <v>5.3443592087095499</v>
      </c>
    </row>
    <row r="39" spans="2:17" x14ac:dyDescent="0.2">
      <c r="B39" s="744"/>
      <c r="D39" s="750"/>
      <c r="E39" s="13" t="s">
        <v>110</v>
      </c>
      <c r="F39" s="16"/>
      <c r="G39" s="16"/>
      <c r="I39" s="34"/>
      <c r="K39" s="17"/>
      <c r="O39" s="17"/>
      <c r="P39" s="17"/>
      <c r="Q39" s="17"/>
    </row>
    <row r="40" spans="2:17" x14ac:dyDescent="0.2">
      <c r="B40" s="744"/>
      <c r="D40" s="23"/>
      <c r="F40" s="22"/>
      <c r="G40" s="22"/>
      <c r="M40" s="24" t="s">
        <v>111</v>
      </c>
      <c r="N40" s="25">
        <f>SUM(M25:N38)</f>
        <v>3494.9428326301104</v>
      </c>
      <c r="O40" s="24" t="s">
        <v>112</v>
      </c>
      <c r="P40" s="24">
        <f>SUM(P25:P39)</f>
        <v>13.342112500125969</v>
      </c>
      <c r="Q40" s="24">
        <f>SUM(Q25:Q39)</f>
        <v>9.3684008813742672</v>
      </c>
    </row>
    <row r="41" spans="2:17" ht="13.5" thickBot="1" x14ac:dyDescent="0.25">
      <c r="B41" s="744"/>
      <c r="D41" s="23"/>
      <c r="F41" s="22"/>
      <c r="G41" s="22"/>
      <c r="P41" s="24"/>
      <c r="Q41" s="26">
        <f>P40+Q40</f>
        <v>22.710513381500235</v>
      </c>
    </row>
    <row r="42" spans="2:17" ht="13.5" thickTop="1" x14ac:dyDescent="0.2"/>
  </sheetData>
  <mergeCells count="16">
    <mergeCell ref="B24:B41"/>
    <mergeCell ref="I24:J24"/>
    <mergeCell ref="D25:D29"/>
    <mergeCell ref="D30:D32"/>
    <mergeCell ref="D33:D36"/>
    <mergeCell ref="D37:D39"/>
    <mergeCell ref="F2:K2"/>
    <mergeCell ref="M2:Q2"/>
    <mergeCell ref="I3:J3"/>
    <mergeCell ref="F23:K23"/>
    <mergeCell ref="M23:Q23"/>
    <mergeCell ref="D4:D8"/>
    <mergeCell ref="B3:B20"/>
    <mergeCell ref="D9:D11"/>
    <mergeCell ref="D16:D18"/>
    <mergeCell ref="D12:D15"/>
  </mergeCell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750B-5DA2-45C8-BB56-2B9019064298}">
  <sheetPr>
    <tabColor theme="4"/>
  </sheetPr>
  <dimension ref="B2:S42"/>
  <sheetViews>
    <sheetView workbookViewId="0">
      <selection activeCell="K4" sqref="K4"/>
    </sheetView>
  </sheetViews>
  <sheetFormatPr baseColWidth="10" defaultColWidth="11.42578125" defaultRowHeight="12.75" x14ac:dyDescent="0.2"/>
  <cols>
    <col min="1" max="1" width="11.42578125" style="13"/>
    <col min="2" max="2" width="3.28515625" style="13" bestFit="1" customWidth="1"/>
    <col min="3" max="3" width="2.7109375" style="13" customWidth="1"/>
    <col min="4" max="4" width="16.28515625" style="13" customWidth="1"/>
    <col min="5" max="5" width="29.140625" style="13" bestFit="1" customWidth="1"/>
    <col min="6" max="7" width="15.7109375" style="13" customWidth="1"/>
    <col min="8" max="8" width="61.7109375" style="16" bestFit="1" customWidth="1"/>
    <col min="9" max="10" width="7.7109375" style="13" customWidth="1"/>
    <col min="11" max="11" width="14.7109375" style="13" bestFit="1" customWidth="1"/>
    <col min="12" max="12" width="2.7109375" style="13" customWidth="1"/>
    <col min="13" max="17" width="15.7109375" style="13" customWidth="1"/>
    <col min="18" max="16384" width="11.42578125" style="13"/>
  </cols>
  <sheetData>
    <row r="2" spans="2:19" x14ac:dyDescent="0.2">
      <c r="F2" s="743" t="s">
        <v>73</v>
      </c>
      <c r="G2" s="743"/>
      <c r="H2" s="743"/>
      <c r="I2" s="743"/>
      <c r="J2" s="743"/>
      <c r="K2" s="743"/>
      <c r="M2" s="743" t="s">
        <v>74</v>
      </c>
      <c r="N2" s="743"/>
      <c r="O2" s="743"/>
      <c r="P2" s="743"/>
      <c r="Q2" s="743"/>
    </row>
    <row r="3" spans="2:19" ht="67.5" customHeight="1" thickBot="1" x14ac:dyDescent="0.3">
      <c r="B3" s="744" t="s">
        <v>75</v>
      </c>
      <c r="D3" s="14" t="s">
        <v>76</v>
      </c>
      <c r="E3" s="15" t="s">
        <v>77</v>
      </c>
      <c r="F3" s="182" t="s">
        <v>78</v>
      </c>
      <c r="G3" s="182" t="s">
        <v>383</v>
      </c>
      <c r="H3" s="182" t="s">
        <v>79</v>
      </c>
      <c r="I3" s="745" t="s">
        <v>80</v>
      </c>
      <c r="J3" s="745"/>
      <c r="K3" s="182" t="s">
        <v>81</v>
      </c>
      <c r="M3" s="182" t="s">
        <v>82</v>
      </c>
      <c r="N3" s="182" t="s">
        <v>384</v>
      </c>
      <c r="O3" s="182" t="s">
        <v>81</v>
      </c>
      <c r="P3" s="182" t="s">
        <v>83</v>
      </c>
      <c r="Q3" s="182" t="s">
        <v>385</v>
      </c>
    </row>
    <row r="4" spans="2:19" ht="13.9" customHeight="1" x14ac:dyDescent="0.2">
      <c r="B4" s="744"/>
      <c r="D4" s="746" t="s">
        <v>84</v>
      </c>
      <c r="E4" s="13" t="s">
        <v>85</v>
      </c>
      <c r="F4" s="18">
        <f>45*2/3*2/3</f>
        <v>20</v>
      </c>
      <c r="G4" s="18">
        <v>0</v>
      </c>
      <c r="H4" s="18" t="s">
        <v>86</v>
      </c>
      <c r="I4" s="13">
        <v>250</v>
      </c>
      <c r="J4" s="13" t="s">
        <v>87</v>
      </c>
      <c r="K4" s="37">
        <f>I4*'Cell parameters'!L5*'Cell parameters'!L37*('Cell parameters'!L34*1000)*('Cell parameters'!L48/1000)*'Cell parameters'!L4/1000</f>
        <v>529.62983999999994</v>
      </c>
      <c r="M4" s="17">
        <f t="shared" ref="M4:N15" si="0">$K$9*F4/$K4</f>
        <v>7.142681432244709</v>
      </c>
      <c r="N4" s="17">
        <f t="shared" si="0"/>
        <v>0</v>
      </c>
      <c r="O4" s="17">
        <f t="shared" ref="O4:O17" si="1">$K$9</f>
        <v>189.14886120653676</v>
      </c>
      <c r="P4" s="31">
        <f>2*M4/O4</f>
        <v>7.5524445525954526E-2</v>
      </c>
      <c r="Q4" s="31">
        <f>2*N4/O4</f>
        <v>0</v>
      </c>
      <c r="S4" s="17"/>
    </row>
    <row r="5" spans="2:19" x14ac:dyDescent="0.2">
      <c r="B5" s="744"/>
      <c r="D5" s="747"/>
      <c r="E5" s="13" t="s">
        <v>88</v>
      </c>
      <c r="F5" s="16">
        <v>75</v>
      </c>
      <c r="G5" s="16">
        <v>825</v>
      </c>
      <c r="H5" s="16" t="s">
        <v>89</v>
      </c>
      <c r="I5" s="13">
        <f>30*0.7*60</f>
        <v>1260</v>
      </c>
      <c r="J5" s="13" t="s">
        <v>90</v>
      </c>
      <c r="K5" s="37">
        <f>I5*'Cell parameters'!L80*2/1000</f>
        <v>283.72329180980512</v>
      </c>
      <c r="M5" s="17">
        <f t="shared" si="0"/>
        <v>50.000000000000007</v>
      </c>
      <c r="N5" s="17">
        <f t="shared" si="0"/>
        <v>550</v>
      </c>
      <c r="O5" s="17">
        <f t="shared" si="1"/>
        <v>189.14886120653676</v>
      </c>
      <c r="P5" s="31">
        <f t="shared" ref="P5:P8" si="2">2*M5/O5</f>
        <v>0.52868412403925236</v>
      </c>
      <c r="Q5" s="31">
        <f t="shared" ref="Q5:Q8" si="3">2*N5/O5</f>
        <v>5.8155253644317755</v>
      </c>
      <c r="S5" s="17"/>
    </row>
    <row r="6" spans="2:19" x14ac:dyDescent="0.2">
      <c r="B6" s="744"/>
      <c r="D6" s="747"/>
      <c r="E6" s="13" t="s">
        <v>91</v>
      </c>
      <c r="F6" s="16">
        <v>60</v>
      </c>
      <c r="G6" s="16">
        <v>0</v>
      </c>
      <c r="H6" s="16" t="s">
        <v>92</v>
      </c>
      <c r="I6" s="13">
        <f>30*0.8*60</f>
        <v>1440</v>
      </c>
      <c r="J6" s="13" t="s">
        <v>90</v>
      </c>
      <c r="K6" s="37">
        <f>I6*'Cell parameters'!L80*2/1000</f>
        <v>324.25519063977737</v>
      </c>
      <c r="M6" s="17">
        <f t="shared" si="0"/>
        <v>34.999999999999993</v>
      </c>
      <c r="N6" s="17">
        <f t="shared" si="0"/>
        <v>0</v>
      </c>
      <c r="O6" s="17">
        <f t="shared" si="1"/>
        <v>189.14886120653676</v>
      </c>
      <c r="P6" s="31">
        <f t="shared" si="2"/>
        <v>0.37007888682747653</v>
      </c>
      <c r="Q6" s="31">
        <f t="shared" si="3"/>
        <v>0</v>
      </c>
    </row>
    <row r="7" spans="2:19" x14ac:dyDescent="0.2">
      <c r="B7" s="744"/>
      <c r="D7" s="747"/>
      <c r="E7" s="13" t="s">
        <v>93</v>
      </c>
      <c r="F7" s="16">
        <v>45</v>
      </c>
      <c r="G7" s="16">
        <v>0</v>
      </c>
      <c r="H7" s="16" t="s">
        <v>94</v>
      </c>
      <c r="I7" s="13">
        <f>80*0.75*60</f>
        <v>3600</v>
      </c>
      <c r="J7" s="13" t="s">
        <v>90</v>
      </c>
      <c r="K7" s="37">
        <f>I7*'Cell parameters'!L80*2/1000</f>
        <v>810.63797659944339</v>
      </c>
      <c r="M7" s="17">
        <f t="shared" si="0"/>
        <v>10.5</v>
      </c>
      <c r="N7" s="17">
        <f t="shared" si="0"/>
        <v>0</v>
      </c>
      <c r="O7" s="17">
        <f t="shared" si="1"/>
        <v>189.14886120653676</v>
      </c>
      <c r="P7" s="31">
        <f t="shared" si="2"/>
        <v>0.11102366604824299</v>
      </c>
      <c r="Q7" s="31">
        <f t="shared" si="3"/>
        <v>0</v>
      </c>
    </row>
    <row r="8" spans="2:19" x14ac:dyDescent="0.2">
      <c r="B8" s="744"/>
      <c r="D8" s="748"/>
      <c r="E8" s="19" t="s">
        <v>95</v>
      </c>
      <c r="F8" s="20">
        <v>5</v>
      </c>
      <c r="G8" s="20">
        <v>210</v>
      </c>
      <c r="H8" s="20" t="s">
        <v>96</v>
      </c>
      <c r="I8" s="19">
        <f>3*4*4900*0.8/24</f>
        <v>1960</v>
      </c>
      <c r="J8" s="19" t="s">
        <v>90</v>
      </c>
      <c r="K8" s="38">
        <f>I8*'Cell parameters'!L80*2/1000</f>
        <v>441.34734281525249</v>
      </c>
      <c r="L8" s="19"/>
      <c r="M8" s="21">
        <f t="shared" si="0"/>
        <v>2.1428571428571428</v>
      </c>
      <c r="N8" s="21">
        <f t="shared" si="0"/>
        <v>89.999999999999986</v>
      </c>
      <c r="O8" s="21">
        <f t="shared" si="1"/>
        <v>189.14886120653676</v>
      </c>
      <c r="P8" s="32">
        <f t="shared" si="2"/>
        <v>2.2657891030253671E-2</v>
      </c>
      <c r="Q8" s="32">
        <f t="shared" si="3"/>
        <v>0.95163142327065398</v>
      </c>
    </row>
    <row r="9" spans="2:19" x14ac:dyDescent="0.2">
      <c r="B9" s="744"/>
      <c r="D9" s="749" t="s">
        <v>97</v>
      </c>
      <c r="E9" s="13" t="s">
        <v>98</v>
      </c>
      <c r="F9" s="28">
        <v>25</v>
      </c>
      <c r="G9" s="28">
        <v>0</v>
      </c>
      <c r="I9" s="34">
        <v>840</v>
      </c>
      <c r="J9" s="13" t="s">
        <v>90</v>
      </c>
      <c r="K9" s="39">
        <f>I9*'Cell parameters'!L80*2/1000</f>
        <v>189.14886120653676</v>
      </c>
      <c r="M9" s="17">
        <f>$K$9*F9/$K9</f>
        <v>24.999999999999996</v>
      </c>
      <c r="N9" s="17">
        <f t="shared" si="0"/>
        <v>0</v>
      </c>
      <c r="O9" s="17">
        <f t="shared" si="1"/>
        <v>189.14886120653676</v>
      </c>
      <c r="P9" s="31">
        <f>M9/O9</f>
        <v>0.13217103100981306</v>
      </c>
      <c r="Q9" s="31">
        <f>N9/O9</f>
        <v>0</v>
      </c>
    </row>
    <row r="10" spans="2:19" x14ac:dyDescent="0.2">
      <c r="B10" s="744"/>
      <c r="D10" s="750"/>
      <c r="E10" s="13" t="s">
        <v>99</v>
      </c>
      <c r="F10" s="18">
        <v>160</v>
      </c>
      <c r="G10" s="18">
        <v>0</v>
      </c>
      <c r="I10" s="34">
        <v>840</v>
      </c>
      <c r="J10" s="13" t="s">
        <v>90</v>
      </c>
      <c r="K10" s="37">
        <f>I10*'Cell parameters'!L80*2/1000</f>
        <v>189.14886120653676</v>
      </c>
      <c r="M10" s="17">
        <f t="shared" si="0"/>
        <v>160</v>
      </c>
      <c r="N10" s="17">
        <f t="shared" si="0"/>
        <v>0</v>
      </c>
      <c r="O10" s="17">
        <f t="shared" si="1"/>
        <v>189.14886120653676</v>
      </c>
      <c r="P10" s="31">
        <f t="shared" ref="P10:P17" si="4">M10/O10</f>
        <v>0.84589459846280368</v>
      </c>
      <c r="Q10" s="31">
        <f t="shared" ref="Q10:Q17" si="5">N10/O10</f>
        <v>0</v>
      </c>
    </row>
    <row r="11" spans="2:19" x14ac:dyDescent="0.2">
      <c r="B11" s="744"/>
      <c r="D11" s="751"/>
      <c r="E11" s="19" t="s">
        <v>100</v>
      </c>
      <c r="F11" s="36">
        <v>200</v>
      </c>
      <c r="G11" s="36">
        <v>0</v>
      </c>
      <c r="H11" s="20"/>
      <c r="I11" s="35">
        <v>840</v>
      </c>
      <c r="J11" s="19" t="s">
        <v>90</v>
      </c>
      <c r="K11" s="38">
        <f>I11*'Cell parameters'!L80*2/1000</f>
        <v>189.14886120653676</v>
      </c>
      <c r="L11" s="19"/>
      <c r="M11" s="21">
        <f t="shared" si="0"/>
        <v>199.99999999999997</v>
      </c>
      <c r="N11" s="21">
        <f t="shared" si="0"/>
        <v>0</v>
      </c>
      <c r="O11" s="21">
        <f t="shared" si="1"/>
        <v>189.14886120653676</v>
      </c>
      <c r="P11" s="32">
        <f t="shared" si="4"/>
        <v>1.0573682480785045</v>
      </c>
      <c r="Q11" s="32">
        <f t="shared" si="5"/>
        <v>0</v>
      </c>
    </row>
    <row r="12" spans="2:19" x14ac:dyDescent="0.2">
      <c r="B12" s="744"/>
      <c r="D12" s="747" t="s">
        <v>101</v>
      </c>
      <c r="E12" s="13" t="s">
        <v>102</v>
      </c>
      <c r="F12" s="18">
        <v>0</v>
      </c>
      <c r="G12" s="18">
        <v>25</v>
      </c>
      <c r="H12" s="16" t="s">
        <v>520</v>
      </c>
      <c r="I12" s="34">
        <v>840</v>
      </c>
      <c r="J12" s="13" t="s">
        <v>90</v>
      </c>
      <c r="K12" s="37">
        <f>I12*'Cell parameters'!L80*2/1000</f>
        <v>189.14886120653676</v>
      </c>
      <c r="M12" s="17">
        <f t="shared" si="0"/>
        <v>0</v>
      </c>
      <c r="N12" s="17">
        <f t="shared" si="0"/>
        <v>24.999999999999996</v>
      </c>
      <c r="O12" s="17">
        <f t="shared" si="1"/>
        <v>189.14886120653676</v>
      </c>
      <c r="P12" s="31">
        <f t="shared" si="4"/>
        <v>0</v>
      </c>
      <c r="Q12" s="31">
        <f t="shared" si="5"/>
        <v>0.13217103100981306</v>
      </c>
    </row>
    <row r="13" spans="2:19" ht="12.75" customHeight="1" x14ac:dyDescent="0.2">
      <c r="B13" s="744"/>
      <c r="D13" s="747"/>
      <c r="E13" s="13" t="s">
        <v>103</v>
      </c>
      <c r="F13" s="18">
        <v>1000</v>
      </c>
      <c r="G13" s="18">
        <v>0</v>
      </c>
      <c r="H13" s="16" t="s">
        <v>521</v>
      </c>
      <c r="I13" s="34">
        <f>1000/5*0.55*'Cell parameters'!L7</f>
        <v>488.50413061226919</v>
      </c>
      <c r="J13" s="13" t="s">
        <v>90</v>
      </c>
      <c r="K13" s="37">
        <f>I13*'Cell parameters'!L80*2/1000</f>
        <v>110.00000000000001</v>
      </c>
      <c r="M13" s="17">
        <f t="shared" si="0"/>
        <v>1719.5351018776066</v>
      </c>
      <c r="N13" s="17">
        <f t="shared" si="0"/>
        <v>0</v>
      </c>
      <c r="O13" s="17">
        <f t="shared" si="1"/>
        <v>189.14886120653676</v>
      </c>
      <c r="P13" s="31">
        <f t="shared" si="4"/>
        <v>9.0909090909090899</v>
      </c>
      <c r="Q13" s="31">
        <f t="shared" si="5"/>
        <v>0</v>
      </c>
    </row>
    <row r="14" spans="2:19" x14ac:dyDescent="0.2">
      <c r="B14" s="744"/>
      <c r="D14" s="747"/>
      <c r="E14" s="13" t="s">
        <v>104</v>
      </c>
      <c r="F14" s="18">
        <v>0</v>
      </c>
      <c r="G14" s="18">
        <v>40</v>
      </c>
      <c r="H14" s="16" t="s">
        <v>522</v>
      </c>
      <c r="I14" s="34">
        <v>840</v>
      </c>
      <c r="J14" s="13" t="s">
        <v>90</v>
      </c>
      <c r="K14" s="37">
        <f>I14*'Cell parameters'!L80*2/1000</f>
        <v>189.14886120653676</v>
      </c>
      <c r="M14" s="17">
        <f t="shared" si="0"/>
        <v>0</v>
      </c>
      <c r="N14" s="17">
        <f t="shared" si="0"/>
        <v>40</v>
      </c>
      <c r="O14" s="17">
        <f t="shared" si="1"/>
        <v>189.14886120653676</v>
      </c>
      <c r="P14" s="31">
        <f t="shared" si="4"/>
        <v>0</v>
      </c>
      <c r="Q14" s="31">
        <f t="shared" si="5"/>
        <v>0.21147364961570092</v>
      </c>
    </row>
    <row r="15" spans="2:19" x14ac:dyDescent="0.2">
      <c r="B15" s="744"/>
      <c r="D15" s="748"/>
      <c r="E15" s="19" t="s">
        <v>105</v>
      </c>
      <c r="F15" s="29">
        <v>100</v>
      </c>
      <c r="G15" s="29">
        <v>0</v>
      </c>
      <c r="H15" s="20"/>
      <c r="I15" s="35">
        <v>840</v>
      </c>
      <c r="J15" s="19" t="s">
        <v>90</v>
      </c>
      <c r="K15" s="38">
        <f>I15*'Cell parameters'!L80*2/1000</f>
        <v>189.14886120653676</v>
      </c>
      <c r="M15" s="21">
        <f t="shared" si="0"/>
        <v>99.999999999999986</v>
      </c>
      <c r="N15" s="21">
        <f t="shared" si="0"/>
        <v>0</v>
      </c>
      <c r="O15" s="21">
        <f t="shared" si="1"/>
        <v>189.14886120653676</v>
      </c>
      <c r="P15" s="32">
        <f t="shared" si="4"/>
        <v>0.52868412403925225</v>
      </c>
      <c r="Q15" s="32">
        <f t="shared" si="5"/>
        <v>0</v>
      </c>
    </row>
    <row r="16" spans="2:19" x14ac:dyDescent="0.2">
      <c r="B16" s="744"/>
      <c r="D16" s="749" t="s">
        <v>106</v>
      </c>
      <c r="E16" s="13" t="s">
        <v>107</v>
      </c>
      <c r="F16" s="30">
        <v>200</v>
      </c>
      <c r="G16" s="30">
        <v>0</v>
      </c>
      <c r="I16" s="34"/>
      <c r="K16" s="17"/>
      <c r="M16" s="13">
        <f>F16</f>
        <v>200</v>
      </c>
      <c r="N16" s="13">
        <f>G16</f>
        <v>0</v>
      </c>
      <c r="O16" s="17">
        <f t="shared" si="1"/>
        <v>189.14886120653676</v>
      </c>
      <c r="P16" s="31">
        <f>M16/O16</f>
        <v>1.0573682480785045</v>
      </c>
      <c r="Q16" s="31">
        <f t="shared" si="5"/>
        <v>0</v>
      </c>
    </row>
    <row r="17" spans="2:17" x14ac:dyDescent="0.2">
      <c r="B17" s="744"/>
      <c r="D17" s="750"/>
      <c r="E17" s="13" t="s">
        <v>108</v>
      </c>
      <c r="F17" s="16">
        <v>163</v>
      </c>
      <c r="G17" s="16">
        <v>913</v>
      </c>
      <c r="H17" s="16" t="s">
        <v>109</v>
      </c>
      <c r="I17" s="34"/>
      <c r="K17" s="17"/>
      <c r="M17" s="13">
        <f>F17</f>
        <v>163</v>
      </c>
      <c r="N17" s="13">
        <f>G17</f>
        <v>913</v>
      </c>
      <c r="O17" s="17">
        <f t="shared" si="1"/>
        <v>189.14886120653676</v>
      </c>
      <c r="P17" s="31">
        <f t="shared" si="4"/>
        <v>0.8617551221839812</v>
      </c>
      <c r="Q17" s="31">
        <f t="shared" si="5"/>
        <v>4.8268860524783737</v>
      </c>
    </row>
    <row r="18" spans="2:17" x14ac:dyDescent="0.2">
      <c r="B18" s="744"/>
      <c r="D18" s="750"/>
      <c r="E18" s="13" t="s">
        <v>110</v>
      </c>
      <c r="F18" s="16"/>
      <c r="G18" s="16"/>
      <c r="I18" s="34"/>
      <c r="K18" s="17"/>
      <c r="O18" s="17"/>
      <c r="P18" s="17"/>
      <c r="Q18" s="17"/>
    </row>
    <row r="19" spans="2:17" x14ac:dyDescent="0.2">
      <c r="B19" s="744"/>
      <c r="D19" s="23"/>
      <c r="F19" s="22"/>
      <c r="G19" s="22"/>
      <c r="M19" s="24" t="s">
        <v>111</v>
      </c>
      <c r="N19" s="25">
        <f>SUM(M4:N17)</f>
        <v>4290.3206404527082</v>
      </c>
      <c r="O19" s="24" t="s">
        <v>112</v>
      </c>
      <c r="P19" s="24">
        <f>SUM(P4:P18)</f>
        <v>14.682119476233128</v>
      </c>
      <c r="Q19" s="24">
        <f>SUM(Q4:Q18)</f>
        <v>11.937687520806318</v>
      </c>
    </row>
    <row r="20" spans="2:17" ht="13.5" thickBot="1" x14ac:dyDescent="0.25">
      <c r="B20" s="744"/>
      <c r="D20" s="23"/>
      <c r="F20" s="22"/>
      <c r="G20" s="22"/>
      <c r="P20" s="24"/>
      <c r="Q20" s="26">
        <f>P19+Q19</f>
        <v>26.619806997039447</v>
      </c>
    </row>
    <row r="21" spans="2:17" ht="13.5" thickTop="1" x14ac:dyDescent="0.2">
      <c r="D21" s="27"/>
    </row>
    <row r="23" spans="2:17" x14ac:dyDescent="0.2">
      <c r="F23" s="743" t="s">
        <v>73</v>
      </c>
      <c r="G23" s="743"/>
      <c r="H23" s="743"/>
      <c r="I23" s="743"/>
      <c r="J23" s="743"/>
      <c r="K23" s="743"/>
      <c r="M23" s="743" t="s">
        <v>74</v>
      </c>
      <c r="N23" s="743"/>
      <c r="O23" s="743"/>
      <c r="P23" s="743"/>
      <c r="Q23" s="743"/>
    </row>
    <row r="24" spans="2:17" ht="67.5" customHeight="1" thickBot="1" x14ac:dyDescent="0.3">
      <c r="B24" s="744" t="s">
        <v>523</v>
      </c>
      <c r="D24" s="14" t="s">
        <v>76</v>
      </c>
      <c r="E24" s="15" t="s">
        <v>77</v>
      </c>
      <c r="F24" s="182" t="s">
        <v>78</v>
      </c>
      <c r="G24" s="182" t="s">
        <v>383</v>
      </c>
      <c r="H24" s="182" t="s">
        <v>79</v>
      </c>
      <c r="I24" s="745" t="s">
        <v>80</v>
      </c>
      <c r="J24" s="745"/>
      <c r="K24" s="182" t="s">
        <v>81</v>
      </c>
      <c r="M24" s="182" t="s">
        <v>82</v>
      </c>
      <c r="N24" s="182" t="s">
        <v>384</v>
      </c>
      <c r="O24" s="182" t="s">
        <v>81</v>
      </c>
      <c r="P24" s="182" t="s">
        <v>83</v>
      </c>
      <c r="Q24" s="182" t="s">
        <v>385</v>
      </c>
    </row>
    <row r="25" spans="2:17" x14ac:dyDescent="0.2">
      <c r="B25" s="744"/>
      <c r="D25" s="746" t="s">
        <v>84</v>
      </c>
      <c r="E25" s="13" t="s">
        <v>85</v>
      </c>
      <c r="F25" s="18">
        <f>45*2/3*2/3</f>
        <v>20</v>
      </c>
      <c r="G25" s="18">
        <v>0</v>
      </c>
      <c r="H25" s="18" t="s">
        <v>86</v>
      </c>
      <c r="I25" s="13">
        <v>250</v>
      </c>
      <c r="J25" s="13" t="s">
        <v>87</v>
      </c>
      <c r="K25" s="37">
        <f>I25*'Cell parameters'!M5*'Cell parameters'!M37*('Cell parameters'!M34*1000)*('Cell parameters'!M48/1000)*'Cell parameters'!M4/1000</f>
        <v>535.26420000000007</v>
      </c>
      <c r="M25" s="17">
        <f>$K$9*F25/$K25</f>
        <v>7.0674953119052892</v>
      </c>
      <c r="N25" s="17">
        <f t="shared" ref="N25:N36" si="6">$K$9*G25/$K25</f>
        <v>0</v>
      </c>
      <c r="O25" s="17">
        <f t="shared" ref="O25:O38" si="7">$K$9</f>
        <v>189.14886120653676</v>
      </c>
      <c r="P25" s="31">
        <f>2*M25/O25</f>
        <v>7.4729451362523402E-2</v>
      </c>
      <c r="Q25" s="31">
        <f>2*N25/O25</f>
        <v>0</v>
      </c>
    </row>
    <row r="26" spans="2:17" x14ac:dyDescent="0.2">
      <c r="B26" s="744"/>
      <c r="D26" s="747"/>
      <c r="E26" s="13" t="s">
        <v>88</v>
      </c>
      <c r="F26" s="16">
        <v>75</v>
      </c>
      <c r="G26" s="16">
        <v>825</v>
      </c>
      <c r="H26" s="16" t="s">
        <v>89</v>
      </c>
      <c r="I26" s="13">
        <f>30*0.7*60</f>
        <v>1260</v>
      </c>
      <c r="J26" s="13" t="s">
        <v>90</v>
      </c>
      <c r="K26" s="37">
        <f>I26*'Cell parameters'!M80*2/1000</f>
        <v>555.11078832353189</v>
      </c>
      <c r="M26" s="17">
        <f t="shared" ref="M26:M29" si="8">$K$9*F26/$K26</f>
        <v>25.555555555555554</v>
      </c>
      <c r="N26" s="17">
        <f t="shared" si="6"/>
        <v>281.11111111111109</v>
      </c>
      <c r="O26" s="17">
        <f t="shared" si="7"/>
        <v>189.14886120653676</v>
      </c>
      <c r="P26" s="31">
        <f t="shared" ref="P26:P29" si="9">2*M26/O26</f>
        <v>0.27021633006450668</v>
      </c>
      <c r="Q26" s="31">
        <f t="shared" ref="Q26:Q29" si="10">2*N26/O26</f>
        <v>2.9723796307095736</v>
      </c>
    </row>
    <row r="27" spans="2:17" x14ac:dyDescent="0.2">
      <c r="B27" s="744"/>
      <c r="D27" s="747"/>
      <c r="E27" s="13" t="s">
        <v>91</v>
      </c>
      <c r="F27" s="16">
        <v>60</v>
      </c>
      <c r="G27" s="16">
        <v>0</v>
      </c>
      <c r="H27" s="16" t="s">
        <v>92</v>
      </c>
      <c r="I27" s="13">
        <f>30*0.8*60</f>
        <v>1440</v>
      </c>
      <c r="J27" s="13" t="s">
        <v>90</v>
      </c>
      <c r="K27" s="37">
        <f>I27*'Cell parameters'!M80*2/1000</f>
        <v>634.41232951260793</v>
      </c>
      <c r="M27" s="17">
        <f t="shared" si="8"/>
        <v>17.888888888888886</v>
      </c>
      <c r="N27" s="17">
        <f t="shared" si="6"/>
        <v>0</v>
      </c>
      <c r="O27" s="17">
        <f t="shared" si="7"/>
        <v>189.14886120653676</v>
      </c>
      <c r="P27" s="31">
        <f t="shared" si="9"/>
        <v>0.18915143104515467</v>
      </c>
      <c r="Q27" s="31">
        <f t="shared" si="10"/>
        <v>0</v>
      </c>
    </row>
    <row r="28" spans="2:17" x14ac:dyDescent="0.2">
      <c r="B28" s="744"/>
      <c r="D28" s="747"/>
      <c r="E28" s="13" t="s">
        <v>93</v>
      </c>
      <c r="F28" s="16">
        <v>45</v>
      </c>
      <c r="G28" s="16">
        <v>0</v>
      </c>
      <c r="H28" s="16" t="s">
        <v>94</v>
      </c>
      <c r="I28" s="13">
        <f>80*0.75*60</f>
        <v>3600</v>
      </c>
      <c r="J28" s="13" t="s">
        <v>90</v>
      </c>
      <c r="K28" s="37">
        <f>I28*'Cell parameters'!M80*2/1000</f>
        <v>1586.0308237815198</v>
      </c>
      <c r="M28" s="17">
        <f t="shared" si="8"/>
        <v>5.3666666666666663</v>
      </c>
      <c r="N28" s="17">
        <f t="shared" si="6"/>
        <v>0</v>
      </c>
      <c r="O28" s="17">
        <f t="shared" si="7"/>
        <v>189.14886120653676</v>
      </c>
      <c r="P28" s="31">
        <f t="shared" si="9"/>
        <v>5.6745429313546411E-2</v>
      </c>
      <c r="Q28" s="31">
        <f t="shared" si="10"/>
        <v>0</v>
      </c>
    </row>
    <row r="29" spans="2:17" x14ac:dyDescent="0.2">
      <c r="B29" s="744"/>
      <c r="D29" s="748"/>
      <c r="E29" s="19" t="s">
        <v>95</v>
      </c>
      <c r="F29" s="20">
        <v>5</v>
      </c>
      <c r="G29" s="20">
        <v>210</v>
      </c>
      <c r="H29" s="20" t="s">
        <v>96</v>
      </c>
      <c r="I29" s="19">
        <f>3*4*4900*0.8/24</f>
        <v>1960</v>
      </c>
      <c r="J29" s="19" t="s">
        <v>90</v>
      </c>
      <c r="K29" s="38">
        <f>I29*'Cell parameters'!M80*2/1000</f>
        <v>863.50567072549404</v>
      </c>
      <c r="L29" s="19"/>
      <c r="M29" s="21">
        <f t="shared" si="8"/>
        <v>1.0952380952380951</v>
      </c>
      <c r="N29" s="21">
        <f t="shared" si="6"/>
        <v>45.999999999999993</v>
      </c>
      <c r="O29" s="21">
        <f t="shared" si="7"/>
        <v>189.14886120653676</v>
      </c>
      <c r="P29" s="32">
        <f t="shared" si="9"/>
        <v>1.158069985990743E-2</v>
      </c>
      <c r="Q29" s="32">
        <f t="shared" si="10"/>
        <v>0.48638939411611204</v>
      </c>
    </row>
    <row r="30" spans="2:17" x14ac:dyDescent="0.2">
      <c r="B30" s="744"/>
      <c r="D30" s="749" t="s">
        <v>97</v>
      </c>
      <c r="E30" s="13" t="s">
        <v>98</v>
      </c>
      <c r="F30" s="28">
        <v>25</v>
      </c>
      <c r="G30" s="28">
        <v>0</v>
      </c>
      <c r="I30" s="34">
        <v>840</v>
      </c>
      <c r="J30" s="13" t="s">
        <v>90</v>
      </c>
      <c r="K30" s="39">
        <f>I30*'Cell parameters'!M80*2/1000</f>
        <v>370.07385888235456</v>
      </c>
      <c r="M30" s="17">
        <f>$K$9*F30/$K30</f>
        <v>12.777777777777777</v>
      </c>
      <c r="N30" s="17">
        <f t="shared" si="6"/>
        <v>0</v>
      </c>
      <c r="O30" s="17">
        <f t="shared" si="7"/>
        <v>189.14886120653676</v>
      </c>
      <c r="P30" s="31">
        <f>M30/O30</f>
        <v>6.7554082516126671E-2</v>
      </c>
      <c r="Q30" s="31">
        <f>N30/O30</f>
        <v>0</v>
      </c>
    </row>
    <row r="31" spans="2:17" x14ac:dyDescent="0.2">
      <c r="B31" s="744"/>
      <c r="D31" s="750"/>
      <c r="E31" s="13" t="s">
        <v>99</v>
      </c>
      <c r="F31" s="18">
        <v>160</v>
      </c>
      <c r="G31" s="18">
        <v>0</v>
      </c>
      <c r="I31" s="34">
        <v>840</v>
      </c>
      <c r="J31" s="13" t="s">
        <v>90</v>
      </c>
      <c r="K31" s="37">
        <f>I31*'Cell parameters'!M80*2/1000</f>
        <v>370.07385888235456</v>
      </c>
      <c r="M31" s="17">
        <f t="shared" ref="M31:M36" si="11">$K$9*F31/$K31</f>
        <v>81.777777777777786</v>
      </c>
      <c r="N31" s="17">
        <f t="shared" si="6"/>
        <v>0</v>
      </c>
      <c r="O31" s="17">
        <f t="shared" si="7"/>
        <v>189.14886120653676</v>
      </c>
      <c r="P31" s="31">
        <f t="shared" ref="P31:P36" si="12">M31/O31</f>
        <v>0.43234612810321082</v>
      </c>
      <c r="Q31" s="31">
        <f t="shared" ref="Q31:Q38" si="13">N31/O31</f>
        <v>0</v>
      </c>
    </row>
    <row r="32" spans="2:17" x14ac:dyDescent="0.2">
      <c r="B32" s="744"/>
      <c r="D32" s="751"/>
      <c r="E32" s="19" t="s">
        <v>100</v>
      </c>
      <c r="F32" s="36">
        <v>200</v>
      </c>
      <c r="G32" s="36">
        <v>0</v>
      </c>
      <c r="H32" s="20"/>
      <c r="I32" s="35">
        <v>840</v>
      </c>
      <c r="J32" s="19" t="s">
        <v>90</v>
      </c>
      <c r="K32" s="38">
        <f>I32*'Cell parameters'!M80*2/1000</f>
        <v>370.07385888235456</v>
      </c>
      <c r="L32" s="19"/>
      <c r="M32" s="21">
        <f t="shared" si="11"/>
        <v>102.22222222222221</v>
      </c>
      <c r="N32" s="21">
        <f t="shared" si="6"/>
        <v>0</v>
      </c>
      <c r="O32" s="21">
        <f t="shared" si="7"/>
        <v>189.14886120653676</v>
      </c>
      <c r="P32" s="32">
        <f t="shared" si="12"/>
        <v>0.54043266012901336</v>
      </c>
      <c r="Q32" s="32">
        <f t="shared" si="13"/>
        <v>0</v>
      </c>
    </row>
    <row r="33" spans="2:17" x14ac:dyDescent="0.2">
      <c r="B33" s="744"/>
      <c r="D33" s="747" t="s">
        <v>101</v>
      </c>
      <c r="E33" s="13" t="s">
        <v>102</v>
      </c>
      <c r="F33" s="18">
        <v>0</v>
      </c>
      <c r="G33" s="18">
        <v>25</v>
      </c>
      <c r="H33" s="16" t="s">
        <v>520</v>
      </c>
      <c r="I33" s="34">
        <v>840</v>
      </c>
      <c r="J33" s="13" t="s">
        <v>90</v>
      </c>
      <c r="K33" s="37">
        <f>I33*'Cell parameters'!M80*2/1000</f>
        <v>370.07385888235456</v>
      </c>
      <c r="M33" s="17">
        <f t="shared" si="11"/>
        <v>0</v>
      </c>
      <c r="N33" s="17">
        <f t="shared" si="6"/>
        <v>12.777777777777777</v>
      </c>
      <c r="O33" s="17">
        <f t="shared" si="7"/>
        <v>189.14886120653676</v>
      </c>
      <c r="P33" s="31">
        <f t="shared" si="12"/>
        <v>0</v>
      </c>
      <c r="Q33" s="31">
        <f t="shared" si="13"/>
        <v>6.7554082516126671E-2</v>
      </c>
    </row>
    <row r="34" spans="2:17" x14ac:dyDescent="0.2">
      <c r="B34" s="744"/>
      <c r="D34" s="747"/>
      <c r="E34" s="13" t="s">
        <v>103</v>
      </c>
      <c r="F34" s="18">
        <v>1000</v>
      </c>
      <c r="G34" s="18">
        <v>0</v>
      </c>
      <c r="H34" s="16" t="s">
        <v>521</v>
      </c>
      <c r="I34" s="34">
        <f>1000/5*0.55*'Cell parameters'!M7</f>
        <v>249.67988897960424</v>
      </c>
      <c r="J34" s="13" t="s">
        <v>90</v>
      </c>
      <c r="K34" s="37">
        <f>I34*'Cell parameters'!M80*2/1000</f>
        <v>110.00000000000001</v>
      </c>
      <c r="M34" s="17">
        <f t="shared" si="11"/>
        <v>1719.5351018776066</v>
      </c>
      <c r="N34" s="17">
        <f t="shared" si="6"/>
        <v>0</v>
      </c>
      <c r="O34" s="17">
        <f t="shared" si="7"/>
        <v>189.14886120653676</v>
      </c>
      <c r="P34" s="31">
        <f t="shared" si="12"/>
        <v>9.0909090909090899</v>
      </c>
      <c r="Q34" s="31">
        <f t="shared" si="13"/>
        <v>0</v>
      </c>
    </row>
    <row r="35" spans="2:17" x14ac:dyDescent="0.2">
      <c r="B35" s="744"/>
      <c r="D35" s="747"/>
      <c r="E35" s="13" t="s">
        <v>104</v>
      </c>
      <c r="F35" s="18">
        <v>0</v>
      </c>
      <c r="G35" s="18">
        <v>40</v>
      </c>
      <c r="H35" s="16" t="s">
        <v>522</v>
      </c>
      <c r="I35" s="34">
        <v>840</v>
      </c>
      <c r="J35" s="13" t="s">
        <v>90</v>
      </c>
      <c r="K35" s="37">
        <f>I35*'Cell parameters'!M80*2/1000</f>
        <v>370.07385888235456</v>
      </c>
      <c r="M35" s="17">
        <f t="shared" si="11"/>
        <v>0</v>
      </c>
      <c r="N35" s="17">
        <f t="shared" si="6"/>
        <v>20.444444444444446</v>
      </c>
      <c r="O35" s="17">
        <f t="shared" si="7"/>
        <v>189.14886120653676</v>
      </c>
      <c r="P35" s="31">
        <f t="shared" si="12"/>
        <v>0</v>
      </c>
      <c r="Q35" s="31">
        <f t="shared" si="13"/>
        <v>0.10808653202580271</v>
      </c>
    </row>
    <row r="36" spans="2:17" x14ac:dyDescent="0.2">
      <c r="B36" s="744"/>
      <c r="D36" s="748"/>
      <c r="E36" s="19" t="s">
        <v>105</v>
      </c>
      <c r="F36" s="29">
        <v>100</v>
      </c>
      <c r="G36" s="29">
        <v>0</v>
      </c>
      <c r="H36" s="20"/>
      <c r="I36" s="35">
        <v>840</v>
      </c>
      <c r="J36" s="19" t="s">
        <v>90</v>
      </c>
      <c r="K36" s="38">
        <f>I36*'Cell parameters'!M80*2/1000</f>
        <v>370.07385888235456</v>
      </c>
      <c r="M36" s="21">
        <f t="shared" si="11"/>
        <v>51.111111111111107</v>
      </c>
      <c r="N36" s="21">
        <f t="shared" si="6"/>
        <v>0</v>
      </c>
      <c r="O36" s="21">
        <f t="shared" si="7"/>
        <v>189.14886120653676</v>
      </c>
      <c r="P36" s="32">
        <f t="shared" si="12"/>
        <v>0.27021633006450668</v>
      </c>
      <c r="Q36" s="32">
        <f t="shared" si="13"/>
        <v>0</v>
      </c>
    </row>
    <row r="37" spans="2:17" x14ac:dyDescent="0.2">
      <c r="B37" s="744"/>
      <c r="D37" s="749" t="s">
        <v>106</v>
      </c>
      <c r="E37" s="13" t="s">
        <v>107</v>
      </c>
      <c r="F37" s="30">
        <v>200</v>
      </c>
      <c r="G37" s="30">
        <v>0</v>
      </c>
      <c r="I37" s="34"/>
      <c r="K37" s="17"/>
      <c r="M37" s="13">
        <f>F37</f>
        <v>200</v>
      </c>
      <c r="N37" s="13">
        <f>G37</f>
        <v>0</v>
      </c>
      <c r="O37" s="17">
        <f t="shared" si="7"/>
        <v>189.14886120653676</v>
      </c>
      <c r="P37" s="31">
        <f>M37/O37</f>
        <v>1.0573682480785045</v>
      </c>
      <c r="Q37" s="31">
        <f t="shared" si="13"/>
        <v>0</v>
      </c>
    </row>
    <row r="38" spans="2:17" x14ac:dyDescent="0.2">
      <c r="B38" s="744"/>
      <c r="D38" s="750"/>
      <c r="E38" s="13" t="s">
        <v>108</v>
      </c>
      <c r="F38" s="16">
        <v>163</v>
      </c>
      <c r="G38" s="16">
        <v>913</v>
      </c>
      <c r="H38" s="16" t="s">
        <v>109</v>
      </c>
      <c r="I38" s="34"/>
      <c r="K38" s="17"/>
      <c r="M38" s="13">
        <f>F38</f>
        <v>163</v>
      </c>
      <c r="N38" s="13">
        <f>G38</f>
        <v>913</v>
      </c>
      <c r="O38" s="17">
        <f t="shared" si="7"/>
        <v>189.14886120653676</v>
      </c>
      <c r="P38" s="31">
        <f t="shared" ref="P38" si="14">M38/O38</f>
        <v>0.8617551221839812</v>
      </c>
      <c r="Q38" s="31">
        <f t="shared" si="13"/>
        <v>4.8268860524783737</v>
      </c>
    </row>
    <row r="39" spans="2:17" x14ac:dyDescent="0.2">
      <c r="B39" s="744"/>
      <c r="D39" s="750"/>
      <c r="E39" s="13" t="s">
        <v>110</v>
      </c>
      <c r="F39" s="16"/>
      <c r="G39" s="16"/>
      <c r="I39" s="34"/>
      <c r="K39" s="17"/>
      <c r="O39" s="17"/>
      <c r="P39" s="17"/>
      <c r="Q39" s="17"/>
    </row>
    <row r="40" spans="2:17" x14ac:dyDescent="0.2">
      <c r="B40" s="744"/>
      <c r="D40" s="23"/>
      <c r="F40" s="22"/>
      <c r="G40" s="22"/>
      <c r="M40" s="24" t="s">
        <v>111</v>
      </c>
      <c r="N40" s="25">
        <f>SUM(M25:N38)</f>
        <v>3660.7311686180833</v>
      </c>
      <c r="O40" s="24" t="s">
        <v>112</v>
      </c>
      <c r="P40" s="24">
        <f>SUM(P25:P39)</f>
        <v>12.92300500363007</v>
      </c>
      <c r="Q40" s="24">
        <f>SUM(Q25:Q39)</f>
        <v>8.4612956918459883</v>
      </c>
    </row>
    <row r="41" spans="2:17" ht="13.5" thickBot="1" x14ac:dyDescent="0.25">
      <c r="B41" s="744"/>
      <c r="D41" s="23"/>
      <c r="F41" s="22"/>
      <c r="G41" s="22"/>
      <c r="P41" s="24"/>
      <c r="Q41" s="26">
        <f>P40+Q40</f>
        <v>21.384300695476057</v>
      </c>
    </row>
    <row r="42" spans="2:17" ht="13.5" thickTop="1" x14ac:dyDescent="0.2"/>
  </sheetData>
  <mergeCells count="16">
    <mergeCell ref="F2:K2"/>
    <mergeCell ref="M2:Q2"/>
    <mergeCell ref="B3:B20"/>
    <mergeCell ref="I3:J3"/>
    <mergeCell ref="D4:D8"/>
    <mergeCell ref="D9:D11"/>
    <mergeCell ref="D12:D15"/>
    <mergeCell ref="D16:D18"/>
    <mergeCell ref="F23:K23"/>
    <mergeCell ref="M23:Q23"/>
    <mergeCell ref="B24:B41"/>
    <mergeCell ref="I24:J24"/>
    <mergeCell ref="D25:D29"/>
    <mergeCell ref="D30:D32"/>
    <mergeCell ref="D33:D36"/>
    <mergeCell ref="D37:D39"/>
  </mergeCell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3969C-48A7-41D4-AE11-FD75C25E2FBA}">
  <sheetPr>
    <tabColor theme="4"/>
  </sheetPr>
  <dimension ref="B2:S42"/>
  <sheetViews>
    <sheetView showFormulas="1" workbookViewId="0">
      <selection activeCell="K4" sqref="K4:K15"/>
    </sheetView>
  </sheetViews>
  <sheetFormatPr baseColWidth="10" defaultColWidth="11.42578125" defaultRowHeight="12.75" x14ac:dyDescent="0.2"/>
  <cols>
    <col min="1" max="1" width="11.42578125" style="13"/>
    <col min="2" max="2" width="3.28515625" style="13" bestFit="1" customWidth="1"/>
    <col min="3" max="3" width="2.7109375" style="13" customWidth="1"/>
    <col min="4" max="4" width="16.28515625" style="13" customWidth="1"/>
    <col min="5" max="5" width="29.140625" style="13" bestFit="1" customWidth="1"/>
    <col min="6" max="7" width="15.7109375" style="13" customWidth="1"/>
    <col min="8" max="8" width="61.7109375" style="16" bestFit="1" customWidth="1"/>
    <col min="9" max="10" width="7.7109375" style="13" customWidth="1"/>
    <col min="11" max="11" width="14.7109375" style="13" bestFit="1" customWidth="1"/>
    <col min="12" max="12" width="2.7109375" style="13" customWidth="1"/>
    <col min="13" max="17" width="15.7109375" style="13" customWidth="1"/>
    <col min="18" max="16384" width="11.42578125" style="13"/>
  </cols>
  <sheetData>
    <row r="2" spans="2:19" x14ac:dyDescent="0.2">
      <c r="F2" s="743" t="s">
        <v>73</v>
      </c>
      <c r="G2" s="743"/>
      <c r="H2" s="743"/>
      <c r="I2" s="743"/>
      <c r="J2" s="743"/>
      <c r="K2" s="743"/>
      <c r="M2" s="743" t="s">
        <v>74</v>
      </c>
      <c r="N2" s="743"/>
      <c r="O2" s="743"/>
      <c r="P2" s="743"/>
      <c r="Q2" s="743"/>
    </row>
    <row r="3" spans="2:19" ht="67.5" customHeight="1" thickBot="1" x14ac:dyDescent="0.3">
      <c r="B3" s="744" t="s">
        <v>75</v>
      </c>
      <c r="D3" s="14" t="s">
        <v>76</v>
      </c>
      <c r="E3" s="15" t="s">
        <v>77</v>
      </c>
      <c r="F3" s="182" t="s">
        <v>78</v>
      </c>
      <c r="G3" s="182" t="s">
        <v>383</v>
      </c>
      <c r="H3" s="182" t="s">
        <v>79</v>
      </c>
      <c r="I3" s="745" t="s">
        <v>80</v>
      </c>
      <c r="J3" s="745"/>
      <c r="K3" s="182" t="s">
        <v>81</v>
      </c>
      <c r="M3" s="182" t="s">
        <v>82</v>
      </c>
      <c r="N3" s="182" t="s">
        <v>384</v>
      </c>
      <c r="O3" s="182" t="s">
        <v>81</v>
      </c>
      <c r="P3" s="182" t="s">
        <v>83</v>
      </c>
      <c r="Q3" s="182" t="s">
        <v>385</v>
      </c>
    </row>
    <row r="4" spans="2:19" ht="13.9" customHeight="1" x14ac:dyDescent="0.2">
      <c r="B4" s="744"/>
      <c r="D4" s="746" t="s">
        <v>84</v>
      </c>
      <c r="E4" s="13" t="s">
        <v>85</v>
      </c>
      <c r="F4" s="18">
        <f>45*2/3*2/3</f>
        <v>20</v>
      </c>
      <c r="G4" s="18">
        <v>0</v>
      </c>
      <c r="H4" s="18" t="s">
        <v>86</v>
      </c>
      <c r="I4" s="13">
        <v>250</v>
      </c>
      <c r="J4" s="13" t="s">
        <v>87</v>
      </c>
      <c r="K4" s="37">
        <f>I4*'Cell parameters'!N5*'Cell parameters'!N37*('Cell parameters'!N34*1000)*('Cell parameters'!N48/1000)*'Cell parameters'!N4/1000</f>
        <v>301.8528</v>
      </c>
      <c r="M4" s="17">
        <f t="shared" ref="M4:N15" si="0">$K$9*F4/$K4</f>
        <v>6.7821157383168922</v>
      </c>
      <c r="N4" s="17">
        <f t="shared" si="0"/>
        <v>0</v>
      </c>
      <c r="O4" s="17">
        <f t="shared" ref="O4:O17" si="1">$K$9</f>
        <v>102.36003127675106</v>
      </c>
      <c r="P4" s="31">
        <f>2*M4/O4</f>
        <v>0.13251492118012489</v>
      </c>
      <c r="Q4" s="31">
        <f>2*N4/O4</f>
        <v>0</v>
      </c>
      <c r="S4" s="17"/>
    </row>
    <row r="5" spans="2:19" x14ac:dyDescent="0.2">
      <c r="B5" s="744"/>
      <c r="D5" s="747"/>
      <c r="E5" s="13" t="s">
        <v>88</v>
      </c>
      <c r="F5" s="16">
        <v>75</v>
      </c>
      <c r="G5" s="16">
        <v>825</v>
      </c>
      <c r="H5" s="16" t="s">
        <v>89</v>
      </c>
      <c r="I5" s="13">
        <f>30*0.7*60</f>
        <v>1260</v>
      </c>
      <c r="J5" s="13" t="s">
        <v>90</v>
      </c>
      <c r="K5" s="37">
        <f>I5*'Cell parameters'!N80*2/1000</f>
        <v>153.5400469151266</v>
      </c>
      <c r="M5" s="17">
        <f t="shared" si="0"/>
        <v>50</v>
      </c>
      <c r="N5" s="17">
        <f t="shared" si="0"/>
        <v>550</v>
      </c>
      <c r="O5" s="17">
        <f t="shared" si="1"/>
        <v>102.36003127675106</v>
      </c>
      <c r="P5" s="31">
        <f t="shared" ref="P5:P8" si="2">2*M5/O5</f>
        <v>0.97694382028498761</v>
      </c>
      <c r="Q5" s="31">
        <f t="shared" ref="Q5:Q8" si="3">2*N5/O5</f>
        <v>10.746382023134863</v>
      </c>
      <c r="S5" s="17"/>
    </row>
    <row r="6" spans="2:19" x14ac:dyDescent="0.2">
      <c r="B6" s="744"/>
      <c r="D6" s="747"/>
      <c r="E6" s="13" t="s">
        <v>91</v>
      </c>
      <c r="F6" s="16">
        <v>60</v>
      </c>
      <c r="G6" s="16">
        <v>0</v>
      </c>
      <c r="H6" s="16" t="s">
        <v>92</v>
      </c>
      <c r="I6" s="13">
        <f>30*0.8*60</f>
        <v>1440</v>
      </c>
      <c r="J6" s="13" t="s">
        <v>90</v>
      </c>
      <c r="K6" s="37">
        <f>I6*'Cell parameters'!N80*2/1000</f>
        <v>175.47433933157325</v>
      </c>
      <c r="M6" s="17">
        <f t="shared" si="0"/>
        <v>35</v>
      </c>
      <c r="N6" s="17">
        <f t="shared" si="0"/>
        <v>0</v>
      </c>
      <c r="O6" s="17">
        <f t="shared" si="1"/>
        <v>102.36003127675106</v>
      </c>
      <c r="P6" s="31">
        <f t="shared" si="2"/>
        <v>0.68386067419949137</v>
      </c>
      <c r="Q6" s="31">
        <f t="shared" si="3"/>
        <v>0</v>
      </c>
    </row>
    <row r="7" spans="2:19" x14ac:dyDescent="0.2">
      <c r="B7" s="744"/>
      <c r="D7" s="747"/>
      <c r="E7" s="13" t="s">
        <v>93</v>
      </c>
      <c r="F7" s="16">
        <v>45</v>
      </c>
      <c r="G7" s="16">
        <v>0</v>
      </c>
      <c r="H7" s="16" t="s">
        <v>94</v>
      </c>
      <c r="I7" s="13">
        <f>80*0.75*60</f>
        <v>3600</v>
      </c>
      <c r="J7" s="13" t="s">
        <v>90</v>
      </c>
      <c r="K7" s="37">
        <f>I7*'Cell parameters'!N80*2/1000</f>
        <v>438.6858483289331</v>
      </c>
      <c r="M7" s="17">
        <f t="shared" si="0"/>
        <v>10.5</v>
      </c>
      <c r="N7" s="17">
        <f t="shared" si="0"/>
        <v>0</v>
      </c>
      <c r="O7" s="17">
        <f t="shared" si="1"/>
        <v>102.36003127675106</v>
      </c>
      <c r="P7" s="31">
        <f t="shared" si="2"/>
        <v>0.20515820225984741</v>
      </c>
      <c r="Q7" s="31">
        <f t="shared" si="3"/>
        <v>0</v>
      </c>
    </row>
    <row r="8" spans="2:19" x14ac:dyDescent="0.2">
      <c r="B8" s="744"/>
      <c r="D8" s="748"/>
      <c r="E8" s="19" t="s">
        <v>95</v>
      </c>
      <c r="F8" s="20">
        <v>5</v>
      </c>
      <c r="G8" s="20">
        <v>210</v>
      </c>
      <c r="H8" s="20" t="s">
        <v>96</v>
      </c>
      <c r="I8" s="19">
        <f>3*4*4900*0.8/24</f>
        <v>1960</v>
      </c>
      <c r="J8" s="19" t="s">
        <v>90</v>
      </c>
      <c r="K8" s="38">
        <f>I8*'Cell parameters'!N80*2/1000</f>
        <v>238.84007297908582</v>
      </c>
      <c r="L8" s="19"/>
      <c r="M8" s="21">
        <f t="shared" si="0"/>
        <v>2.1428571428571428</v>
      </c>
      <c r="N8" s="21">
        <f t="shared" si="0"/>
        <v>89.999999999999986</v>
      </c>
      <c r="O8" s="21">
        <f t="shared" si="1"/>
        <v>102.36003127675106</v>
      </c>
      <c r="P8" s="32">
        <f t="shared" si="2"/>
        <v>4.1869020869356614E-2</v>
      </c>
      <c r="Q8" s="32">
        <f t="shared" si="3"/>
        <v>1.7584988765129774</v>
      </c>
    </row>
    <row r="9" spans="2:19" x14ac:dyDescent="0.2">
      <c r="B9" s="744"/>
      <c r="D9" s="749" t="s">
        <v>97</v>
      </c>
      <c r="E9" s="13" t="s">
        <v>98</v>
      </c>
      <c r="F9" s="28">
        <v>25</v>
      </c>
      <c r="G9" s="28">
        <v>0</v>
      </c>
      <c r="I9" s="34">
        <v>840</v>
      </c>
      <c r="J9" s="13" t="s">
        <v>90</v>
      </c>
      <c r="K9" s="39">
        <f>I9*'Cell parameters'!N80*2/1000</f>
        <v>102.36003127675106</v>
      </c>
      <c r="M9" s="17">
        <f>$K$9*F9/$K9</f>
        <v>24.999999999999996</v>
      </c>
      <c r="N9" s="17">
        <f t="shared" si="0"/>
        <v>0</v>
      </c>
      <c r="O9" s="17">
        <f t="shared" si="1"/>
        <v>102.36003127675106</v>
      </c>
      <c r="P9" s="31">
        <f>M9/O9</f>
        <v>0.24423595507124687</v>
      </c>
      <c r="Q9" s="31">
        <f>N9/O9</f>
        <v>0</v>
      </c>
    </row>
    <row r="10" spans="2:19" x14ac:dyDescent="0.2">
      <c r="B10" s="744"/>
      <c r="D10" s="750"/>
      <c r="E10" s="13" t="s">
        <v>99</v>
      </c>
      <c r="F10" s="18">
        <v>160</v>
      </c>
      <c r="G10" s="18">
        <v>0</v>
      </c>
      <c r="I10" s="34">
        <v>840</v>
      </c>
      <c r="J10" s="13" t="s">
        <v>90</v>
      </c>
      <c r="K10" s="37">
        <f>I10*'Cell parameters'!N80*2/1000</f>
        <v>102.36003127675106</v>
      </c>
      <c r="M10" s="17">
        <f t="shared" si="0"/>
        <v>160</v>
      </c>
      <c r="N10" s="17">
        <f t="shared" si="0"/>
        <v>0</v>
      </c>
      <c r="O10" s="17">
        <f t="shared" si="1"/>
        <v>102.36003127675106</v>
      </c>
      <c r="P10" s="31">
        <f t="shared" ref="P10:P17" si="4">M10/O10</f>
        <v>1.5631101124559803</v>
      </c>
      <c r="Q10" s="31">
        <f t="shared" ref="Q10:Q17" si="5">N10/O10</f>
        <v>0</v>
      </c>
    </row>
    <row r="11" spans="2:19" x14ac:dyDescent="0.2">
      <c r="B11" s="744"/>
      <c r="D11" s="751"/>
      <c r="E11" s="19" t="s">
        <v>100</v>
      </c>
      <c r="F11" s="36">
        <v>200</v>
      </c>
      <c r="G11" s="36">
        <v>0</v>
      </c>
      <c r="H11" s="20"/>
      <c r="I11" s="35">
        <v>840</v>
      </c>
      <c r="J11" s="19" t="s">
        <v>90</v>
      </c>
      <c r="K11" s="38">
        <f>I11*'Cell parameters'!N80*2/1000</f>
        <v>102.36003127675106</v>
      </c>
      <c r="L11" s="19"/>
      <c r="M11" s="21">
        <f t="shared" si="0"/>
        <v>199.99999999999997</v>
      </c>
      <c r="N11" s="21">
        <f t="shared" si="0"/>
        <v>0</v>
      </c>
      <c r="O11" s="21">
        <f t="shared" si="1"/>
        <v>102.36003127675106</v>
      </c>
      <c r="P11" s="32">
        <f t="shared" si="4"/>
        <v>1.953887640569975</v>
      </c>
      <c r="Q11" s="32">
        <f t="shared" si="5"/>
        <v>0</v>
      </c>
    </row>
    <row r="12" spans="2:19" x14ac:dyDescent="0.2">
      <c r="B12" s="744"/>
      <c r="D12" s="747" t="s">
        <v>101</v>
      </c>
      <c r="E12" s="13" t="s">
        <v>102</v>
      </c>
      <c r="F12" s="18">
        <v>0</v>
      </c>
      <c r="G12" s="18">
        <v>25</v>
      </c>
      <c r="H12" s="16" t="s">
        <v>520</v>
      </c>
      <c r="I12" s="34">
        <v>840</v>
      </c>
      <c r="J12" s="13" t="s">
        <v>90</v>
      </c>
      <c r="K12" s="37">
        <f>I12*'Cell parameters'!N80*2/1000</f>
        <v>102.36003127675106</v>
      </c>
      <c r="M12" s="17">
        <f t="shared" si="0"/>
        <v>0</v>
      </c>
      <c r="N12" s="17">
        <f t="shared" si="0"/>
        <v>24.999999999999996</v>
      </c>
      <c r="O12" s="17">
        <f t="shared" si="1"/>
        <v>102.36003127675106</v>
      </c>
      <c r="P12" s="31">
        <f t="shared" si="4"/>
        <v>0</v>
      </c>
      <c r="Q12" s="31">
        <f t="shared" si="5"/>
        <v>0.24423595507124687</v>
      </c>
    </row>
    <row r="13" spans="2:19" ht="12.75" customHeight="1" x14ac:dyDescent="0.2">
      <c r="B13" s="744"/>
      <c r="D13" s="747"/>
      <c r="E13" s="13" t="s">
        <v>103</v>
      </c>
      <c r="F13" s="18">
        <v>1000</v>
      </c>
      <c r="G13" s="18">
        <v>0</v>
      </c>
      <c r="H13" s="16" t="s">
        <v>521</v>
      </c>
      <c r="I13" s="34">
        <f>1000/5*0.55*'Cell parameters'!N7</f>
        <v>902.69608994332873</v>
      </c>
      <c r="J13" s="13" t="s">
        <v>90</v>
      </c>
      <c r="K13" s="37">
        <f>I13*'Cell parameters'!N80*2/1000</f>
        <v>110.00000000000001</v>
      </c>
      <c r="M13" s="17">
        <f t="shared" si="0"/>
        <v>930.54573887955496</v>
      </c>
      <c r="N13" s="17">
        <f t="shared" si="0"/>
        <v>0</v>
      </c>
      <c r="O13" s="17">
        <f t="shared" si="1"/>
        <v>102.36003127675106</v>
      </c>
      <c r="P13" s="31">
        <f t="shared" si="4"/>
        <v>9.0909090909090899</v>
      </c>
      <c r="Q13" s="31">
        <f t="shared" si="5"/>
        <v>0</v>
      </c>
    </row>
    <row r="14" spans="2:19" x14ac:dyDescent="0.2">
      <c r="B14" s="744"/>
      <c r="D14" s="747"/>
      <c r="E14" s="13" t="s">
        <v>104</v>
      </c>
      <c r="F14" s="18">
        <v>0</v>
      </c>
      <c r="G14" s="18">
        <v>40</v>
      </c>
      <c r="H14" s="16" t="s">
        <v>522</v>
      </c>
      <c r="I14" s="34">
        <v>840</v>
      </c>
      <c r="J14" s="13" t="s">
        <v>90</v>
      </c>
      <c r="K14" s="37">
        <f>I14*'Cell parameters'!N80*2/1000</f>
        <v>102.36003127675106</v>
      </c>
      <c r="M14" s="17">
        <f t="shared" si="0"/>
        <v>0</v>
      </c>
      <c r="N14" s="17">
        <f t="shared" si="0"/>
        <v>40</v>
      </c>
      <c r="O14" s="17">
        <f t="shared" si="1"/>
        <v>102.36003127675106</v>
      </c>
      <c r="P14" s="31">
        <f t="shared" si="4"/>
        <v>0</v>
      </c>
      <c r="Q14" s="31">
        <f t="shared" si="5"/>
        <v>0.39077752811399508</v>
      </c>
    </row>
    <row r="15" spans="2:19" x14ac:dyDescent="0.2">
      <c r="B15" s="744"/>
      <c r="D15" s="748"/>
      <c r="E15" s="19" t="s">
        <v>105</v>
      </c>
      <c r="F15" s="29">
        <v>100</v>
      </c>
      <c r="G15" s="29">
        <v>0</v>
      </c>
      <c r="H15" s="20"/>
      <c r="I15" s="35">
        <v>840</v>
      </c>
      <c r="J15" s="19" t="s">
        <v>90</v>
      </c>
      <c r="K15" s="38">
        <f>I15*'Cell parameters'!N80*2/1000</f>
        <v>102.36003127675106</v>
      </c>
      <c r="M15" s="21">
        <f t="shared" si="0"/>
        <v>99.999999999999986</v>
      </c>
      <c r="N15" s="21">
        <f t="shared" si="0"/>
        <v>0</v>
      </c>
      <c r="O15" s="21">
        <f t="shared" si="1"/>
        <v>102.36003127675106</v>
      </c>
      <c r="P15" s="32">
        <f t="shared" si="4"/>
        <v>0.9769438202849875</v>
      </c>
      <c r="Q15" s="32">
        <f t="shared" si="5"/>
        <v>0</v>
      </c>
    </row>
    <row r="16" spans="2:19" x14ac:dyDescent="0.2">
      <c r="B16" s="744"/>
      <c r="D16" s="749" t="s">
        <v>106</v>
      </c>
      <c r="E16" s="13" t="s">
        <v>107</v>
      </c>
      <c r="F16" s="30">
        <v>200</v>
      </c>
      <c r="G16" s="30">
        <v>0</v>
      </c>
      <c r="I16" s="34"/>
      <c r="K16" s="17"/>
      <c r="M16" s="13">
        <f>F16</f>
        <v>200</v>
      </c>
      <c r="N16" s="13">
        <f>G16</f>
        <v>0</v>
      </c>
      <c r="O16" s="17">
        <f t="shared" si="1"/>
        <v>102.36003127675106</v>
      </c>
      <c r="P16" s="31">
        <f>M16/O16</f>
        <v>1.9538876405699752</v>
      </c>
      <c r="Q16" s="31">
        <f t="shared" si="5"/>
        <v>0</v>
      </c>
    </row>
    <row r="17" spans="2:17" x14ac:dyDescent="0.2">
      <c r="B17" s="744"/>
      <c r="D17" s="750"/>
      <c r="E17" s="13" t="s">
        <v>108</v>
      </c>
      <c r="F17" s="16">
        <v>163</v>
      </c>
      <c r="G17" s="16">
        <v>913</v>
      </c>
      <c r="H17" s="16" t="s">
        <v>109</v>
      </c>
      <c r="I17" s="34"/>
      <c r="K17" s="17"/>
      <c r="M17" s="13">
        <f>F17</f>
        <v>163</v>
      </c>
      <c r="N17" s="13">
        <f>G17</f>
        <v>913</v>
      </c>
      <c r="O17" s="17">
        <f t="shared" si="1"/>
        <v>102.36003127675106</v>
      </c>
      <c r="P17" s="31">
        <f t="shared" si="4"/>
        <v>1.5924184270645299</v>
      </c>
      <c r="Q17" s="31">
        <f t="shared" si="5"/>
        <v>8.9194970792019372</v>
      </c>
    </row>
    <row r="18" spans="2:17" x14ac:dyDescent="0.2">
      <c r="B18" s="744"/>
      <c r="D18" s="750"/>
      <c r="E18" s="13" t="s">
        <v>110</v>
      </c>
      <c r="F18" s="16"/>
      <c r="G18" s="16"/>
      <c r="I18" s="34"/>
      <c r="K18" s="17"/>
      <c r="O18" s="17"/>
      <c r="P18" s="17"/>
      <c r="Q18" s="17"/>
    </row>
    <row r="19" spans="2:17" x14ac:dyDescent="0.2">
      <c r="B19" s="744"/>
      <c r="D19" s="23"/>
      <c r="F19" s="22"/>
      <c r="G19" s="22"/>
      <c r="M19" s="24" t="s">
        <v>111</v>
      </c>
      <c r="N19" s="25">
        <f>SUM(M4:N17)</f>
        <v>3500.970711760729</v>
      </c>
      <c r="O19" s="24" t="s">
        <v>112</v>
      </c>
      <c r="P19" s="24">
        <f>SUM(P4:P18)</f>
        <v>19.415739325719592</v>
      </c>
      <c r="Q19" s="24">
        <f>SUM(Q4:Q18)</f>
        <v>22.05939146203502</v>
      </c>
    </row>
    <row r="20" spans="2:17" ht="13.5" thickBot="1" x14ac:dyDescent="0.25">
      <c r="B20" s="744"/>
      <c r="D20" s="23"/>
      <c r="F20" s="22"/>
      <c r="G20" s="22"/>
      <c r="P20" s="24"/>
      <c r="Q20" s="26">
        <f>P19+Q19</f>
        <v>41.475130787754608</v>
      </c>
    </row>
    <row r="21" spans="2:17" ht="13.5" thickTop="1" x14ac:dyDescent="0.2">
      <c r="D21" s="27"/>
    </row>
    <row r="23" spans="2:17" x14ac:dyDescent="0.2">
      <c r="F23" s="743" t="s">
        <v>73</v>
      </c>
      <c r="G23" s="743"/>
      <c r="H23" s="743"/>
      <c r="I23" s="743"/>
      <c r="J23" s="743"/>
      <c r="K23" s="743"/>
      <c r="M23" s="743" t="s">
        <v>74</v>
      </c>
      <c r="N23" s="743"/>
      <c r="O23" s="743"/>
      <c r="P23" s="743"/>
      <c r="Q23" s="743"/>
    </row>
    <row r="24" spans="2:17" ht="67.5" customHeight="1" thickBot="1" x14ac:dyDescent="0.3">
      <c r="B24" s="744" t="s">
        <v>523</v>
      </c>
      <c r="D24" s="14" t="s">
        <v>76</v>
      </c>
      <c r="E24" s="15" t="s">
        <v>77</v>
      </c>
      <c r="F24" s="182" t="s">
        <v>78</v>
      </c>
      <c r="G24" s="182" t="s">
        <v>383</v>
      </c>
      <c r="H24" s="182" t="s">
        <v>79</v>
      </c>
      <c r="I24" s="745" t="s">
        <v>80</v>
      </c>
      <c r="J24" s="745"/>
      <c r="K24" s="182" t="s">
        <v>81</v>
      </c>
      <c r="M24" s="182" t="s">
        <v>82</v>
      </c>
      <c r="N24" s="182" t="s">
        <v>384</v>
      </c>
      <c r="O24" s="182" t="s">
        <v>81</v>
      </c>
      <c r="P24" s="182" t="s">
        <v>83</v>
      </c>
      <c r="Q24" s="182" t="s">
        <v>385</v>
      </c>
    </row>
    <row r="25" spans="2:17" x14ac:dyDescent="0.2">
      <c r="B25" s="744"/>
      <c r="D25" s="746" t="s">
        <v>84</v>
      </c>
      <c r="E25" s="13" t="s">
        <v>85</v>
      </c>
      <c r="F25" s="18">
        <f>45*2/3*2/3</f>
        <v>20</v>
      </c>
      <c r="G25" s="18">
        <v>0</v>
      </c>
      <c r="H25" s="18" t="s">
        <v>86</v>
      </c>
      <c r="I25" s="13">
        <v>250</v>
      </c>
      <c r="J25" s="13" t="s">
        <v>87</v>
      </c>
      <c r="K25" s="37">
        <f>I25*'Cell parameters'!O5*'Cell parameters'!O37*('Cell parameters'!O34*1000)*('Cell parameters'!O48/1000)*'Cell parameters'!O4/1000</f>
        <v>305.06400000000002</v>
      </c>
      <c r="M25" s="17">
        <f>$K$9*F25/$K25</f>
        <v>6.7107250463346082</v>
      </c>
      <c r="N25" s="17">
        <f t="shared" ref="N25:N36" si="6">$K$9*G25/$K25</f>
        <v>0</v>
      </c>
      <c r="O25" s="17">
        <f t="shared" ref="O25:O38" si="7">$K$9</f>
        <v>102.36003127675106</v>
      </c>
      <c r="P25" s="31">
        <f>2*M25/O25</f>
        <v>0.13112002727296565</v>
      </c>
      <c r="Q25" s="31">
        <f>2*N25/O25</f>
        <v>0</v>
      </c>
    </row>
    <row r="26" spans="2:17" x14ac:dyDescent="0.2">
      <c r="B26" s="744"/>
      <c r="D26" s="747"/>
      <c r="E26" s="13" t="s">
        <v>88</v>
      </c>
      <c r="F26" s="16">
        <v>75</v>
      </c>
      <c r="G26" s="16">
        <v>825</v>
      </c>
      <c r="H26" s="16" t="s">
        <v>89</v>
      </c>
      <c r="I26" s="13">
        <f>30*0.7*60</f>
        <v>1260</v>
      </c>
      <c r="J26" s="13" t="s">
        <v>90</v>
      </c>
      <c r="K26" s="37">
        <f>I26*'Cell parameters'!O80*2/1000</f>
        <v>300.40443961655211</v>
      </c>
      <c r="M26" s="17">
        <f t="shared" ref="M26:M29" si="8">$K$9*F26/$K26</f>
        <v>25.555555555555546</v>
      </c>
      <c r="N26" s="17">
        <f t="shared" si="6"/>
        <v>281.11111111111103</v>
      </c>
      <c r="O26" s="17">
        <f t="shared" si="7"/>
        <v>102.36003127675106</v>
      </c>
      <c r="P26" s="31">
        <f t="shared" ref="P26:P29" si="9">2*M26/O26</f>
        <v>0.49932684147899348</v>
      </c>
      <c r="Q26" s="31">
        <f t="shared" ref="Q26:Q29" si="10">2*N26/O26</f>
        <v>5.4925952562689293</v>
      </c>
    </row>
    <row r="27" spans="2:17" x14ac:dyDescent="0.2">
      <c r="B27" s="744"/>
      <c r="D27" s="747"/>
      <c r="E27" s="13" t="s">
        <v>91</v>
      </c>
      <c r="F27" s="16">
        <v>60</v>
      </c>
      <c r="G27" s="16">
        <v>0</v>
      </c>
      <c r="H27" s="16" t="s">
        <v>92</v>
      </c>
      <c r="I27" s="13">
        <f>30*0.8*60</f>
        <v>1440</v>
      </c>
      <c r="J27" s="13" t="s">
        <v>90</v>
      </c>
      <c r="K27" s="37">
        <f>I27*'Cell parameters'!O80*2/1000</f>
        <v>343.31935956177381</v>
      </c>
      <c r="M27" s="17">
        <f t="shared" si="8"/>
        <v>17.888888888888886</v>
      </c>
      <c r="N27" s="17">
        <f t="shared" si="6"/>
        <v>0</v>
      </c>
      <c r="O27" s="17">
        <f t="shared" si="7"/>
        <v>102.36003127675106</v>
      </c>
      <c r="P27" s="31">
        <f t="shared" si="9"/>
        <v>0.3495287890352955</v>
      </c>
      <c r="Q27" s="31">
        <f t="shared" si="10"/>
        <v>0</v>
      </c>
    </row>
    <row r="28" spans="2:17" x14ac:dyDescent="0.2">
      <c r="B28" s="744"/>
      <c r="D28" s="747"/>
      <c r="E28" s="13" t="s">
        <v>93</v>
      </c>
      <c r="F28" s="16">
        <v>45</v>
      </c>
      <c r="G28" s="16">
        <v>0</v>
      </c>
      <c r="H28" s="16" t="s">
        <v>94</v>
      </c>
      <c r="I28" s="13">
        <f>80*0.75*60</f>
        <v>3600</v>
      </c>
      <c r="J28" s="13" t="s">
        <v>90</v>
      </c>
      <c r="K28" s="37">
        <f>I28*'Cell parameters'!O80*2/1000</f>
        <v>858.29839890443463</v>
      </c>
      <c r="M28" s="17">
        <f t="shared" si="8"/>
        <v>5.3666666666666645</v>
      </c>
      <c r="N28" s="17">
        <f t="shared" si="6"/>
        <v>0</v>
      </c>
      <c r="O28" s="17">
        <f t="shared" si="7"/>
        <v>102.36003127675106</v>
      </c>
      <c r="P28" s="31">
        <f t="shared" si="9"/>
        <v>0.10485863671058863</v>
      </c>
      <c r="Q28" s="31">
        <f t="shared" si="10"/>
        <v>0</v>
      </c>
    </row>
    <row r="29" spans="2:17" x14ac:dyDescent="0.2">
      <c r="B29" s="744"/>
      <c r="D29" s="748"/>
      <c r="E29" s="19" t="s">
        <v>95</v>
      </c>
      <c r="F29" s="20">
        <v>5</v>
      </c>
      <c r="G29" s="20">
        <v>210</v>
      </c>
      <c r="H29" s="20" t="s">
        <v>96</v>
      </c>
      <c r="I29" s="19">
        <f>3*4*4900*0.8/24</f>
        <v>1960</v>
      </c>
      <c r="J29" s="19" t="s">
        <v>90</v>
      </c>
      <c r="K29" s="38">
        <f>I29*'Cell parameters'!O80*2/1000</f>
        <v>467.29579495908104</v>
      </c>
      <c r="L29" s="19"/>
      <c r="M29" s="21">
        <f t="shared" si="8"/>
        <v>1.0952380952380949</v>
      </c>
      <c r="N29" s="21">
        <f t="shared" si="6"/>
        <v>45.999999999999986</v>
      </c>
      <c r="O29" s="21">
        <f t="shared" si="7"/>
        <v>102.36003127675106</v>
      </c>
      <c r="P29" s="32">
        <f t="shared" si="9"/>
        <v>2.139972177767115E-2</v>
      </c>
      <c r="Q29" s="32">
        <f t="shared" si="10"/>
        <v>0.89878831466218834</v>
      </c>
    </row>
    <row r="30" spans="2:17" x14ac:dyDescent="0.2">
      <c r="B30" s="744"/>
      <c r="D30" s="749" t="s">
        <v>97</v>
      </c>
      <c r="E30" s="13" t="s">
        <v>98</v>
      </c>
      <c r="F30" s="28">
        <v>25</v>
      </c>
      <c r="G30" s="28">
        <v>0</v>
      </c>
      <c r="I30" s="34">
        <v>840</v>
      </c>
      <c r="J30" s="13" t="s">
        <v>90</v>
      </c>
      <c r="K30" s="39">
        <f>I30*'Cell parameters'!O80*2/1000</f>
        <v>200.26962641103472</v>
      </c>
      <c r="M30" s="17">
        <f>$K$9*F30/$K30</f>
        <v>12.777777777777775</v>
      </c>
      <c r="N30" s="17">
        <f t="shared" si="6"/>
        <v>0</v>
      </c>
      <c r="O30" s="17">
        <f t="shared" si="7"/>
        <v>102.36003127675106</v>
      </c>
      <c r="P30" s="31">
        <f>M30/O30</f>
        <v>0.1248317103697484</v>
      </c>
      <c r="Q30" s="31">
        <f>N30/O30</f>
        <v>0</v>
      </c>
    </row>
    <row r="31" spans="2:17" x14ac:dyDescent="0.2">
      <c r="B31" s="744"/>
      <c r="D31" s="750"/>
      <c r="E31" s="13" t="s">
        <v>99</v>
      </c>
      <c r="F31" s="18">
        <v>160</v>
      </c>
      <c r="G31" s="18">
        <v>0</v>
      </c>
      <c r="I31" s="34">
        <v>840</v>
      </c>
      <c r="J31" s="13" t="s">
        <v>90</v>
      </c>
      <c r="K31" s="37">
        <f>I31*'Cell parameters'!O80*2/1000</f>
        <v>200.26962641103472</v>
      </c>
      <c r="M31" s="17">
        <f t="shared" ref="M31:M36" si="11">$K$9*F31/$K31</f>
        <v>81.777777777777757</v>
      </c>
      <c r="N31" s="17">
        <f t="shared" si="6"/>
        <v>0</v>
      </c>
      <c r="O31" s="17">
        <f t="shared" si="7"/>
        <v>102.36003127675106</v>
      </c>
      <c r="P31" s="31">
        <f t="shared" ref="P31:P36" si="12">M31/O31</f>
        <v>0.79892294636638972</v>
      </c>
      <c r="Q31" s="31">
        <f t="shared" ref="Q31:Q38" si="13">N31/O31</f>
        <v>0</v>
      </c>
    </row>
    <row r="32" spans="2:17" x14ac:dyDescent="0.2">
      <c r="B32" s="744"/>
      <c r="D32" s="751"/>
      <c r="E32" s="19" t="s">
        <v>100</v>
      </c>
      <c r="F32" s="36">
        <v>200</v>
      </c>
      <c r="G32" s="36">
        <v>0</v>
      </c>
      <c r="H32" s="20"/>
      <c r="I32" s="35">
        <v>840</v>
      </c>
      <c r="J32" s="19" t="s">
        <v>90</v>
      </c>
      <c r="K32" s="38">
        <f>I32*'Cell parameters'!O80*2/1000</f>
        <v>200.26962641103472</v>
      </c>
      <c r="L32" s="19"/>
      <c r="M32" s="21">
        <f t="shared" si="11"/>
        <v>102.2222222222222</v>
      </c>
      <c r="N32" s="21">
        <f t="shared" si="6"/>
        <v>0</v>
      </c>
      <c r="O32" s="21">
        <f t="shared" si="7"/>
        <v>102.36003127675106</v>
      </c>
      <c r="P32" s="32">
        <f t="shared" si="12"/>
        <v>0.99865368295798718</v>
      </c>
      <c r="Q32" s="32">
        <f t="shared" si="13"/>
        <v>0</v>
      </c>
    </row>
    <row r="33" spans="2:17" x14ac:dyDescent="0.2">
      <c r="B33" s="744"/>
      <c r="D33" s="747" t="s">
        <v>101</v>
      </c>
      <c r="E33" s="13" t="s">
        <v>102</v>
      </c>
      <c r="F33" s="18">
        <v>0</v>
      </c>
      <c r="G33" s="18">
        <v>25</v>
      </c>
      <c r="H33" s="16" t="s">
        <v>520</v>
      </c>
      <c r="I33" s="34">
        <v>840</v>
      </c>
      <c r="J33" s="13" t="s">
        <v>90</v>
      </c>
      <c r="K33" s="37">
        <f>I33*'Cell parameters'!O80*2/1000</f>
        <v>200.26962641103472</v>
      </c>
      <c r="M33" s="17">
        <f t="shared" si="11"/>
        <v>0</v>
      </c>
      <c r="N33" s="17">
        <f t="shared" si="6"/>
        <v>12.777777777777775</v>
      </c>
      <c r="O33" s="17">
        <f t="shared" si="7"/>
        <v>102.36003127675106</v>
      </c>
      <c r="P33" s="31">
        <f t="shared" si="12"/>
        <v>0</v>
      </c>
      <c r="Q33" s="31">
        <f t="shared" si="13"/>
        <v>0.1248317103697484</v>
      </c>
    </row>
    <row r="34" spans="2:17" x14ac:dyDescent="0.2">
      <c r="B34" s="744"/>
      <c r="D34" s="747"/>
      <c r="E34" s="13" t="s">
        <v>103</v>
      </c>
      <c r="F34" s="18">
        <v>1000</v>
      </c>
      <c r="G34" s="18">
        <v>0</v>
      </c>
      <c r="H34" s="16" t="s">
        <v>521</v>
      </c>
      <c r="I34" s="34">
        <f>1000/5*0.55*'Cell parameters'!O7</f>
        <v>461.37800152659008</v>
      </c>
      <c r="J34" s="13" t="s">
        <v>90</v>
      </c>
      <c r="K34" s="37">
        <f>I34*'Cell parameters'!O80*2/1000</f>
        <v>110.00000000000001</v>
      </c>
      <c r="M34" s="17">
        <f t="shared" si="11"/>
        <v>930.54573887955496</v>
      </c>
      <c r="N34" s="17">
        <f t="shared" si="6"/>
        <v>0</v>
      </c>
      <c r="O34" s="17">
        <f t="shared" si="7"/>
        <v>102.36003127675106</v>
      </c>
      <c r="P34" s="31">
        <f t="shared" si="12"/>
        <v>9.0909090909090899</v>
      </c>
      <c r="Q34" s="31">
        <f t="shared" si="13"/>
        <v>0</v>
      </c>
    </row>
    <row r="35" spans="2:17" x14ac:dyDescent="0.2">
      <c r="B35" s="744"/>
      <c r="D35" s="747"/>
      <c r="E35" s="13" t="s">
        <v>104</v>
      </c>
      <c r="F35" s="18">
        <v>0</v>
      </c>
      <c r="G35" s="18">
        <v>40</v>
      </c>
      <c r="H35" s="16" t="s">
        <v>522</v>
      </c>
      <c r="I35" s="34">
        <v>840</v>
      </c>
      <c r="J35" s="13" t="s">
        <v>90</v>
      </c>
      <c r="K35" s="37">
        <f>I35*'Cell parameters'!O80*2/1000</f>
        <v>200.26962641103472</v>
      </c>
      <c r="M35" s="17">
        <f t="shared" si="11"/>
        <v>0</v>
      </c>
      <c r="N35" s="17">
        <f t="shared" si="6"/>
        <v>20.444444444444439</v>
      </c>
      <c r="O35" s="17">
        <f t="shared" si="7"/>
        <v>102.36003127675106</v>
      </c>
      <c r="P35" s="31">
        <f t="shared" si="12"/>
        <v>0</v>
      </c>
      <c r="Q35" s="31">
        <f t="shared" si="13"/>
        <v>0.19973073659159743</v>
      </c>
    </row>
    <row r="36" spans="2:17" x14ac:dyDescent="0.2">
      <c r="B36" s="744"/>
      <c r="D36" s="748"/>
      <c r="E36" s="19" t="s">
        <v>105</v>
      </c>
      <c r="F36" s="29">
        <v>100</v>
      </c>
      <c r="G36" s="29">
        <v>0</v>
      </c>
      <c r="H36" s="20"/>
      <c r="I36" s="35">
        <v>840</v>
      </c>
      <c r="J36" s="19" t="s">
        <v>90</v>
      </c>
      <c r="K36" s="38">
        <f>I36*'Cell parameters'!O80*2/1000</f>
        <v>200.26962641103472</v>
      </c>
      <c r="M36" s="21">
        <f t="shared" si="11"/>
        <v>51.1111111111111</v>
      </c>
      <c r="N36" s="21">
        <f t="shared" si="6"/>
        <v>0</v>
      </c>
      <c r="O36" s="21">
        <f t="shared" si="7"/>
        <v>102.36003127675106</v>
      </c>
      <c r="P36" s="32">
        <f t="shared" si="12"/>
        <v>0.49932684147899359</v>
      </c>
      <c r="Q36" s="32">
        <f t="shared" si="13"/>
        <v>0</v>
      </c>
    </row>
    <row r="37" spans="2:17" x14ac:dyDescent="0.2">
      <c r="B37" s="744"/>
      <c r="D37" s="749" t="s">
        <v>106</v>
      </c>
      <c r="E37" s="13" t="s">
        <v>107</v>
      </c>
      <c r="F37" s="30">
        <v>200</v>
      </c>
      <c r="G37" s="30">
        <v>0</v>
      </c>
      <c r="I37" s="34"/>
      <c r="K37" s="17"/>
      <c r="M37" s="13">
        <f>F37</f>
        <v>200</v>
      </c>
      <c r="N37" s="13">
        <f>G37</f>
        <v>0</v>
      </c>
      <c r="O37" s="17">
        <f t="shared" si="7"/>
        <v>102.36003127675106</v>
      </c>
      <c r="P37" s="31">
        <f>M37/O37</f>
        <v>1.9538876405699752</v>
      </c>
      <c r="Q37" s="31">
        <f t="shared" si="13"/>
        <v>0</v>
      </c>
    </row>
    <row r="38" spans="2:17" x14ac:dyDescent="0.2">
      <c r="B38" s="744"/>
      <c r="D38" s="750"/>
      <c r="E38" s="13" t="s">
        <v>108</v>
      </c>
      <c r="F38" s="16">
        <v>163</v>
      </c>
      <c r="G38" s="16">
        <v>913</v>
      </c>
      <c r="H38" s="16" t="s">
        <v>109</v>
      </c>
      <c r="I38" s="34"/>
      <c r="K38" s="17"/>
      <c r="M38" s="13">
        <f>F38</f>
        <v>163</v>
      </c>
      <c r="N38" s="13">
        <f>G38</f>
        <v>913</v>
      </c>
      <c r="O38" s="17">
        <f t="shared" si="7"/>
        <v>102.36003127675106</v>
      </c>
      <c r="P38" s="31">
        <f t="shared" ref="P38" si="14">M38/O38</f>
        <v>1.5924184270645299</v>
      </c>
      <c r="Q38" s="31">
        <f t="shared" si="13"/>
        <v>8.9194970792019372</v>
      </c>
    </row>
    <row r="39" spans="2:17" x14ac:dyDescent="0.2">
      <c r="B39" s="744"/>
      <c r="D39" s="750"/>
      <c r="E39" s="13" t="s">
        <v>110</v>
      </c>
      <c r="F39" s="16"/>
      <c r="G39" s="16"/>
      <c r="I39" s="34"/>
      <c r="K39" s="17"/>
      <c r="O39" s="17"/>
      <c r="P39" s="17"/>
      <c r="Q39" s="17"/>
    </row>
    <row r="40" spans="2:17" x14ac:dyDescent="0.2">
      <c r="B40" s="744"/>
      <c r="D40" s="23"/>
      <c r="F40" s="22"/>
      <c r="G40" s="22"/>
      <c r="M40" s="24" t="s">
        <v>111</v>
      </c>
      <c r="N40" s="25">
        <f>SUM(M25:N38)</f>
        <v>2871.3850353544608</v>
      </c>
      <c r="O40" s="24" t="s">
        <v>112</v>
      </c>
      <c r="P40" s="24">
        <f>SUM(P25:P39)</f>
        <v>16.165184355992228</v>
      </c>
      <c r="Q40" s="24">
        <f>SUM(Q25:Q39)</f>
        <v>15.6354430970944</v>
      </c>
    </row>
    <row r="41" spans="2:17" ht="13.5" thickBot="1" x14ac:dyDescent="0.25">
      <c r="B41" s="744"/>
      <c r="D41" s="23"/>
      <c r="F41" s="22"/>
      <c r="G41" s="22"/>
      <c r="P41" s="24"/>
      <c r="Q41" s="26">
        <f>P40+Q40</f>
        <v>31.800627453086626</v>
      </c>
    </row>
    <row r="42" spans="2:17" ht="13.5" thickTop="1" x14ac:dyDescent="0.2"/>
  </sheetData>
  <mergeCells count="16">
    <mergeCell ref="F2:K2"/>
    <mergeCell ref="M2:Q2"/>
    <mergeCell ref="B3:B20"/>
    <mergeCell ref="I3:J3"/>
    <mergeCell ref="D4:D8"/>
    <mergeCell ref="D9:D11"/>
    <mergeCell ref="D12:D15"/>
    <mergeCell ref="D16:D18"/>
    <mergeCell ref="F23:K23"/>
    <mergeCell ref="M23:Q23"/>
    <mergeCell ref="B24:B41"/>
    <mergeCell ref="I24:J24"/>
    <mergeCell ref="D25:D29"/>
    <mergeCell ref="D30:D32"/>
    <mergeCell ref="D33:D36"/>
    <mergeCell ref="D37:D39"/>
  </mergeCell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00023-3EB2-4CC2-A910-F977A84D802F}">
  <sheetPr>
    <tabColor theme="4"/>
  </sheetPr>
  <dimension ref="B2:S42"/>
  <sheetViews>
    <sheetView workbookViewId="0">
      <selection activeCell="B3" sqref="B3:B20"/>
    </sheetView>
  </sheetViews>
  <sheetFormatPr baseColWidth="10" defaultColWidth="11.42578125" defaultRowHeight="12.75" x14ac:dyDescent="0.2"/>
  <cols>
    <col min="1" max="1" width="11.42578125" style="13"/>
    <col min="2" max="2" width="3.28515625" style="13" bestFit="1" customWidth="1"/>
    <col min="3" max="3" width="2.7109375" style="13" customWidth="1"/>
    <col min="4" max="4" width="16.28515625" style="13" customWidth="1"/>
    <col min="5" max="5" width="29.140625" style="13" bestFit="1" customWidth="1"/>
    <col min="6" max="7" width="15.7109375" style="13" customWidth="1"/>
    <col min="8" max="8" width="61.7109375" style="16" bestFit="1" customWidth="1"/>
    <col min="9" max="10" width="7.7109375" style="13" customWidth="1"/>
    <col min="11" max="11" width="14.7109375" style="13" bestFit="1" customWidth="1"/>
    <col min="12" max="12" width="2.7109375" style="13" customWidth="1"/>
    <col min="13" max="17" width="15.7109375" style="13" customWidth="1"/>
    <col min="18" max="16384" width="11.42578125" style="13"/>
  </cols>
  <sheetData>
    <row r="2" spans="2:19" x14ac:dyDescent="0.2">
      <c r="F2" s="743" t="s">
        <v>73</v>
      </c>
      <c r="G2" s="743"/>
      <c r="H2" s="743"/>
      <c r="I2" s="743"/>
      <c r="J2" s="743"/>
      <c r="K2" s="743"/>
      <c r="M2" s="743" t="s">
        <v>74</v>
      </c>
      <c r="N2" s="743"/>
      <c r="O2" s="743"/>
      <c r="P2" s="743"/>
      <c r="Q2" s="743"/>
    </row>
    <row r="3" spans="2:19" ht="67.5" customHeight="1" thickBot="1" x14ac:dyDescent="0.3">
      <c r="B3" s="744" t="s">
        <v>75</v>
      </c>
      <c r="D3" s="14" t="s">
        <v>76</v>
      </c>
      <c r="E3" s="15" t="s">
        <v>77</v>
      </c>
      <c r="F3" s="394" t="s">
        <v>78</v>
      </c>
      <c r="G3" s="394" t="s">
        <v>383</v>
      </c>
      <c r="H3" s="394" t="s">
        <v>79</v>
      </c>
      <c r="I3" s="745" t="s">
        <v>80</v>
      </c>
      <c r="J3" s="745"/>
      <c r="K3" s="394" t="s">
        <v>81</v>
      </c>
      <c r="M3" s="394" t="s">
        <v>82</v>
      </c>
      <c r="N3" s="394" t="s">
        <v>384</v>
      </c>
      <c r="O3" s="394" t="s">
        <v>81</v>
      </c>
      <c r="P3" s="394" t="s">
        <v>83</v>
      </c>
      <c r="Q3" s="394" t="s">
        <v>385</v>
      </c>
    </row>
    <row r="4" spans="2:19" ht="13.9" customHeight="1" x14ac:dyDescent="0.2">
      <c r="B4" s="744"/>
      <c r="D4" s="746" t="s">
        <v>84</v>
      </c>
      <c r="E4" s="13" t="s">
        <v>85</v>
      </c>
      <c r="F4" s="18">
        <f>45*2/3*2/3</f>
        <v>20</v>
      </c>
      <c r="G4" s="18">
        <v>0</v>
      </c>
      <c r="H4" s="18" t="s">
        <v>86</v>
      </c>
      <c r="I4" s="13">
        <v>250</v>
      </c>
      <c r="J4" s="13" t="s">
        <v>87</v>
      </c>
      <c r="K4" s="37">
        <f>I4*'Cell parameters'!P5*'Cell parameters'!P37*('Cell parameters'!P34*1000)*('Cell parameters'!P48/1000)*'Cell parameters'!P4/1000</f>
        <v>185.06249999999997</v>
      </c>
      <c r="M4" s="17">
        <f t="shared" ref="M4:N15" si="0">$K$9*F4/$K4</f>
        <v>9.6418707227234055</v>
      </c>
      <c r="N4" s="17">
        <f t="shared" si="0"/>
        <v>0</v>
      </c>
      <c r="O4" s="17">
        <f t="shared" ref="O4:O17" si="1">$K$9</f>
        <v>89.217435031199997</v>
      </c>
      <c r="P4" s="31">
        <f>2*M4/O4</f>
        <v>0.21614319486659916</v>
      </c>
      <c r="Q4" s="31">
        <f>2*N4/O4</f>
        <v>0</v>
      </c>
      <c r="S4" s="17"/>
    </row>
    <row r="5" spans="2:19" x14ac:dyDescent="0.2">
      <c r="B5" s="744"/>
      <c r="D5" s="747"/>
      <c r="E5" s="13" t="s">
        <v>88</v>
      </c>
      <c r="F5" s="16">
        <v>75</v>
      </c>
      <c r="G5" s="16">
        <v>825</v>
      </c>
      <c r="H5" s="16" t="s">
        <v>89</v>
      </c>
      <c r="I5" s="13">
        <f>30*0.7*60</f>
        <v>1260</v>
      </c>
      <c r="J5" s="13" t="s">
        <v>90</v>
      </c>
      <c r="K5" s="37">
        <f>I5*'Cell parameters'!P80*2/1000</f>
        <v>133.82615254680002</v>
      </c>
      <c r="M5" s="17">
        <f t="shared" si="0"/>
        <v>49.999999999999993</v>
      </c>
      <c r="N5" s="17">
        <f t="shared" si="0"/>
        <v>549.99999999999989</v>
      </c>
      <c r="O5" s="17">
        <f t="shared" si="1"/>
        <v>89.217435031199997</v>
      </c>
      <c r="P5" s="31">
        <f t="shared" ref="P5:P8" si="2">2*M5/O5</f>
        <v>1.1208571504552809</v>
      </c>
      <c r="Q5" s="31">
        <f t="shared" ref="Q5:Q8" si="3">2*N5/O5</f>
        <v>12.329428655008089</v>
      </c>
      <c r="S5" s="17"/>
    </row>
    <row r="6" spans="2:19" x14ac:dyDescent="0.2">
      <c r="B6" s="744"/>
      <c r="D6" s="747"/>
      <c r="E6" s="13" t="s">
        <v>91</v>
      </c>
      <c r="F6" s="16">
        <v>60</v>
      </c>
      <c r="G6" s="16">
        <v>0</v>
      </c>
      <c r="H6" s="16" t="s">
        <v>92</v>
      </c>
      <c r="I6" s="13">
        <f>30*0.8*60</f>
        <v>1440</v>
      </c>
      <c r="J6" s="13" t="s">
        <v>90</v>
      </c>
      <c r="K6" s="37">
        <f>I6*'Cell parameters'!P80*2/1000</f>
        <v>152.9441743392</v>
      </c>
      <c r="M6" s="17">
        <f t="shared" si="0"/>
        <v>35</v>
      </c>
      <c r="N6" s="17">
        <f t="shared" si="0"/>
        <v>0</v>
      </c>
      <c r="O6" s="17">
        <f t="shared" si="1"/>
        <v>89.217435031199997</v>
      </c>
      <c r="P6" s="31">
        <f t="shared" si="2"/>
        <v>0.78460000531869678</v>
      </c>
      <c r="Q6" s="31">
        <f t="shared" si="3"/>
        <v>0</v>
      </c>
    </row>
    <row r="7" spans="2:19" x14ac:dyDescent="0.2">
      <c r="B7" s="744"/>
      <c r="D7" s="747"/>
      <c r="E7" s="13" t="s">
        <v>93</v>
      </c>
      <c r="F7" s="16">
        <v>45</v>
      </c>
      <c r="G7" s="16">
        <v>0</v>
      </c>
      <c r="H7" s="16" t="s">
        <v>94</v>
      </c>
      <c r="I7" s="13">
        <f>80*0.75*60</f>
        <v>3600</v>
      </c>
      <c r="J7" s="13" t="s">
        <v>90</v>
      </c>
      <c r="K7" s="37">
        <f>I7*'Cell parameters'!P80*2/1000</f>
        <v>382.36043584800001</v>
      </c>
      <c r="M7" s="17">
        <f t="shared" si="0"/>
        <v>10.5</v>
      </c>
      <c r="N7" s="17">
        <f t="shared" si="0"/>
        <v>0</v>
      </c>
      <c r="O7" s="17">
        <f t="shared" si="1"/>
        <v>89.217435031199997</v>
      </c>
      <c r="P7" s="31">
        <f t="shared" si="2"/>
        <v>0.23538000159560904</v>
      </c>
      <c r="Q7" s="31">
        <f t="shared" si="3"/>
        <v>0</v>
      </c>
    </row>
    <row r="8" spans="2:19" x14ac:dyDescent="0.2">
      <c r="B8" s="744"/>
      <c r="D8" s="748"/>
      <c r="E8" s="19" t="s">
        <v>95</v>
      </c>
      <c r="F8" s="20">
        <v>5</v>
      </c>
      <c r="G8" s="20">
        <v>210</v>
      </c>
      <c r="H8" s="20" t="s">
        <v>96</v>
      </c>
      <c r="I8" s="19">
        <f>3*4*4900*0.8/24</f>
        <v>1960</v>
      </c>
      <c r="J8" s="19" t="s">
        <v>90</v>
      </c>
      <c r="K8" s="38">
        <f>I8*'Cell parameters'!P80*2/1000</f>
        <v>208.17401507279999</v>
      </c>
      <c r="L8" s="19"/>
      <c r="M8" s="21">
        <f t="shared" si="0"/>
        <v>2.1428571428571428</v>
      </c>
      <c r="N8" s="21">
        <f t="shared" si="0"/>
        <v>90</v>
      </c>
      <c r="O8" s="21">
        <f t="shared" si="1"/>
        <v>89.217435031199997</v>
      </c>
      <c r="P8" s="32">
        <f t="shared" si="2"/>
        <v>4.8036735019512042E-2</v>
      </c>
      <c r="Q8" s="32">
        <f t="shared" si="3"/>
        <v>2.017542870819506</v>
      </c>
    </row>
    <row r="9" spans="2:19" x14ac:dyDescent="0.2">
      <c r="B9" s="744"/>
      <c r="D9" s="749" t="s">
        <v>97</v>
      </c>
      <c r="E9" s="13" t="s">
        <v>98</v>
      </c>
      <c r="F9" s="28">
        <v>25</v>
      </c>
      <c r="G9" s="28">
        <v>0</v>
      </c>
      <c r="I9" s="34">
        <v>840</v>
      </c>
      <c r="J9" s="13" t="s">
        <v>90</v>
      </c>
      <c r="K9" s="39">
        <f>I9*'Cell parameters'!P80*2/1000</f>
        <v>89.217435031199997</v>
      </c>
      <c r="M9" s="17">
        <f>$K$9*F9/$K9</f>
        <v>25</v>
      </c>
      <c r="N9" s="17">
        <f t="shared" si="0"/>
        <v>0</v>
      </c>
      <c r="O9" s="17">
        <f t="shared" si="1"/>
        <v>89.217435031199997</v>
      </c>
      <c r="P9" s="31">
        <f>M9/O9</f>
        <v>0.28021428761382028</v>
      </c>
      <c r="Q9" s="31">
        <f>N9/O9</f>
        <v>0</v>
      </c>
    </row>
    <row r="10" spans="2:19" x14ac:dyDescent="0.2">
      <c r="B10" s="744"/>
      <c r="D10" s="750"/>
      <c r="E10" s="13" t="s">
        <v>99</v>
      </c>
      <c r="F10" s="18">
        <v>160</v>
      </c>
      <c r="G10" s="18">
        <v>0</v>
      </c>
      <c r="I10" s="34">
        <v>840</v>
      </c>
      <c r="J10" s="13" t="s">
        <v>90</v>
      </c>
      <c r="K10" s="37">
        <f>I10*'Cell parameters'!P80*2/1000</f>
        <v>89.217435031199997</v>
      </c>
      <c r="M10" s="17">
        <f t="shared" si="0"/>
        <v>160</v>
      </c>
      <c r="N10" s="17">
        <f t="shared" si="0"/>
        <v>0</v>
      </c>
      <c r="O10" s="17">
        <f t="shared" si="1"/>
        <v>89.217435031199997</v>
      </c>
      <c r="P10" s="31">
        <f t="shared" ref="P10:P17" si="4">M10/O10</f>
        <v>1.7933714407284498</v>
      </c>
      <c r="Q10" s="31">
        <f t="shared" ref="Q10:Q17" si="5">N10/O10</f>
        <v>0</v>
      </c>
    </row>
    <row r="11" spans="2:19" x14ac:dyDescent="0.2">
      <c r="B11" s="744"/>
      <c r="D11" s="751"/>
      <c r="E11" s="19" t="s">
        <v>100</v>
      </c>
      <c r="F11" s="36">
        <v>200</v>
      </c>
      <c r="G11" s="36">
        <v>0</v>
      </c>
      <c r="H11" s="20"/>
      <c r="I11" s="35">
        <v>840</v>
      </c>
      <c r="J11" s="19" t="s">
        <v>90</v>
      </c>
      <c r="K11" s="38">
        <f>I11*'Cell parameters'!P80*2/1000</f>
        <v>89.217435031199997</v>
      </c>
      <c r="L11" s="19"/>
      <c r="M11" s="21">
        <f t="shared" si="0"/>
        <v>200</v>
      </c>
      <c r="N11" s="21">
        <f t="shared" si="0"/>
        <v>0</v>
      </c>
      <c r="O11" s="21">
        <f t="shared" si="1"/>
        <v>89.217435031199997</v>
      </c>
      <c r="P11" s="32">
        <f t="shared" si="4"/>
        <v>2.2417143009105622</v>
      </c>
      <c r="Q11" s="32">
        <f t="shared" si="5"/>
        <v>0</v>
      </c>
    </row>
    <row r="12" spans="2:19" x14ac:dyDescent="0.2">
      <c r="B12" s="744"/>
      <c r="D12" s="747" t="s">
        <v>101</v>
      </c>
      <c r="E12" s="13" t="s">
        <v>102</v>
      </c>
      <c r="F12" s="18">
        <v>0</v>
      </c>
      <c r="G12" s="18">
        <v>25</v>
      </c>
      <c r="H12" s="16" t="s">
        <v>520</v>
      </c>
      <c r="I12" s="34">
        <v>840</v>
      </c>
      <c r="J12" s="13" t="s">
        <v>90</v>
      </c>
      <c r="K12" s="37">
        <f>I12*'Cell parameters'!P80*2/1000</f>
        <v>89.217435031199997</v>
      </c>
      <c r="M12" s="17">
        <f t="shared" si="0"/>
        <v>0</v>
      </c>
      <c r="N12" s="17">
        <f t="shared" si="0"/>
        <v>25</v>
      </c>
      <c r="O12" s="17">
        <f t="shared" si="1"/>
        <v>89.217435031199997</v>
      </c>
      <c r="P12" s="31">
        <f t="shared" si="4"/>
        <v>0</v>
      </c>
      <c r="Q12" s="31">
        <f t="shared" si="5"/>
        <v>0.28021428761382028</v>
      </c>
    </row>
    <row r="13" spans="2:19" ht="12.75" customHeight="1" x14ac:dyDescent="0.2">
      <c r="B13" s="744"/>
      <c r="D13" s="747"/>
      <c r="E13" s="13" t="s">
        <v>103</v>
      </c>
      <c r="F13" s="18">
        <v>1000</v>
      </c>
      <c r="G13" s="18">
        <v>0</v>
      </c>
      <c r="H13" s="16" t="s">
        <v>521</v>
      </c>
      <c r="I13" s="34">
        <f>1000/5*0.55*'Cell parameters'!N7</f>
        <v>902.69608994332873</v>
      </c>
      <c r="J13" s="13" t="s">
        <v>90</v>
      </c>
      <c r="K13" s="37">
        <f>I13*'Cell parameters'!P80*2/1000</f>
        <v>95.876463996949056</v>
      </c>
      <c r="M13" s="17">
        <f t="shared" si="0"/>
        <v>930.54573887955485</v>
      </c>
      <c r="N13" s="17">
        <f t="shared" si="0"/>
        <v>0</v>
      </c>
      <c r="O13" s="17">
        <f t="shared" si="1"/>
        <v>89.217435031199997</v>
      </c>
      <c r="P13" s="31">
        <f t="shared" si="4"/>
        <v>10.43008845248842</v>
      </c>
      <c r="Q13" s="31">
        <f t="shared" si="5"/>
        <v>0</v>
      </c>
    </row>
    <row r="14" spans="2:19" x14ac:dyDescent="0.2">
      <c r="B14" s="744"/>
      <c r="D14" s="747"/>
      <c r="E14" s="13" t="s">
        <v>104</v>
      </c>
      <c r="F14" s="18">
        <v>0</v>
      </c>
      <c r="G14" s="18">
        <v>40</v>
      </c>
      <c r="H14" s="16" t="s">
        <v>522</v>
      </c>
      <c r="I14" s="34">
        <v>840</v>
      </c>
      <c r="J14" s="13" t="s">
        <v>90</v>
      </c>
      <c r="K14" s="37">
        <f>I14*'Cell parameters'!P80*2/1000</f>
        <v>89.217435031199997</v>
      </c>
      <c r="M14" s="17">
        <f t="shared" si="0"/>
        <v>0</v>
      </c>
      <c r="N14" s="17">
        <f t="shared" si="0"/>
        <v>40</v>
      </c>
      <c r="O14" s="17">
        <f t="shared" si="1"/>
        <v>89.217435031199997</v>
      </c>
      <c r="P14" s="31">
        <f t="shared" si="4"/>
        <v>0</v>
      </c>
      <c r="Q14" s="31">
        <f t="shared" si="5"/>
        <v>0.44834286018211245</v>
      </c>
    </row>
    <row r="15" spans="2:19" x14ac:dyDescent="0.2">
      <c r="B15" s="744"/>
      <c r="D15" s="748"/>
      <c r="E15" s="19" t="s">
        <v>105</v>
      </c>
      <c r="F15" s="29">
        <v>100</v>
      </c>
      <c r="G15" s="29">
        <v>0</v>
      </c>
      <c r="H15" s="20"/>
      <c r="I15" s="35">
        <v>840</v>
      </c>
      <c r="J15" s="19" t="s">
        <v>90</v>
      </c>
      <c r="K15" s="38">
        <f>I15*'Cell parameters'!P80*2/1000</f>
        <v>89.217435031199997</v>
      </c>
      <c r="M15" s="21">
        <f t="shared" si="0"/>
        <v>100</v>
      </c>
      <c r="N15" s="21">
        <f t="shared" si="0"/>
        <v>0</v>
      </c>
      <c r="O15" s="21">
        <f t="shared" si="1"/>
        <v>89.217435031199997</v>
      </c>
      <c r="P15" s="32">
        <f t="shared" si="4"/>
        <v>1.1208571504552811</v>
      </c>
      <c r="Q15" s="32">
        <f t="shared" si="5"/>
        <v>0</v>
      </c>
    </row>
    <row r="16" spans="2:19" x14ac:dyDescent="0.2">
      <c r="B16" s="744"/>
      <c r="D16" s="749" t="s">
        <v>106</v>
      </c>
      <c r="E16" s="13" t="s">
        <v>107</v>
      </c>
      <c r="F16" s="30">
        <v>200</v>
      </c>
      <c r="G16" s="30">
        <v>0</v>
      </c>
      <c r="I16" s="34"/>
      <c r="K16" s="17"/>
      <c r="M16" s="13">
        <f>F16</f>
        <v>200</v>
      </c>
      <c r="N16" s="13">
        <f>G16</f>
        <v>0</v>
      </c>
      <c r="O16" s="17">
        <f t="shared" si="1"/>
        <v>89.217435031199997</v>
      </c>
      <c r="P16" s="31">
        <f>M16/O16</f>
        <v>2.2417143009105622</v>
      </c>
      <c r="Q16" s="31">
        <f t="shared" si="5"/>
        <v>0</v>
      </c>
    </row>
    <row r="17" spans="2:17" x14ac:dyDescent="0.2">
      <c r="B17" s="744"/>
      <c r="D17" s="750"/>
      <c r="E17" s="13" t="s">
        <v>108</v>
      </c>
      <c r="F17" s="16">
        <v>163</v>
      </c>
      <c r="G17" s="16">
        <v>913</v>
      </c>
      <c r="H17" s="16" t="s">
        <v>109</v>
      </c>
      <c r="I17" s="34"/>
      <c r="K17" s="17"/>
      <c r="M17" s="13">
        <f>F17</f>
        <v>163</v>
      </c>
      <c r="N17" s="13">
        <f>G17</f>
        <v>913</v>
      </c>
      <c r="O17" s="17">
        <f t="shared" si="1"/>
        <v>89.217435031199997</v>
      </c>
      <c r="P17" s="31">
        <f t="shared" si="4"/>
        <v>1.8269971552421083</v>
      </c>
      <c r="Q17" s="31">
        <f t="shared" si="5"/>
        <v>10.233425783656717</v>
      </c>
    </row>
    <row r="18" spans="2:17" x14ac:dyDescent="0.2">
      <c r="B18" s="744"/>
      <c r="D18" s="750"/>
      <c r="E18" s="13" t="s">
        <v>110</v>
      </c>
      <c r="F18" s="16"/>
      <c r="G18" s="16"/>
      <c r="I18" s="34"/>
      <c r="K18" s="17"/>
      <c r="O18" s="17"/>
      <c r="P18" s="17"/>
      <c r="Q18" s="17"/>
    </row>
    <row r="19" spans="2:17" x14ac:dyDescent="0.2">
      <c r="B19" s="744"/>
      <c r="D19" s="395"/>
      <c r="F19" s="22"/>
      <c r="G19" s="22"/>
      <c r="M19" s="24" t="s">
        <v>111</v>
      </c>
      <c r="N19" s="25">
        <f>SUM(M4:N17)</f>
        <v>3503.8304667451353</v>
      </c>
      <c r="O19" s="24" t="s">
        <v>112</v>
      </c>
      <c r="P19" s="24">
        <f>SUM(P4:P18)</f>
        <v>22.339974175604901</v>
      </c>
      <c r="Q19" s="24">
        <f>SUM(Q4:Q18)</f>
        <v>25.308954457280244</v>
      </c>
    </row>
    <row r="20" spans="2:17" ht="13.5" thickBot="1" x14ac:dyDescent="0.25">
      <c r="B20" s="744"/>
      <c r="D20" s="395"/>
      <c r="F20" s="22"/>
      <c r="G20" s="22"/>
      <c r="P20" s="24"/>
      <c r="Q20" s="26">
        <f>P19+Q19</f>
        <v>47.648928632885145</v>
      </c>
    </row>
    <row r="21" spans="2:17" ht="13.5" thickTop="1" x14ac:dyDescent="0.2">
      <c r="D21" s="27"/>
    </row>
    <row r="23" spans="2:17" x14ac:dyDescent="0.2">
      <c r="F23" s="743" t="s">
        <v>73</v>
      </c>
      <c r="G23" s="743"/>
      <c r="H23" s="743"/>
      <c r="I23" s="743"/>
      <c r="J23" s="743"/>
      <c r="K23" s="743"/>
      <c r="M23" s="743" t="s">
        <v>74</v>
      </c>
      <c r="N23" s="743"/>
      <c r="O23" s="743"/>
      <c r="P23" s="743"/>
      <c r="Q23" s="743"/>
    </row>
    <row r="24" spans="2:17" ht="67.5" customHeight="1" thickBot="1" x14ac:dyDescent="0.3">
      <c r="B24" s="744" t="s">
        <v>523</v>
      </c>
      <c r="D24" s="14" t="s">
        <v>76</v>
      </c>
      <c r="E24" s="15" t="s">
        <v>77</v>
      </c>
      <c r="F24" s="394" t="s">
        <v>78</v>
      </c>
      <c r="G24" s="394" t="s">
        <v>383</v>
      </c>
      <c r="H24" s="394" t="s">
        <v>79</v>
      </c>
      <c r="I24" s="745" t="s">
        <v>80</v>
      </c>
      <c r="J24" s="745"/>
      <c r="K24" s="394" t="s">
        <v>81</v>
      </c>
      <c r="M24" s="394" t="s">
        <v>82</v>
      </c>
      <c r="N24" s="394" t="s">
        <v>384</v>
      </c>
      <c r="O24" s="394" t="s">
        <v>81</v>
      </c>
      <c r="P24" s="394" t="s">
        <v>83</v>
      </c>
      <c r="Q24" s="394" t="s">
        <v>385</v>
      </c>
    </row>
    <row r="25" spans="2:17" x14ac:dyDescent="0.2">
      <c r="B25" s="744"/>
      <c r="D25" s="746" t="s">
        <v>84</v>
      </c>
      <c r="E25" s="13" t="s">
        <v>85</v>
      </c>
      <c r="F25" s="18">
        <f>45*2/3*2/3</f>
        <v>20</v>
      </c>
      <c r="G25" s="18">
        <v>0</v>
      </c>
      <c r="H25" s="18" t="s">
        <v>86</v>
      </c>
      <c r="I25" s="13">
        <v>250</v>
      </c>
      <c r="J25" s="13" t="s">
        <v>87</v>
      </c>
      <c r="K25" s="37">
        <f>I25*'Cell parameters'!Q5*'Cell parameters'!Q37*('Cell parameters'!Q34*1000)*('Cell parameters'!Q48/1000)*'Cell parameters'!Q4/1000</f>
        <v>187.03124999999997</v>
      </c>
      <c r="M25" s="17">
        <f>$K$9*F25/$K25</f>
        <v>9.5403773466947381</v>
      </c>
      <c r="N25" s="17">
        <f t="shared" ref="N25:N36" si="6">$K$9*G25/$K25</f>
        <v>0</v>
      </c>
      <c r="O25" s="17">
        <f t="shared" ref="O25:O38" si="7">$K$9</f>
        <v>89.217435031199997</v>
      </c>
      <c r="P25" s="31">
        <f>2*M25/O25</f>
        <v>0.2138680033416876</v>
      </c>
      <c r="Q25" s="31">
        <f>2*N25/O25</f>
        <v>0</v>
      </c>
    </row>
    <row r="26" spans="2:17" x14ac:dyDescent="0.2">
      <c r="B26" s="744"/>
      <c r="D26" s="747"/>
      <c r="E26" s="13" t="s">
        <v>88</v>
      </c>
      <c r="F26" s="16">
        <v>75</v>
      </c>
      <c r="G26" s="16">
        <v>825</v>
      </c>
      <c r="H26" s="16" t="s">
        <v>89</v>
      </c>
      <c r="I26" s="13">
        <f>30*0.7*60</f>
        <v>1260</v>
      </c>
      <c r="J26" s="13" t="s">
        <v>90</v>
      </c>
      <c r="K26" s="37">
        <f>I26*'Cell parameters'!Q80*2/1000</f>
        <v>261.83377672199998</v>
      </c>
      <c r="M26" s="17">
        <f t="shared" ref="M26:M29" si="8">$K$9*F26/$K26</f>
        <v>25.555555555555557</v>
      </c>
      <c r="N26" s="17">
        <f t="shared" si="6"/>
        <v>281.11111111111109</v>
      </c>
      <c r="O26" s="17">
        <f t="shared" si="7"/>
        <v>89.217435031199997</v>
      </c>
      <c r="P26" s="31">
        <f t="shared" ref="P26:P29" si="9">2*M26/O26</f>
        <v>0.57288254356603263</v>
      </c>
      <c r="Q26" s="31">
        <f t="shared" ref="Q26:Q29" si="10">2*N26/O26</f>
        <v>6.3017079792263573</v>
      </c>
    </row>
    <row r="27" spans="2:17" x14ac:dyDescent="0.2">
      <c r="B27" s="744"/>
      <c r="D27" s="747"/>
      <c r="E27" s="13" t="s">
        <v>91</v>
      </c>
      <c r="F27" s="16">
        <v>60</v>
      </c>
      <c r="G27" s="16">
        <v>0</v>
      </c>
      <c r="H27" s="16" t="s">
        <v>92</v>
      </c>
      <c r="I27" s="13">
        <f>30*0.8*60</f>
        <v>1440</v>
      </c>
      <c r="J27" s="13" t="s">
        <v>90</v>
      </c>
      <c r="K27" s="37">
        <f>I27*'Cell parameters'!Q80*2/1000</f>
        <v>299.23860196800001</v>
      </c>
      <c r="M27" s="17">
        <f t="shared" si="8"/>
        <v>17.888888888888886</v>
      </c>
      <c r="N27" s="17">
        <f t="shared" si="6"/>
        <v>0</v>
      </c>
      <c r="O27" s="17">
        <f t="shared" si="7"/>
        <v>89.217435031199997</v>
      </c>
      <c r="P27" s="31">
        <f t="shared" si="9"/>
        <v>0.40101778049622272</v>
      </c>
      <c r="Q27" s="31">
        <f t="shared" si="10"/>
        <v>0</v>
      </c>
    </row>
    <row r="28" spans="2:17" x14ac:dyDescent="0.2">
      <c r="B28" s="744"/>
      <c r="D28" s="747"/>
      <c r="E28" s="13" t="s">
        <v>93</v>
      </c>
      <c r="F28" s="16">
        <v>45</v>
      </c>
      <c r="G28" s="16">
        <v>0</v>
      </c>
      <c r="H28" s="16" t="s">
        <v>94</v>
      </c>
      <c r="I28" s="13">
        <f>80*0.75*60</f>
        <v>3600</v>
      </c>
      <c r="J28" s="13" t="s">
        <v>90</v>
      </c>
      <c r="K28" s="37">
        <f>I28*'Cell parameters'!Q80*2/1000</f>
        <v>748.09650492000003</v>
      </c>
      <c r="M28" s="17">
        <f t="shared" si="8"/>
        <v>5.3666666666666663</v>
      </c>
      <c r="N28" s="17">
        <f t="shared" si="6"/>
        <v>0</v>
      </c>
      <c r="O28" s="17">
        <f t="shared" si="7"/>
        <v>89.217435031199997</v>
      </c>
      <c r="P28" s="31">
        <f t="shared" si="9"/>
        <v>0.12030533414886682</v>
      </c>
      <c r="Q28" s="31">
        <f t="shared" si="10"/>
        <v>0</v>
      </c>
    </row>
    <row r="29" spans="2:17" x14ac:dyDescent="0.2">
      <c r="B29" s="744"/>
      <c r="D29" s="748"/>
      <c r="E29" s="19" t="s">
        <v>95</v>
      </c>
      <c r="F29" s="20">
        <v>5</v>
      </c>
      <c r="G29" s="20">
        <v>210</v>
      </c>
      <c r="H29" s="20" t="s">
        <v>96</v>
      </c>
      <c r="I29" s="19">
        <f>3*4*4900*0.8/24</f>
        <v>1960</v>
      </c>
      <c r="J29" s="19" t="s">
        <v>90</v>
      </c>
      <c r="K29" s="38">
        <f>I29*'Cell parameters'!Q80*2/1000</f>
        <v>407.29698601199999</v>
      </c>
      <c r="L29" s="19"/>
      <c r="M29" s="21">
        <f t="shared" si="8"/>
        <v>1.0952380952380953</v>
      </c>
      <c r="N29" s="21">
        <f t="shared" si="6"/>
        <v>46</v>
      </c>
      <c r="O29" s="21">
        <f t="shared" si="7"/>
        <v>89.217435031199997</v>
      </c>
      <c r="P29" s="32">
        <f t="shared" si="9"/>
        <v>2.4552109009972827E-2</v>
      </c>
      <c r="Q29" s="32">
        <f t="shared" si="10"/>
        <v>1.0311885784188586</v>
      </c>
    </row>
    <row r="30" spans="2:17" x14ac:dyDescent="0.2">
      <c r="B30" s="744"/>
      <c r="D30" s="749" t="s">
        <v>97</v>
      </c>
      <c r="E30" s="13" t="s">
        <v>98</v>
      </c>
      <c r="F30" s="28">
        <v>25</v>
      </c>
      <c r="G30" s="28">
        <v>0</v>
      </c>
      <c r="I30" s="34">
        <v>840</v>
      </c>
      <c r="J30" s="13" t="s">
        <v>90</v>
      </c>
      <c r="K30" s="39">
        <f>I30*'Cell parameters'!Q80*2/1000</f>
        <v>174.55585114799999</v>
      </c>
      <c r="M30" s="17">
        <f>$K$9*F30/$K30</f>
        <v>12.777777777777779</v>
      </c>
      <c r="N30" s="17">
        <f t="shared" si="6"/>
        <v>0</v>
      </c>
      <c r="O30" s="17">
        <f t="shared" si="7"/>
        <v>89.217435031199997</v>
      </c>
      <c r="P30" s="31">
        <f>M30/O30</f>
        <v>0.14322063589150816</v>
      </c>
      <c r="Q30" s="31">
        <f>N30/O30</f>
        <v>0</v>
      </c>
    </row>
    <row r="31" spans="2:17" x14ac:dyDescent="0.2">
      <c r="B31" s="744"/>
      <c r="D31" s="750"/>
      <c r="E31" s="13" t="s">
        <v>99</v>
      </c>
      <c r="F31" s="18">
        <v>160</v>
      </c>
      <c r="G31" s="18">
        <v>0</v>
      </c>
      <c r="I31" s="34">
        <v>840</v>
      </c>
      <c r="J31" s="13" t="s">
        <v>90</v>
      </c>
      <c r="K31" s="37">
        <f>I31*'Cell parameters'!Q80*2/1000</f>
        <v>174.55585114799999</v>
      </c>
      <c r="M31" s="17">
        <f t="shared" ref="M31:M36" si="11">$K$9*F31/$K31</f>
        <v>81.777777777777786</v>
      </c>
      <c r="N31" s="17">
        <f t="shared" si="6"/>
        <v>0</v>
      </c>
      <c r="O31" s="17">
        <f t="shared" si="7"/>
        <v>89.217435031199997</v>
      </c>
      <c r="P31" s="31">
        <f t="shared" ref="P31:P36" si="12">M31/O31</f>
        <v>0.91661206970565212</v>
      </c>
      <c r="Q31" s="31">
        <f t="shared" ref="Q31:Q38" si="13">N31/O31</f>
        <v>0</v>
      </c>
    </row>
    <row r="32" spans="2:17" x14ac:dyDescent="0.2">
      <c r="B32" s="744"/>
      <c r="D32" s="751"/>
      <c r="E32" s="19" t="s">
        <v>100</v>
      </c>
      <c r="F32" s="36">
        <v>200</v>
      </c>
      <c r="G32" s="36">
        <v>0</v>
      </c>
      <c r="H32" s="20"/>
      <c r="I32" s="35">
        <v>840</v>
      </c>
      <c r="J32" s="19" t="s">
        <v>90</v>
      </c>
      <c r="K32" s="38">
        <f>I32*'Cell parameters'!Q80*2/1000</f>
        <v>174.55585114799999</v>
      </c>
      <c r="L32" s="19"/>
      <c r="M32" s="21">
        <f t="shared" si="11"/>
        <v>102.22222222222223</v>
      </c>
      <c r="N32" s="21">
        <f t="shared" si="6"/>
        <v>0</v>
      </c>
      <c r="O32" s="21">
        <f t="shared" si="7"/>
        <v>89.217435031199997</v>
      </c>
      <c r="P32" s="32">
        <f t="shared" si="12"/>
        <v>1.1457650871320653</v>
      </c>
      <c r="Q32" s="32">
        <f t="shared" si="13"/>
        <v>0</v>
      </c>
    </row>
    <row r="33" spans="2:17" x14ac:dyDescent="0.2">
      <c r="B33" s="744"/>
      <c r="D33" s="747" t="s">
        <v>101</v>
      </c>
      <c r="E33" s="13" t="s">
        <v>102</v>
      </c>
      <c r="F33" s="18">
        <v>0</v>
      </c>
      <c r="G33" s="18">
        <v>25</v>
      </c>
      <c r="H33" s="16" t="s">
        <v>520</v>
      </c>
      <c r="I33" s="34">
        <v>840</v>
      </c>
      <c r="J33" s="13" t="s">
        <v>90</v>
      </c>
      <c r="K33" s="37">
        <f>I33*'Cell parameters'!Q80*2/1000</f>
        <v>174.55585114799999</v>
      </c>
      <c r="M33" s="17">
        <f t="shared" si="11"/>
        <v>0</v>
      </c>
      <c r="N33" s="17">
        <f t="shared" si="6"/>
        <v>12.777777777777779</v>
      </c>
      <c r="O33" s="17">
        <f t="shared" si="7"/>
        <v>89.217435031199997</v>
      </c>
      <c r="P33" s="31">
        <f t="shared" si="12"/>
        <v>0</v>
      </c>
      <c r="Q33" s="31">
        <f t="shared" si="13"/>
        <v>0.14322063589150816</v>
      </c>
    </row>
    <row r="34" spans="2:17" x14ac:dyDescent="0.2">
      <c r="B34" s="744"/>
      <c r="D34" s="747"/>
      <c r="E34" s="13" t="s">
        <v>103</v>
      </c>
      <c r="F34" s="18">
        <v>1000</v>
      </c>
      <c r="G34" s="18">
        <v>0</v>
      </c>
      <c r="H34" s="16" t="s">
        <v>521</v>
      </c>
      <c r="I34" s="34">
        <f>1000/5*0.55*'Cell parameters'!O7</f>
        <v>461.37800152659008</v>
      </c>
      <c r="J34" s="13" t="s">
        <v>90</v>
      </c>
      <c r="K34" s="37">
        <f>I34*'Cell parameters'!Q80*2/1000</f>
        <v>95.876463996949013</v>
      </c>
      <c r="M34" s="17">
        <f t="shared" si="11"/>
        <v>930.5457388795553</v>
      </c>
      <c r="N34" s="17">
        <f t="shared" si="6"/>
        <v>0</v>
      </c>
      <c r="O34" s="17">
        <f t="shared" si="7"/>
        <v>89.217435031199997</v>
      </c>
      <c r="P34" s="31">
        <f t="shared" si="12"/>
        <v>10.430088452488425</v>
      </c>
      <c r="Q34" s="31">
        <f t="shared" si="13"/>
        <v>0</v>
      </c>
    </row>
    <row r="35" spans="2:17" x14ac:dyDescent="0.2">
      <c r="B35" s="744"/>
      <c r="D35" s="747"/>
      <c r="E35" s="13" t="s">
        <v>104</v>
      </c>
      <c r="F35" s="18">
        <v>0</v>
      </c>
      <c r="G35" s="18">
        <v>40</v>
      </c>
      <c r="H35" s="16" t="s">
        <v>522</v>
      </c>
      <c r="I35" s="34">
        <v>840</v>
      </c>
      <c r="J35" s="13" t="s">
        <v>90</v>
      </c>
      <c r="K35" s="37">
        <f>I35*'Cell parameters'!Q80*2/1000</f>
        <v>174.55585114799999</v>
      </c>
      <c r="M35" s="17">
        <f t="shared" si="11"/>
        <v>0</v>
      </c>
      <c r="N35" s="17">
        <f t="shared" si="6"/>
        <v>20.444444444444446</v>
      </c>
      <c r="O35" s="17">
        <f t="shared" si="7"/>
        <v>89.217435031199997</v>
      </c>
      <c r="P35" s="31">
        <f t="shared" si="12"/>
        <v>0</v>
      </c>
      <c r="Q35" s="31">
        <f t="shared" si="13"/>
        <v>0.22915301742641303</v>
      </c>
    </row>
    <row r="36" spans="2:17" x14ac:dyDescent="0.2">
      <c r="B36" s="744"/>
      <c r="D36" s="748"/>
      <c r="E36" s="19" t="s">
        <v>105</v>
      </c>
      <c r="F36" s="29">
        <v>100</v>
      </c>
      <c r="G36" s="29">
        <v>0</v>
      </c>
      <c r="H36" s="20"/>
      <c r="I36" s="35">
        <v>840</v>
      </c>
      <c r="J36" s="19" t="s">
        <v>90</v>
      </c>
      <c r="K36" s="38">
        <f>I36*'Cell parameters'!Q80*2/1000</f>
        <v>174.55585114799999</v>
      </c>
      <c r="M36" s="21">
        <f t="shared" si="11"/>
        <v>51.111111111111114</v>
      </c>
      <c r="N36" s="21">
        <f t="shared" si="6"/>
        <v>0</v>
      </c>
      <c r="O36" s="21">
        <f t="shared" si="7"/>
        <v>89.217435031199997</v>
      </c>
      <c r="P36" s="32">
        <f t="shared" si="12"/>
        <v>0.57288254356603263</v>
      </c>
      <c r="Q36" s="32">
        <f t="shared" si="13"/>
        <v>0</v>
      </c>
    </row>
    <row r="37" spans="2:17" x14ac:dyDescent="0.2">
      <c r="B37" s="744"/>
      <c r="D37" s="749" t="s">
        <v>106</v>
      </c>
      <c r="E37" s="13" t="s">
        <v>107</v>
      </c>
      <c r="F37" s="30">
        <v>200</v>
      </c>
      <c r="G37" s="30">
        <v>0</v>
      </c>
      <c r="I37" s="34"/>
      <c r="K37" s="17"/>
      <c r="M37" s="13">
        <f>F37</f>
        <v>200</v>
      </c>
      <c r="N37" s="13">
        <f>G37</f>
        <v>0</v>
      </c>
      <c r="O37" s="17">
        <f t="shared" si="7"/>
        <v>89.217435031199997</v>
      </c>
      <c r="P37" s="31">
        <f>M37/O37</f>
        <v>2.2417143009105622</v>
      </c>
      <c r="Q37" s="31">
        <f t="shared" si="13"/>
        <v>0</v>
      </c>
    </row>
    <row r="38" spans="2:17" x14ac:dyDescent="0.2">
      <c r="B38" s="744"/>
      <c r="D38" s="750"/>
      <c r="E38" s="13" t="s">
        <v>108</v>
      </c>
      <c r="F38" s="16">
        <v>163</v>
      </c>
      <c r="G38" s="16">
        <v>913</v>
      </c>
      <c r="H38" s="16" t="s">
        <v>109</v>
      </c>
      <c r="I38" s="34"/>
      <c r="K38" s="17"/>
      <c r="M38" s="13">
        <f>F38</f>
        <v>163</v>
      </c>
      <c r="N38" s="13">
        <f>G38</f>
        <v>913</v>
      </c>
      <c r="O38" s="17">
        <f t="shared" si="7"/>
        <v>89.217435031199997</v>
      </c>
      <c r="P38" s="31">
        <f t="shared" ref="P38" si="14">M38/O38</f>
        <v>1.8269971552421083</v>
      </c>
      <c r="Q38" s="31">
        <f t="shared" si="13"/>
        <v>10.233425783656717</v>
      </c>
    </row>
    <row r="39" spans="2:17" x14ac:dyDescent="0.2">
      <c r="B39" s="744"/>
      <c r="D39" s="750"/>
      <c r="E39" s="13" t="s">
        <v>110</v>
      </c>
      <c r="F39" s="16"/>
      <c r="G39" s="16"/>
      <c r="I39" s="34"/>
      <c r="K39" s="17"/>
      <c r="O39" s="17"/>
      <c r="P39" s="17"/>
      <c r="Q39" s="17"/>
    </row>
    <row r="40" spans="2:17" x14ac:dyDescent="0.2">
      <c r="B40" s="744"/>
      <c r="D40" s="395"/>
      <c r="F40" s="22"/>
      <c r="G40" s="22"/>
      <c r="M40" s="24" t="s">
        <v>111</v>
      </c>
      <c r="N40" s="25">
        <f>SUM(M25:N38)</f>
        <v>2874.2146876548213</v>
      </c>
      <c r="O40" s="24" t="s">
        <v>112</v>
      </c>
      <c r="P40" s="24">
        <f>SUM(P25:P39)</f>
        <v>18.609906015499138</v>
      </c>
      <c r="Q40" s="24">
        <f>SUM(Q25:Q39)</f>
        <v>17.938695994619856</v>
      </c>
    </row>
    <row r="41" spans="2:17" ht="13.5" thickBot="1" x14ac:dyDescent="0.25">
      <c r="B41" s="744"/>
      <c r="D41" s="395"/>
      <c r="F41" s="22"/>
      <c r="G41" s="22"/>
      <c r="P41" s="24"/>
      <c r="Q41" s="26">
        <f>P40+Q40</f>
        <v>36.548602010118998</v>
      </c>
    </row>
    <row r="42" spans="2:17" ht="13.5" thickTop="1" x14ac:dyDescent="0.2"/>
  </sheetData>
  <mergeCells count="16">
    <mergeCell ref="F23:K23"/>
    <mergeCell ref="M23:Q23"/>
    <mergeCell ref="B24:B41"/>
    <mergeCell ref="I24:J24"/>
    <mergeCell ref="D25:D29"/>
    <mergeCell ref="D30:D32"/>
    <mergeCell ref="D33:D36"/>
    <mergeCell ref="D37:D39"/>
    <mergeCell ref="F2:K2"/>
    <mergeCell ref="M2:Q2"/>
    <mergeCell ref="B3:B20"/>
    <mergeCell ref="I3:J3"/>
    <mergeCell ref="D4:D8"/>
    <mergeCell ref="D9:D11"/>
    <mergeCell ref="D12:D15"/>
    <mergeCell ref="D16:D18"/>
  </mergeCell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E0F4-D8BB-4766-BAEC-295D53705A77}">
  <sheetPr>
    <tabColor theme="4"/>
  </sheetPr>
  <dimension ref="B1:S72"/>
  <sheetViews>
    <sheetView topLeftCell="A21" workbookViewId="0">
      <selection activeCell="B70" sqref="B70"/>
    </sheetView>
  </sheetViews>
  <sheetFormatPr baseColWidth="10" defaultColWidth="11.42578125" defaultRowHeight="12.75" x14ac:dyDescent="0.2"/>
  <cols>
    <col min="1" max="1" width="15.7109375" style="13" customWidth="1"/>
    <col min="2" max="2" width="3.28515625" style="13" bestFit="1" customWidth="1"/>
    <col min="3" max="3" width="7.42578125" style="13" customWidth="1"/>
    <col min="4" max="8" width="15.7109375" style="13" customWidth="1"/>
    <col min="9" max="9" width="15.7109375" style="16" customWidth="1"/>
    <col min="10" max="19" width="15.7109375" style="13" customWidth="1"/>
    <col min="20" max="16384" width="11.42578125" style="13"/>
  </cols>
  <sheetData>
    <row r="1" spans="2:19" ht="12.6" customHeight="1" x14ac:dyDescent="0.2"/>
    <row r="2" spans="2:19" ht="12.6" customHeight="1" x14ac:dyDescent="0.2">
      <c r="D2" s="109"/>
      <c r="E2" s="109"/>
      <c r="F2" s="758" t="s">
        <v>670</v>
      </c>
      <c r="G2" s="758"/>
      <c r="H2" s="758"/>
      <c r="I2" s="758" t="s">
        <v>671</v>
      </c>
      <c r="J2" s="758"/>
      <c r="K2" s="758"/>
      <c r="L2" s="758"/>
      <c r="M2" s="758"/>
      <c r="N2" s="109"/>
      <c r="O2" s="758" t="s">
        <v>672</v>
      </c>
      <c r="P2" s="758"/>
      <c r="Q2" s="758"/>
      <c r="R2" s="758"/>
      <c r="S2" s="758"/>
    </row>
    <row r="3" spans="2:19" ht="67.5" thickBot="1" x14ac:dyDescent="0.3">
      <c r="D3" s="440" t="s">
        <v>76</v>
      </c>
      <c r="E3" s="441" t="s">
        <v>77</v>
      </c>
      <c r="F3" s="442" t="s">
        <v>673</v>
      </c>
      <c r="G3" s="442" t="s">
        <v>674</v>
      </c>
      <c r="H3" s="442" t="s">
        <v>675</v>
      </c>
      <c r="I3" s="442" t="s">
        <v>676</v>
      </c>
      <c r="J3" s="442" t="s">
        <v>677</v>
      </c>
      <c r="K3" s="757" t="s">
        <v>678</v>
      </c>
      <c r="L3" s="757"/>
      <c r="M3" s="442" t="s">
        <v>81</v>
      </c>
      <c r="N3" s="109"/>
      <c r="O3" s="442" t="s">
        <v>676</v>
      </c>
      <c r="P3" s="442" t="s">
        <v>677</v>
      </c>
      <c r="Q3" s="442" t="s">
        <v>81</v>
      </c>
      <c r="R3" s="442" t="s">
        <v>83</v>
      </c>
      <c r="S3" s="442" t="s">
        <v>679</v>
      </c>
    </row>
    <row r="4" spans="2:19" ht="12.6" customHeight="1" x14ac:dyDescent="0.2">
      <c r="B4" s="744" t="s">
        <v>75</v>
      </c>
      <c r="D4" s="752" t="s">
        <v>680</v>
      </c>
      <c r="E4" s="365" t="s">
        <v>681</v>
      </c>
      <c r="F4" s="443" t="s">
        <v>682</v>
      </c>
      <c r="G4" s="444">
        <v>2.5</v>
      </c>
      <c r="H4" s="444">
        <v>2.5</v>
      </c>
      <c r="I4" s="445">
        <v>110</v>
      </c>
      <c r="J4" s="445">
        <v>0</v>
      </c>
      <c r="K4" s="446">
        <v>120</v>
      </c>
      <c r="L4" s="446" t="s">
        <v>87</v>
      </c>
      <c r="M4" s="447">
        <f>K4/('Cell parameters'!R40/1000)*'Cell parameters'!R6*0.5</f>
        <v>694.29641514304183</v>
      </c>
      <c r="N4" s="360"/>
      <c r="O4" s="447">
        <f t="shared" ref="O4:P7" si="0">$M$25*I4/$M4</f>
        <v>30.782400000000003</v>
      </c>
      <c r="P4" s="447">
        <f t="shared" si="0"/>
        <v>0</v>
      </c>
      <c r="Q4" s="447">
        <f>$M$25</f>
        <v>194.29190881362882</v>
      </c>
      <c r="R4" s="447">
        <f>O4/Q4</f>
        <v>0.15843377209046564</v>
      </c>
      <c r="S4" s="447">
        <f>P4/Q4</f>
        <v>0</v>
      </c>
    </row>
    <row r="5" spans="2:19" ht="12.6" customHeight="1" x14ac:dyDescent="0.2">
      <c r="B5" s="744"/>
      <c r="D5" s="753"/>
      <c r="E5" s="365" t="s">
        <v>683</v>
      </c>
      <c r="F5" s="443" t="s">
        <v>684</v>
      </c>
      <c r="G5" s="444">
        <v>0.57999999999999996</v>
      </c>
      <c r="H5" s="444">
        <v>0.57999999999999996</v>
      </c>
      <c r="I5" s="445">
        <v>34.799999999999997</v>
      </c>
      <c r="J5" s="445">
        <v>0</v>
      </c>
      <c r="K5" s="446">
        <v>1440</v>
      </c>
      <c r="L5" s="446" t="s">
        <v>90</v>
      </c>
      <c r="M5" s="447">
        <f>K5*'Cell parameters'!$R$80*2/1000</f>
        <v>333.26227926866005</v>
      </c>
      <c r="N5" s="360"/>
      <c r="O5" s="447">
        <f t="shared" si="0"/>
        <v>20.288399999999999</v>
      </c>
      <c r="P5" s="447">
        <f t="shared" si="0"/>
        <v>0</v>
      </c>
      <c r="Q5" s="447">
        <f>$M$25</f>
        <v>194.29190881362882</v>
      </c>
      <c r="R5" s="447">
        <f t="shared" ref="R5:R32" si="1">O5/Q5</f>
        <v>0.10442225887780689</v>
      </c>
      <c r="S5" s="447">
        <f t="shared" ref="S5:S32" si="2">P5/Q5</f>
        <v>0</v>
      </c>
    </row>
    <row r="6" spans="2:19" ht="12.6" customHeight="1" x14ac:dyDescent="0.2">
      <c r="B6" s="744"/>
      <c r="D6" s="753"/>
      <c r="E6" s="365" t="s">
        <v>685</v>
      </c>
      <c r="F6" s="449" t="s">
        <v>686</v>
      </c>
      <c r="G6" s="444">
        <v>0.2</v>
      </c>
      <c r="H6" s="444">
        <v>0.2</v>
      </c>
      <c r="I6" s="445">
        <v>40</v>
      </c>
      <c r="J6" s="445">
        <v>0</v>
      </c>
      <c r="K6" s="446">
        <v>1680</v>
      </c>
      <c r="L6" s="446" t="s">
        <v>90</v>
      </c>
      <c r="M6" s="447">
        <f>K6*'Cell parameters'!$R$80*2/1000</f>
        <v>388.80599248010338</v>
      </c>
      <c r="N6" s="360"/>
      <c r="O6" s="447">
        <f t="shared" si="0"/>
        <v>19.988571428571433</v>
      </c>
      <c r="P6" s="447">
        <f t="shared" si="0"/>
        <v>0</v>
      </c>
      <c r="Q6" s="447">
        <f>$M$25</f>
        <v>194.29190881362882</v>
      </c>
      <c r="R6" s="447">
        <f t="shared" si="1"/>
        <v>0.10287907278601667</v>
      </c>
      <c r="S6" s="447">
        <f t="shared" si="2"/>
        <v>0</v>
      </c>
    </row>
    <row r="7" spans="2:19" ht="12.6" customHeight="1" x14ac:dyDescent="0.2">
      <c r="B7" s="744"/>
      <c r="D7" s="753"/>
      <c r="E7" s="365" t="s">
        <v>687</v>
      </c>
      <c r="F7" s="443" t="s">
        <v>684</v>
      </c>
      <c r="G7" s="444">
        <v>0.57999999999999996</v>
      </c>
      <c r="H7" s="444">
        <v>0.57999999999999996</v>
      </c>
      <c r="I7" s="445">
        <v>34.799999999999997</v>
      </c>
      <c r="J7" s="445">
        <v>0</v>
      </c>
      <c r="K7" s="446">
        <v>1440</v>
      </c>
      <c r="L7" s="446" t="s">
        <v>90</v>
      </c>
      <c r="M7" s="447">
        <f>K7*'Cell parameters'!$R$80*2/1000</f>
        <v>333.26227926866005</v>
      </c>
      <c r="N7" s="360"/>
      <c r="O7" s="447">
        <f t="shared" si="0"/>
        <v>20.288399999999999</v>
      </c>
      <c r="P7" s="447">
        <f t="shared" si="0"/>
        <v>0</v>
      </c>
      <c r="Q7" s="447">
        <f>$M$25</f>
        <v>194.29190881362882</v>
      </c>
      <c r="R7" s="447">
        <f t="shared" si="1"/>
        <v>0.10442225887780689</v>
      </c>
      <c r="S7" s="447">
        <f t="shared" si="2"/>
        <v>0</v>
      </c>
    </row>
    <row r="8" spans="2:19" ht="12.6" customHeight="1" x14ac:dyDescent="0.2">
      <c r="B8" s="744"/>
      <c r="D8" s="753"/>
      <c r="E8" s="109" t="s">
        <v>688</v>
      </c>
      <c r="F8" s="450"/>
      <c r="G8" s="359"/>
      <c r="H8" s="359"/>
      <c r="I8" s="109"/>
      <c r="J8" s="109"/>
      <c r="K8" s="364"/>
      <c r="L8" s="364"/>
      <c r="M8" s="119"/>
      <c r="N8" s="109"/>
      <c r="O8" s="119"/>
      <c r="P8" s="119"/>
      <c r="Q8" s="119"/>
      <c r="R8" s="119"/>
      <c r="S8" s="119"/>
    </row>
    <row r="9" spans="2:19" ht="12.6" customHeight="1" x14ac:dyDescent="0.2">
      <c r="B9" s="744"/>
      <c r="D9" s="753"/>
      <c r="E9" s="109" t="s">
        <v>689</v>
      </c>
      <c r="F9" s="451"/>
      <c r="G9" s="359"/>
      <c r="H9" s="359"/>
      <c r="I9" s="109"/>
      <c r="J9" s="109"/>
      <c r="K9" s="364"/>
      <c r="L9" s="364"/>
      <c r="M9" s="119"/>
      <c r="N9" s="109"/>
      <c r="O9" s="119"/>
      <c r="P9" s="119"/>
      <c r="Q9" s="119"/>
      <c r="R9" s="119"/>
      <c r="S9" s="119"/>
    </row>
    <row r="10" spans="2:19" ht="12.6" customHeight="1" x14ac:dyDescent="0.2">
      <c r="B10" s="744"/>
      <c r="D10" s="753"/>
      <c r="E10" s="109" t="s">
        <v>684</v>
      </c>
      <c r="F10" s="451"/>
      <c r="G10" s="359"/>
      <c r="H10" s="359"/>
      <c r="I10" s="109"/>
      <c r="J10" s="109"/>
      <c r="K10" s="364"/>
      <c r="L10" s="364"/>
      <c r="M10" s="119"/>
      <c r="N10" s="109"/>
      <c r="O10" s="119"/>
      <c r="P10" s="119"/>
      <c r="Q10" s="119"/>
      <c r="R10" s="119"/>
      <c r="S10" s="119"/>
    </row>
    <row r="11" spans="2:19" ht="12.6" customHeight="1" x14ac:dyDescent="0.2">
      <c r="B11" s="744"/>
      <c r="D11" s="753"/>
      <c r="E11" s="109" t="s">
        <v>690</v>
      </c>
      <c r="F11" s="452" t="s">
        <v>691</v>
      </c>
      <c r="G11" s="444">
        <v>0.75</v>
      </c>
      <c r="H11" s="444">
        <v>0.75</v>
      </c>
      <c r="I11" s="445">
        <v>18</v>
      </c>
      <c r="J11" s="445">
        <v>0</v>
      </c>
      <c r="K11" s="446">
        <v>1680</v>
      </c>
      <c r="L11" s="446" t="s">
        <v>90</v>
      </c>
      <c r="M11" s="447">
        <f>K11*'Cell parameters'!$R$80*2/1000</f>
        <v>388.80599248010338</v>
      </c>
      <c r="N11" s="360"/>
      <c r="O11" s="447">
        <f>$M$25*I11/$M11</f>
        <v>8.9948571428571444</v>
      </c>
      <c r="P11" s="447">
        <f>$M$25*J11/$M11</f>
        <v>0</v>
      </c>
      <c r="Q11" s="447">
        <f>$M$25</f>
        <v>194.29190881362882</v>
      </c>
      <c r="R11" s="447">
        <f>O11/Q11</f>
        <v>4.6295582753707501E-2</v>
      </c>
      <c r="S11" s="447">
        <f t="shared" si="2"/>
        <v>0</v>
      </c>
    </row>
    <row r="12" spans="2:19" ht="12.6" customHeight="1" x14ac:dyDescent="0.2">
      <c r="B12" s="744"/>
      <c r="D12" s="753"/>
      <c r="E12" s="109" t="s">
        <v>692</v>
      </c>
      <c r="F12" s="450"/>
      <c r="G12" s="453"/>
      <c r="H12" s="453"/>
      <c r="I12" s="360"/>
      <c r="J12" s="360"/>
      <c r="K12" s="454"/>
      <c r="L12" s="454"/>
      <c r="M12" s="361"/>
      <c r="N12" s="360"/>
      <c r="O12" s="361"/>
      <c r="P12" s="361"/>
      <c r="Q12" s="361"/>
      <c r="R12" s="361"/>
      <c r="S12" s="361"/>
    </row>
    <row r="13" spans="2:19" ht="12.6" customHeight="1" x14ac:dyDescent="0.2">
      <c r="B13" s="744"/>
      <c r="D13" s="753" t="s">
        <v>693</v>
      </c>
      <c r="E13" s="109" t="s">
        <v>688</v>
      </c>
      <c r="F13" s="452" t="s">
        <v>694</v>
      </c>
      <c r="G13" s="444">
        <v>1</v>
      </c>
      <c r="H13" s="444">
        <v>1</v>
      </c>
      <c r="I13" s="445">
        <v>20</v>
      </c>
      <c r="J13" s="445">
        <v>0</v>
      </c>
      <c r="K13" s="446">
        <v>250</v>
      </c>
      <c r="L13" s="446" t="s">
        <v>87</v>
      </c>
      <c r="M13" s="447">
        <f>K13/((('Cell parameters'!R89*1000+'Cell parameters'!R94)/'Cell parameters'!R93)/1000)*'Cell parameters'!R6*0.5</f>
        <v>628.89168038319008</v>
      </c>
      <c r="N13" s="360"/>
      <c r="O13" s="447">
        <f>$M$25*I13/$M13</f>
        <v>6.1788672</v>
      </c>
      <c r="P13" s="447">
        <f>$M$25*J13/$M13</f>
        <v>0</v>
      </c>
      <c r="Q13" s="447">
        <f>$M$25</f>
        <v>194.29190881362882</v>
      </c>
      <c r="R13" s="447">
        <f>O13/Q13</f>
        <v>3.1801978979613468E-2</v>
      </c>
      <c r="S13" s="447">
        <f t="shared" si="2"/>
        <v>0</v>
      </c>
    </row>
    <row r="14" spans="2:19" ht="12.6" customHeight="1" x14ac:dyDescent="0.2">
      <c r="B14" s="744"/>
      <c r="D14" s="754"/>
      <c r="E14" s="109" t="s">
        <v>695</v>
      </c>
      <c r="F14" s="451"/>
      <c r="G14" s="455"/>
      <c r="H14" s="455"/>
      <c r="I14" s="109"/>
      <c r="J14" s="109"/>
      <c r="K14" s="364"/>
      <c r="L14" s="364"/>
      <c r="M14" s="119"/>
      <c r="N14" s="109"/>
      <c r="O14" s="119"/>
      <c r="P14" s="119"/>
      <c r="Q14" s="119"/>
      <c r="R14" s="119"/>
      <c r="S14" s="119"/>
    </row>
    <row r="15" spans="2:19" ht="12.6" customHeight="1" x14ac:dyDescent="0.2">
      <c r="B15" s="744"/>
      <c r="D15" s="753" t="s">
        <v>696</v>
      </c>
      <c r="E15" s="109" t="s">
        <v>688</v>
      </c>
      <c r="F15" s="456" t="s">
        <v>694</v>
      </c>
      <c r="G15" s="457">
        <v>1</v>
      </c>
      <c r="H15" s="457">
        <v>1</v>
      </c>
      <c r="I15" s="458">
        <v>20</v>
      </c>
      <c r="J15" s="458">
        <v>0</v>
      </c>
      <c r="K15" s="459">
        <v>250</v>
      </c>
      <c r="L15" s="459" t="s">
        <v>87</v>
      </c>
      <c r="M15" s="460">
        <f>K15*'Cell parameters'!R5*'Cell parameters'!R63*('Cell parameters'!R60*1000)*('Cell parameters'!R74/1000)*'Cell parameters'!R4/1000</f>
        <v>438.67778387683865</v>
      </c>
      <c r="N15" s="109"/>
      <c r="O15" s="460">
        <f t="shared" ref="O15:P19" si="3">$M$25*I15/$M15</f>
        <v>8.8580692232263765</v>
      </c>
      <c r="P15" s="460">
        <f t="shared" si="3"/>
        <v>0</v>
      </c>
      <c r="Q15" s="460">
        <f>$M$25</f>
        <v>194.29190881362882</v>
      </c>
      <c r="R15" s="460">
        <f t="shared" si="1"/>
        <v>4.559154973212666E-2</v>
      </c>
      <c r="S15" s="460">
        <f t="shared" si="2"/>
        <v>0</v>
      </c>
    </row>
    <row r="16" spans="2:19" ht="12.6" customHeight="1" x14ac:dyDescent="0.2">
      <c r="B16" s="744"/>
      <c r="D16" s="754"/>
      <c r="E16" s="109" t="s">
        <v>695</v>
      </c>
      <c r="F16" s="461" t="s">
        <v>695</v>
      </c>
      <c r="G16" s="457">
        <v>1</v>
      </c>
      <c r="H16" s="457">
        <v>1</v>
      </c>
      <c r="I16" s="458">
        <v>75</v>
      </c>
      <c r="J16" s="458">
        <v>825</v>
      </c>
      <c r="K16" s="459">
        <v>1260</v>
      </c>
      <c r="L16" s="459" t="s">
        <v>90</v>
      </c>
      <c r="M16" s="480">
        <f>K16*'Cell parameters'!$R$80*2/1000</f>
        <v>291.60449436007752</v>
      </c>
      <c r="N16" s="109"/>
      <c r="O16" s="460">
        <f t="shared" si="3"/>
        <v>49.971428571428582</v>
      </c>
      <c r="P16" s="460">
        <f t="shared" si="3"/>
        <v>549.68571428571443</v>
      </c>
      <c r="Q16" s="460">
        <f>$M$25</f>
        <v>194.29190881362882</v>
      </c>
      <c r="R16" s="460">
        <f t="shared" si="1"/>
        <v>0.25719768196504167</v>
      </c>
      <c r="S16" s="460">
        <f t="shared" si="2"/>
        <v>2.8291745016154586</v>
      </c>
    </row>
    <row r="17" spans="2:19" ht="12.6" customHeight="1" x14ac:dyDescent="0.2">
      <c r="B17" s="744"/>
      <c r="D17" s="754"/>
      <c r="E17" s="109" t="s">
        <v>697</v>
      </c>
      <c r="F17" s="445" t="s">
        <v>692</v>
      </c>
      <c r="G17" s="444">
        <v>1</v>
      </c>
      <c r="H17" s="444">
        <v>7.5</v>
      </c>
      <c r="I17" s="445">
        <v>5</v>
      </c>
      <c r="J17" s="445">
        <v>1575</v>
      </c>
      <c r="K17" s="446">
        <v>1960</v>
      </c>
      <c r="L17" s="446" t="s">
        <v>90</v>
      </c>
      <c r="M17" s="447">
        <f>K17*'Cell parameters'!$R$80*2/1000</f>
        <v>453.60699122678727</v>
      </c>
      <c r="N17" s="360"/>
      <c r="O17" s="447">
        <f t="shared" si="3"/>
        <v>2.1416326530612246</v>
      </c>
      <c r="P17" s="447">
        <f t="shared" si="3"/>
        <v>674.61428571428587</v>
      </c>
      <c r="Q17" s="447">
        <f>$M$25</f>
        <v>194.29190881362882</v>
      </c>
      <c r="R17" s="447">
        <f>O17/Q17</f>
        <v>1.1022757798501785E-2</v>
      </c>
      <c r="S17" s="447">
        <f t="shared" si="2"/>
        <v>3.4721687065280626</v>
      </c>
    </row>
    <row r="18" spans="2:19" ht="12.6" customHeight="1" x14ac:dyDescent="0.2">
      <c r="B18" s="744"/>
      <c r="D18" s="754"/>
      <c r="E18" s="109" t="s">
        <v>684</v>
      </c>
      <c r="F18" s="461" t="s">
        <v>684</v>
      </c>
      <c r="G18" s="457">
        <v>1</v>
      </c>
      <c r="H18" s="457">
        <v>1</v>
      </c>
      <c r="I18" s="458">
        <v>60</v>
      </c>
      <c r="J18" s="458">
        <v>0</v>
      </c>
      <c r="K18" s="459">
        <v>1440</v>
      </c>
      <c r="L18" s="459" t="s">
        <v>90</v>
      </c>
      <c r="M18" s="480">
        <f>K18*'Cell parameters'!$R$80*2/1000</f>
        <v>333.26227926866005</v>
      </c>
      <c r="N18" s="109"/>
      <c r="O18" s="460">
        <f t="shared" si="3"/>
        <v>34.980000000000004</v>
      </c>
      <c r="P18" s="460">
        <f t="shared" si="3"/>
        <v>0</v>
      </c>
      <c r="Q18" s="460">
        <f>$M$25</f>
        <v>194.29190881362882</v>
      </c>
      <c r="R18" s="460">
        <f t="shared" si="1"/>
        <v>0.18003837737552916</v>
      </c>
      <c r="S18" s="460">
        <f t="shared" si="2"/>
        <v>0</v>
      </c>
    </row>
    <row r="19" spans="2:19" ht="12.6" customHeight="1" x14ac:dyDescent="0.2">
      <c r="B19" s="744"/>
      <c r="D19" s="754"/>
      <c r="E19" s="109" t="s">
        <v>690</v>
      </c>
      <c r="F19" s="452" t="s">
        <v>691</v>
      </c>
      <c r="G19" s="444">
        <v>1.25</v>
      </c>
      <c r="H19" s="444">
        <v>1.25</v>
      </c>
      <c r="I19" s="445">
        <v>30</v>
      </c>
      <c r="J19" s="445">
        <v>0</v>
      </c>
      <c r="K19" s="446">
        <v>1680</v>
      </c>
      <c r="L19" s="446" t="s">
        <v>90</v>
      </c>
      <c r="M19" s="447">
        <f>K19*'Cell parameters'!$R$80*2/1000</f>
        <v>388.80599248010338</v>
      </c>
      <c r="N19" s="360"/>
      <c r="O19" s="447">
        <f t="shared" si="3"/>
        <v>14.991428571428573</v>
      </c>
      <c r="P19" s="447">
        <f t="shared" si="3"/>
        <v>0</v>
      </c>
      <c r="Q19" s="447">
        <f>$M$25</f>
        <v>194.29190881362882</v>
      </c>
      <c r="R19" s="447">
        <f t="shared" si="1"/>
        <v>7.7159304589512492E-2</v>
      </c>
      <c r="S19" s="447">
        <f t="shared" si="2"/>
        <v>0</v>
      </c>
    </row>
    <row r="20" spans="2:19" ht="12.6" customHeight="1" x14ac:dyDescent="0.2">
      <c r="B20" s="744"/>
      <c r="D20" s="755"/>
      <c r="E20" s="257" t="s">
        <v>692</v>
      </c>
      <c r="F20" s="462"/>
      <c r="G20" s="463"/>
      <c r="H20" s="463"/>
      <c r="I20" s="257"/>
      <c r="J20" s="257"/>
      <c r="K20" s="464"/>
      <c r="L20" s="464"/>
      <c r="M20" s="465"/>
      <c r="N20" s="109"/>
      <c r="O20" s="465"/>
      <c r="P20" s="465"/>
      <c r="Q20" s="465"/>
      <c r="R20" s="465"/>
      <c r="S20" s="465"/>
    </row>
    <row r="21" spans="2:19" ht="12.6" customHeight="1" x14ac:dyDescent="0.2">
      <c r="B21" s="744"/>
      <c r="D21" s="756" t="s">
        <v>698</v>
      </c>
      <c r="E21" s="109" t="s">
        <v>699</v>
      </c>
      <c r="F21" s="452" t="s">
        <v>691</v>
      </c>
      <c r="G21" s="444">
        <v>0.75</v>
      </c>
      <c r="H21" s="444">
        <v>0.75</v>
      </c>
      <c r="I21" s="445">
        <v>18</v>
      </c>
      <c r="J21" s="445">
        <v>0</v>
      </c>
      <c r="K21" s="446">
        <v>1680</v>
      </c>
      <c r="L21" s="446" t="s">
        <v>90</v>
      </c>
      <c r="M21" s="447">
        <f>K21*'Cell parameters'!$R$80*2/1000</f>
        <v>388.80599248010338</v>
      </c>
      <c r="N21" s="360"/>
      <c r="O21" s="447">
        <f t="shared" ref="O21:P30" si="4">$M$25*I21/$M21</f>
        <v>8.9948571428571444</v>
      </c>
      <c r="P21" s="447">
        <f t="shared" si="4"/>
        <v>0</v>
      </c>
      <c r="Q21" s="447">
        <f>$M$25</f>
        <v>194.29190881362882</v>
      </c>
      <c r="R21" s="447">
        <f t="shared" si="1"/>
        <v>4.6295582753707501E-2</v>
      </c>
      <c r="S21" s="447">
        <f t="shared" si="2"/>
        <v>0</v>
      </c>
    </row>
    <row r="22" spans="2:19" ht="12.6" customHeight="1" x14ac:dyDescent="0.2">
      <c r="B22" s="744"/>
      <c r="D22" s="754"/>
      <c r="E22" s="109" t="s">
        <v>700</v>
      </c>
      <c r="F22" s="452" t="s">
        <v>691</v>
      </c>
      <c r="G22" s="444">
        <v>1.25</v>
      </c>
      <c r="H22" s="444">
        <v>1.25</v>
      </c>
      <c r="I22" s="445">
        <v>30</v>
      </c>
      <c r="J22" s="445">
        <v>0</v>
      </c>
      <c r="K22" s="446">
        <v>1680</v>
      </c>
      <c r="L22" s="446" t="s">
        <v>90</v>
      </c>
      <c r="M22" s="447">
        <f>K22*'Cell parameters'!$R$80*2/1000</f>
        <v>388.80599248010338</v>
      </c>
      <c r="N22" s="360"/>
      <c r="O22" s="447">
        <f t="shared" si="4"/>
        <v>14.991428571428573</v>
      </c>
      <c r="P22" s="447">
        <f t="shared" si="4"/>
        <v>0</v>
      </c>
      <c r="Q22" s="447">
        <f>$M$25</f>
        <v>194.29190881362882</v>
      </c>
      <c r="R22" s="447">
        <f t="shared" si="1"/>
        <v>7.7159304589512492E-2</v>
      </c>
      <c r="S22" s="447">
        <f t="shared" si="2"/>
        <v>0</v>
      </c>
    </row>
    <row r="23" spans="2:19" ht="12.6" customHeight="1" x14ac:dyDescent="0.2">
      <c r="B23" s="744"/>
      <c r="D23" s="754"/>
      <c r="E23" s="109" t="s">
        <v>701</v>
      </c>
      <c r="F23" s="449" t="s">
        <v>686</v>
      </c>
      <c r="G23" s="466">
        <v>0.2</v>
      </c>
      <c r="H23" s="466">
        <v>0.2</v>
      </c>
      <c r="I23" s="445">
        <v>40</v>
      </c>
      <c r="J23" s="445">
        <v>0</v>
      </c>
      <c r="K23" s="446">
        <v>1680</v>
      </c>
      <c r="L23" s="446" t="s">
        <v>90</v>
      </c>
      <c r="M23" s="447">
        <f>K23*'Cell parameters'!$R$80*2/1000</f>
        <v>388.80599248010338</v>
      </c>
      <c r="N23" s="360"/>
      <c r="O23" s="447">
        <f t="shared" si="4"/>
        <v>19.988571428571433</v>
      </c>
      <c r="P23" s="447">
        <f t="shared" si="4"/>
        <v>0</v>
      </c>
      <c r="Q23" s="447">
        <f>$M$25</f>
        <v>194.29190881362882</v>
      </c>
      <c r="R23" s="447">
        <f>O23/Q23</f>
        <v>0.10287907278601667</v>
      </c>
      <c r="S23" s="447">
        <f t="shared" si="2"/>
        <v>0</v>
      </c>
    </row>
    <row r="24" spans="2:19" ht="12.6" customHeight="1" x14ac:dyDescent="0.2">
      <c r="B24" s="744"/>
      <c r="D24" s="754"/>
      <c r="E24" s="109" t="s">
        <v>702</v>
      </c>
      <c r="F24" s="445" t="s">
        <v>692</v>
      </c>
      <c r="G24" s="466">
        <v>1</v>
      </c>
      <c r="H24" s="466">
        <v>7.5</v>
      </c>
      <c r="I24" s="445">
        <v>5</v>
      </c>
      <c r="J24" s="445">
        <v>1575</v>
      </c>
      <c r="K24" s="446">
        <v>1960</v>
      </c>
      <c r="L24" s="446" t="s">
        <v>90</v>
      </c>
      <c r="M24" s="447">
        <f>K24*'Cell parameters'!$R$80*2/1000</f>
        <v>453.60699122678727</v>
      </c>
      <c r="N24" s="360"/>
      <c r="O24" s="447">
        <f t="shared" si="4"/>
        <v>2.1416326530612246</v>
      </c>
      <c r="P24" s="447">
        <f t="shared" si="4"/>
        <v>674.61428571428587</v>
      </c>
      <c r="Q24" s="447">
        <f>$M$25</f>
        <v>194.29190881362882</v>
      </c>
      <c r="R24" s="447">
        <f>O24/Q24</f>
        <v>1.1022757798501785E-2</v>
      </c>
      <c r="S24" s="447">
        <f t="shared" si="2"/>
        <v>3.4721687065280626</v>
      </c>
    </row>
    <row r="25" spans="2:19" ht="12.6" customHeight="1" x14ac:dyDescent="0.2">
      <c r="B25" s="744"/>
      <c r="D25" s="754"/>
      <c r="E25" s="109" t="s">
        <v>703</v>
      </c>
      <c r="F25" s="467" t="s">
        <v>703</v>
      </c>
      <c r="G25" s="468">
        <v>1.2</v>
      </c>
      <c r="H25" s="468">
        <v>1.2</v>
      </c>
      <c r="I25" s="469">
        <v>30</v>
      </c>
      <c r="J25" s="469">
        <v>0</v>
      </c>
      <c r="K25" s="470">
        <v>839.5200000000001</v>
      </c>
      <c r="L25" s="470" t="s">
        <v>90</v>
      </c>
      <c r="M25" s="447">
        <f>K25*'Cell parameters'!$R$80*2/1000</f>
        <v>194.29190881362882</v>
      </c>
      <c r="N25" s="109"/>
      <c r="O25" s="448">
        <f t="shared" si="4"/>
        <v>30</v>
      </c>
      <c r="P25" s="448">
        <f t="shared" si="4"/>
        <v>0</v>
      </c>
      <c r="Q25" s="448">
        <f t="shared" ref="Q25:Q32" si="5">$M$25</f>
        <v>194.29190881362882</v>
      </c>
      <c r="R25" s="448">
        <f t="shared" si="1"/>
        <v>0.15440684165997354</v>
      </c>
      <c r="S25" s="448">
        <f t="shared" si="2"/>
        <v>0</v>
      </c>
    </row>
    <row r="26" spans="2:19" ht="12.6" customHeight="1" x14ac:dyDescent="0.2">
      <c r="B26" s="744"/>
      <c r="D26" s="754"/>
      <c r="E26" s="109" t="s">
        <v>704</v>
      </c>
      <c r="F26" s="452" t="s">
        <v>698</v>
      </c>
      <c r="G26" s="444">
        <v>0.9</v>
      </c>
      <c r="H26" s="444">
        <v>0.9</v>
      </c>
      <c r="I26" s="445">
        <v>144</v>
      </c>
      <c r="J26" s="445">
        <v>0</v>
      </c>
      <c r="K26" s="446">
        <v>839.5200000000001</v>
      </c>
      <c r="L26" s="446" t="s">
        <v>90</v>
      </c>
      <c r="M26" s="447">
        <f>K26*'Cell parameters'!$R$80*2/1000</f>
        <v>194.29190881362882</v>
      </c>
      <c r="N26" s="360"/>
      <c r="O26" s="447">
        <f t="shared" si="4"/>
        <v>144</v>
      </c>
      <c r="P26" s="447">
        <f t="shared" si="4"/>
        <v>0</v>
      </c>
      <c r="Q26" s="447">
        <f t="shared" si="5"/>
        <v>194.29190881362882</v>
      </c>
      <c r="R26" s="447">
        <f t="shared" si="1"/>
        <v>0.74115283996787296</v>
      </c>
      <c r="S26" s="447">
        <f t="shared" si="2"/>
        <v>0</v>
      </c>
    </row>
    <row r="27" spans="2:19" ht="12.6" customHeight="1" x14ac:dyDescent="0.2">
      <c r="B27" s="744"/>
      <c r="D27" s="754"/>
      <c r="E27" s="109" t="s">
        <v>100</v>
      </c>
      <c r="F27" s="452" t="s">
        <v>100</v>
      </c>
      <c r="G27" s="444">
        <v>1</v>
      </c>
      <c r="H27" s="444">
        <v>1</v>
      </c>
      <c r="I27" s="447">
        <v>200</v>
      </c>
      <c r="J27" s="445">
        <v>0</v>
      </c>
      <c r="K27" s="446">
        <v>839.5200000000001</v>
      </c>
      <c r="L27" s="446" t="s">
        <v>90</v>
      </c>
      <c r="M27" s="447">
        <f>K27*'Cell parameters'!$R$80*2/1000</f>
        <v>194.29190881362882</v>
      </c>
      <c r="N27" s="360"/>
      <c r="O27" s="447">
        <f t="shared" si="4"/>
        <v>200</v>
      </c>
      <c r="P27" s="447">
        <f t="shared" si="4"/>
        <v>0</v>
      </c>
      <c r="Q27" s="447">
        <f t="shared" si="5"/>
        <v>194.29190881362882</v>
      </c>
      <c r="R27" s="447">
        <f t="shared" si="1"/>
        <v>1.0293789443998236</v>
      </c>
      <c r="S27" s="447">
        <f t="shared" si="2"/>
        <v>0</v>
      </c>
    </row>
    <row r="28" spans="2:19" ht="12.6" customHeight="1" x14ac:dyDescent="0.2">
      <c r="B28" s="744"/>
      <c r="D28" s="753" t="s">
        <v>101</v>
      </c>
      <c r="E28" s="109" t="s">
        <v>103</v>
      </c>
      <c r="F28" s="452" t="s">
        <v>103</v>
      </c>
      <c r="G28" s="444">
        <v>0.33</v>
      </c>
      <c r="H28" s="444">
        <v>0.33</v>
      </c>
      <c r="I28" s="447">
        <v>330</v>
      </c>
      <c r="J28" s="445">
        <v>0</v>
      </c>
      <c r="K28" s="446">
        <v>839.5200000000001</v>
      </c>
      <c r="L28" s="446" t="s">
        <v>90</v>
      </c>
      <c r="M28" s="447">
        <f>K28*'Cell parameters'!$R$80*2/1000</f>
        <v>194.29190881362882</v>
      </c>
      <c r="N28" s="109"/>
      <c r="O28" s="447">
        <f>$M$25*I28/$M28</f>
        <v>330</v>
      </c>
      <c r="P28" s="447">
        <f t="shared" si="4"/>
        <v>0</v>
      </c>
      <c r="Q28" s="447">
        <f t="shared" si="5"/>
        <v>194.29190881362882</v>
      </c>
      <c r="R28" s="447">
        <f>O28/Q28</f>
        <v>1.6984752582597087</v>
      </c>
      <c r="S28" s="447">
        <f t="shared" si="2"/>
        <v>0</v>
      </c>
    </row>
    <row r="29" spans="2:19" ht="12.6" customHeight="1" x14ac:dyDescent="0.2">
      <c r="B29" s="744"/>
      <c r="D29" s="754"/>
      <c r="E29" s="109" t="s">
        <v>705</v>
      </c>
      <c r="F29" s="456" t="s">
        <v>706</v>
      </c>
      <c r="G29" s="471">
        <v>1</v>
      </c>
      <c r="H29" s="471">
        <v>1</v>
      </c>
      <c r="I29" s="458">
        <v>0</v>
      </c>
      <c r="J29" s="458">
        <v>40</v>
      </c>
      <c r="K29" s="459">
        <v>839.5200000000001</v>
      </c>
      <c r="L29" s="459" t="s">
        <v>90</v>
      </c>
      <c r="M29" s="480">
        <f>K29*'Cell parameters'!$R$80*2/1000</f>
        <v>194.29190881362882</v>
      </c>
      <c r="N29" s="109"/>
      <c r="O29" s="460">
        <f t="shared" si="4"/>
        <v>0</v>
      </c>
      <c r="P29" s="460">
        <f t="shared" si="4"/>
        <v>40</v>
      </c>
      <c r="Q29" s="460">
        <f t="shared" si="5"/>
        <v>194.29190881362882</v>
      </c>
      <c r="R29" s="460">
        <f t="shared" si="1"/>
        <v>0</v>
      </c>
      <c r="S29" s="460">
        <f t="shared" si="2"/>
        <v>0.20587578887996469</v>
      </c>
    </row>
    <row r="30" spans="2:19" ht="12.6" customHeight="1" x14ac:dyDescent="0.2">
      <c r="B30" s="744"/>
      <c r="D30" s="755"/>
      <c r="E30" s="257" t="s">
        <v>707</v>
      </c>
      <c r="F30" s="472" t="s">
        <v>105</v>
      </c>
      <c r="G30" s="473">
        <v>1</v>
      </c>
      <c r="H30" s="473">
        <v>1</v>
      </c>
      <c r="I30" s="474">
        <v>100</v>
      </c>
      <c r="J30" s="474">
        <v>0</v>
      </c>
      <c r="K30" s="475">
        <v>839.5200000000001</v>
      </c>
      <c r="L30" s="475" t="s">
        <v>90</v>
      </c>
      <c r="M30" s="481">
        <f>K30*'Cell parameters'!$R$80*2/1000</f>
        <v>194.29190881362882</v>
      </c>
      <c r="N30" s="109"/>
      <c r="O30" s="476">
        <f t="shared" si="4"/>
        <v>100</v>
      </c>
      <c r="P30" s="476">
        <f t="shared" si="4"/>
        <v>0</v>
      </c>
      <c r="Q30" s="476">
        <f t="shared" si="5"/>
        <v>194.29190881362882</v>
      </c>
      <c r="R30" s="476">
        <f t="shared" si="1"/>
        <v>0.51468947219991179</v>
      </c>
      <c r="S30" s="476">
        <f t="shared" si="2"/>
        <v>0</v>
      </c>
    </row>
    <row r="31" spans="2:19" ht="12.6" customHeight="1" x14ac:dyDescent="0.2">
      <c r="B31" s="744"/>
      <c r="D31" s="756" t="s">
        <v>106</v>
      </c>
      <c r="E31" s="109" t="s">
        <v>107</v>
      </c>
      <c r="F31" s="456" t="s">
        <v>107</v>
      </c>
      <c r="G31" s="471">
        <v>1</v>
      </c>
      <c r="H31" s="471">
        <v>1</v>
      </c>
      <c r="I31" s="458">
        <v>200</v>
      </c>
      <c r="J31" s="458">
        <v>0</v>
      </c>
      <c r="K31" s="459"/>
      <c r="L31" s="459"/>
      <c r="M31" s="460"/>
      <c r="N31" s="109"/>
      <c r="O31" s="460">
        <f>I31</f>
        <v>200</v>
      </c>
      <c r="P31" s="460">
        <f>J31</f>
        <v>0</v>
      </c>
      <c r="Q31" s="460">
        <f t="shared" si="5"/>
        <v>194.29190881362882</v>
      </c>
      <c r="R31" s="460">
        <f t="shared" si="1"/>
        <v>1.0293789443998236</v>
      </c>
      <c r="S31" s="460">
        <f t="shared" si="2"/>
        <v>0</v>
      </c>
    </row>
    <row r="32" spans="2:19" ht="12.6" customHeight="1" x14ac:dyDescent="0.2">
      <c r="B32" s="744"/>
      <c r="D32" s="754"/>
      <c r="E32" s="109" t="s">
        <v>708</v>
      </c>
      <c r="F32" s="452" t="s">
        <v>709</v>
      </c>
      <c r="G32" s="444">
        <v>2.0299999999999998</v>
      </c>
      <c r="H32" s="444">
        <v>2.0299999999999998</v>
      </c>
      <c r="I32" s="447">
        <v>330.89</v>
      </c>
      <c r="J32" s="447">
        <v>1853.3899999999999</v>
      </c>
      <c r="K32" s="446"/>
      <c r="L32" s="446"/>
      <c r="M32" s="447"/>
      <c r="N32" s="360"/>
      <c r="O32" s="447">
        <f>I32</f>
        <v>330.89</v>
      </c>
      <c r="P32" s="447">
        <f>J32</f>
        <v>1853.3899999999999</v>
      </c>
      <c r="Q32" s="447">
        <f t="shared" si="5"/>
        <v>194.29190881362882</v>
      </c>
      <c r="R32" s="447">
        <f t="shared" si="1"/>
        <v>1.7030559945622878</v>
      </c>
      <c r="S32" s="447">
        <f t="shared" si="2"/>
        <v>9.5392032088059437</v>
      </c>
    </row>
    <row r="33" spans="2:19" ht="12.6" customHeight="1" x14ac:dyDescent="0.2">
      <c r="B33" s="744"/>
      <c r="D33" s="754"/>
      <c r="E33" s="109" t="s">
        <v>710</v>
      </c>
      <c r="F33" s="451"/>
      <c r="G33" s="477"/>
      <c r="H33" s="477"/>
      <c r="I33" s="119"/>
      <c r="J33" s="119"/>
      <c r="K33" s="109"/>
      <c r="L33" s="109"/>
      <c r="M33" s="109"/>
      <c r="N33" s="109"/>
      <c r="O33" s="119"/>
      <c r="P33" s="119"/>
      <c r="Q33" s="119"/>
      <c r="R33" s="119"/>
      <c r="S33" s="119"/>
    </row>
    <row r="34" spans="2:19" ht="12.6" customHeight="1" x14ac:dyDescent="0.2"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357"/>
      <c r="P34" s="478"/>
      <c r="Q34" s="357"/>
      <c r="R34" s="478">
        <f>SUM(R4:R33)</f>
        <v>8.2271596092032695</v>
      </c>
      <c r="S34" s="478">
        <f>SUM(S4:S33)</f>
        <v>19.518590912357492</v>
      </c>
    </row>
    <row r="35" spans="2:19" ht="13.5" thickBot="1" x14ac:dyDescent="0.25"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357" t="s">
        <v>111</v>
      </c>
      <c r="P35" s="478">
        <f>SUM(O4:P33)</f>
        <v>5390.7748303007775</v>
      </c>
      <c r="Q35" s="357" t="s">
        <v>112</v>
      </c>
      <c r="R35" s="478"/>
      <c r="S35" s="479">
        <f>R34+S34</f>
        <v>27.745750521560762</v>
      </c>
    </row>
    <row r="36" spans="2:19" ht="13.5" thickTop="1" x14ac:dyDescent="0.2">
      <c r="D36" s="439"/>
      <c r="E36" s="439"/>
      <c r="F36" s="439"/>
      <c r="G36" s="439"/>
      <c r="H36" s="439"/>
      <c r="I36" s="439"/>
      <c r="J36" s="439"/>
      <c r="K36" s="439"/>
      <c r="L36" s="439"/>
      <c r="M36" s="439"/>
      <c r="N36" s="439"/>
      <c r="O36" s="439"/>
      <c r="P36" s="439"/>
      <c r="Q36" s="439"/>
      <c r="R36" s="439"/>
      <c r="S36" s="439"/>
    </row>
    <row r="37" spans="2:19" x14ac:dyDescent="0.2">
      <c r="D37" s="439"/>
      <c r="E37" s="439"/>
      <c r="F37" s="439"/>
      <c r="G37" s="439"/>
      <c r="H37" s="439"/>
      <c r="I37" s="439"/>
      <c r="J37" s="439"/>
      <c r="K37" s="439"/>
      <c r="L37" s="439"/>
      <c r="M37" s="439"/>
      <c r="N37" s="439"/>
      <c r="O37" s="439"/>
      <c r="P37" s="439"/>
      <c r="Q37" s="439"/>
      <c r="R37" s="439"/>
      <c r="S37" s="439"/>
    </row>
    <row r="38" spans="2:19" x14ac:dyDescent="0.2">
      <c r="D38" s="439"/>
      <c r="E38" s="439"/>
      <c r="F38" s="439"/>
      <c r="G38" s="439"/>
      <c r="H38" s="439"/>
      <c r="I38" s="439"/>
      <c r="J38" s="439"/>
      <c r="K38" s="439"/>
      <c r="L38" s="439"/>
      <c r="M38" s="439"/>
      <c r="N38" s="439"/>
      <c r="O38" s="439"/>
      <c r="P38" s="439"/>
      <c r="Q38" s="439"/>
      <c r="R38" s="439"/>
      <c r="S38" s="439"/>
    </row>
    <row r="39" spans="2:19" ht="67.5" thickBot="1" x14ac:dyDescent="0.3">
      <c r="D39" s="440" t="s">
        <v>76</v>
      </c>
      <c r="E39" s="441" t="s">
        <v>77</v>
      </c>
      <c r="F39" s="442" t="s">
        <v>673</v>
      </c>
      <c r="G39" s="442" t="s">
        <v>674</v>
      </c>
      <c r="H39" s="442" t="s">
        <v>675</v>
      </c>
      <c r="I39" s="442" t="s">
        <v>676</v>
      </c>
      <c r="J39" s="442" t="s">
        <v>677</v>
      </c>
      <c r="K39" s="757" t="s">
        <v>678</v>
      </c>
      <c r="L39" s="757"/>
      <c r="M39" s="442" t="s">
        <v>81</v>
      </c>
      <c r="N39" s="109"/>
      <c r="O39" s="442" t="s">
        <v>676</v>
      </c>
      <c r="P39" s="442" t="s">
        <v>677</v>
      </c>
      <c r="Q39" s="442" t="s">
        <v>81</v>
      </c>
      <c r="R39" s="442" t="s">
        <v>83</v>
      </c>
      <c r="S39" s="442" t="s">
        <v>679</v>
      </c>
    </row>
    <row r="40" spans="2:19" ht="25.5" x14ac:dyDescent="0.2">
      <c r="B40" s="744" t="s">
        <v>523</v>
      </c>
      <c r="D40" s="752" t="s">
        <v>680</v>
      </c>
      <c r="E40" s="365" t="s">
        <v>681</v>
      </c>
      <c r="F40" s="443" t="s">
        <v>682</v>
      </c>
      <c r="G40" s="444">
        <v>2.5</v>
      </c>
      <c r="H40" s="444">
        <v>2.5</v>
      </c>
      <c r="I40" s="445">
        <v>110</v>
      </c>
      <c r="J40" s="445">
        <v>0</v>
      </c>
      <c r="K40" s="446">
        <v>120</v>
      </c>
      <c r="L40" s="446" t="s">
        <v>87</v>
      </c>
      <c r="M40" s="447">
        <f>K4/('Cell parameters'!S40/1000)*'Cell parameters'!S6*0.5</f>
        <v>1358.4060296276905</v>
      </c>
      <c r="N40" s="360"/>
      <c r="O40" s="447">
        <f t="shared" ref="O40:P43" si="6">$M$25*I40/$M40</f>
        <v>15.733226666666669</v>
      </c>
      <c r="P40" s="447">
        <f t="shared" si="6"/>
        <v>0</v>
      </c>
      <c r="Q40" s="447">
        <f>$M$25</f>
        <v>194.29190881362882</v>
      </c>
      <c r="R40" s="447">
        <f>O40/Q40</f>
        <v>8.0977261290682445E-2</v>
      </c>
      <c r="S40" s="447">
        <f>P40/Q40</f>
        <v>0</v>
      </c>
    </row>
    <row r="41" spans="2:19" ht="25.5" x14ac:dyDescent="0.2">
      <c r="B41" s="744"/>
      <c r="D41" s="753"/>
      <c r="E41" s="365" t="s">
        <v>683</v>
      </c>
      <c r="F41" s="443" t="s">
        <v>684</v>
      </c>
      <c r="G41" s="444">
        <v>0.57999999999999996</v>
      </c>
      <c r="H41" s="444">
        <v>0.57999999999999996</v>
      </c>
      <c r="I41" s="445">
        <v>34.799999999999997</v>
      </c>
      <c r="J41" s="445">
        <v>0</v>
      </c>
      <c r="K41" s="446">
        <v>1440</v>
      </c>
      <c r="L41" s="446" t="s">
        <v>90</v>
      </c>
      <c r="M41" s="447">
        <f>K5*'Cell parameters'!$S$80*2/1000</f>
        <v>652.03489422129144</v>
      </c>
      <c r="N41" s="360"/>
      <c r="O41" s="447">
        <f t="shared" si="6"/>
        <v>10.369626666666665</v>
      </c>
      <c r="P41" s="447">
        <f t="shared" si="6"/>
        <v>0</v>
      </c>
      <c r="Q41" s="447">
        <f>$M$25</f>
        <v>194.29190881362882</v>
      </c>
      <c r="R41" s="447">
        <f t="shared" ref="R41:R43" si="7">O41/Q41</f>
        <v>5.3371376759767962E-2</v>
      </c>
      <c r="S41" s="447">
        <f t="shared" ref="S41:S43" si="8">P41/Q41</f>
        <v>0</v>
      </c>
    </row>
    <row r="42" spans="2:19" ht="25.5" x14ac:dyDescent="0.2">
      <c r="B42" s="744"/>
      <c r="D42" s="753"/>
      <c r="E42" s="365" t="s">
        <v>685</v>
      </c>
      <c r="F42" s="449" t="s">
        <v>686</v>
      </c>
      <c r="G42" s="444">
        <v>0.2</v>
      </c>
      <c r="H42" s="444">
        <v>0.2</v>
      </c>
      <c r="I42" s="445">
        <v>40</v>
      </c>
      <c r="J42" s="445">
        <v>0</v>
      </c>
      <c r="K42" s="446">
        <v>1680</v>
      </c>
      <c r="L42" s="446" t="s">
        <v>90</v>
      </c>
      <c r="M42" s="447">
        <f>K6*'Cell parameters'!$S$80*2/1000</f>
        <v>760.70737659150666</v>
      </c>
      <c r="N42" s="360"/>
      <c r="O42" s="447">
        <f t="shared" si="6"/>
        <v>10.216380952380954</v>
      </c>
      <c r="P42" s="447">
        <f t="shared" si="6"/>
        <v>0</v>
      </c>
      <c r="Q42" s="447">
        <f>$M$25</f>
        <v>194.29190881362882</v>
      </c>
      <c r="R42" s="447">
        <f t="shared" si="7"/>
        <v>5.2582637201741847E-2</v>
      </c>
      <c r="S42" s="447">
        <f t="shared" si="8"/>
        <v>0</v>
      </c>
    </row>
    <row r="43" spans="2:19" x14ac:dyDescent="0.2">
      <c r="B43" s="744"/>
      <c r="D43" s="753"/>
      <c r="E43" s="365" t="s">
        <v>687</v>
      </c>
      <c r="F43" s="443" t="s">
        <v>684</v>
      </c>
      <c r="G43" s="444">
        <v>0.57999999999999996</v>
      </c>
      <c r="H43" s="444">
        <v>0.57999999999999996</v>
      </c>
      <c r="I43" s="445">
        <v>34.799999999999997</v>
      </c>
      <c r="J43" s="445">
        <v>0</v>
      </c>
      <c r="K43" s="446">
        <v>1440</v>
      </c>
      <c r="L43" s="446" t="s">
        <v>90</v>
      </c>
      <c r="M43" s="447">
        <f>K7*'Cell parameters'!$S$80*2/1000</f>
        <v>652.03489422129144</v>
      </c>
      <c r="N43" s="360"/>
      <c r="O43" s="447">
        <f t="shared" si="6"/>
        <v>10.369626666666665</v>
      </c>
      <c r="P43" s="447">
        <f t="shared" si="6"/>
        <v>0</v>
      </c>
      <c r="Q43" s="447">
        <f>$M$25</f>
        <v>194.29190881362882</v>
      </c>
      <c r="R43" s="447">
        <f t="shared" si="7"/>
        <v>5.3371376759767962E-2</v>
      </c>
      <c r="S43" s="447">
        <f t="shared" si="8"/>
        <v>0</v>
      </c>
    </row>
    <row r="44" spans="2:19" x14ac:dyDescent="0.2">
      <c r="B44" s="744"/>
      <c r="D44" s="753"/>
      <c r="E44" s="109" t="s">
        <v>688</v>
      </c>
      <c r="F44" s="450"/>
      <c r="G44" s="359"/>
      <c r="H44" s="359"/>
      <c r="I44" s="109"/>
      <c r="J44" s="109"/>
      <c r="K44" s="364"/>
      <c r="L44" s="364"/>
      <c r="M44" s="119"/>
      <c r="N44" s="109"/>
      <c r="O44" s="119"/>
      <c r="P44" s="119"/>
      <c r="Q44" s="119"/>
      <c r="R44" s="119"/>
      <c r="S44" s="119"/>
    </row>
    <row r="45" spans="2:19" x14ac:dyDescent="0.2">
      <c r="B45" s="744"/>
      <c r="D45" s="753"/>
      <c r="E45" s="109" t="s">
        <v>689</v>
      </c>
      <c r="F45" s="451"/>
      <c r="G45" s="359"/>
      <c r="H45" s="359"/>
      <c r="I45" s="109"/>
      <c r="J45" s="109"/>
      <c r="K45" s="364"/>
      <c r="L45" s="364"/>
      <c r="M45" s="119"/>
      <c r="N45" s="109"/>
      <c r="O45" s="119"/>
      <c r="P45" s="119"/>
      <c r="Q45" s="119"/>
      <c r="R45" s="119"/>
      <c r="S45" s="119"/>
    </row>
    <row r="46" spans="2:19" x14ac:dyDescent="0.2">
      <c r="B46" s="744"/>
      <c r="D46" s="753"/>
      <c r="E46" s="109" t="s">
        <v>684</v>
      </c>
      <c r="F46" s="451"/>
      <c r="G46" s="359"/>
      <c r="H46" s="359"/>
      <c r="I46" s="109"/>
      <c r="J46" s="109"/>
      <c r="K46" s="364"/>
      <c r="L46" s="364"/>
      <c r="M46" s="119"/>
      <c r="N46" s="109"/>
      <c r="O46" s="119"/>
      <c r="P46" s="119"/>
      <c r="Q46" s="119"/>
      <c r="R46" s="119"/>
      <c r="S46" s="119"/>
    </row>
    <row r="47" spans="2:19" x14ac:dyDescent="0.2">
      <c r="B47" s="744"/>
      <c r="D47" s="753"/>
      <c r="E47" s="109" t="s">
        <v>690</v>
      </c>
      <c r="F47" s="452" t="s">
        <v>691</v>
      </c>
      <c r="G47" s="444">
        <v>0.75</v>
      </c>
      <c r="H47" s="444">
        <v>0.75</v>
      </c>
      <c r="I47" s="445">
        <v>18</v>
      </c>
      <c r="J47" s="445">
        <v>0</v>
      </c>
      <c r="K47" s="446">
        <v>1680</v>
      </c>
      <c r="L47" s="446" t="s">
        <v>90</v>
      </c>
      <c r="M47" s="447">
        <f>K11*'Cell parameters'!$S$80*2/1000</f>
        <v>760.70737659150666</v>
      </c>
      <c r="N47" s="360"/>
      <c r="O47" s="447">
        <f>$M$25*I47/$M47</f>
        <v>4.5973714285714289</v>
      </c>
      <c r="P47" s="447">
        <f>$M$25*J47/$M47</f>
        <v>0</v>
      </c>
      <c r="Q47" s="447">
        <f>$M$25</f>
        <v>194.29190881362882</v>
      </c>
      <c r="R47" s="447">
        <f>O47/Q47</f>
        <v>2.3662186740783828E-2</v>
      </c>
      <c r="S47" s="447">
        <f t="shared" ref="S47" si="9">P47/Q47</f>
        <v>0</v>
      </c>
    </row>
    <row r="48" spans="2:19" x14ac:dyDescent="0.2">
      <c r="B48" s="744"/>
      <c r="D48" s="753"/>
      <c r="E48" s="109" t="s">
        <v>692</v>
      </c>
      <c r="F48" s="450"/>
      <c r="G48" s="453"/>
      <c r="H48" s="453"/>
      <c r="I48" s="360"/>
      <c r="J48" s="360"/>
      <c r="K48" s="454"/>
      <c r="L48" s="454"/>
      <c r="M48" s="361"/>
      <c r="N48" s="360"/>
      <c r="O48" s="361"/>
      <c r="P48" s="361"/>
      <c r="Q48" s="361"/>
      <c r="R48" s="361"/>
      <c r="S48" s="361"/>
    </row>
    <row r="49" spans="2:19" x14ac:dyDescent="0.2">
      <c r="B49" s="744"/>
      <c r="D49" s="753" t="s">
        <v>693</v>
      </c>
      <c r="E49" s="109" t="s">
        <v>688</v>
      </c>
      <c r="F49" s="452" t="s">
        <v>694</v>
      </c>
      <c r="G49" s="444">
        <v>1</v>
      </c>
      <c r="H49" s="444">
        <v>1</v>
      </c>
      <c r="I49" s="445">
        <v>20</v>
      </c>
      <c r="J49" s="445">
        <v>0</v>
      </c>
      <c r="K49" s="446">
        <v>250</v>
      </c>
      <c r="L49" s="446" t="s">
        <v>87</v>
      </c>
      <c r="M49" s="447">
        <f>K13/((('Cell parameters'!S89*1000+'Cell parameters'!S94)/'Cell parameters'!S93)/1000)*'Cell parameters'!S6*0.5</f>
        <v>943.33752057478512</v>
      </c>
      <c r="N49" s="360"/>
      <c r="O49" s="447">
        <f>$M$25*I49/$M49</f>
        <v>4.1192447999999997</v>
      </c>
      <c r="P49" s="447">
        <f>$M$25*J49/$M49</f>
        <v>0</v>
      </c>
      <c r="Q49" s="447">
        <f>$M$25</f>
        <v>194.29190881362882</v>
      </c>
      <c r="R49" s="447">
        <f>O49/Q49</f>
        <v>2.1201319319742309E-2</v>
      </c>
      <c r="S49" s="447">
        <f t="shared" ref="S49" si="10">P49/Q49</f>
        <v>0</v>
      </c>
    </row>
    <row r="50" spans="2:19" x14ac:dyDescent="0.2">
      <c r="B50" s="744"/>
      <c r="D50" s="754"/>
      <c r="E50" s="109" t="s">
        <v>695</v>
      </c>
      <c r="F50" s="451"/>
      <c r="G50" s="455"/>
      <c r="H50" s="455"/>
      <c r="I50" s="109"/>
      <c r="J50" s="109"/>
      <c r="K50" s="364"/>
      <c r="L50" s="364"/>
      <c r="M50" s="119"/>
      <c r="N50" s="109"/>
      <c r="O50" s="119"/>
      <c r="P50" s="119"/>
      <c r="Q50" s="119"/>
      <c r="R50" s="119"/>
      <c r="S50" s="119"/>
    </row>
    <row r="51" spans="2:19" x14ac:dyDescent="0.2">
      <c r="B51" s="744"/>
      <c r="D51" s="753" t="s">
        <v>696</v>
      </c>
      <c r="E51" s="109" t="s">
        <v>688</v>
      </c>
      <c r="F51" s="456" t="s">
        <v>694</v>
      </c>
      <c r="G51" s="457">
        <v>1</v>
      </c>
      <c r="H51" s="457">
        <v>1</v>
      </c>
      <c r="I51" s="458">
        <v>20</v>
      </c>
      <c r="J51" s="458">
        <v>0</v>
      </c>
      <c r="K51" s="459">
        <v>250</v>
      </c>
      <c r="L51" s="459" t="s">
        <v>87</v>
      </c>
      <c r="M51" s="460">
        <f>K15*'Cell parameters'!S5*'Cell parameters'!S63*('Cell parameters'!S60*1000)*('Cell parameters'!S74/1000)*'Cell parameters'!S4/1000</f>
        <v>438.67778387683865</v>
      </c>
      <c r="N51" s="109"/>
      <c r="O51" s="460">
        <f t="shared" ref="O51:O55" si="11">$M$25*I51/$M51</f>
        <v>8.8580692232263765</v>
      </c>
      <c r="P51" s="460">
        <f t="shared" ref="P51:P55" si="12">$M$25*J51/$M51</f>
        <v>0</v>
      </c>
      <c r="Q51" s="460">
        <f>$M$25</f>
        <v>194.29190881362882</v>
      </c>
      <c r="R51" s="460">
        <f t="shared" ref="R51:R52" si="13">O51/Q51</f>
        <v>4.559154973212666E-2</v>
      </c>
      <c r="S51" s="460">
        <f t="shared" ref="S51:S55" si="14">P51/Q51</f>
        <v>0</v>
      </c>
    </row>
    <row r="52" spans="2:19" x14ac:dyDescent="0.2">
      <c r="B52" s="744"/>
      <c r="D52" s="754"/>
      <c r="E52" s="109" t="s">
        <v>695</v>
      </c>
      <c r="F52" s="461" t="s">
        <v>695</v>
      </c>
      <c r="G52" s="457">
        <v>1</v>
      </c>
      <c r="H52" s="457">
        <v>1</v>
      </c>
      <c r="I52" s="458">
        <v>75</v>
      </c>
      <c r="J52" s="458">
        <v>825</v>
      </c>
      <c r="K52" s="459">
        <v>1260</v>
      </c>
      <c r="L52" s="459" t="s">
        <v>90</v>
      </c>
      <c r="M52" s="480">
        <f>K16*'Cell parameters'!$S$80*2/1000</f>
        <v>570.53053244363002</v>
      </c>
      <c r="N52" s="109"/>
      <c r="O52" s="460">
        <f t="shared" si="11"/>
        <v>25.540952380952383</v>
      </c>
      <c r="P52" s="460">
        <f t="shared" si="12"/>
        <v>280.95047619047619</v>
      </c>
      <c r="Q52" s="460">
        <f>$M$25</f>
        <v>194.29190881362882</v>
      </c>
      <c r="R52" s="460">
        <f t="shared" si="13"/>
        <v>0.13145659300435461</v>
      </c>
      <c r="S52" s="460">
        <f t="shared" si="14"/>
        <v>1.4460225230479007</v>
      </c>
    </row>
    <row r="53" spans="2:19" x14ac:dyDescent="0.2">
      <c r="B53" s="744"/>
      <c r="D53" s="754"/>
      <c r="E53" s="109" t="s">
        <v>697</v>
      </c>
      <c r="F53" s="445" t="s">
        <v>692</v>
      </c>
      <c r="G53" s="444">
        <v>1</v>
      </c>
      <c r="H53" s="444">
        <v>7.5</v>
      </c>
      <c r="I53" s="445">
        <v>5</v>
      </c>
      <c r="J53" s="445">
        <v>1575</v>
      </c>
      <c r="K53" s="446">
        <v>1960</v>
      </c>
      <c r="L53" s="446" t="s">
        <v>90</v>
      </c>
      <c r="M53" s="447">
        <f>K17*'Cell parameters'!$S$80*2/1000</f>
        <v>887.49193935675783</v>
      </c>
      <c r="N53" s="360"/>
      <c r="O53" s="447">
        <f t="shared" si="11"/>
        <v>1.0946122448979592</v>
      </c>
      <c r="P53" s="447">
        <f t="shared" si="12"/>
        <v>344.80285714285714</v>
      </c>
      <c r="Q53" s="447">
        <f>$M$25</f>
        <v>194.29190881362882</v>
      </c>
      <c r="R53" s="447">
        <f>O53/Q53</f>
        <v>5.6338539859009116E-3</v>
      </c>
      <c r="S53" s="447">
        <f t="shared" si="14"/>
        <v>1.774664005558787</v>
      </c>
    </row>
    <row r="54" spans="2:19" x14ac:dyDescent="0.2">
      <c r="B54" s="744"/>
      <c r="D54" s="754"/>
      <c r="E54" s="109" t="s">
        <v>684</v>
      </c>
      <c r="F54" s="461" t="s">
        <v>684</v>
      </c>
      <c r="G54" s="457">
        <v>1</v>
      </c>
      <c r="H54" s="457">
        <v>1</v>
      </c>
      <c r="I54" s="458">
        <v>60</v>
      </c>
      <c r="J54" s="458">
        <v>0</v>
      </c>
      <c r="K54" s="459">
        <v>1440</v>
      </c>
      <c r="L54" s="459" t="s">
        <v>90</v>
      </c>
      <c r="M54" s="480">
        <f>K18*'Cell parameters'!$S$80*2/1000</f>
        <v>652.03489422129144</v>
      </c>
      <c r="N54" s="109"/>
      <c r="O54" s="460">
        <f t="shared" si="11"/>
        <v>17.878666666666668</v>
      </c>
      <c r="P54" s="460">
        <f t="shared" si="12"/>
        <v>0</v>
      </c>
      <c r="Q54" s="460">
        <f>$M$25</f>
        <v>194.29190881362882</v>
      </c>
      <c r="R54" s="460">
        <f t="shared" ref="R54:R55" si="15">O54/Q54</f>
        <v>9.2019615103048222E-2</v>
      </c>
      <c r="S54" s="460">
        <f t="shared" si="14"/>
        <v>0</v>
      </c>
    </row>
    <row r="55" spans="2:19" x14ac:dyDescent="0.2">
      <c r="B55" s="744"/>
      <c r="D55" s="754"/>
      <c r="E55" s="109" t="s">
        <v>690</v>
      </c>
      <c r="F55" s="452" t="s">
        <v>691</v>
      </c>
      <c r="G55" s="444">
        <v>1.25</v>
      </c>
      <c r="H55" s="444">
        <v>1.25</v>
      </c>
      <c r="I55" s="445">
        <v>30</v>
      </c>
      <c r="J55" s="445">
        <v>0</v>
      </c>
      <c r="K55" s="446">
        <v>1680</v>
      </c>
      <c r="L55" s="446" t="s">
        <v>90</v>
      </c>
      <c r="M55" s="447">
        <f>K19*'Cell parameters'!$S$80*2/1000</f>
        <v>760.70737659150666</v>
      </c>
      <c r="N55" s="360"/>
      <c r="O55" s="447">
        <f t="shared" si="11"/>
        <v>7.6622857142857148</v>
      </c>
      <c r="P55" s="447">
        <f t="shared" si="12"/>
        <v>0</v>
      </c>
      <c r="Q55" s="447">
        <f>$M$25</f>
        <v>194.29190881362882</v>
      </c>
      <c r="R55" s="447">
        <f t="shared" si="15"/>
        <v>3.9436977901306382E-2</v>
      </c>
      <c r="S55" s="447">
        <f t="shared" si="14"/>
        <v>0</v>
      </c>
    </row>
    <row r="56" spans="2:19" x14ac:dyDescent="0.2">
      <c r="B56" s="744"/>
      <c r="D56" s="755"/>
      <c r="E56" s="257" t="s">
        <v>692</v>
      </c>
      <c r="F56" s="462"/>
      <c r="G56" s="463"/>
      <c r="H56" s="463"/>
      <c r="I56" s="257"/>
      <c r="J56" s="257"/>
      <c r="K56" s="464"/>
      <c r="L56" s="464"/>
      <c r="M56" s="465"/>
      <c r="N56" s="109"/>
      <c r="O56" s="465"/>
      <c r="P56" s="465"/>
      <c r="Q56" s="465"/>
      <c r="R56" s="465"/>
      <c r="S56" s="465"/>
    </row>
    <row r="57" spans="2:19" x14ac:dyDescent="0.2">
      <c r="B57" s="744"/>
      <c r="D57" s="756" t="s">
        <v>698</v>
      </c>
      <c r="E57" s="109" t="s">
        <v>699</v>
      </c>
      <c r="F57" s="452" t="s">
        <v>691</v>
      </c>
      <c r="G57" s="444">
        <v>0.75</v>
      </c>
      <c r="H57" s="444">
        <v>0.75</v>
      </c>
      <c r="I57" s="445">
        <v>18</v>
      </c>
      <c r="J57" s="445">
        <v>0</v>
      </c>
      <c r="K57" s="446">
        <v>1680</v>
      </c>
      <c r="L57" s="446" t="s">
        <v>90</v>
      </c>
      <c r="M57" s="447">
        <f>K21*'Cell parameters'!$S$80*2/1000</f>
        <v>760.70737659150666</v>
      </c>
      <c r="N57" s="360"/>
      <c r="O57" s="447">
        <f t="shared" ref="O57:O63" si="16">$M$25*I57/$M57</f>
        <v>4.5973714285714289</v>
      </c>
      <c r="P57" s="447">
        <f t="shared" ref="P57:P66" si="17">$M$25*J57/$M57</f>
        <v>0</v>
      </c>
      <c r="Q57" s="447">
        <f>$M$25</f>
        <v>194.29190881362882</v>
      </c>
      <c r="R57" s="447">
        <f t="shared" ref="R57:R58" si="18">O57/Q57</f>
        <v>2.3662186740783828E-2</v>
      </c>
      <c r="S57" s="447">
        <f t="shared" ref="S57:S68" si="19">P57/Q57</f>
        <v>0</v>
      </c>
    </row>
    <row r="58" spans="2:19" x14ac:dyDescent="0.2">
      <c r="B58" s="744"/>
      <c r="D58" s="754"/>
      <c r="E58" s="109" t="s">
        <v>700</v>
      </c>
      <c r="F58" s="452" t="s">
        <v>691</v>
      </c>
      <c r="G58" s="444">
        <v>1.25</v>
      </c>
      <c r="H58" s="444">
        <v>1.25</v>
      </c>
      <c r="I58" s="445">
        <v>30</v>
      </c>
      <c r="J58" s="445">
        <v>0</v>
      </c>
      <c r="K58" s="446">
        <v>1680</v>
      </c>
      <c r="L58" s="446" t="s">
        <v>90</v>
      </c>
      <c r="M58" s="447">
        <f>K22*'Cell parameters'!$S$80*2/1000</f>
        <v>760.70737659150666</v>
      </c>
      <c r="N58" s="360"/>
      <c r="O58" s="447">
        <f t="shared" si="16"/>
        <v>7.6622857142857148</v>
      </c>
      <c r="P58" s="447">
        <f t="shared" si="17"/>
        <v>0</v>
      </c>
      <c r="Q58" s="447">
        <f>$M$25</f>
        <v>194.29190881362882</v>
      </c>
      <c r="R58" s="447">
        <f t="shared" si="18"/>
        <v>3.9436977901306382E-2</v>
      </c>
      <c r="S58" s="447">
        <f t="shared" si="19"/>
        <v>0</v>
      </c>
    </row>
    <row r="59" spans="2:19" ht="25.5" x14ac:dyDescent="0.2">
      <c r="B59" s="744"/>
      <c r="D59" s="754"/>
      <c r="E59" s="109" t="s">
        <v>701</v>
      </c>
      <c r="F59" s="449" t="s">
        <v>686</v>
      </c>
      <c r="G59" s="466">
        <v>0.2</v>
      </c>
      <c r="H59" s="466">
        <v>0.2</v>
      </c>
      <c r="I59" s="445">
        <v>40</v>
      </c>
      <c r="J59" s="445">
        <v>0</v>
      </c>
      <c r="K59" s="446">
        <v>1680</v>
      </c>
      <c r="L59" s="446" t="s">
        <v>90</v>
      </c>
      <c r="M59" s="447">
        <f>K23*'Cell parameters'!$S$80*2/1000</f>
        <v>760.70737659150666</v>
      </c>
      <c r="N59" s="360"/>
      <c r="O59" s="447">
        <f t="shared" si="16"/>
        <v>10.216380952380954</v>
      </c>
      <c r="P59" s="447">
        <f t="shared" si="17"/>
        <v>0</v>
      </c>
      <c r="Q59" s="447">
        <f>$M$25</f>
        <v>194.29190881362882</v>
      </c>
      <c r="R59" s="447">
        <f>O59/Q59</f>
        <v>5.2582637201741847E-2</v>
      </c>
      <c r="S59" s="447">
        <f t="shared" si="19"/>
        <v>0</v>
      </c>
    </row>
    <row r="60" spans="2:19" x14ac:dyDescent="0.2">
      <c r="B60" s="744"/>
      <c r="D60" s="754"/>
      <c r="E60" s="109" t="s">
        <v>702</v>
      </c>
      <c r="F60" s="445" t="s">
        <v>692</v>
      </c>
      <c r="G60" s="466">
        <v>1</v>
      </c>
      <c r="H60" s="466">
        <v>7.5</v>
      </c>
      <c r="I60" s="445">
        <v>5</v>
      </c>
      <c r="J60" s="445">
        <v>1575</v>
      </c>
      <c r="K60" s="446">
        <v>1960</v>
      </c>
      <c r="L60" s="446" t="s">
        <v>90</v>
      </c>
      <c r="M60" s="447">
        <f>K24*'Cell parameters'!$S$80*2/1000</f>
        <v>887.49193935675783</v>
      </c>
      <c r="N60" s="360"/>
      <c r="O60" s="447">
        <f t="shared" si="16"/>
        <v>1.0946122448979592</v>
      </c>
      <c r="P60" s="447">
        <f t="shared" si="17"/>
        <v>344.80285714285714</v>
      </c>
      <c r="Q60" s="447">
        <f>$M$25</f>
        <v>194.29190881362882</v>
      </c>
      <c r="R60" s="447">
        <f>O60/Q60</f>
        <v>5.6338539859009116E-3</v>
      </c>
      <c r="S60" s="447">
        <f t="shared" si="19"/>
        <v>1.774664005558787</v>
      </c>
    </row>
    <row r="61" spans="2:19" x14ac:dyDescent="0.2">
      <c r="B61" s="744"/>
      <c r="D61" s="754"/>
      <c r="E61" s="109" t="s">
        <v>703</v>
      </c>
      <c r="F61" s="467" t="s">
        <v>703</v>
      </c>
      <c r="G61" s="468">
        <v>1.2</v>
      </c>
      <c r="H61" s="468">
        <v>1.2</v>
      </c>
      <c r="I61" s="469">
        <v>30</v>
      </c>
      <c r="J61" s="469">
        <v>0</v>
      </c>
      <c r="K61" s="470">
        <v>839.5200000000001</v>
      </c>
      <c r="L61" s="470" t="s">
        <v>90</v>
      </c>
      <c r="M61" s="447">
        <f>K25*'Cell parameters'!$S$80*2/1000</f>
        <v>380.13634333101294</v>
      </c>
      <c r="N61" s="109"/>
      <c r="O61" s="448">
        <f t="shared" si="16"/>
        <v>15.333333333333334</v>
      </c>
      <c r="P61" s="448">
        <f t="shared" si="17"/>
        <v>0</v>
      </c>
      <c r="Q61" s="448">
        <f t="shared" ref="Q61:Q68" si="20">$M$25</f>
        <v>194.29190881362882</v>
      </c>
      <c r="R61" s="448">
        <f t="shared" ref="R61:R63" si="21">O61/Q61</f>
        <v>7.8919052403986473E-2</v>
      </c>
      <c r="S61" s="448">
        <f t="shared" si="19"/>
        <v>0</v>
      </c>
    </row>
    <row r="62" spans="2:19" x14ac:dyDescent="0.2">
      <c r="B62" s="744"/>
      <c r="D62" s="754"/>
      <c r="E62" s="109" t="s">
        <v>704</v>
      </c>
      <c r="F62" s="452" t="s">
        <v>698</v>
      </c>
      <c r="G62" s="444">
        <v>0.9</v>
      </c>
      <c r="H62" s="444">
        <v>0.9</v>
      </c>
      <c r="I62" s="445">
        <v>144</v>
      </c>
      <c r="J62" s="445">
        <v>0</v>
      </c>
      <c r="K62" s="446">
        <v>839.5200000000001</v>
      </c>
      <c r="L62" s="446" t="s">
        <v>90</v>
      </c>
      <c r="M62" s="447">
        <f>K26*'Cell parameters'!$S$80*2/1000</f>
        <v>380.13634333101294</v>
      </c>
      <c r="N62" s="360"/>
      <c r="O62" s="447">
        <f t="shared" si="16"/>
        <v>73.599999999999994</v>
      </c>
      <c r="P62" s="447">
        <f t="shared" si="17"/>
        <v>0</v>
      </c>
      <c r="Q62" s="447">
        <f t="shared" si="20"/>
        <v>194.29190881362882</v>
      </c>
      <c r="R62" s="447">
        <f t="shared" si="21"/>
        <v>0.37881145153913504</v>
      </c>
      <c r="S62" s="447">
        <f t="shared" si="19"/>
        <v>0</v>
      </c>
    </row>
    <row r="63" spans="2:19" x14ac:dyDescent="0.2">
      <c r="B63" s="744"/>
      <c r="D63" s="754"/>
      <c r="E63" s="109" t="s">
        <v>100</v>
      </c>
      <c r="F63" s="452" t="s">
        <v>100</v>
      </c>
      <c r="G63" s="444">
        <v>1</v>
      </c>
      <c r="H63" s="444">
        <v>1</v>
      </c>
      <c r="I63" s="447">
        <v>200</v>
      </c>
      <c r="J63" s="445">
        <v>0</v>
      </c>
      <c r="K63" s="446">
        <v>839.5200000000001</v>
      </c>
      <c r="L63" s="446" t="s">
        <v>90</v>
      </c>
      <c r="M63" s="447">
        <f>K27*'Cell parameters'!$S$80*2/1000</f>
        <v>380.13634333101294</v>
      </c>
      <c r="N63" s="360"/>
      <c r="O63" s="447">
        <f t="shared" si="16"/>
        <v>102.22222222222223</v>
      </c>
      <c r="P63" s="447">
        <f t="shared" si="17"/>
        <v>0</v>
      </c>
      <c r="Q63" s="447">
        <f t="shared" si="20"/>
        <v>194.29190881362882</v>
      </c>
      <c r="R63" s="447">
        <f t="shared" si="21"/>
        <v>0.52612701602657652</v>
      </c>
      <c r="S63" s="447">
        <f t="shared" si="19"/>
        <v>0</v>
      </c>
    </row>
    <row r="64" spans="2:19" x14ac:dyDescent="0.2">
      <c r="B64" s="744"/>
      <c r="D64" s="753" t="s">
        <v>101</v>
      </c>
      <c r="E64" s="109" t="s">
        <v>103</v>
      </c>
      <c r="F64" s="452" t="s">
        <v>103</v>
      </c>
      <c r="G64" s="444">
        <v>0.33</v>
      </c>
      <c r="H64" s="444">
        <v>0.33</v>
      </c>
      <c r="I64" s="447">
        <v>330</v>
      </c>
      <c r="J64" s="445">
        <v>0</v>
      </c>
      <c r="K64" s="446">
        <v>839.5200000000001</v>
      </c>
      <c r="L64" s="446" t="s">
        <v>90</v>
      </c>
      <c r="M64" s="447">
        <f>K28*'Cell parameters'!$S$80*2/1000</f>
        <v>380.13634333101294</v>
      </c>
      <c r="N64" s="109"/>
      <c r="O64" s="447">
        <f>$M$25*I64/$M64</f>
        <v>168.66666666666666</v>
      </c>
      <c r="P64" s="447">
        <f t="shared" si="17"/>
        <v>0</v>
      </c>
      <c r="Q64" s="447">
        <f t="shared" si="20"/>
        <v>194.29190881362882</v>
      </c>
      <c r="R64" s="447">
        <f>O64/Q64</f>
        <v>0.86810957644385112</v>
      </c>
      <c r="S64" s="447">
        <f t="shared" si="19"/>
        <v>0</v>
      </c>
    </row>
    <row r="65" spans="2:19" x14ac:dyDescent="0.2">
      <c r="B65" s="744"/>
      <c r="D65" s="754"/>
      <c r="E65" s="109" t="s">
        <v>705</v>
      </c>
      <c r="F65" s="456" t="s">
        <v>706</v>
      </c>
      <c r="G65" s="471">
        <v>1</v>
      </c>
      <c r="H65" s="471">
        <v>1</v>
      </c>
      <c r="I65" s="458">
        <v>0</v>
      </c>
      <c r="J65" s="458">
        <v>40</v>
      </c>
      <c r="K65" s="459">
        <v>839.5200000000001</v>
      </c>
      <c r="L65" s="459" t="s">
        <v>90</v>
      </c>
      <c r="M65" s="480">
        <f>K29*'Cell parameters'!$S$80*2/1000</f>
        <v>380.13634333101294</v>
      </c>
      <c r="N65" s="109"/>
      <c r="O65" s="460">
        <f t="shared" ref="O65:O66" si="22">$M$25*I65/$M65</f>
        <v>0</v>
      </c>
      <c r="P65" s="460">
        <f t="shared" si="17"/>
        <v>20.444444444444443</v>
      </c>
      <c r="Q65" s="460">
        <f t="shared" si="20"/>
        <v>194.29190881362882</v>
      </c>
      <c r="R65" s="460">
        <f t="shared" ref="R65:R68" si="23">O65/Q65</f>
        <v>0</v>
      </c>
      <c r="S65" s="460">
        <f t="shared" si="19"/>
        <v>0.10522540320531529</v>
      </c>
    </row>
    <row r="66" spans="2:19" x14ac:dyDescent="0.2">
      <c r="B66" s="744"/>
      <c r="D66" s="755"/>
      <c r="E66" s="257" t="s">
        <v>707</v>
      </c>
      <c r="F66" s="472" t="s">
        <v>105</v>
      </c>
      <c r="G66" s="473">
        <v>1</v>
      </c>
      <c r="H66" s="473">
        <v>1</v>
      </c>
      <c r="I66" s="474">
        <v>100</v>
      </c>
      <c r="J66" s="474">
        <v>0</v>
      </c>
      <c r="K66" s="475">
        <v>839.5200000000001</v>
      </c>
      <c r="L66" s="475" t="s">
        <v>90</v>
      </c>
      <c r="M66" s="481">
        <f>K30*'Cell parameters'!$S$80*2/1000</f>
        <v>380.13634333101294</v>
      </c>
      <c r="N66" s="109"/>
      <c r="O66" s="476">
        <f t="shared" si="22"/>
        <v>51.111111111111114</v>
      </c>
      <c r="P66" s="476">
        <f t="shared" si="17"/>
        <v>0</v>
      </c>
      <c r="Q66" s="476">
        <f t="shared" si="20"/>
        <v>194.29190881362882</v>
      </c>
      <c r="R66" s="476">
        <f t="shared" si="23"/>
        <v>0.26306350801328826</v>
      </c>
      <c r="S66" s="476">
        <f t="shared" si="19"/>
        <v>0</v>
      </c>
    </row>
    <row r="67" spans="2:19" x14ac:dyDescent="0.2">
      <c r="B67" s="744"/>
      <c r="D67" s="756" t="s">
        <v>106</v>
      </c>
      <c r="E67" s="109" t="s">
        <v>107</v>
      </c>
      <c r="F67" s="456" t="s">
        <v>107</v>
      </c>
      <c r="G67" s="471">
        <v>1</v>
      </c>
      <c r="H67" s="471">
        <v>1</v>
      </c>
      <c r="I67" s="458">
        <v>200</v>
      </c>
      <c r="J67" s="458">
        <v>0</v>
      </c>
      <c r="K67" s="459"/>
      <c r="L67" s="459"/>
      <c r="M67" s="460"/>
      <c r="N67" s="109"/>
      <c r="O67" s="460">
        <f>I67</f>
        <v>200</v>
      </c>
      <c r="P67" s="460">
        <f>J67</f>
        <v>0</v>
      </c>
      <c r="Q67" s="460">
        <f t="shared" si="20"/>
        <v>194.29190881362882</v>
      </c>
      <c r="R67" s="460">
        <f t="shared" si="23"/>
        <v>1.0293789443998236</v>
      </c>
      <c r="S67" s="460">
        <f t="shared" si="19"/>
        <v>0</v>
      </c>
    </row>
    <row r="68" spans="2:19" x14ac:dyDescent="0.2">
      <c r="B68" s="744"/>
      <c r="D68" s="754"/>
      <c r="E68" s="109" t="s">
        <v>708</v>
      </c>
      <c r="F68" s="452" t="s">
        <v>709</v>
      </c>
      <c r="G68" s="444">
        <v>2.0299999999999998</v>
      </c>
      <c r="H68" s="444">
        <v>2.0299999999999998</v>
      </c>
      <c r="I68" s="447">
        <v>330.89</v>
      </c>
      <c r="J68" s="447">
        <v>1853.3899999999999</v>
      </c>
      <c r="K68" s="446"/>
      <c r="L68" s="446"/>
      <c r="M68" s="447"/>
      <c r="N68" s="360"/>
      <c r="O68" s="447">
        <f>I68</f>
        <v>330.89</v>
      </c>
      <c r="P68" s="447">
        <f>J68</f>
        <v>1853.3899999999999</v>
      </c>
      <c r="Q68" s="447">
        <f t="shared" si="20"/>
        <v>194.29190881362882</v>
      </c>
      <c r="R68" s="447">
        <f t="shared" si="23"/>
        <v>1.7030559945622878</v>
      </c>
      <c r="S68" s="447">
        <f t="shared" si="19"/>
        <v>9.5392032088059437</v>
      </c>
    </row>
    <row r="69" spans="2:19" x14ac:dyDescent="0.2">
      <c r="B69" s="744"/>
      <c r="D69" s="754"/>
      <c r="E69" s="109" t="s">
        <v>710</v>
      </c>
      <c r="F69" s="451"/>
      <c r="G69" s="477"/>
      <c r="H69" s="477"/>
      <c r="I69" s="119"/>
      <c r="J69" s="119"/>
      <c r="K69" s="109"/>
      <c r="L69" s="109"/>
      <c r="M69" s="109"/>
      <c r="N69" s="109"/>
      <c r="O69" s="119"/>
      <c r="P69" s="119"/>
      <c r="Q69" s="119"/>
      <c r="R69" s="119"/>
      <c r="S69" s="119"/>
    </row>
    <row r="70" spans="2:19" x14ac:dyDescent="0.2">
      <c r="D70" s="109"/>
      <c r="E70" s="109"/>
      <c r="F70" s="109"/>
      <c r="G70" s="109"/>
      <c r="H70" s="109"/>
      <c r="I70" s="109"/>
      <c r="J70" s="109"/>
      <c r="K70" s="109"/>
      <c r="L70" s="109"/>
      <c r="M70" s="109"/>
      <c r="N70" s="109"/>
      <c r="O70" s="357"/>
      <c r="P70" s="478"/>
      <c r="Q70" s="357"/>
      <c r="R70" s="478">
        <f>SUM(R40:R69)</f>
        <v>5.5680859470179049</v>
      </c>
      <c r="S70" s="478">
        <f>SUM(S40:S69)</f>
        <v>14.639779146176734</v>
      </c>
    </row>
    <row r="71" spans="2:19" ht="13.5" thickBot="1" x14ac:dyDescent="0.25"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357" t="s">
        <v>111</v>
      </c>
      <c r="P71" s="478">
        <f>SUM(O40:P69)</f>
        <v>3926.2246820050855</v>
      </c>
      <c r="Q71" s="357" t="s">
        <v>112</v>
      </c>
      <c r="R71" s="478"/>
      <c r="S71" s="479">
        <f>R70+S70</f>
        <v>20.207865093194638</v>
      </c>
    </row>
    <row r="72" spans="2:19" ht="13.5" thickTop="1" x14ac:dyDescent="0.2"/>
  </sheetData>
  <mergeCells count="19">
    <mergeCell ref="K39:L39"/>
    <mergeCell ref="B4:B33"/>
    <mergeCell ref="F2:H2"/>
    <mergeCell ref="I2:M2"/>
    <mergeCell ref="O2:S2"/>
    <mergeCell ref="D21:D27"/>
    <mergeCell ref="D28:D30"/>
    <mergeCell ref="D31:D33"/>
    <mergeCell ref="K3:L3"/>
    <mergeCell ref="D4:D12"/>
    <mergeCell ref="D13:D14"/>
    <mergeCell ref="D15:D20"/>
    <mergeCell ref="B40:B69"/>
    <mergeCell ref="D40:D48"/>
    <mergeCell ref="D49:D50"/>
    <mergeCell ref="D51:D56"/>
    <mergeCell ref="D57:D63"/>
    <mergeCell ref="D64:D66"/>
    <mergeCell ref="D67:D69"/>
  </mergeCell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C7D0-7C77-4B01-BA55-E16A0ED7DCF2}">
  <sheetPr>
    <tabColor theme="4"/>
  </sheetPr>
  <dimension ref="C2:G18"/>
  <sheetViews>
    <sheetView topLeftCell="B1" workbookViewId="0">
      <selection activeCell="B1" sqref="B1"/>
    </sheetView>
  </sheetViews>
  <sheetFormatPr baseColWidth="10" defaultColWidth="11.42578125" defaultRowHeight="12.75" x14ac:dyDescent="0.2"/>
  <cols>
    <col min="3" max="7" width="12.7109375" customWidth="1"/>
  </cols>
  <sheetData>
    <row r="2" spans="3:7" ht="13.5" thickBot="1" x14ac:dyDescent="0.25">
      <c r="C2" s="40" t="s">
        <v>113</v>
      </c>
      <c r="D2" s="40" t="s">
        <v>24</v>
      </c>
      <c r="E2" s="40" t="s">
        <v>72</v>
      </c>
      <c r="F2" s="40" t="s">
        <v>386</v>
      </c>
      <c r="G2" s="40" t="s">
        <v>114</v>
      </c>
    </row>
    <row r="3" spans="3:7" x14ac:dyDescent="0.2">
      <c r="C3" s="759" t="s">
        <v>0</v>
      </c>
      <c r="D3" t="s">
        <v>25</v>
      </c>
      <c r="E3" s="41">
        <f>NCA!P19</f>
        <v>14.929516907783942</v>
      </c>
      <c r="F3" s="41">
        <f>NCA!Q19</f>
        <v>12.381655478392915</v>
      </c>
      <c r="G3" s="42">
        <f t="shared" ref="G3:G6" si="0">SUM(E3:F3)</f>
        <v>27.311172386176857</v>
      </c>
    </row>
    <row r="4" spans="3:7" x14ac:dyDescent="0.2">
      <c r="C4" s="760"/>
      <c r="D4" t="s">
        <v>26</v>
      </c>
      <c r="E4" s="41">
        <f>NCA!P40</f>
        <v>13.104564832956919</v>
      </c>
      <c r="F4" s="41">
        <f>NCA!Q40</f>
        <v>8.7759750768020659</v>
      </c>
      <c r="G4" s="42">
        <f t="shared" si="0"/>
        <v>21.880539909758987</v>
      </c>
    </row>
    <row r="5" spans="3:7" x14ac:dyDescent="0.2">
      <c r="C5" s="760" t="s">
        <v>1</v>
      </c>
      <c r="D5" t="s">
        <v>25</v>
      </c>
      <c r="E5" s="41">
        <f>'NMC532'!P19</f>
        <v>16.724656034105294</v>
      </c>
      <c r="F5" s="41">
        <f>'NMC532'!Q19</f>
        <v>16.26690387365997</v>
      </c>
      <c r="G5" s="42">
        <f t="shared" si="0"/>
        <v>32.991559907765264</v>
      </c>
    </row>
    <row r="6" spans="3:7" x14ac:dyDescent="0.2">
      <c r="C6" s="760"/>
      <c r="D6" t="s">
        <v>26</v>
      </c>
      <c r="E6" s="41">
        <f>'NMC532'!P40</f>
        <v>14.327440032946839</v>
      </c>
      <c r="F6" s="41">
        <f>'NMC532'!Q40</f>
        <v>11.529794478702794</v>
      </c>
      <c r="G6" s="42">
        <f t="shared" si="0"/>
        <v>25.857234511649633</v>
      </c>
    </row>
    <row r="7" spans="3:7" x14ac:dyDescent="0.2">
      <c r="C7" s="761" t="s">
        <v>2</v>
      </c>
      <c r="D7" t="s">
        <v>25</v>
      </c>
      <c r="E7" s="41">
        <f>'NMC622'!P19</f>
        <v>16.506757217014108</v>
      </c>
      <c r="F7" s="41">
        <f>'NMC622'!Q19</f>
        <v>15.795301969929529</v>
      </c>
      <c r="G7" s="42">
        <f>SUM(E7:F7)</f>
        <v>32.302059186943637</v>
      </c>
    </row>
    <row r="8" spans="3:7" x14ac:dyDescent="0.2">
      <c r="C8" s="761"/>
      <c r="D8" t="s">
        <v>26</v>
      </c>
      <c r="E8" s="41">
        <f>'NMC622'!P40</f>
        <v>14.179004150946986</v>
      </c>
      <c r="F8" s="41">
        <f>'NMC622'!Q40</f>
        <v>11.195528470370288</v>
      </c>
      <c r="G8" s="42">
        <f t="shared" ref="G8:G14" si="1">SUM(E8:F8)</f>
        <v>25.374532621317272</v>
      </c>
    </row>
    <row r="9" spans="3:7" x14ac:dyDescent="0.2">
      <c r="C9" s="656" t="s">
        <v>115</v>
      </c>
      <c r="D9" t="s">
        <v>25</v>
      </c>
      <c r="E9" s="41">
        <f>'NMC811'!P19</f>
        <v>15.289903440227466</v>
      </c>
      <c r="F9" s="41">
        <f>'NMC811'!Q19</f>
        <v>13.217484220444865</v>
      </c>
      <c r="G9" s="42">
        <f t="shared" si="1"/>
        <v>28.507387660672329</v>
      </c>
    </row>
    <row r="10" spans="3:7" x14ac:dyDescent="0.2">
      <c r="C10" s="656"/>
      <c r="D10" t="s">
        <v>26</v>
      </c>
      <c r="E10" s="41">
        <f>'NMC811'!P40</f>
        <v>13.342112500125969</v>
      </c>
      <c r="F10" s="41">
        <f>'NMC811'!Q40</f>
        <v>9.3684008813742672</v>
      </c>
      <c r="G10" s="42">
        <f t="shared" si="1"/>
        <v>22.710513381500235</v>
      </c>
    </row>
    <row r="11" spans="3:7" x14ac:dyDescent="0.2">
      <c r="C11" s="656" t="s">
        <v>200</v>
      </c>
      <c r="D11" t="s">
        <v>25</v>
      </c>
      <c r="E11" s="41">
        <f>'NMC900'!P19</f>
        <v>14.682119476233128</v>
      </c>
      <c r="F11" s="41">
        <f>'NMC900'!Q19</f>
        <v>11.937687520806318</v>
      </c>
      <c r="G11" s="42">
        <f t="shared" si="1"/>
        <v>26.619806997039447</v>
      </c>
    </row>
    <row r="12" spans="3:7" x14ac:dyDescent="0.2">
      <c r="C12" s="656"/>
      <c r="D12" t="s">
        <v>26</v>
      </c>
      <c r="E12" s="41">
        <f>'NMC900'!P40</f>
        <v>12.92300500363007</v>
      </c>
      <c r="F12" s="41">
        <f>'NMC900'!Q40</f>
        <v>8.4612956918459883</v>
      </c>
      <c r="G12" s="42">
        <f t="shared" si="1"/>
        <v>21.384300695476057</v>
      </c>
    </row>
    <row r="13" spans="3:7" x14ac:dyDescent="0.2">
      <c r="C13" s="656" t="s">
        <v>5</v>
      </c>
      <c r="D13" t="s">
        <v>25</v>
      </c>
      <c r="E13" s="41">
        <f>LFP!P19</f>
        <v>19.415739325719592</v>
      </c>
      <c r="F13" s="41">
        <f>LFP!Q19</f>
        <v>22.05939146203502</v>
      </c>
      <c r="G13" s="42">
        <f t="shared" si="1"/>
        <v>41.475130787754608</v>
      </c>
    </row>
    <row r="14" spans="3:7" x14ac:dyDescent="0.2">
      <c r="C14" s="656"/>
      <c r="D14" t="s">
        <v>26</v>
      </c>
      <c r="E14" s="41">
        <f>LFP!P40</f>
        <v>16.165184355992228</v>
      </c>
      <c r="F14" s="41">
        <f>LFP!Q40</f>
        <v>15.6354430970944</v>
      </c>
      <c r="G14" s="42">
        <f t="shared" si="1"/>
        <v>31.800627453086626</v>
      </c>
    </row>
    <row r="15" spans="3:7" x14ac:dyDescent="0.2">
      <c r="C15" s="656" t="s">
        <v>619</v>
      </c>
      <c r="D15" t="s">
        <v>25</v>
      </c>
      <c r="E15" s="41">
        <f>NaNFM422!P19</f>
        <v>22.339974175604901</v>
      </c>
      <c r="F15" s="41">
        <f>NaNFM422!Q19</f>
        <v>25.308954457280244</v>
      </c>
      <c r="G15" s="42">
        <f t="shared" ref="G15:G16" si="2">SUM(E15:F15)</f>
        <v>47.648928632885145</v>
      </c>
    </row>
    <row r="16" spans="3:7" x14ac:dyDescent="0.2">
      <c r="C16" s="656"/>
      <c r="D16" t="s">
        <v>26</v>
      </c>
      <c r="E16" s="41">
        <f>NaNFM422!P40</f>
        <v>18.609906015499138</v>
      </c>
      <c r="F16" s="41">
        <f>NaNFM422!Q40</f>
        <v>17.938695994619856</v>
      </c>
      <c r="G16" s="42">
        <f t="shared" si="2"/>
        <v>36.548602010118998</v>
      </c>
    </row>
    <row r="17" spans="3:7" x14ac:dyDescent="0.2">
      <c r="C17" s="656" t="s">
        <v>669</v>
      </c>
      <c r="D17" t="s">
        <v>25</v>
      </c>
      <c r="E17" s="41">
        <f>NMC900Li!R34</f>
        <v>8.2271596092032695</v>
      </c>
      <c r="F17" s="41">
        <f>NMC900Li!S34</f>
        <v>19.518590912357492</v>
      </c>
      <c r="G17" s="42">
        <f t="shared" ref="G17:G18" si="3">SUM(E17:F17)</f>
        <v>27.745750521560762</v>
      </c>
    </row>
    <row r="18" spans="3:7" x14ac:dyDescent="0.2">
      <c r="C18" s="656"/>
      <c r="D18" t="s">
        <v>26</v>
      </c>
      <c r="E18" s="41">
        <f>NMC900Li!R70</f>
        <v>5.5680859470179049</v>
      </c>
      <c r="F18" s="41">
        <f>NMC900Li!S70</f>
        <v>14.639779146176734</v>
      </c>
      <c r="G18" s="42">
        <f t="shared" si="3"/>
        <v>20.207865093194638</v>
      </c>
    </row>
  </sheetData>
  <mergeCells count="8">
    <mergeCell ref="C17:C18"/>
    <mergeCell ref="C15:C16"/>
    <mergeCell ref="C3:C4"/>
    <mergeCell ref="C7:C8"/>
    <mergeCell ref="C9:C10"/>
    <mergeCell ref="C11:C12"/>
    <mergeCell ref="C13:C14"/>
    <mergeCell ref="C5:C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C2DC-DD65-4357-BE26-B4BAC1E2CFDC}">
  <dimension ref="B3:AP68"/>
  <sheetViews>
    <sheetView zoomScale="55" zoomScaleNormal="55" workbookViewId="0">
      <selection activeCell="V53" sqref="U53:V53"/>
    </sheetView>
  </sheetViews>
  <sheetFormatPr baseColWidth="10" defaultRowHeight="12.75" x14ac:dyDescent="0.2"/>
  <cols>
    <col min="3" max="3" width="33.5703125" bestFit="1" customWidth="1"/>
    <col min="21" max="22" width="20.7109375" customWidth="1"/>
    <col min="25" max="25" width="11.42578125" customWidth="1"/>
  </cols>
  <sheetData>
    <row r="3" spans="2:42" ht="15.75" x14ac:dyDescent="0.2">
      <c r="B3" s="734" t="s">
        <v>476</v>
      </c>
      <c r="C3" s="717" t="s">
        <v>220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U3" s="763" t="s">
        <v>798</v>
      </c>
      <c r="V3" s="764" t="s">
        <v>738</v>
      </c>
    </row>
    <row r="4" spans="2:42" x14ac:dyDescent="0.2">
      <c r="B4" s="734"/>
      <c r="C4" s="103"/>
      <c r="D4" s="729" t="s">
        <v>0</v>
      </c>
      <c r="E4" s="730"/>
      <c r="F4" s="731" t="s">
        <v>1</v>
      </c>
      <c r="G4" s="710"/>
      <c r="H4" s="732" t="s">
        <v>2</v>
      </c>
      <c r="I4" s="733"/>
      <c r="J4" s="731" t="s">
        <v>3</v>
      </c>
      <c r="K4" s="710"/>
      <c r="L4" s="731" t="s">
        <v>200</v>
      </c>
      <c r="M4" s="710"/>
      <c r="N4" s="709" t="s">
        <v>5</v>
      </c>
      <c r="O4" s="710"/>
      <c r="P4" s="709" t="s">
        <v>634</v>
      </c>
      <c r="Q4" s="710"/>
      <c r="R4" s="709" t="s">
        <v>582</v>
      </c>
      <c r="S4" s="710"/>
      <c r="U4" s="763"/>
      <c r="V4" s="764"/>
      <c r="X4" s="765" t="s">
        <v>876</v>
      </c>
      <c r="Y4" s="765"/>
      <c r="Z4" s="765"/>
      <c r="AA4" s="765"/>
      <c r="AB4" s="765"/>
      <c r="AC4" s="765"/>
      <c r="AD4" s="765"/>
      <c r="AE4" s="765"/>
      <c r="AF4" s="765"/>
      <c r="AH4" s="762" t="s">
        <v>746</v>
      </c>
      <c r="AI4" s="762"/>
      <c r="AJ4" s="762"/>
      <c r="AK4" s="762"/>
      <c r="AL4" s="762"/>
      <c r="AM4" s="762"/>
      <c r="AN4" s="762"/>
      <c r="AO4" s="762"/>
      <c r="AP4" s="762"/>
    </row>
    <row r="5" spans="2:42" x14ac:dyDescent="0.2">
      <c r="B5" s="734"/>
      <c r="C5" s="145"/>
      <c r="D5" s="135" t="s">
        <v>6</v>
      </c>
      <c r="E5" s="113" t="s">
        <v>7</v>
      </c>
      <c r="F5" s="135" t="s">
        <v>6</v>
      </c>
      <c r="G5" s="113" t="s">
        <v>7</v>
      </c>
      <c r="H5" s="135" t="s">
        <v>6</v>
      </c>
      <c r="I5" s="113" t="s">
        <v>7</v>
      </c>
      <c r="J5" s="135" t="s">
        <v>6</v>
      </c>
      <c r="K5" s="113" t="s">
        <v>7</v>
      </c>
      <c r="L5" s="135" t="s">
        <v>6</v>
      </c>
      <c r="M5" s="113" t="s">
        <v>7</v>
      </c>
      <c r="N5" s="114" t="s">
        <v>6</v>
      </c>
      <c r="O5" s="113" t="s">
        <v>7</v>
      </c>
      <c r="P5" s="114" t="s">
        <v>6</v>
      </c>
      <c r="Q5" s="113" t="s">
        <v>7</v>
      </c>
      <c r="R5" s="114" t="s">
        <v>6</v>
      </c>
      <c r="S5" s="113" t="s">
        <v>7</v>
      </c>
      <c r="U5" s="763"/>
      <c r="V5" s="764"/>
    </row>
    <row r="6" spans="2:42" ht="12.75" customHeight="1" x14ac:dyDescent="0.2">
      <c r="B6" s="734"/>
      <c r="C6" s="103" t="s">
        <v>51</v>
      </c>
      <c r="D6" s="121">
        <f t="shared" ref="D6:R6" si="0">D9+D49+D60+D61+D62+D63+D64</f>
        <v>4.3893580843402109</v>
      </c>
      <c r="E6" s="116">
        <f t="shared" si="0"/>
        <v>3.6643930994931733</v>
      </c>
      <c r="F6" s="121">
        <f t="shared" si="0"/>
        <v>5.3154127601692016</v>
      </c>
      <c r="G6" s="116">
        <f t="shared" si="0"/>
        <v>4.4129244801136966</v>
      </c>
      <c r="H6" s="121">
        <f t="shared" si="0"/>
        <v>5.2262946583911081</v>
      </c>
      <c r="I6" s="116">
        <f t="shared" si="0"/>
        <v>4.3431923490938251</v>
      </c>
      <c r="J6" s="121">
        <f t="shared" si="0"/>
        <v>4.2785318141603224</v>
      </c>
      <c r="K6" s="116">
        <f t="shared" si="0"/>
        <v>3.547893134053774</v>
      </c>
      <c r="L6" s="121">
        <f t="shared" si="0"/>
        <v>3.7678415137484702</v>
      </c>
      <c r="M6" s="116">
        <f t="shared" si="0"/>
        <v>3.1178828252936586</v>
      </c>
      <c r="N6" s="121">
        <f t="shared" si="0"/>
        <v>6.3516809929566769</v>
      </c>
      <c r="O6" s="116">
        <f t="shared" si="0"/>
        <v>5.1589358806755454</v>
      </c>
      <c r="P6" s="121">
        <f t="shared" si="0"/>
        <v>7.3399726920489092</v>
      </c>
      <c r="Q6" s="116">
        <f t="shared" si="0"/>
        <v>6.1220220586948999</v>
      </c>
      <c r="R6" s="121">
        <f t="shared" si="0"/>
        <v>3.7668807773277511</v>
      </c>
      <c r="S6" s="116">
        <f>S9+S49+S60+S61+S62+S63+S64</f>
        <v>2.7829025003638157</v>
      </c>
      <c r="U6" s="763"/>
      <c r="V6" s="764"/>
      <c r="Y6" t="s">
        <v>0</v>
      </c>
      <c r="Z6" s="6" t="s">
        <v>1</v>
      </c>
      <c r="AA6" s="6" t="s">
        <v>2</v>
      </c>
      <c r="AB6" s="6" t="s">
        <v>3</v>
      </c>
      <c r="AC6" s="6" t="s">
        <v>200</v>
      </c>
      <c r="AD6" t="s">
        <v>5</v>
      </c>
      <c r="AE6" s="6" t="s">
        <v>747</v>
      </c>
      <c r="AF6" s="6" t="s">
        <v>748</v>
      </c>
      <c r="AI6" t="s">
        <v>0</v>
      </c>
      <c r="AJ6" s="6" t="s">
        <v>1</v>
      </c>
      <c r="AK6" s="6" t="s">
        <v>2</v>
      </c>
      <c r="AL6" s="6" t="s">
        <v>3</v>
      </c>
      <c r="AM6" s="6" t="s">
        <v>200</v>
      </c>
      <c r="AN6" t="s">
        <v>5</v>
      </c>
      <c r="AO6" s="6" t="s">
        <v>747</v>
      </c>
      <c r="AP6" s="6" t="s">
        <v>748</v>
      </c>
    </row>
    <row r="7" spans="2:42" x14ac:dyDescent="0.2">
      <c r="B7" s="734"/>
      <c r="C7" s="103" t="s">
        <v>50</v>
      </c>
      <c r="D7" s="121">
        <f t="shared" ref="D7:R7" si="1">1/D6</f>
        <v>0.2278237457016031</v>
      </c>
      <c r="E7" s="116">
        <f t="shared" si="1"/>
        <v>0.27289648595242449</v>
      </c>
      <c r="F7" s="121">
        <f t="shared" si="1"/>
        <v>0.18813214422282565</v>
      </c>
      <c r="G7" s="116">
        <f t="shared" si="1"/>
        <v>0.22660709570407955</v>
      </c>
      <c r="H7" s="121">
        <f t="shared" si="1"/>
        <v>0.19134014925745607</v>
      </c>
      <c r="I7" s="116">
        <f t="shared" si="1"/>
        <v>0.230245386255721</v>
      </c>
      <c r="J7" s="121">
        <f t="shared" si="1"/>
        <v>0.23372503546435675</v>
      </c>
      <c r="K7" s="116">
        <f t="shared" si="1"/>
        <v>0.28185741853431018</v>
      </c>
      <c r="L7" s="121">
        <f t="shared" si="1"/>
        <v>0.26540394450008098</v>
      </c>
      <c r="M7" s="116">
        <f t="shared" si="1"/>
        <v>0.32073046231486096</v>
      </c>
      <c r="N7" s="121">
        <f t="shared" si="1"/>
        <v>0.15743863728497876</v>
      </c>
      <c r="O7" s="116">
        <f t="shared" si="1"/>
        <v>0.19383842387842459</v>
      </c>
      <c r="P7" s="121">
        <f t="shared" si="1"/>
        <v>0.13624028888871192</v>
      </c>
      <c r="Q7" s="116">
        <f t="shared" si="1"/>
        <v>0.16334472342838655</v>
      </c>
      <c r="R7" s="121">
        <f t="shared" si="1"/>
        <v>0.26547163531663626</v>
      </c>
      <c r="S7" s="116">
        <f>1/S6</f>
        <v>0.35933705901276364</v>
      </c>
      <c r="U7" s="763"/>
      <c r="V7" s="764"/>
      <c r="Y7" t="s">
        <v>26</v>
      </c>
      <c r="Z7" t="s">
        <v>26</v>
      </c>
      <c r="AA7" t="s">
        <v>26</v>
      </c>
      <c r="AB7" t="s">
        <v>26</v>
      </c>
      <c r="AC7" t="s">
        <v>26</v>
      </c>
      <c r="AD7" t="s">
        <v>26</v>
      </c>
      <c r="AE7" t="s">
        <v>26</v>
      </c>
      <c r="AF7" t="s">
        <v>26</v>
      </c>
      <c r="AI7" t="s">
        <v>26</v>
      </c>
      <c r="AJ7" t="s">
        <v>26</v>
      </c>
      <c r="AK7" t="s">
        <v>26</v>
      </c>
      <c r="AL7" t="s">
        <v>26</v>
      </c>
      <c r="AM7" t="s">
        <v>26</v>
      </c>
      <c r="AN7" t="s">
        <v>26</v>
      </c>
      <c r="AO7" t="s">
        <v>26</v>
      </c>
      <c r="AP7" t="s">
        <v>26</v>
      </c>
    </row>
    <row r="8" spans="2:42" ht="13.5" thickBot="1" x14ac:dyDescent="0.25">
      <c r="B8" s="734"/>
      <c r="C8" s="146"/>
      <c r="D8" s="144" t="s">
        <v>51</v>
      </c>
      <c r="E8" s="152" t="s">
        <v>51</v>
      </c>
      <c r="F8" s="144" t="s">
        <v>51</v>
      </c>
      <c r="G8" s="152" t="s">
        <v>51</v>
      </c>
      <c r="H8" s="144" t="s">
        <v>51</v>
      </c>
      <c r="I8" s="152" t="s">
        <v>51</v>
      </c>
      <c r="J8" s="144" t="s">
        <v>51</v>
      </c>
      <c r="K8" s="152" t="s">
        <v>51</v>
      </c>
      <c r="L8" s="144" t="s">
        <v>51</v>
      </c>
      <c r="M8" s="152" t="s">
        <v>51</v>
      </c>
      <c r="N8" s="153" t="s">
        <v>51</v>
      </c>
      <c r="O8" s="152" t="s">
        <v>51</v>
      </c>
      <c r="P8" s="153" t="s">
        <v>51</v>
      </c>
      <c r="Q8" s="152" t="s">
        <v>51</v>
      </c>
      <c r="R8" s="153" t="s">
        <v>51</v>
      </c>
      <c r="S8" s="152" t="s">
        <v>51</v>
      </c>
      <c r="U8" s="133" t="s">
        <v>737</v>
      </c>
      <c r="V8" s="133" t="s">
        <v>737</v>
      </c>
      <c r="X8" s="133"/>
      <c r="Y8" s="133" t="s">
        <v>214</v>
      </c>
      <c r="Z8" s="133" t="s">
        <v>214</v>
      </c>
      <c r="AA8" s="133" t="s">
        <v>214</v>
      </c>
      <c r="AB8" s="133" t="s">
        <v>214</v>
      </c>
      <c r="AC8" s="133" t="s">
        <v>214</v>
      </c>
      <c r="AD8" s="133" t="s">
        <v>214</v>
      </c>
      <c r="AE8" s="133" t="s">
        <v>221</v>
      </c>
      <c r="AF8" s="133" t="s">
        <v>221</v>
      </c>
      <c r="AH8" s="133"/>
      <c r="AI8" s="133" t="s">
        <v>214</v>
      </c>
      <c r="AJ8" s="133" t="s">
        <v>214</v>
      </c>
      <c r="AK8" s="133" t="s">
        <v>214</v>
      </c>
      <c r="AL8" s="133" t="s">
        <v>214</v>
      </c>
      <c r="AM8" s="133" t="s">
        <v>214</v>
      </c>
      <c r="AN8" s="133" t="s">
        <v>214</v>
      </c>
      <c r="AO8" s="133" t="s">
        <v>221</v>
      </c>
      <c r="AP8" s="133" t="s">
        <v>221</v>
      </c>
    </row>
    <row r="9" spans="2:42" x14ac:dyDescent="0.2">
      <c r="B9" s="734"/>
      <c r="C9" s="117" t="s">
        <v>52</v>
      </c>
      <c r="D9" s="136">
        <f t="shared" ref="D9:R9" si="2">D10+D11-D14</f>
        <v>1.6364783346469878</v>
      </c>
      <c r="E9" s="176">
        <f t="shared" si="2"/>
        <v>1.5452774073145563</v>
      </c>
      <c r="F9" s="136">
        <f t="shared" si="2"/>
        <v>2.1846022447159208</v>
      </c>
      <c r="G9" s="176">
        <f t="shared" si="2"/>
        <v>2.0647833141460743</v>
      </c>
      <c r="H9" s="136">
        <f t="shared" si="2"/>
        <v>2.1283951641696701</v>
      </c>
      <c r="I9" s="176">
        <f t="shared" si="2"/>
        <v>2.0120499638313776</v>
      </c>
      <c r="J9" s="136">
        <f t="shared" si="2"/>
        <v>1.7711707414974913</v>
      </c>
      <c r="K9" s="176">
        <f t="shared" si="2"/>
        <v>1.6738132580809995</v>
      </c>
      <c r="L9" s="136">
        <f t="shared" si="2"/>
        <v>1.6021715892683936</v>
      </c>
      <c r="M9" s="176">
        <f t="shared" si="2"/>
        <v>1.5142408457581851</v>
      </c>
      <c r="N9" s="136">
        <f t="shared" si="2"/>
        <v>2.4324906962631032</v>
      </c>
      <c r="O9" s="176">
        <f t="shared" si="2"/>
        <v>2.2700054000733041</v>
      </c>
      <c r="P9" s="136">
        <f t="shared" si="2"/>
        <v>3.0363003364226673</v>
      </c>
      <c r="Q9" s="176">
        <f t="shared" si="2"/>
        <v>2.8498793751589444</v>
      </c>
      <c r="R9" s="136">
        <f t="shared" si="2"/>
        <v>1.5946196901733369</v>
      </c>
      <c r="S9" s="176">
        <f>S10+S11-S14</f>
        <v>1.5090654532444856</v>
      </c>
      <c r="X9" s="1" t="s">
        <v>52</v>
      </c>
      <c r="Y9" s="58">
        <f t="shared" ref="Y9:AF9" si="3">Y10+Y11</f>
        <v>44.016098861677783</v>
      </c>
      <c r="Z9" s="58">
        <f t="shared" si="3"/>
        <v>63.573550836481736</v>
      </c>
      <c r="AA9" s="58">
        <f t="shared" si="3"/>
        <v>63.106563781137439</v>
      </c>
      <c r="AB9" s="58">
        <f t="shared" si="3"/>
        <v>48.58242220684641</v>
      </c>
      <c r="AC9" s="58">
        <f t="shared" si="3"/>
        <v>41.65809646471304</v>
      </c>
      <c r="AD9" s="58">
        <f t="shared" si="3"/>
        <v>34.654872476194704</v>
      </c>
      <c r="AE9" s="58">
        <f t="shared" si="3"/>
        <v>51.946291937463826</v>
      </c>
      <c r="AF9" s="58">
        <f t="shared" si="3"/>
        <v>41.570340831310872</v>
      </c>
      <c r="AH9" s="1" t="s">
        <v>52</v>
      </c>
      <c r="AI9" s="58">
        <f t="shared" ref="AI9:AP9" si="4">AI10+AI11</f>
        <v>42.827938386808931</v>
      </c>
      <c r="AJ9" s="58">
        <f t="shared" si="4"/>
        <v>62.118465556561247</v>
      </c>
      <c r="AK9" s="58">
        <f t="shared" si="4"/>
        <v>61.693810914391662</v>
      </c>
      <c r="AL9" s="58">
        <f t="shared" si="4"/>
        <v>47.301926602177772</v>
      </c>
      <c r="AM9" s="58">
        <f t="shared" si="4"/>
        <v>40.501642457186286</v>
      </c>
      <c r="AN9" s="58">
        <f t="shared" si="4"/>
        <v>33.690546455551797</v>
      </c>
      <c r="AO9" s="58">
        <f t="shared" si="4"/>
        <v>51.946291937463826</v>
      </c>
      <c r="AP9" s="58">
        <f t="shared" si="4"/>
        <v>40.413886823784118</v>
      </c>
    </row>
    <row r="10" spans="2:42" x14ac:dyDescent="0.2">
      <c r="B10" s="734"/>
      <c r="C10" s="123" t="s">
        <v>198</v>
      </c>
      <c r="D10" s="121">
        <f>'Cell parameters'!D108/1000</f>
        <v>0.18654735136179232</v>
      </c>
      <c r="E10" s="116">
        <f>'Cell parameters'!E108/1000</f>
        <v>9.5346424029360499E-2</v>
      </c>
      <c r="F10" s="121">
        <f>'Cell parameters'!F108/1000</f>
        <v>0.24508417616559441</v>
      </c>
      <c r="G10" s="116">
        <f>'Cell parameters'!G108/1000</f>
        <v>0.1252652455957482</v>
      </c>
      <c r="H10" s="121">
        <f>'Cell parameters'!H108/1000</f>
        <v>0.23797881887378328</v>
      </c>
      <c r="I10" s="116">
        <f>'Cell parameters'!I108/1000</f>
        <v>0.12163361853548925</v>
      </c>
      <c r="J10" s="121">
        <f>'Cell parameters'!J108/1000</f>
        <v>0.19914030698827914</v>
      </c>
      <c r="K10" s="116">
        <f>'Cell parameters'!K108/1000</f>
        <v>0.10178282357178713</v>
      </c>
      <c r="L10" s="121">
        <f>'Cell parameters'!L108/1000</f>
        <v>0.17985833899815365</v>
      </c>
      <c r="M10" s="116">
        <f>'Cell parameters'!M108/1000</f>
        <v>9.1927595487945199E-2</v>
      </c>
      <c r="N10" s="121">
        <f>'Cell parameters'!N108/1000</f>
        <v>0.33235628766095276</v>
      </c>
      <c r="O10" s="116">
        <f>'Cell parameters'!O108/1000</f>
        <v>0.16987099147115359</v>
      </c>
      <c r="P10" s="121">
        <f>'Cell parameters'!P108/1000</f>
        <v>0.38131560258488661</v>
      </c>
      <c r="Q10" s="116">
        <f>'Cell parameters'!Q108/1000</f>
        <v>0.19489464132116427</v>
      </c>
      <c r="R10" s="121">
        <f>'Cell parameters'!R108/1000</f>
        <v>0.17499730280901435</v>
      </c>
      <c r="S10" s="116">
        <f>'Cell parameters'!S108/1000</f>
        <v>8.9443065880162889E-2</v>
      </c>
      <c r="U10" s="8">
        <f>'Ecoinvent 3.10'!N5</f>
        <v>16.254999999999999</v>
      </c>
      <c r="V10" s="8">
        <f>'Ecoinvent 3.10'!N5</f>
        <v>16.254999999999999</v>
      </c>
      <c r="X10" t="s">
        <v>198</v>
      </c>
      <c r="Y10" s="9">
        <f>E10*$U10</f>
        <v>1.5498561225972549</v>
      </c>
      <c r="Z10" s="9">
        <f>G10*$U10</f>
        <v>2.0361865671588868</v>
      </c>
      <c r="AA10" s="9">
        <f>I10*$U10</f>
        <v>1.9771544692943777</v>
      </c>
      <c r="AB10" s="9">
        <f>K10*$U10</f>
        <v>1.6544797971593996</v>
      </c>
      <c r="AC10" s="9">
        <f>M10*$U10</f>
        <v>1.494283064656549</v>
      </c>
      <c r="AD10" s="9">
        <f>O10*$U10</f>
        <v>2.7612529663636014</v>
      </c>
      <c r="AE10" s="9">
        <f>Q10*$U10</f>
        <v>3.1680123946755252</v>
      </c>
      <c r="AF10" s="9">
        <f>S10*$U10</f>
        <v>1.4538970358820478</v>
      </c>
      <c r="AH10" t="s">
        <v>198</v>
      </c>
      <c r="AI10" s="9">
        <f>Y10</f>
        <v>1.5498561225972549</v>
      </c>
      <c r="AJ10" s="9">
        <f t="shared" ref="AJ10:AP10" si="5">Z10</f>
        <v>2.0361865671588868</v>
      </c>
      <c r="AK10" s="9">
        <f t="shared" si="5"/>
        <v>1.9771544692943777</v>
      </c>
      <c r="AL10" s="9">
        <f t="shared" si="5"/>
        <v>1.6544797971593996</v>
      </c>
      <c r="AM10" s="9">
        <f t="shared" si="5"/>
        <v>1.494283064656549</v>
      </c>
      <c r="AN10" s="9">
        <f t="shared" si="5"/>
        <v>2.7612529663636014</v>
      </c>
      <c r="AO10" s="9">
        <f t="shared" si="5"/>
        <v>3.1680123946755252</v>
      </c>
      <c r="AP10" s="9">
        <f t="shared" si="5"/>
        <v>1.4538970358820478</v>
      </c>
    </row>
    <row r="11" spans="2:42" x14ac:dyDescent="0.2">
      <c r="B11" s="734"/>
      <c r="C11" s="123" t="s">
        <v>218</v>
      </c>
      <c r="D11" s="121">
        <f>SUM(D12:D15)+D36</f>
        <v>2.8998619665703913</v>
      </c>
      <c r="E11" s="116">
        <f t="shared" ref="E11:O11" si="6">SUM(E12:E15)+E36</f>
        <v>2.8998619665703913</v>
      </c>
      <c r="F11" s="121">
        <f t="shared" si="6"/>
        <v>3.8790361371006528</v>
      </c>
      <c r="G11" s="116">
        <f t="shared" si="6"/>
        <v>3.8790361371006528</v>
      </c>
      <c r="H11" s="121">
        <f t="shared" si="6"/>
        <v>3.7808326905917751</v>
      </c>
      <c r="I11" s="116">
        <f t="shared" si="6"/>
        <v>3.780832690591776</v>
      </c>
      <c r="J11" s="121">
        <f t="shared" si="6"/>
        <v>3.144060869018424</v>
      </c>
      <c r="K11" s="116">
        <f t="shared" si="6"/>
        <v>3.144060869018424</v>
      </c>
      <c r="L11" s="121">
        <f t="shared" si="6"/>
        <v>2.8446265005404792</v>
      </c>
      <c r="M11" s="116">
        <f t="shared" si="6"/>
        <v>2.8446265005404792</v>
      </c>
      <c r="N11" s="121">
        <f t="shared" si="6"/>
        <v>4.200268817204301</v>
      </c>
      <c r="O11" s="116">
        <f t="shared" si="6"/>
        <v>4.200268817204301</v>
      </c>
      <c r="P11" s="121">
        <f>SUM(P12:P15)+P36</f>
        <v>5.3099694676755611</v>
      </c>
      <c r="Q11" s="116">
        <f>SUM(Q12:Q15)+Q36</f>
        <v>5.3099694676755611</v>
      </c>
      <c r="R11" s="121">
        <f t="shared" ref="R11:S11" si="7">SUM(R12:R15)+R36</f>
        <v>2.8392447747286456</v>
      </c>
      <c r="S11" s="116">
        <f t="shared" si="7"/>
        <v>2.8392447747286456</v>
      </c>
      <c r="X11" s="1" t="s">
        <v>218</v>
      </c>
      <c r="Y11" s="58">
        <f>Y12+Y13+Y15+Y14+Y36</f>
        <v>42.466242739080528</v>
      </c>
      <c r="Z11" s="58">
        <f t="shared" ref="Z11:AF11" si="8">Z12+Z13+Z15+Z14+Z36</f>
        <v>61.53736426932285</v>
      </c>
      <c r="AA11" s="58">
        <f t="shared" si="8"/>
        <v>61.129409311843062</v>
      </c>
      <c r="AB11" s="58">
        <f t="shared" si="8"/>
        <v>46.927942409687013</v>
      </c>
      <c r="AC11" s="58">
        <f t="shared" si="8"/>
        <v>40.16381340005649</v>
      </c>
      <c r="AD11" s="58">
        <f t="shared" si="8"/>
        <v>31.893619509831101</v>
      </c>
      <c r="AE11" s="58">
        <f t="shared" si="8"/>
        <v>48.778279542788297</v>
      </c>
      <c r="AF11" s="58">
        <f t="shared" si="8"/>
        <v>40.116443795428822</v>
      </c>
      <c r="AH11" s="1" t="s">
        <v>218</v>
      </c>
      <c r="AI11" s="58">
        <f t="shared" ref="AI11:AP11" si="9">AI12+AI13+AI15+AI14+AI36</f>
        <v>41.278082264211676</v>
      </c>
      <c r="AJ11" s="58">
        <f t="shared" si="9"/>
        <v>60.082278989402361</v>
      </c>
      <c r="AK11" s="58">
        <f t="shared" si="9"/>
        <v>59.716656445097286</v>
      </c>
      <c r="AL11" s="58">
        <f t="shared" si="9"/>
        <v>45.647446805018376</v>
      </c>
      <c r="AM11" s="58">
        <f t="shared" si="9"/>
        <v>39.007359392529736</v>
      </c>
      <c r="AN11" s="58">
        <f t="shared" si="9"/>
        <v>30.929293489188197</v>
      </c>
      <c r="AO11" s="58">
        <f t="shared" si="9"/>
        <v>48.778279542788297</v>
      </c>
      <c r="AP11" s="58">
        <f t="shared" si="9"/>
        <v>38.959989787902067</v>
      </c>
    </row>
    <row r="12" spans="2:42" x14ac:dyDescent="0.2">
      <c r="B12" s="734"/>
      <c r="C12" s="147" t="s">
        <v>66</v>
      </c>
      <c r="D12" s="121">
        <f>'Cell parameters'!D99/1000</f>
        <v>5.7997239331407824E-2</v>
      </c>
      <c r="E12" s="116">
        <f>'Cell parameters'!E99/1000</f>
        <v>5.7997239331407817E-2</v>
      </c>
      <c r="F12" s="121">
        <f>'Cell parameters'!F99/1000</f>
        <v>7.7580722742013067E-2</v>
      </c>
      <c r="G12" s="116">
        <f>'Cell parameters'!G99/1000</f>
        <v>7.7580722742013039E-2</v>
      </c>
      <c r="H12" s="121">
        <f>'Cell parameters'!H99/1000</f>
        <v>7.5616653811835521E-2</v>
      </c>
      <c r="I12" s="116">
        <f>'Cell parameters'!I99/1000</f>
        <v>7.5616653811835535E-2</v>
      </c>
      <c r="J12" s="121">
        <f>'Cell parameters'!J99/1000</f>
        <v>6.2881217380368476E-2</v>
      </c>
      <c r="K12" s="116">
        <f>'Cell parameters'!K99/1000</f>
        <v>6.2881217380368476E-2</v>
      </c>
      <c r="L12" s="121">
        <f>'Cell parameters'!L99/1000</f>
        <v>5.6892530010809579E-2</v>
      </c>
      <c r="M12" s="116">
        <f>'Cell parameters'!M99/1000</f>
        <v>5.6892530010809586E-2</v>
      </c>
      <c r="N12" s="121">
        <f>'Cell parameters'!N99/1000</f>
        <v>8.400537634408603E-2</v>
      </c>
      <c r="O12" s="116">
        <f>'Cell parameters'!O99/1000</f>
        <v>8.400537634408603E-2</v>
      </c>
      <c r="P12" s="121">
        <f>'Cell parameters'!P99/1000</f>
        <v>0.10619938935351123</v>
      </c>
      <c r="Q12" s="116">
        <f>'Cell parameters'!Q99/1000</f>
        <v>0.10619938935351124</v>
      </c>
      <c r="R12" s="121">
        <f>'Cell parameters'!R99/1000</f>
        <v>5.5354894064571475E-2</v>
      </c>
      <c r="S12" s="116">
        <f>'Cell parameters'!S99/1000</f>
        <v>5.5354894064571489E-2</v>
      </c>
      <c r="U12" s="8">
        <f>'Ecoinvent 3.10'!N21</f>
        <v>2.5097999999999998</v>
      </c>
      <c r="V12" s="8">
        <f>'Ecoinvent 3.10'!N21</f>
        <v>2.5097999999999998</v>
      </c>
      <c r="X12" t="s">
        <v>66</v>
      </c>
      <c r="Y12" s="9">
        <f>E12*$U12</f>
        <v>0.14556147127396732</v>
      </c>
      <c r="Z12" s="9">
        <f>G12*$U12</f>
        <v>0.19471209793790431</v>
      </c>
      <c r="AA12" s="9">
        <f>I12*$U12</f>
        <v>0.18978267773694482</v>
      </c>
      <c r="AB12" s="9">
        <f>K12*$U12</f>
        <v>0.15781927938124879</v>
      </c>
      <c r="AC12" s="9">
        <f>M12*$U12</f>
        <v>0.1427888718211299</v>
      </c>
      <c r="AD12" s="9">
        <f>O12*$U12</f>
        <v>0.21083669354838711</v>
      </c>
      <c r="AE12" s="9">
        <f>Q12*$U12</f>
        <v>0.26653922739944247</v>
      </c>
      <c r="AF12" s="9">
        <f>S12*$U12</f>
        <v>0.13892971312326152</v>
      </c>
      <c r="AH12" t="s">
        <v>66</v>
      </c>
      <c r="AI12" s="9">
        <f>Y12</f>
        <v>0.14556147127396732</v>
      </c>
      <c r="AJ12" s="9">
        <f t="shared" ref="AJ12:AP14" si="10">Z12</f>
        <v>0.19471209793790431</v>
      </c>
      <c r="AK12" s="9">
        <f t="shared" si="10"/>
        <v>0.18978267773694482</v>
      </c>
      <c r="AL12" s="9">
        <f t="shared" si="10"/>
        <v>0.15781927938124879</v>
      </c>
      <c r="AM12" s="9">
        <f t="shared" si="10"/>
        <v>0.1427888718211299</v>
      </c>
      <c r="AN12" s="9">
        <f t="shared" si="10"/>
        <v>0.21083669354838711</v>
      </c>
      <c r="AO12" s="9">
        <f t="shared" si="10"/>
        <v>0.26653922739944247</v>
      </c>
      <c r="AP12" s="9">
        <f t="shared" si="10"/>
        <v>0.13892971312326152</v>
      </c>
    </row>
    <row r="13" spans="2:42" x14ac:dyDescent="0.2">
      <c r="B13" s="734"/>
      <c r="C13" s="147" t="s">
        <v>67</v>
      </c>
      <c r="D13" s="121">
        <f>'Cell parameters'!D98/1000</f>
        <v>4.3497929498555861E-2</v>
      </c>
      <c r="E13" s="116">
        <f>'Cell parameters'!E98/1000</f>
        <v>4.3497929498555868E-2</v>
      </c>
      <c r="F13" s="121">
        <f>'Cell parameters'!F98/1000</f>
        <v>5.8185542056509797E-2</v>
      </c>
      <c r="G13" s="116">
        <f>'Cell parameters'!G98/1000</f>
        <v>5.8185542056509776E-2</v>
      </c>
      <c r="H13" s="121">
        <f>'Cell parameters'!H98/1000</f>
        <v>5.6712490358876627E-2</v>
      </c>
      <c r="I13" s="116">
        <f>'Cell parameters'!I98/1000</f>
        <v>5.6712490358876627E-2</v>
      </c>
      <c r="J13" s="121">
        <f>'Cell parameters'!J98/1000</f>
        <v>4.7160913035276357E-2</v>
      </c>
      <c r="K13" s="116">
        <f>'Cell parameters'!K98/1000</f>
        <v>4.716091303527635E-2</v>
      </c>
      <c r="L13" s="121">
        <f>'Cell parameters'!L98/1000</f>
        <v>4.2669397508107186E-2</v>
      </c>
      <c r="M13" s="116">
        <f>'Cell parameters'!M98/1000</f>
        <v>4.2669397508107179E-2</v>
      </c>
      <c r="N13" s="121">
        <f>'Cell parameters'!N98/1000</f>
        <v>6.300403225806453E-2</v>
      </c>
      <c r="O13" s="116">
        <f>'Cell parameters'!O98/1000</f>
        <v>6.3004032258064516E-2</v>
      </c>
      <c r="P13" s="121">
        <f>'Cell parameters'!P98/1000</f>
        <v>7.964954201513344E-2</v>
      </c>
      <c r="Q13" s="116">
        <f>'Cell parameters'!Q98/1000</f>
        <v>7.9649542015133426E-2</v>
      </c>
      <c r="R13" s="121">
        <f>'Cell parameters'!R98/1000</f>
        <v>4.1516170548428613E-2</v>
      </c>
      <c r="S13" s="116">
        <f>'Cell parameters'!S98/1000</f>
        <v>4.1516170548428613E-2</v>
      </c>
      <c r="U13" s="8">
        <f>'Ecoinvent 3.10'!N6</f>
        <v>16.527000000000001</v>
      </c>
      <c r="V13" s="8">
        <f>'Ecoinvent 3.10'!N6</f>
        <v>16.527000000000001</v>
      </c>
      <c r="X13" t="s">
        <v>628</v>
      </c>
      <c r="Y13" s="9">
        <f>E13*$U13</f>
        <v>0.71889028082263284</v>
      </c>
      <c r="Z13" s="9">
        <f>G13*$U13</f>
        <v>0.96163245356793714</v>
      </c>
      <c r="AA13" s="9">
        <f>I13*$U13</f>
        <v>0.93728732816115412</v>
      </c>
      <c r="AB13" s="9">
        <f>K13*$U13</f>
        <v>0.77942840973401228</v>
      </c>
      <c r="AC13" s="9">
        <f>M13*$U13</f>
        <v>0.70519713261648742</v>
      </c>
      <c r="AD13" s="9">
        <f>O13*$U13</f>
        <v>1.0412676411290323</v>
      </c>
      <c r="AE13" s="9">
        <f>Q13*$U13</f>
        <v>1.3163679808841102</v>
      </c>
      <c r="AF13" s="9">
        <f>S13*$U13</f>
        <v>0.68613775065387972</v>
      </c>
      <c r="AH13" t="s">
        <v>628</v>
      </c>
      <c r="AI13" s="9">
        <f t="shared" ref="AI13:AI14" si="11">Y13</f>
        <v>0.71889028082263284</v>
      </c>
      <c r="AJ13" s="9">
        <f t="shared" si="10"/>
        <v>0.96163245356793714</v>
      </c>
      <c r="AK13" s="9">
        <f t="shared" si="10"/>
        <v>0.93728732816115412</v>
      </c>
      <c r="AL13" s="9">
        <f t="shared" si="10"/>
        <v>0.77942840973401228</v>
      </c>
      <c r="AM13" s="9">
        <f t="shared" si="10"/>
        <v>0.70519713261648742</v>
      </c>
      <c r="AN13" s="9">
        <f t="shared" si="10"/>
        <v>1.0412676411290323</v>
      </c>
      <c r="AO13" s="9">
        <f t="shared" si="10"/>
        <v>1.3163679808841102</v>
      </c>
      <c r="AP13" s="9">
        <f t="shared" si="10"/>
        <v>0.68613775065387972</v>
      </c>
    </row>
    <row r="14" spans="2:42" x14ac:dyDescent="0.2">
      <c r="B14" s="734"/>
      <c r="C14" s="147" t="s">
        <v>68</v>
      </c>
      <c r="D14" s="143">
        <f>'Cell parameters'!D112/1000</f>
        <v>1.4499309832851957</v>
      </c>
      <c r="E14" s="127">
        <f>'Cell parameters'!E112/1000</f>
        <v>1.4499309832851957</v>
      </c>
      <c r="F14" s="143">
        <f>'Cell parameters'!F112/1000</f>
        <v>1.9395180685503264</v>
      </c>
      <c r="G14" s="127">
        <f>'Cell parameters'!G112/1000</f>
        <v>1.9395180685503264</v>
      </c>
      <c r="H14" s="143">
        <f>'Cell parameters'!H112/1000</f>
        <v>1.8904163452958878</v>
      </c>
      <c r="I14" s="127">
        <f>'Cell parameters'!I112/1000</f>
        <v>1.8904163452958878</v>
      </c>
      <c r="J14" s="143">
        <f>'Cell parameters'!J112/1000</f>
        <v>1.5720304345092118</v>
      </c>
      <c r="K14" s="127">
        <f>'Cell parameters'!K112/1000</f>
        <v>1.5720304345092118</v>
      </c>
      <c r="L14" s="143">
        <f>'Cell parameters'!L112/1000</f>
        <v>1.4223132502702394</v>
      </c>
      <c r="M14" s="127">
        <f>'Cell parameters'!M112/1000</f>
        <v>1.4223132502702394</v>
      </c>
      <c r="N14" s="143">
        <f>'Cell parameters'!N112/1000</f>
        <v>2.1001344086021505</v>
      </c>
      <c r="O14" s="127">
        <f>'Cell parameters'!O112/1000</f>
        <v>2.1001344086021505</v>
      </c>
      <c r="P14" s="143">
        <f>'Cell parameters'!P112/1000</f>
        <v>2.6549847338377806</v>
      </c>
      <c r="Q14" s="127">
        <f>'Cell parameters'!Q112/1000</f>
        <v>2.6549847338377806</v>
      </c>
      <c r="R14" s="143">
        <f>'Cell parameters'!R112/1000</f>
        <v>1.4196223873643228</v>
      </c>
      <c r="S14" s="127">
        <f>'Cell parameters'!S112/1000</f>
        <v>1.4196223873643228</v>
      </c>
      <c r="U14" s="8">
        <f>'Ecoinvent 3.10'!N7</f>
        <v>9.0867000000000004</v>
      </c>
      <c r="V14" s="8">
        <f>'Ecoinvent 3.10'!N7</f>
        <v>9.0867000000000004</v>
      </c>
      <c r="X14" t="s">
        <v>68</v>
      </c>
      <c r="Y14" s="9">
        <f>E14*$U14</f>
        <v>13.175087865817588</v>
      </c>
      <c r="Z14" s="9">
        <f>G14*$U14</f>
        <v>17.623818833496252</v>
      </c>
      <c r="AA14" s="9">
        <f>I14*$U14</f>
        <v>17.177646204800144</v>
      </c>
      <c r="AB14" s="9">
        <f>K14*$U14</f>
        <v>14.284568949254854</v>
      </c>
      <c r="AC14" s="9">
        <f>M14*$U14</f>
        <v>12.924133811230584</v>
      </c>
      <c r="AD14" s="9">
        <f>O14*$U14</f>
        <v>19.08329133064516</v>
      </c>
      <c r="AE14" s="9">
        <f>Q14*$U14</f>
        <v>24.12504978096376</v>
      </c>
      <c r="AF14" s="9">
        <f>S14*$U14</f>
        <v>12.899682747263393</v>
      </c>
      <c r="AH14" t="s">
        <v>68</v>
      </c>
      <c r="AI14" s="9">
        <f t="shared" si="11"/>
        <v>13.175087865817588</v>
      </c>
      <c r="AJ14" s="9">
        <f t="shared" si="10"/>
        <v>17.623818833496252</v>
      </c>
      <c r="AK14" s="9">
        <f t="shared" si="10"/>
        <v>17.177646204800144</v>
      </c>
      <c r="AL14" s="9">
        <f t="shared" si="10"/>
        <v>14.284568949254854</v>
      </c>
      <c r="AM14" s="9">
        <f t="shared" si="10"/>
        <v>12.924133811230584</v>
      </c>
      <c r="AN14" s="9">
        <f t="shared" si="10"/>
        <v>19.08329133064516</v>
      </c>
      <c r="AO14" s="9">
        <f t="shared" si="10"/>
        <v>24.12504978096376</v>
      </c>
      <c r="AP14" s="9">
        <f t="shared" si="10"/>
        <v>12.899682747263393</v>
      </c>
    </row>
    <row r="15" spans="2:42" x14ac:dyDescent="0.2">
      <c r="B15" s="734"/>
      <c r="C15" s="147" t="s">
        <v>624</v>
      </c>
      <c r="D15" s="136">
        <f>'CAM Characteristics'!C22</f>
        <v>1.348435814455232</v>
      </c>
      <c r="E15" s="120">
        <f>'CAM Characteristics'!C22</f>
        <v>1.348435814455232</v>
      </c>
      <c r="F15" s="136">
        <f>'CAM Characteristics'!D22</f>
        <v>1.8037518037518037</v>
      </c>
      <c r="G15" s="120">
        <f>'CAM Characteristics'!D22</f>
        <v>1.8037518037518037</v>
      </c>
      <c r="H15" s="136">
        <f>'CAM Characteristics'!E22</f>
        <v>1.7580872011251756</v>
      </c>
      <c r="I15" s="120">
        <f>'CAM Characteristics'!E22</f>
        <v>1.7580872011251756</v>
      </c>
      <c r="J15" s="136">
        <f>'CAM Characteristics'!F22</f>
        <v>1.4619883040935671</v>
      </c>
      <c r="K15" s="120">
        <f>'CAM Characteristics'!F22</f>
        <v>1.4619883040935671</v>
      </c>
      <c r="L15" s="136">
        <f>'CAM Characteristics'!G22</f>
        <v>1.3227513227513228</v>
      </c>
      <c r="M15" s="120">
        <f>'CAM Characteristics'!G22</f>
        <v>1.3227513227513228</v>
      </c>
      <c r="N15" s="121"/>
      <c r="O15" s="116"/>
      <c r="P15" s="142">
        <f>'CAM Characteristics'!I22</f>
        <v>2.4691358024691357</v>
      </c>
      <c r="Q15" s="125">
        <f>'CAM Characteristics'!I22</f>
        <v>2.4691358024691357</v>
      </c>
      <c r="R15" s="136">
        <f>'CAM Characteristics'!J22</f>
        <v>1.3227513227513228</v>
      </c>
      <c r="S15" s="120">
        <f>'CAM Characteristics'!J22</f>
        <v>1.3227513227513228</v>
      </c>
      <c r="X15" s="1" t="s">
        <v>624</v>
      </c>
      <c r="Y15" s="58">
        <f t="shared" ref="Y15:AF15" si="12">SUM(Y16:Y32)</f>
        <v>28.426703121166341</v>
      </c>
      <c r="Z15" s="58">
        <f t="shared" si="12"/>
        <v>42.75720088432076</v>
      </c>
      <c r="AA15" s="58">
        <f t="shared" si="12"/>
        <v>42.824693101144824</v>
      </c>
      <c r="AB15" s="58">
        <f t="shared" si="12"/>
        <v>31.706125771316898</v>
      </c>
      <c r="AC15" s="58">
        <f t="shared" si="12"/>
        <v>26.391693584388285</v>
      </c>
      <c r="AD15" s="58">
        <f t="shared" si="12"/>
        <v>0</v>
      </c>
      <c r="AE15" s="58">
        <f t="shared" si="12"/>
        <v>23.07032255354099</v>
      </c>
      <c r="AF15" s="58">
        <f t="shared" si="12"/>
        <v>26.391693584388285</v>
      </c>
      <c r="AH15" s="1" t="s">
        <v>624</v>
      </c>
      <c r="AI15" s="58">
        <f t="shared" ref="AI15:AP15" si="13">SUM(AI16:AI32)</f>
        <v>27.238542646297486</v>
      </c>
      <c r="AJ15" s="58">
        <f t="shared" si="13"/>
        <v>41.302115604400271</v>
      </c>
      <c r="AK15" s="58">
        <f t="shared" si="13"/>
        <v>41.411940234399047</v>
      </c>
      <c r="AL15" s="58">
        <f t="shared" si="13"/>
        <v>30.425630166648261</v>
      </c>
      <c r="AM15" s="58">
        <f t="shared" si="13"/>
        <v>25.235239576861531</v>
      </c>
      <c r="AN15" s="58">
        <f t="shared" si="13"/>
        <v>0</v>
      </c>
      <c r="AO15" s="58">
        <f t="shared" si="13"/>
        <v>23.07032255354099</v>
      </c>
      <c r="AP15" s="58">
        <f t="shared" si="13"/>
        <v>25.235239576861531</v>
      </c>
    </row>
    <row r="16" spans="2:42" ht="14.25" x14ac:dyDescent="0.25">
      <c r="B16" s="734"/>
      <c r="C16" s="148" t="s">
        <v>368</v>
      </c>
      <c r="D16" s="193"/>
      <c r="E16" s="194"/>
      <c r="F16" s="143">
        <f>'CAM Characteristics'!D56/1000</f>
        <v>0.69016993782691582</v>
      </c>
      <c r="G16" s="127">
        <f>'CAM Characteristics'!D56/1000</f>
        <v>0.69016993782691582</v>
      </c>
      <c r="H16" s="143">
        <f>'CAM Characteristics'!E56/1000</f>
        <v>0.67009100542891142</v>
      </c>
      <c r="I16" s="127">
        <f>'CAM Characteristics'!E56/1000</f>
        <v>0.67009100542891142</v>
      </c>
      <c r="J16" s="193"/>
      <c r="K16" s="194"/>
      <c r="L16" s="193"/>
      <c r="M16" s="194"/>
      <c r="N16" s="143"/>
      <c r="O16" s="127"/>
      <c r="P16" s="193"/>
      <c r="Q16" s="194"/>
      <c r="R16" s="193"/>
      <c r="S16" s="194"/>
      <c r="U16" s="8">
        <f>'Ecoinvent 3.10'!N8</f>
        <v>8.1082999999999998</v>
      </c>
      <c r="V16" s="584">
        <v>6</v>
      </c>
      <c r="X16" t="s">
        <v>336</v>
      </c>
      <c r="Y16" s="9">
        <f t="shared" ref="Y16:Y21" si="14">E16*$U16</f>
        <v>0</v>
      </c>
      <c r="Z16" s="9">
        <f t="shared" ref="Z16:Z21" si="15">G16*$U16</f>
        <v>5.5961049068819815</v>
      </c>
      <c r="AA16" s="9">
        <f t="shared" ref="AA16:AA21" si="16">I16*$U16</f>
        <v>5.4332988993192428</v>
      </c>
      <c r="AB16" s="9">
        <f t="shared" ref="AB16:AB21" si="17">K16*$U16</f>
        <v>0</v>
      </c>
      <c r="AC16" s="9">
        <f t="shared" ref="AC16:AC21" si="18">M16*$U16</f>
        <v>0</v>
      </c>
      <c r="AD16" s="9">
        <f t="shared" ref="AD16:AD21" si="19">O16*$U16</f>
        <v>0</v>
      </c>
      <c r="AE16" s="9">
        <f t="shared" ref="AE16:AE21" si="20">Q16*$U16</f>
        <v>0</v>
      </c>
      <c r="AF16" s="9">
        <f t="shared" ref="AF16:AF21" si="21">S16*$U16</f>
        <v>0</v>
      </c>
      <c r="AH16" s="585" t="s">
        <v>336</v>
      </c>
      <c r="AI16" s="633">
        <f>E16*$V16</f>
        <v>0</v>
      </c>
      <c r="AJ16" s="633">
        <f>G16*$V16</f>
        <v>4.1410196269614952</v>
      </c>
      <c r="AK16" s="633">
        <f>I16*$V16</f>
        <v>4.0205460325734688</v>
      </c>
      <c r="AL16" s="633">
        <f>K16*$V16</f>
        <v>0</v>
      </c>
      <c r="AM16" s="633">
        <f>M16*$V16</f>
        <v>0</v>
      </c>
      <c r="AN16" s="633">
        <f>O16*$V16</f>
        <v>0</v>
      </c>
      <c r="AO16" s="633">
        <f>Q16*$V16</f>
        <v>0</v>
      </c>
      <c r="AP16" s="633">
        <f>S16*$V16</f>
        <v>0</v>
      </c>
    </row>
    <row r="17" spans="2:42" x14ac:dyDescent="0.2">
      <c r="B17" s="734"/>
      <c r="C17" s="148" t="s">
        <v>131</v>
      </c>
      <c r="D17" s="143">
        <f>'CAM Characteristics'!C57/1000</f>
        <v>0.33394054942913337</v>
      </c>
      <c r="E17" s="127">
        <f>'CAM Characteristics'!C57/1000</f>
        <v>0.33394054942913337</v>
      </c>
      <c r="F17" s="195"/>
      <c r="G17" s="196"/>
      <c r="H17" s="195"/>
      <c r="I17" s="196"/>
      <c r="J17" s="143">
        <f>'CAM Characteristics'!F57/1000</f>
        <v>0.35989196308843008</v>
      </c>
      <c r="K17" s="127">
        <f>'CAM Characteristics'!F57/1000</f>
        <v>0.35989196308843008</v>
      </c>
      <c r="L17" s="143">
        <f>'CAM Characteristics'!G57/1000</f>
        <v>0.32502923201988604</v>
      </c>
      <c r="M17" s="127">
        <f>'CAM Characteristics'!G57/1000</f>
        <v>0.32502923201988604</v>
      </c>
      <c r="N17" s="143"/>
      <c r="O17" s="127"/>
      <c r="P17" s="193"/>
      <c r="Q17" s="194"/>
      <c r="R17" s="143">
        <f>'CAM Characteristics'!J57/1000</f>
        <v>0.32502923201988604</v>
      </c>
      <c r="S17" s="127">
        <f>'CAM Characteristics'!J57/1000</f>
        <v>0.32502923201988604</v>
      </c>
      <c r="U17" s="8">
        <f>'Ecoinvent 3.10'!N10</f>
        <v>15.558</v>
      </c>
      <c r="V17" s="584">
        <v>12</v>
      </c>
      <c r="X17" t="s">
        <v>131</v>
      </c>
      <c r="Y17" s="9">
        <f t="shared" si="14"/>
        <v>5.1954470680184572</v>
      </c>
      <c r="Z17" s="9">
        <f t="shared" si="15"/>
        <v>0</v>
      </c>
      <c r="AA17" s="9">
        <f t="shared" si="16"/>
        <v>0</v>
      </c>
      <c r="AB17" s="9">
        <f t="shared" si="17"/>
        <v>5.5991991617297954</v>
      </c>
      <c r="AC17" s="9">
        <f t="shared" si="18"/>
        <v>5.0568047917653871</v>
      </c>
      <c r="AD17" s="9">
        <f t="shared" si="19"/>
        <v>0</v>
      </c>
      <c r="AE17" s="9">
        <f t="shared" si="20"/>
        <v>0</v>
      </c>
      <c r="AF17" s="9">
        <f t="shared" si="21"/>
        <v>5.0568047917653871</v>
      </c>
      <c r="AH17" s="585" t="s">
        <v>131</v>
      </c>
      <c r="AI17" s="633">
        <f>E17*$V17</f>
        <v>4.0072865931496002</v>
      </c>
      <c r="AJ17" s="633">
        <f>G17*$V17</f>
        <v>0</v>
      </c>
      <c r="AK17" s="633">
        <f>I17*$V17</f>
        <v>0</v>
      </c>
      <c r="AL17" s="633">
        <f>K17*$V17</f>
        <v>4.3187035570611609</v>
      </c>
      <c r="AM17" s="633">
        <f>M17*$V17</f>
        <v>3.9003507842386327</v>
      </c>
      <c r="AN17" s="633">
        <f>O17*$V17</f>
        <v>0</v>
      </c>
      <c r="AO17" s="633">
        <f>Q17*$V17</f>
        <v>0</v>
      </c>
      <c r="AP17" s="633">
        <f>S17*$V17</f>
        <v>3.9003507842386327</v>
      </c>
    </row>
    <row r="18" spans="2:42" ht="14.25" x14ac:dyDescent="0.25">
      <c r="B18" s="734"/>
      <c r="C18" s="148" t="s">
        <v>577</v>
      </c>
      <c r="D18" s="195"/>
      <c r="E18" s="196"/>
      <c r="F18" s="195"/>
      <c r="G18" s="196"/>
      <c r="H18" s="195"/>
      <c r="I18" s="196"/>
      <c r="J18" s="195"/>
      <c r="K18" s="196"/>
      <c r="L18" s="195"/>
      <c r="M18" s="196"/>
      <c r="N18" s="143"/>
      <c r="O18" s="127"/>
      <c r="P18" s="143">
        <f>'CAM Characteristics'!I58/1000</f>
        <v>1.170479590360711</v>
      </c>
      <c r="Q18" s="143">
        <f>'CAM Characteristics'!I58/1000</f>
        <v>1.170479590360711</v>
      </c>
      <c r="R18" s="195"/>
      <c r="S18" s="196"/>
      <c r="U18" s="8">
        <f>'Ecoinvent 3.10'!N11</f>
        <v>0.35428999999999999</v>
      </c>
      <c r="V18" s="8">
        <f>'Ecoinvent 3.10'!N11</f>
        <v>0.35428999999999999</v>
      </c>
      <c r="X18" t="s">
        <v>567</v>
      </c>
      <c r="Y18" s="9">
        <f>E18*$U18</f>
        <v>0</v>
      </c>
      <c r="Z18" s="9">
        <f t="shared" si="15"/>
        <v>0</v>
      </c>
      <c r="AA18" s="9">
        <f t="shared" si="16"/>
        <v>0</v>
      </c>
      <c r="AB18" s="9">
        <f t="shared" si="17"/>
        <v>0</v>
      </c>
      <c r="AC18" s="9">
        <f t="shared" si="18"/>
        <v>0</v>
      </c>
      <c r="AD18" s="9">
        <f t="shared" si="19"/>
        <v>0</v>
      </c>
      <c r="AE18" s="9">
        <f t="shared" si="20"/>
        <v>0.41468921406889631</v>
      </c>
      <c r="AF18" s="9">
        <f t="shared" si="21"/>
        <v>0</v>
      </c>
      <c r="AH18" t="s">
        <v>567</v>
      </c>
      <c r="AI18" s="9">
        <f>Y18</f>
        <v>0</v>
      </c>
      <c r="AJ18" s="9">
        <f t="shared" ref="AJ18:AP32" si="22">Z18</f>
        <v>0</v>
      </c>
      <c r="AK18" s="9">
        <f t="shared" si="22"/>
        <v>0</v>
      </c>
      <c r="AL18" s="9">
        <f t="shared" si="22"/>
        <v>0</v>
      </c>
      <c r="AM18" s="9">
        <f t="shared" si="22"/>
        <v>0</v>
      </c>
      <c r="AN18" s="9">
        <f t="shared" si="22"/>
        <v>0</v>
      </c>
      <c r="AO18" s="9">
        <f t="shared" si="22"/>
        <v>0.41468921406889631</v>
      </c>
      <c r="AP18" s="9">
        <f t="shared" si="22"/>
        <v>0</v>
      </c>
    </row>
    <row r="19" spans="2:42" ht="14.25" x14ac:dyDescent="0.25">
      <c r="B19" s="734"/>
      <c r="C19" s="148" t="s">
        <v>376</v>
      </c>
      <c r="D19" s="143">
        <f>'CAM Characteristics'!C92/1000</f>
        <v>0.10820631821955161</v>
      </c>
      <c r="E19" s="127">
        <f>'CAM Characteristics'!C92/1000</f>
        <v>0.10820631821955161</v>
      </c>
      <c r="F19" s="143">
        <f>'CAM Characteristics'!D92/1000</f>
        <v>0.1494427895638375</v>
      </c>
      <c r="G19" s="127">
        <f>'CAM Characteristics'!D92/1000</f>
        <v>0.1494427895638375</v>
      </c>
      <c r="H19" s="143">
        <f>'CAM Characteristics'!E92/1000</f>
        <v>0.14509508980967348</v>
      </c>
      <c r="I19" s="127">
        <f>'CAM Characteristics'!E92/1000</f>
        <v>0.14509508980967348</v>
      </c>
      <c r="J19" s="143">
        <f>'CAM Characteristics'!F92/1000</f>
        <v>0.12022198015308375</v>
      </c>
      <c r="K19" s="127">
        <f>'CAM Characteristics'!F92/1000</f>
        <v>0.12022198015308375</v>
      </c>
      <c r="L19" s="143">
        <f>'CAM Characteristics'!G92/1000</f>
        <v>0.10857607807003292</v>
      </c>
      <c r="M19" s="127">
        <f>'CAM Characteristics'!G92/1000</f>
        <v>0.10857607807003292</v>
      </c>
      <c r="N19" s="143"/>
      <c r="O19" s="127"/>
      <c r="P19" s="143">
        <f>'CAM Characteristics'!I99/1000</f>
        <v>0.17668589364946768</v>
      </c>
      <c r="Q19" s="143">
        <f>'CAM Characteristics'!I99/1000</f>
        <v>0.17668589364946768</v>
      </c>
      <c r="R19" s="143">
        <f>'CAM Characteristics'!J92/1000</f>
        <v>0.10857607807003292</v>
      </c>
      <c r="S19" s="127">
        <f>'CAM Characteristics'!J92/1000</f>
        <v>0.10857607807003292</v>
      </c>
      <c r="X19" t="s">
        <v>341</v>
      </c>
      <c r="Y19" s="9">
        <f t="shared" si="14"/>
        <v>0</v>
      </c>
      <c r="Z19" s="9">
        <f t="shared" si="15"/>
        <v>0</v>
      </c>
      <c r="AA19" s="9">
        <f t="shared" si="16"/>
        <v>0</v>
      </c>
      <c r="AB19" s="9">
        <f t="shared" si="17"/>
        <v>0</v>
      </c>
      <c r="AC19" s="9">
        <f t="shared" si="18"/>
        <v>0</v>
      </c>
      <c r="AD19" s="9">
        <f t="shared" si="19"/>
        <v>0</v>
      </c>
      <c r="AE19" s="9">
        <f t="shared" si="20"/>
        <v>0</v>
      </c>
      <c r="AF19" s="9">
        <f t="shared" si="21"/>
        <v>0</v>
      </c>
      <c r="AH19" t="s">
        <v>341</v>
      </c>
      <c r="AI19" s="9">
        <f t="shared" ref="AI19:AI32" si="23">Y19</f>
        <v>0</v>
      </c>
      <c r="AJ19" s="9">
        <f t="shared" si="22"/>
        <v>0</v>
      </c>
      <c r="AK19" s="9">
        <f t="shared" si="22"/>
        <v>0</v>
      </c>
      <c r="AL19" s="9">
        <f t="shared" si="22"/>
        <v>0</v>
      </c>
      <c r="AM19" s="9">
        <f t="shared" si="22"/>
        <v>0</v>
      </c>
      <c r="AN19" s="9">
        <f t="shared" si="22"/>
        <v>0</v>
      </c>
      <c r="AO19" s="9">
        <f t="shared" si="22"/>
        <v>0</v>
      </c>
      <c r="AP19" s="9">
        <f t="shared" si="22"/>
        <v>0</v>
      </c>
    </row>
    <row r="20" spans="2:42" x14ac:dyDescent="0.2">
      <c r="B20" s="734"/>
      <c r="C20" s="148" t="s">
        <v>333</v>
      </c>
      <c r="D20" s="143">
        <f>GREET!D24</f>
        <v>9.7868191053802605</v>
      </c>
      <c r="E20" s="127">
        <f>GREET!D24</f>
        <v>9.7868191053802605</v>
      </c>
      <c r="F20" s="143">
        <f>GREET!G24</f>
        <v>11.455357299603177</v>
      </c>
      <c r="G20" s="127">
        <f>GREET!G24</f>
        <v>11.455357299603177</v>
      </c>
      <c r="H20" s="143">
        <f>GREET!H24</f>
        <v>11.165348254043602</v>
      </c>
      <c r="I20" s="127">
        <f>GREET!H24</f>
        <v>11.165348254043602</v>
      </c>
      <c r="J20" s="143">
        <f>GREET!I24</f>
        <v>10.610972293201757</v>
      </c>
      <c r="K20" s="127">
        <f>GREET!I24</f>
        <v>10.610972293201757</v>
      </c>
      <c r="L20" s="143">
        <f>GREET!K24</f>
        <v>9.600403503373018</v>
      </c>
      <c r="M20" s="127">
        <f>GREET!K24</f>
        <v>9.600403503373018</v>
      </c>
      <c r="N20" s="143"/>
      <c r="O20" s="127"/>
      <c r="P20" s="143">
        <f>GREET!M24</f>
        <v>17.920753206296297</v>
      </c>
      <c r="Q20" s="143">
        <f>GREET!M24</f>
        <v>17.920753206296297</v>
      </c>
      <c r="R20" s="143">
        <f>GREET!K24</f>
        <v>9.600403503373018</v>
      </c>
      <c r="S20" s="127">
        <f>GREET!K24</f>
        <v>9.600403503373018</v>
      </c>
      <c r="U20" s="8">
        <f>'Ecoinvent 3.10'!N34</f>
        <v>0.32044</v>
      </c>
      <c r="V20" s="8">
        <f>'Ecoinvent 3.10'!N34</f>
        <v>0.32044</v>
      </c>
      <c r="X20" t="s">
        <v>333</v>
      </c>
      <c r="Y20" s="9">
        <f t="shared" si="14"/>
        <v>3.1360883141280507</v>
      </c>
      <c r="Z20" s="9">
        <f t="shared" si="15"/>
        <v>3.670754693084842</v>
      </c>
      <c r="AA20" s="9">
        <f t="shared" si="16"/>
        <v>3.5778241945257316</v>
      </c>
      <c r="AB20" s="9">
        <f t="shared" si="17"/>
        <v>3.4001799616335711</v>
      </c>
      <c r="AC20" s="9">
        <f t="shared" si="18"/>
        <v>3.0763532986208499</v>
      </c>
      <c r="AD20" s="9">
        <f t="shared" si="19"/>
        <v>0</v>
      </c>
      <c r="AE20" s="9">
        <f t="shared" si="20"/>
        <v>5.7425261574255853</v>
      </c>
      <c r="AF20" s="9">
        <f t="shared" si="21"/>
        <v>3.0763532986208499</v>
      </c>
      <c r="AH20" t="s">
        <v>333</v>
      </c>
      <c r="AI20" s="9">
        <f t="shared" si="23"/>
        <v>3.1360883141280507</v>
      </c>
      <c r="AJ20" s="9">
        <f t="shared" si="22"/>
        <v>3.670754693084842</v>
      </c>
      <c r="AK20" s="9">
        <f t="shared" si="22"/>
        <v>3.5778241945257316</v>
      </c>
      <c r="AL20" s="9">
        <f t="shared" si="22"/>
        <v>3.4001799616335711</v>
      </c>
      <c r="AM20" s="9">
        <f t="shared" si="22"/>
        <v>3.0763532986208499</v>
      </c>
      <c r="AN20" s="9">
        <f t="shared" si="22"/>
        <v>0</v>
      </c>
      <c r="AO20" s="9">
        <f t="shared" si="22"/>
        <v>5.7425261574255853</v>
      </c>
      <c r="AP20" s="9">
        <f t="shared" si="22"/>
        <v>3.0763532986208499</v>
      </c>
    </row>
    <row r="21" spans="2:42" ht="14.25" x14ac:dyDescent="0.25">
      <c r="B21" s="734"/>
      <c r="C21" s="148" t="s">
        <v>374</v>
      </c>
      <c r="D21" s="193"/>
      <c r="E21" s="194"/>
      <c r="F21" s="143">
        <f>'CAM Characteristics'!D102/1000</f>
        <v>0.41107742520875834</v>
      </c>
      <c r="G21" s="127">
        <f>'CAM Characteristics'!D102/1000</f>
        <v>0.41107742520875834</v>
      </c>
      <c r="H21" s="143">
        <f>'CAM Characteristics'!E102/1000</f>
        <v>0.39911805784323517</v>
      </c>
      <c r="I21" s="127">
        <f>'CAM Characteristics'!E102/1000</f>
        <v>0.39911805784323517</v>
      </c>
      <c r="J21" s="193"/>
      <c r="K21" s="194"/>
      <c r="L21" s="193"/>
      <c r="M21" s="194"/>
      <c r="N21" s="143"/>
      <c r="O21" s="127"/>
      <c r="P21" s="143">
        <f>'CAM Characteristics'!I102/1000</f>
        <v>0.4860159693492983</v>
      </c>
      <c r="Q21" s="143">
        <f>'CAM Characteristics'!I102/1000</f>
        <v>0.4860159693492983</v>
      </c>
      <c r="R21" s="193"/>
      <c r="S21" s="194"/>
      <c r="U21">
        <v>1</v>
      </c>
      <c r="V21">
        <v>1</v>
      </c>
      <c r="X21" t="s">
        <v>739</v>
      </c>
      <c r="Y21" s="9">
        <f t="shared" si="14"/>
        <v>0</v>
      </c>
      <c r="Z21" s="9">
        <f t="shared" si="15"/>
        <v>0.41107742520875834</v>
      </c>
      <c r="AA21" s="9">
        <f t="shared" si="16"/>
        <v>0.39911805784323517</v>
      </c>
      <c r="AB21" s="9">
        <f t="shared" si="17"/>
        <v>0</v>
      </c>
      <c r="AC21" s="9">
        <f t="shared" si="18"/>
        <v>0</v>
      </c>
      <c r="AD21" s="9">
        <f t="shared" si="19"/>
        <v>0</v>
      </c>
      <c r="AE21" s="9">
        <f t="shared" si="20"/>
        <v>0.4860159693492983</v>
      </c>
      <c r="AF21" s="9">
        <f t="shared" si="21"/>
        <v>0</v>
      </c>
      <c r="AH21" t="s">
        <v>739</v>
      </c>
      <c r="AI21" s="9">
        <f t="shared" si="23"/>
        <v>0</v>
      </c>
      <c r="AJ21" s="9">
        <f t="shared" si="22"/>
        <v>0.41107742520875834</v>
      </c>
      <c r="AK21" s="9">
        <f t="shared" si="22"/>
        <v>0.39911805784323517</v>
      </c>
      <c r="AL21" s="9">
        <f t="shared" si="22"/>
        <v>0</v>
      </c>
      <c r="AM21" s="9">
        <f t="shared" si="22"/>
        <v>0</v>
      </c>
      <c r="AN21" s="9">
        <f t="shared" si="22"/>
        <v>0</v>
      </c>
      <c r="AO21" s="9">
        <f t="shared" si="22"/>
        <v>0.4860159693492983</v>
      </c>
      <c r="AP21" s="9">
        <f t="shared" si="22"/>
        <v>0</v>
      </c>
    </row>
    <row r="22" spans="2:42" ht="14.25" x14ac:dyDescent="0.25">
      <c r="B22" s="734"/>
      <c r="C22" s="148" t="s">
        <v>375</v>
      </c>
      <c r="D22" s="143">
        <f>'CAM Characteristics'!C95/1000</f>
        <v>0.38059663347885936</v>
      </c>
      <c r="E22" s="127">
        <f>'CAM Characteristics'!C95/1000</f>
        <v>0.38059663347885936</v>
      </c>
      <c r="F22" s="143">
        <f>'CAM Characteristics'!D105/1000</f>
        <v>0.33654751596881466</v>
      </c>
      <c r="G22" s="127">
        <f>'CAM Characteristics'!D105/1000</f>
        <v>0.33654751596881466</v>
      </c>
      <c r="H22" s="143">
        <f>'CAM Characteristics'!E105/1000</f>
        <v>0.32675642764188606</v>
      </c>
      <c r="I22" s="127">
        <f>'CAM Characteristics'!E105/1000</f>
        <v>0.32675642764188606</v>
      </c>
      <c r="J22" s="143">
        <f>'CAM Characteristics'!F95/1000</f>
        <v>0.40611268937892436</v>
      </c>
      <c r="K22" s="127">
        <f>'CAM Characteristics'!F95/1000</f>
        <v>0.40611268937892436</v>
      </c>
      <c r="L22" s="143">
        <f>'CAM Characteristics'!G95/1000</f>
        <v>0.36677255699074507</v>
      </c>
      <c r="M22" s="127">
        <f>'CAM Characteristics'!G95/1000</f>
        <v>0.36677255699074507</v>
      </c>
      <c r="N22" s="143"/>
      <c r="O22" s="127"/>
      <c r="P22" s="143">
        <f>'CAM Characteristics'!I105/1000</f>
        <v>0.39789941547536228</v>
      </c>
      <c r="Q22" s="143">
        <f>'CAM Characteristics'!I105/1000</f>
        <v>0.39789941547536228</v>
      </c>
      <c r="R22" s="143">
        <f>'CAM Characteristics'!J95/1000</f>
        <v>0.36677255699074507</v>
      </c>
      <c r="S22" s="127">
        <f>'CAM Characteristics'!J95/1000</f>
        <v>0.36677255699074507</v>
      </c>
      <c r="X22" t="s">
        <v>740</v>
      </c>
      <c r="Y22" s="9"/>
      <c r="Z22" s="9"/>
      <c r="AA22" s="9"/>
      <c r="AB22" s="9"/>
      <c r="AC22" s="9"/>
      <c r="AD22" s="9"/>
      <c r="AE22" s="9"/>
      <c r="AF22" s="9"/>
      <c r="AH22" t="s">
        <v>740</v>
      </c>
      <c r="AI22" s="9">
        <f t="shared" si="23"/>
        <v>0</v>
      </c>
      <c r="AJ22" s="9">
        <f t="shared" si="22"/>
        <v>0</v>
      </c>
      <c r="AK22" s="9">
        <f t="shared" si="22"/>
        <v>0</v>
      </c>
      <c r="AL22" s="9">
        <f t="shared" si="22"/>
        <v>0</v>
      </c>
      <c r="AM22" s="9">
        <f t="shared" si="22"/>
        <v>0</v>
      </c>
      <c r="AN22" s="9">
        <f t="shared" si="22"/>
        <v>0</v>
      </c>
      <c r="AO22" s="9">
        <f t="shared" si="22"/>
        <v>0</v>
      </c>
      <c r="AP22" s="9">
        <f t="shared" si="22"/>
        <v>0</v>
      </c>
    </row>
    <row r="23" spans="2:42" ht="14.25" x14ac:dyDescent="0.25">
      <c r="B23" s="734"/>
      <c r="C23" s="148" t="s">
        <v>625</v>
      </c>
      <c r="D23" s="143">
        <f>'CAM Characteristics'!C70/1000</f>
        <v>1.2797707096241862</v>
      </c>
      <c r="E23" s="127">
        <f>'CAM Characteristics'!C70/1000</f>
        <v>1.2797707096241862</v>
      </c>
      <c r="F23" s="143">
        <f>'CAM Characteristics'!D69/1000</f>
        <v>1.7117640175386233</v>
      </c>
      <c r="G23" s="127">
        <f>'CAM Characteristics'!D69/1000</f>
        <v>1.7117640175386233</v>
      </c>
      <c r="H23" s="143">
        <f>'CAM Characteristics'!E69/1000</f>
        <v>1.6687755913717119</v>
      </c>
      <c r="I23" s="127">
        <f>'CAM Characteristics'!E69/1000</f>
        <v>1.6687755913717119</v>
      </c>
      <c r="J23" s="143">
        <f>'CAM Characteristics'!F69/1000</f>
        <v>1.3879870502309777</v>
      </c>
      <c r="K23" s="127">
        <f>'CAM Characteristics'!F69/1000</f>
        <v>1.3879870502309777</v>
      </c>
      <c r="L23" s="143">
        <f>'CAM Characteristics'!G69/1000</f>
        <v>1.2559185696521489</v>
      </c>
      <c r="M23" s="127">
        <f>'CAM Characteristics'!G69/1000</f>
        <v>1.2559185696521489</v>
      </c>
      <c r="N23" s="143"/>
      <c r="O23" s="127"/>
      <c r="P23" s="143">
        <f>'CAM Characteristics'!I71/1000</f>
        <v>2.005885024767379</v>
      </c>
      <c r="Q23" s="143">
        <f>'CAM Characteristics'!I71/1000</f>
        <v>2.005885024767379</v>
      </c>
      <c r="R23" s="143">
        <f>'CAM Characteristics'!J69/1000</f>
        <v>1.2559185696521489</v>
      </c>
      <c r="S23" s="127">
        <f>'CAM Characteristics'!J69/1000</f>
        <v>1.2559185696521489</v>
      </c>
      <c r="X23" t="s">
        <v>741</v>
      </c>
      <c r="Y23" s="9">
        <f t="shared" ref="Y23:Y32" si="24">E23*$U23</f>
        <v>0</v>
      </c>
      <c r="Z23" s="9">
        <f t="shared" ref="Z23:Z32" si="25">G23*$U23</f>
        <v>0</v>
      </c>
      <c r="AA23" s="9">
        <f t="shared" ref="AA23:AA32" si="26">I23*$U23</f>
        <v>0</v>
      </c>
      <c r="AB23" s="9">
        <f t="shared" ref="AB23:AB32" si="27">K23*$U23</f>
        <v>0</v>
      </c>
      <c r="AC23" s="9">
        <f t="shared" ref="AC23:AC32" si="28">M23*$U23</f>
        <v>0</v>
      </c>
      <c r="AD23" s="9">
        <f t="shared" ref="AD23:AD32" si="29">O23*$U23</f>
        <v>0</v>
      </c>
      <c r="AE23" s="9">
        <f t="shared" ref="AE23:AE32" si="30">Q23*$U23</f>
        <v>0</v>
      </c>
      <c r="AF23" s="9">
        <f t="shared" ref="AF23:AF32" si="31">S23*$U23</f>
        <v>0</v>
      </c>
      <c r="AH23" t="s">
        <v>741</v>
      </c>
      <c r="AI23" s="9">
        <f t="shared" si="23"/>
        <v>0</v>
      </c>
      <c r="AJ23" s="9">
        <f t="shared" si="22"/>
        <v>0</v>
      </c>
      <c r="AK23" s="9">
        <f t="shared" si="22"/>
        <v>0</v>
      </c>
      <c r="AL23" s="9">
        <f t="shared" si="22"/>
        <v>0</v>
      </c>
      <c r="AM23" s="9">
        <f t="shared" si="22"/>
        <v>0</v>
      </c>
      <c r="AN23" s="9">
        <f t="shared" si="22"/>
        <v>0</v>
      </c>
      <c r="AO23" s="9">
        <f t="shared" si="22"/>
        <v>0</v>
      </c>
      <c r="AP23" s="9">
        <f t="shared" si="22"/>
        <v>0</v>
      </c>
    </row>
    <row r="24" spans="2:42" ht="14.25" x14ac:dyDescent="0.25">
      <c r="B24" s="734"/>
      <c r="C24" s="149" t="s">
        <v>209</v>
      </c>
      <c r="D24" s="143">
        <f>'CAM Characteristics'!C59/1000</f>
        <v>1.9421802185595636</v>
      </c>
      <c r="E24" s="127">
        <f>'CAM Characteristics'!C59/1000</f>
        <v>1.9421802185595636</v>
      </c>
      <c r="F24" s="143">
        <f>'CAM Characteristics'!D59/1000</f>
        <v>1.4454767185030386</v>
      </c>
      <c r="G24" s="127">
        <f>'CAM Characteristics'!D59/1000</f>
        <v>1.4454767185030386</v>
      </c>
      <c r="H24" s="143">
        <f>'CAM Characteristics'!E59/1000</f>
        <v>1.6841086136128323</v>
      </c>
      <c r="I24" s="127">
        <f>'CAM Characteristics'!E59/1000</f>
        <v>1.6841086136128323</v>
      </c>
      <c r="J24" s="143">
        <f>'CAM Characteristics'!F59/1000</f>
        <v>1.8605442135635095</v>
      </c>
      <c r="K24" s="127">
        <f>'CAM Characteristics'!F59/1000</f>
        <v>1.8605442135635095</v>
      </c>
      <c r="L24" s="143">
        <f>'CAM Characteristics'!G59/1000</f>
        <v>1.8903524772950406</v>
      </c>
      <c r="M24" s="127">
        <f>'CAM Characteristics'!G59/1000</f>
        <v>1.8903524772950406</v>
      </c>
      <c r="N24" s="143"/>
      <c r="O24" s="127"/>
      <c r="P24" s="143">
        <f>'CAM Characteristics'!I59/1000</f>
        <v>1.3671872507391178</v>
      </c>
      <c r="Q24" s="143">
        <f>'CAM Characteristics'!I59/1000</f>
        <v>1.3671872507391178</v>
      </c>
      <c r="R24" s="143">
        <f>'CAM Characteristics'!J59/1000</f>
        <v>1.8903524772950406</v>
      </c>
      <c r="S24" s="127">
        <f>'CAM Characteristics'!J59/1000</f>
        <v>1.8903524772950406</v>
      </c>
      <c r="U24" s="8">
        <f>'Ecoinvent 3.10'!N12</f>
        <v>5.4512</v>
      </c>
      <c r="V24" s="8">
        <f>'Ecoinvent 3.10'!N12</f>
        <v>5.4512</v>
      </c>
      <c r="X24" t="s">
        <v>53</v>
      </c>
      <c r="Y24" s="9">
        <f t="shared" si="24"/>
        <v>10.587212807411893</v>
      </c>
      <c r="Z24" s="9">
        <f t="shared" si="25"/>
        <v>7.8795826879037643</v>
      </c>
      <c r="AA24" s="9">
        <f t="shared" si="26"/>
        <v>9.1804128745262705</v>
      </c>
      <c r="AB24" s="9">
        <f t="shared" si="27"/>
        <v>10.142198616977403</v>
      </c>
      <c r="AC24" s="9">
        <f t="shared" si="28"/>
        <v>10.304689424230725</v>
      </c>
      <c r="AD24" s="9">
        <f t="shared" si="29"/>
        <v>0</v>
      </c>
      <c r="AE24" s="9">
        <f t="shared" si="30"/>
        <v>7.4528111412290796</v>
      </c>
      <c r="AF24" s="9">
        <f t="shared" si="31"/>
        <v>10.304689424230725</v>
      </c>
      <c r="AH24" t="s">
        <v>53</v>
      </c>
      <c r="AI24" s="9">
        <f t="shared" si="23"/>
        <v>10.587212807411893</v>
      </c>
      <c r="AJ24" s="9">
        <f t="shared" si="22"/>
        <v>7.8795826879037643</v>
      </c>
      <c r="AK24" s="9">
        <f t="shared" si="22"/>
        <v>9.1804128745262705</v>
      </c>
      <c r="AL24" s="9">
        <f t="shared" si="22"/>
        <v>10.142198616977403</v>
      </c>
      <c r="AM24" s="9">
        <f t="shared" si="22"/>
        <v>10.304689424230725</v>
      </c>
      <c r="AN24" s="9">
        <f t="shared" si="22"/>
        <v>0</v>
      </c>
      <c r="AO24" s="9">
        <f t="shared" si="22"/>
        <v>7.4528111412290796</v>
      </c>
      <c r="AP24" s="9">
        <f t="shared" si="22"/>
        <v>10.304689424230725</v>
      </c>
    </row>
    <row r="25" spans="2:42" ht="14.25" x14ac:dyDescent="0.25">
      <c r="B25" s="734"/>
      <c r="C25" s="149" t="s">
        <v>210</v>
      </c>
      <c r="D25" s="193"/>
      <c r="E25" s="194"/>
      <c r="F25" s="143">
        <f>'CAM Characteristics'!D60/1000</f>
        <v>0.84623930221046417</v>
      </c>
      <c r="G25" s="127">
        <f>'CAM Characteristics'!D60/1000</f>
        <v>0.84623930221046417</v>
      </c>
      <c r="H25" s="143">
        <f>'CAM Characteristics'!E60/1000</f>
        <v>0.54774658990713665</v>
      </c>
      <c r="I25" s="127">
        <f>'CAM Characteristics'!E60/1000</f>
        <v>0.54774658990713665</v>
      </c>
      <c r="J25" s="143">
        <f>'CAM Characteristics'!F60/1000</f>
        <v>0.22692421827339052</v>
      </c>
      <c r="K25" s="127">
        <f>'CAM Characteristics'!F60/1000</f>
        <v>0.22692421827339052</v>
      </c>
      <c r="L25" s="143">
        <f>'CAM Characteristics'!G60/1000</f>
        <v>0.1024710356952179</v>
      </c>
      <c r="M25" s="127">
        <f>'CAM Characteristics'!G60/1000</f>
        <v>0.1024710356952179</v>
      </c>
      <c r="N25" s="143"/>
      <c r="O25" s="127"/>
      <c r="P25" s="143">
        <f>'CAM Characteristics'!I60/1000</f>
        <v>0.66700462336898936</v>
      </c>
      <c r="Q25" s="143">
        <f>'CAM Characteristics'!I60/1000</f>
        <v>0.66700462336898936</v>
      </c>
      <c r="R25" s="143">
        <f>'CAM Characteristics'!J60/1000</f>
        <v>0.1024710356952179</v>
      </c>
      <c r="S25" s="127">
        <f>'CAM Characteristics'!J60/1000</f>
        <v>0.1024710356952179</v>
      </c>
      <c r="U25" s="8">
        <f>'Ecoinvent 3.10'!N13</f>
        <v>0.90739000000000003</v>
      </c>
      <c r="V25" s="8">
        <f>'Ecoinvent 3.10'!N13</f>
        <v>0.90739000000000003</v>
      </c>
      <c r="X25" t="s">
        <v>742</v>
      </c>
      <c r="Y25" s="9">
        <f t="shared" si="24"/>
        <v>0</v>
      </c>
      <c r="Z25" s="9">
        <f t="shared" si="25"/>
        <v>0.76786908043275315</v>
      </c>
      <c r="AA25" s="9">
        <f t="shared" si="26"/>
        <v>0.49701977821583676</v>
      </c>
      <c r="AB25" s="9">
        <f t="shared" si="27"/>
        <v>0.20590876641909184</v>
      </c>
      <c r="AC25" s="9">
        <f t="shared" si="28"/>
        <v>9.298119307948377E-2</v>
      </c>
      <c r="AD25" s="9">
        <f t="shared" si="29"/>
        <v>0</v>
      </c>
      <c r="AE25" s="9">
        <f t="shared" si="30"/>
        <v>0.60523332519878725</v>
      </c>
      <c r="AF25" s="9">
        <f t="shared" si="31"/>
        <v>9.298119307948377E-2</v>
      </c>
      <c r="AH25" t="s">
        <v>742</v>
      </c>
      <c r="AI25" s="9">
        <f t="shared" si="23"/>
        <v>0</v>
      </c>
      <c r="AJ25" s="9">
        <f t="shared" si="22"/>
        <v>0.76786908043275315</v>
      </c>
      <c r="AK25" s="9">
        <f t="shared" si="22"/>
        <v>0.49701977821583676</v>
      </c>
      <c r="AL25" s="9">
        <f t="shared" si="22"/>
        <v>0.20590876641909184</v>
      </c>
      <c r="AM25" s="9">
        <f t="shared" si="22"/>
        <v>9.298119307948377E-2</v>
      </c>
      <c r="AN25" s="9">
        <f t="shared" si="22"/>
        <v>0</v>
      </c>
      <c r="AO25" s="9">
        <f t="shared" si="22"/>
        <v>0.60523332519878725</v>
      </c>
      <c r="AP25" s="9">
        <f t="shared" si="22"/>
        <v>9.298119307948377E-2</v>
      </c>
    </row>
    <row r="26" spans="2:42" ht="14.25" x14ac:dyDescent="0.25">
      <c r="B26" s="734"/>
      <c r="C26" s="149" t="s">
        <v>424</v>
      </c>
      <c r="D26" s="143">
        <f>'CAM Characteristics'!C61/1000</f>
        <v>0.15129253610037577</v>
      </c>
      <c r="E26" s="127">
        <f>'CAM Characteristics'!C61/1000</f>
        <v>0.15129253610037577</v>
      </c>
      <c r="F26" s="143">
        <f>'CAM Characteristics'!D61/1000</f>
        <v>0.57908663050467624</v>
      </c>
      <c r="G26" s="127">
        <f>'CAM Characteristics'!D61/1000</f>
        <v>0.57908663050467624</v>
      </c>
      <c r="H26" s="143">
        <f>'CAM Characteristics'!E61/1000</f>
        <v>0.56223941553744372</v>
      </c>
      <c r="I26" s="127">
        <f>'CAM Characteristics'!E61/1000</f>
        <v>0.56223941553744372</v>
      </c>
      <c r="J26" s="143">
        <f>'CAM Characteristics'!F61/1000</f>
        <v>0.23292840558797984</v>
      </c>
      <c r="K26" s="127">
        <f>'CAM Characteristics'!F61/1000</f>
        <v>0.23292840558797984</v>
      </c>
      <c r="L26" s="143">
        <f>'CAM Characteristics'!G61/1000</f>
        <v>0.10518231656825726</v>
      </c>
      <c r="M26" s="127">
        <f>'CAM Characteristics'!G61/1000</f>
        <v>0.10518231656825726</v>
      </c>
      <c r="N26" s="143"/>
      <c r="O26" s="127"/>
      <c r="P26" s="193"/>
      <c r="Q26" s="194"/>
      <c r="R26" s="143">
        <f>'CAM Characteristics'!J61/1000</f>
        <v>0.10518231656825726</v>
      </c>
      <c r="S26" s="127">
        <f>'CAM Characteristics'!J61/1000</f>
        <v>0.10518231656825726</v>
      </c>
      <c r="U26" s="8">
        <f>'Ecoinvent 3.10'!N14</f>
        <v>31.433</v>
      </c>
      <c r="V26" s="8">
        <f>'Ecoinvent 3.10'!N14</f>
        <v>31.433</v>
      </c>
      <c r="X26" t="s">
        <v>133</v>
      </c>
      <c r="Y26" s="9">
        <f t="shared" si="24"/>
        <v>4.7555782872431118</v>
      </c>
      <c r="Z26" s="9">
        <f t="shared" si="25"/>
        <v>18.202430056653487</v>
      </c>
      <c r="AA26" s="9">
        <f t="shared" si="26"/>
        <v>17.672871548588468</v>
      </c>
      <c r="AB26" s="9">
        <f t="shared" si="27"/>
        <v>7.32163857284697</v>
      </c>
      <c r="AC26" s="9">
        <f t="shared" si="28"/>
        <v>3.3061957566900304</v>
      </c>
      <c r="AD26" s="9">
        <f t="shared" si="29"/>
        <v>0</v>
      </c>
      <c r="AE26" s="9">
        <f t="shared" si="30"/>
        <v>0</v>
      </c>
      <c r="AF26" s="9">
        <f t="shared" si="31"/>
        <v>3.3061957566900304</v>
      </c>
      <c r="AH26" t="s">
        <v>133</v>
      </c>
      <c r="AI26" s="9">
        <f t="shared" si="23"/>
        <v>4.7555782872431118</v>
      </c>
      <c r="AJ26" s="9">
        <f t="shared" si="22"/>
        <v>18.202430056653487</v>
      </c>
      <c r="AK26" s="9">
        <f t="shared" si="22"/>
        <v>17.672871548588468</v>
      </c>
      <c r="AL26" s="9">
        <f t="shared" si="22"/>
        <v>7.32163857284697</v>
      </c>
      <c r="AM26" s="9">
        <f t="shared" si="22"/>
        <v>3.3061957566900304</v>
      </c>
      <c r="AN26" s="9">
        <f t="shared" si="22"/>
        <v>0</v>
      </c>
      <c r="AO26" s="9">
        <f t="shared" si="22"/>
        <v>0</v>
      </c>
      <c r="AP26" s="9">
        <f t="shared" si="22"/>
        <v>3.3061957566900304</v>
      </c>
    </row>
    <row r="27" spans="2:42" ht="14.25" x14ac:dyDescent="0.25">
      <c r="B27" s="734"/>
      <c r="C27" s="149" t="s">
        <v>563</v>
      </c>
      <c r="D27" s="143">
        <f>'CAM Characteristics'!C62/1000</f>
        <v>0.14313037929181907</v>
      </c>
      <c r="E27" s="127">
        <f>'CAM Characteristics'!C62/1000</f>
        <v>0.14313037929181907</v>
      </c>
      <c r="F27" s="193"/>
      <c r="G27" s="194"/>
      <c r="H27" s="193"/>
      <c r="I27" s="194"/>
      <c r="J27" s="193"/>
      <c r="K27" s="194"/>
      <c r="L27" s="193"/>
      <c r="M27" s="194"/>
      <c r="N27" s="143"/>
      <c r="O27" s="127"/>
      <c r="P27" s="193"/>
      <c r="Q27" s="194"/>
      <c r="R27" s="193"/>
      <c r="S27" s="194"/>
      <c r="U27" s="8">
        <f>'Ecoinvent 3.10'!N15</f>
        <v>0.57650000000000001</v>
      </c>
      <c r="V27" s="8">
        <f>'Ecoinvent 3.10'!N15</f>
        <v>0.57650000000000001</v>
      </c>
      <c r="X27" t="s">
        <v>560</v>
      </c>
      <c r="Y27" s="9">
        <f t="shared" si="24"/>
        <v>8.2514663661733698E-2</v>
      </c>
      <c r="Z27" s="9">
        <f t="shared" si="25"/>
        <v>0</v>
      </c>
      <c r="AA27" s="9">
        <f t="shared" si="26"/>
        <v>0</v>
      </c>
      <c r="AB27" s="9">
        <f t="shared" si="27"/>
        <v>0</v>
      </c>
      <c r="AC27" s="9">
        <f t="shared" si="28"/>
        <v>0</v>
      </c>
      <c r="AD27" s="9">
        <f t="shared" si="29"/>
        <v>0</v>
      </c>
      <c r="AE27" s="9">
        <f t="shared" si="30"/>
        <v>0</v>
      </c>
      <c r="AF27" s="9">
        <f t="shared" si="31"/>
        <v>0</v>
      </c>
      <c r="AH27" t="s">
        <v>560</v>
      </c>
      <c r="AI27" s="9">
        <f t="shared" si="23"/>
        <v>8.2514663661733698E-2</v>
      </c>
      <c r="AJ27" s="9">
        <f t="shared" si="22"/>
        <v>0</v>
      </c>
      <c r="AK27" s="9">
        <f t="shared" si="22"/>
        <v>0</v>
      </c>
      <c r="AL27" s="9">
        <f t="shared" si="22"/>
        <v>0</v>
      </c>
      <c r="AM27" s="9">
        <f t="shared" si="22"/>
        <v>0</v>
      </c>
      <c r="AN27" s="9">
        <f t="shared" si="22"/>
        <v>0</v>
      </c>
      <c r="AO27" s="9">
        <f t="shared" si="22"/>
        <v>0</v>
      </c>
      <c r="AP27" s="9">
        <f t="shared" si="22"/>
        <v>0</v>
      </c>
    </row>
    <row r="28" spans="2:42" ht="14.25" x14ac:dyDescent="0.25">
      <c r="B28" s="734"/>
      <c r="C28" s="181" t="s">
        <v>620</v>
      </c>
      <c r="D28" s="193"/>
      <c r="E28" s="194"/>
      <c r="F28" s="193"/>
      <c r="G28" s="194"/>
      <c r="H28" s="193"/>
      <c r="I28" s="194"/>
      <c r="J28" s="193"/>
      <c r="K28" s="194"/>
      <c r="L28" s="193"/>
      <c r="M28" s="194"/>
      <c r="N28" s="143"/>
      <c r="O28" s="127"/>
      <c r="P28" s="143">
        <f>'CAM Characteristics'!I63/1000</f>
        <v>1.3420220729419483</v>
      </c>
      <c r="Q28" s="143">
        <f>'CAM Characteristics'!I63/1000</f>
        <v>1.3420220729419483</v>
      </c>
      <c r="R28" s="193"/>
      <c r="S28" s="194"/>
      <c r="U28" s="8">
        <f>'Ecoinvent 3.10'!N16</f>
        <v>0.15923999999999999</v>
      </c>
      <c r="V28" s="8">
        <f>'Ecoinvent 3.10'!N16</f>
        <v>0.15923999999999999</v>
      </c>
      <c r="X28" t="s">
        <v>134</v>
      </c>
      <c r="Y28" s="9">
        <f t="shared" si="24"/>
        <v>0</v>
      </c>
      <c r="Z28" s="9">
        <f t="shared" si="25"/>
        <v>0</v>
      </c>
      <c r="AA28" s="9">
        <f t="shared" si="26"/>
        <v>0</v>
      </c>
      <c r="AB28" s="9">
        <f t="shared" si="27"/>
        <v>0</v>
      </c>
      <c r="AC28" s="9">
        <f t="shared" si="28"/>
        <v>0</v>
      </c>
      <c r="AD28" s="9">
        <f t="shared" si="29"/>
        <v>0</v>
      </c>
      <c r="AE28" s="9">
        <f t="shared" si="30"/>
        <v>0.21370359489527585</v>
      </c>
      <c r="AF28" s="9">
        <f t="shared" si="31"/>
        <v>0</v>
      </c>
      <c r="AH28" t="s">
        <v>134</v>
      </c>
      <c r="AI28" s="9">
        <f t="shared" si="23"/>
        <v>0</v>
      </c>
      <c r="AJ28" s="9">
        <f t="shared" si="22"/>
        <v>0</v>
      </c>
      <c r="AK28" s="9">
        <f t="shared" si="22"/>
        <v>0</v>
      </c>
      <c r="AL28" s="9">
        <f t="shared" si="22"/>
        <v>0</v>
      </c>
      <c r="AM28" s="9">
        <f t="shared" si="22"/>
        <v>0</v>
      </c>
      <c r="AN28" s="9">
        <f t="shared" si="22"/>
        <v>0</v>
      </c>
      <c r="AO28" s="9">
        <f t="shared" si="22"/>
        <v>0.21370359489527585</v>
      </c>
      <c r="AP28" s="9">
        <f t="shared" si="22"/>
        <v>0</v>
      </c>
    </row>
    <row r="29" spans="2:42" x14ac:dyDescent="0.2">
      <c r="B29" s="734"/>
      <c r="C29" s="149" t="s">
        <v>54</v>
      </c>
      <c r="D29" s="143">
        <f>'CAM Characteristics'!C76/1000</f>
        <v>1.13224130416209</v>
      </c>
      <c r="E29" s="127">
        <f>'CAM Characteristics'!C76/1000</f>
        <v>1.13224130416209</v>
      </c>
      <c r="F29" s="143">
        <f>'CAM Characteristics'!D76/1000</f>
        <v>1.4944005937232077</v>
      </c>
      <c r="G29" s="127">
        <f>'CAM Characteristics'!D76/1000</f>
        <v>1.4944005937232077</v>
      </c>
      <c r="H29" s="143">
        <f>'CAM Characteristics'!E76/1000</f>
        <v>1.4509243904690015</v>
      </c>
      <c r="I29" s="127">
        <f>'CAM Characteristics'!E76/1000</f>
        <v>1.4509243904690015</v>
      </c>
      <c r="J29" s="143">
        <f>'CAM Characteristics'!F76/1000</f>
        <v>1.2021978380067828</v>
      </c>
      <c r="K29" s="127">
        <f>'CAM Characteristics'!F76/1000</f>
        <v>1.2021978380067828</v>
      </c>
      <c r="L29" s="143">
        <f>'CAM Characteristics'!G76/1000</f>
        <v>1.0857409447826425</v>
      </c>
      <c r="M29" s="127">
        <f>'CAM Characteristics'!G76/1000</f>
        <v>1.0857409447826425</v>
      </c>
      <c r="N29" s="143"/>
      <c r="O29" s="127"/>
      <c r="P29" s="143">
        <f>'CAM Characteristics'!I76/1000</f>
        <v>1.7668266574981877</v>
      </c>
      <c r="Q29" s="143">
        <f>'CAM Characteristics'!I76/1000</f>
        <v>1.7668266574981877</v>
      </c>
      <c r="R29" s="143">
        <f>'CAM Characteristics'!J76/1000</f>
        <v>1.0857409447826425</v>
      </c>
      <c r="S29" s="127">
        <f>'CAM Characteristics'!J76/1000</f>
        <v>1.0857409447826425</v>
      </c>
      <c r="U29" s="8">
        <f>'Ecoinvent 3.10'!N17</f>
        <v>0.90637000000000001</v>
      </c>
      <c r="V29" s="8">
        <f>'Ecoinvent 3.10'!N17</f>
        <v>0.90637000000000001</v>
      </c>
      <c r="X29" t="s">
        <v>54</v>
      </c>
      <c r="Y29" s="9">
        <f t="shared" si="24"/>
        <v>1.0262295508533936</v>
      </c>
      <c r="Z29" s="9">
        <f t="shared" si="25"/>
        <v>1.3544798661329038</v>
      </c>
      <c r="AA29" s="9">
        <f t="shared" si="26"/>
        <v>1.3150743397893889</v>
      </c>
      <c r="AB29" s="9">
        <f t="shared" si="27"/>
        <v>1.0896360544342079</v>
      </c>
      <c r="AC29" s="9">
        <f t="shared" si="28"/>
        <v>0.9840830201226437</v>
      </c>
      <c r="AD29" s="9">
        <f t="shared" si="29"/>
        <v>0</v>
      </c>
      <c r="AE29" s="9">
        <f t="shared" si="30"/>
        <v>1.6013986775566325</v>
      </c>
      <c r="AF29" s="9">
        <f t="shared" si="31"/>
        <v>0.9840830201226437</v>
      </c>
      <c r="AH29" t="s">
        <v>54</v>
      </c>
      <c r="AI29" s="9">
        <f t="shared" si="23"/>
        <v>1.0262295508533936</v>
      </c>
      <c r="AJ29" s="9">
        <f t="shared" si="22"/>
        <v>1.3544798661329038</v>
      </c>
      <c r="AK29" s="9">
        <f t="shared" si="22"/>
        <v>1.3150743397893889</v>
      </c>
      <c r="AL29" s="9">
        <f t="shared" si="22"/>
        <v>1.0896360544342079</v>
      </c>
      <c r="AM29" s="9">
        <f t="shared" si="22"/>
        <v>0.9840830201226437</v>
      </c>
      <c r="AN29" s="9">
        <f t="shared" si="22"/>
        <v>0</v>
      </c>
      <c r="AO29" s="9">
        <f t="shared" si="22"/>
        <v>1.6013986775566325</v>
      </c>
      <c r="AP29" s="9">
        <f t="shared" si="22"/>
        <v>0.9840830201226437</v>
      </c>
    </row>
    <row r="30" spans="2:42" ht="14.25" x14ac:dyDescent="0.25">
      <c r="B30" s="734"/>
      <c r="C30" s="149" t="s">
        <v>216</v>
      </c>
      <c r="D30" s="143">
        <f>'CAM Characteristics'!C79/1000</f>
        <v>0.16290391716608318</v>
      </c>
      <c r="E30" s="127">
        <f>'CAM Characteristics'!C79/1000</f>
        <v>0.16290391716608318</v>
      </c>
      <c r="F30" s="143">
        <f>'CAM Characteristics'!D79/1000</f>
        <v>0.21823560515104612</v>
      </c>
      <c r="G30" s="127">
        <f>'CAM Characteristics'!D79/1000</f>
        <v>0.21823560515104612</v>
      </c>
      <c r="H30" s="143">
        <f>'CAM Characteristics'!E79/1000</f>
        <v>0.2118865341143352</v>
      </c>
      <c r="I30" s="127">
        <f>'CAM Characteristics'!E79/1000</f>
        <v>0.2118865341143352</v>
      </c>
      <c r="J30" s="143">
        <f>'CAM Characteristics'!F79/1000</f>
        <v>0.175563616469818</v>
      </c>
      <c r="K30" s="127">
        <f>'CAM Characteristics'!F79/1000</f>
        <v>0.175563616469818</v>
      </c>
      <c r="L30" s="143">
        <f>'CAM Characteristics'!G79/1000</f>
        <v>0.15855677059895215</v>
      </c>
      <c r="M30" s="127">
        <f>'CAM Characteristics'!G79/1000</f>
        <v>0.15855677059895215</v>
      </c>
      <c r="N30" s="143"/>
      <c r="O30" s="127"/>
      <c r="P30" s="143">
        <f>'CAM Characteristics'!I79/1000</f>
        <v>0.25801949384632994</v>
      </c>
      <c r="Q30" s="143">
        <f>'CAM Characteristics'!I79/1000</f>
        <v>0.25801949384632994</v>
      </c>
      <c r="R30" s="143">
        <f>'CAM Characteristics'!J79/1000</f>
        <v>0.15855677059895215</v>
      </c>
      <c r="S30" s="127">
        <f>'CAM Characteristics'!J79/1000</f>
        <v>0.15855677059895215</v>
      </c>
      <c r="U30" s="8">
        <f>'Ecoinvent 3.10'!N18</f>
        <v>2.9285999999999999</v>
      </c>
      <c r="V30" s="8">
        <f>'Ecoinvent 3.10'!N18</f>
        <v>2.9285999999999999</v>
      </c>
      <c r="X30" t="s">
        <v>55</v>
      </c>
      <c r="Y30" s="9">
        <f t="shared" si="24"/>
        <v>0.4770804118125912</v>
      </c>
      <c r="Z30" s="9">
        <f t="shared" si="25"/>
        <v>0.63912479324535365</v>
      </c>
      <c r="AA30" s="9">
        <f t="shared" si="26"/>
        <v>0.62053090380724207</v>
      </c>
      <c r="AB30" s="9">
        <f t="shared" si="27"/>
        <v>0.51415560719350895</v>
      </c>
      <c r="AC30" s="9">
        <f t="shared" si="28"/>
        <v>0.46434935837609126</v>
      </c>
      <c r="AD30" s="9">
        <f t="shared" si="29"/>
        <v>0</v>
      </c>
      <c r="AE30" s="9">
        <f t="shared" si="30"/>
        <v>0.75563588967836182</v>
      </c>
      <c r="AF30" s="9">
        <f t="shared" si="31"/>
        <v>0.46434935837609126</v>
      </c>
      <c r="AH30" t="s">
        <v>55</v>
      </c>
      <c r="AI30" s="9">
        <f t="shared" si="23"/>
        <v>0.4770804118125912</v>
      </c>
      <c r="AJ30" s="9">
        <f t="shared" si="22"/>
        <v>0.63912479324535365</v>
      </c>
      <c r="AK30" s="9">
        <f t="shared" si="22"/>
        <v>0.62053090380724207</v>
      </c>
      <c r="AL30" s="9">
        <f t="shared" si="22"/>
        <v>0.51415560719350895</v>
      </c>
      <c r="AM30" s="9">
        <f t="shared" si="22"/>
        <v>0.46434935837609126</v>
      </c>
      <c r="AN30" s="9">
        <f t="shared" si="22"/>
        <v>0</v>
      </c>
      <c r="AO30" s="9">
        <f t="shared" si="22"/>
        <v>0.75563588967836182</v>
      </c>
      <c r="AP30" s="9">
        <f t="shared" si="22"/>
        <v>0.46434935837609126</v>
      </c>
    </row>
    <row r="31" spans="2:42" x14ac:dyDescent="0.2">
      <c r="B31" s="734"/>
      <c r="C31" s="149" t="s">
        <v>396</v>
      </c>
      <c r="D31" s="143">
        <f>GREET!D18</f>
        <v>0.8607009630528587</v>
      </c>
      <c r="E31" s="127">
        <f>GREET!D18</f>
        <v>0.8607009630528587</v>
      </c>
      <c r="F31" s="143">
        <f>GREET!G18</f>
        <v>1.1513272622655124</v>
      </c>
      <c r="G31" s="127">
        <f>GREET!G18</f>
        <v>1.1513272622655124</v>
      </c>
      <c r="H31" s="143">
        <f>GREET!H18</f>
        <v>1.1221797366385371</v>
      </c>
      <c r="I31" s="127">
        <f>GREET!H18</f>
        <v>1.1221797366385371</v>
      </c>
      <c r="J31" s="143">
        <f>GREET!I18</f>
        <v>0.93318104415204672</v>
      </c>
      <c r="K31" s="127">
        <f>GREET!I18</f>
        <v>0.93318104415204672</v>
      </c>
      <c r="L31" s="143">
        <f>GREET!K18</f>
        <v>0.84430665899470903</v>
      </c>
      <c r="M31" s="127">
        <f>GREET!K18</f>
        <v>0.84430665899470903</v>
      </c>
      <c r="N31" s="143"/>
      <c r="O31" s="127"/>
      <c r="P31" s="143">
        <f>GREET!M18</f>
        <v>1.5760390967901234</v>
      </c>
      <c r="Q31" s="143">
        <f>GREET!M18</f>
        <v>1.5760390967901234</v>
      </c>
      <c r="R31" s="143">
        <f>GREET!K18</f>
        <v>0.84430665899470903</v>
      </c>
      <c r="S31" s="127">
        <f>GREET!K18</f>
        <v>0.84430665899470903</v>
      </c>
      <c r="U31" s="8">
        <f>'Ecoinvent 3.10'!N26</f>
        <v>4.2383999999999998E-4</v>
      </c>
      <c r="V31" s="8">
        <f>'Ecoinvent 3.10'!N26</f>
        <v>4.2383999999999998E-4</v>
      </c>
      <c r="X31" t="s">
        <v>396</v>
      </c>
      <c r="Y31" s="9">
        <f t="shared" si="24"/>
        <v>3.6479949618032362E-4</v>
      </c>
      <c r="Z31" s="9">
        <f t="shared" si="25"/>
        <v>4.8797854683861478E-4</v>
      </c>
      <c r="AA31" s="9">
        <f t="shared" si="26"/>
        <v>4.7562465957687756E-4</v>
      </c>
      <c r="AB31" s="9">
        <f t="shared" si="27"/>
        <v>3.9551945375340344E-4</v>
      </c>
      <c r="AC31" s="9">
        <f t="shared" si="28"/>
        <v>3.5785093434831746E-4</v>
      </c>
      <c r="AD31" s="9">
        <f t="shared" si="29"/>
        <v>0</v>
      </c>
      <c r="AE31" s="9">
        <f t="shared" si="30"/>
        <v>6.679884107835259E-4</v>
      </c>
      <c r="AF31" s="9">
        <f t="shared" si="31"/>
        <v>3.5785093434831746E-4</v>
      </c>
      <c r="AH31" t="s">
        <v>396</v>
      </c>
      <c r="AI31" s="9">
        <f t="shared" si="23"/>
        <v>3.6479949618032362E-4</v>
      </c>
      <c r="AJ31" s="9">
        <f t="shared" si="22"/>
        <v>4.8797854683861478E-4</v>
      </c>
      <c r="AK31" s="9">
        <f t="shared" si="22"/>
        <v>4.7562465957687756E-4</v>
      </c>
      <c r="AL31" s="9">
        <f t="shared" si="22"/>
        <v>3.9551945375340344E-4</v>
      </c>
      <c r="AM31" s="9">
        <f t="shared" si="22"/>
        <v>3.5785093434831746E-4</v>
      </c>
      <c r="AN31" s="9">
        <f t="shared" si="22"/>
        <v>0</v>
      </c>
      <c r="AO31" s="9">
        <f t="shared" si="22"/>
        <v>6.679884107835259E-4</v>
      </c>
      <c r="AP31" s="9">
        <f t="shared" si="22"/>
        <v>3.5785093434831746E-4</v>
      </c>
    </row>
    <row r="32" spans="2:42" x14ac:dyDescent="0.2">
      <c r="B32" s="734"/>
      <c r="C32" s="149" t="s">
        <v>365</v>
      </c>
      <c r="D32" s="143">
        <f>GREET!D20</f>
        <v>15.261351916477889</v>
      </c>
      <c r="E32" s="127">
        <f>GREET!D20</f>
        <v>15.261351916477889</v>
      </c>
      <c r="F32" s="143">
        <f>GREET!G20</f>
        <v>20.414535680483411</v>
      </c>
      <c r="G32" s="127">
        <f>GREET!G20</f>
        <v>20.414535680483411</v>
      </c>
      <c r="H32" s="143">
        <f>GREET!H20</f>
        <v>19.897711992369903</v>
      </c>
      <c r="I32" s="127">
        <f>GREET!H20</f>
        <v>19.897711992369903</v>
      </c>
      <c r="J32" s="143">
        <f>GREET!I20</f>
        <v>16.546518393654974</v>
      </c>
      <c r="K32" s="127">
        <f>GREET!I20</f>
        <v>16.546518393654974</v>
      </c>
      <c r="L32" s="143">
        <f>GREET!K20</f>
        <v>14.970659499021167</v>
      </c>
      <c r="M32" s="127">
        <f>GREET!K20</f>
        <v>14.970659499021167</v>
      </c>
      <c r="N32" s="143"/>
      <c r="O32" s="127"/>
      <c r="P32" s="143">
        <f>GREET!M20</f>
        <v>27.945231064839511</v>
      </c>
      <c r="Q32" s="143">
        <f>GREET!M20</f>
        <v>27.945231064839511</v>
      </c>
      <c r="R32" s="143">
        <f>GREET!K20</f>
        <v>14.970659499021167</v>
      </c>
      <c r="S32" s="127">
        <f>GREET!K20</f>
        <v>14.970659499021167</v>
      </c>
      <c r="U32" s="8">
        <f>'Ecoinvent 3.10'!N35</f>
        <v>0.20746439999999999</v>
      </c>
      <c r="V32" s="8">
        <f>'Ecoinvent 3.10'!N35</f>
        <v>0.20746439999999999</v>
      </c>
      <c r="X32" t="s">
        <v>365</v>
      </c>
      <c r="Y32" s="9">
        <f t="shared" si="24"/>
        <v>3.166187218540935</v>
      </c>
      <c r="Z32" s="9">
        <f t="shared" si="25"/>
        <v>4.2352893962300824</v>
      </c>
      <c r="AA32" s="9">
        <f t="shared" si="26"/>
        <v>4.1280668798698263</v>
      </c>
      <c r="AB32" s="9">
        <f t="shared" si="27"/>
        <v>3.4328135106285931</v>
      </c>
      <c r="AC32" s="9">
        <f t="shared" si="28"/>
        <v>3.1058788905687269</v>
      </c>
      <c r="AD32" s="9">
        <f t="shared" si="29"/>
        <v>0</v>
      </c>
      <c r="AE32" s="9">
        <f t="shared" si="30"/>
        <v>5.7976405957282902</v>
      </c>
      <c r="AF32" s="9">
        <f t="shared" si="31"/>
        <v>3.1058788905687269</v>
      </c>
      <c r="AH32" t="s">
        <v>365</v>
      </c>
      <c r="AI32" s="9">
        <f t="shared" si="23"/>
        <v>3.166187218540935</v>
      </c>
      <c r="AJ32" s="9">
        <f t="shared" si="22"/>
        <v>4.2352893962300824</v>
      </c>
      <c r="AK32" s="9">
        <f t="shared" si="22"/>
        <v>4.1280668798698263</v>
      </c>
      <c r="AL32" s="9">
        <f t="shared" si="22"/>
        <v>3.4328135106285931</v>
      </c>
      <c r="AM32" s="9">
        <f t="shared" si="22"/>
        <v>3.1058788905687269</v>
      </c>
      <c r="AN32" s="9">
        <f t="shared" si="22"/>
        <v>0</v>
      </c>
      <c r="AO32" s="9">
        <f t="shared" si="22"/>
        <v>5.7976405957282902</v>
      </c>
      <c r="AP32" s="9">
        <f t="shared" si="22"/>
        <v>3.1058788905687269</v>
      </c>
    </row>
    <row r="33" spans="2:42" ht="14.25" x14ac:dyDescent="0.25">
      <c r="B33" s="734"/>
      <c r="C33" s="149" t="s">
        <v>416</v>
      </c>
      <c r="D33" s="143">
        <f>'CAM Characteristics'!C85/1000</f>
        <v>7.9164283837401234E-2</v>
      </c>
      <c r="E33" s="119">
        <f>'CAM Characteristics'!C85/1000</f>
        <v>7.9164283837401234E-2</v>
      </c>
      <c r="F33" s="119">
        <f>'CAM Characteristics'!D85/1000</f>
        <v>0.10605309982810789</v>
      </c>
      <c r="G33" s="119">
        <f>'CAM Characteristics'!D85/1000</f>
        <v>0.10605309982810789</v>
      </c>
      <c r="H33" s="119">
        <f>'CAM Characteristics'!E85/1000</f>
        <v>0.10296772490037318</v>
      </c>
      <c r="I33" s="119">
        <f>'CAM Characteristics'!E85/1000</f>
        <v>0.10296772490037318</v>
      </c>
      <c r="J33" s="119">
        <f>'CAM Characteristics'!F85/1000</f>
        <v>8.5316352163390341E-2</v>
      </c>
      <c r="K33" s="119">
        <f>'CAM Characteristics'!F85/1000</f>
        <v>8.5316352163390341E-2</v>
      </c>
      <c r="L33" s="119">
        <f>'CAM Characteristics'!G85/1000</f>
        <v>7.7051757934342116E-2</v>
      </c>
      <c r="M33" s="119">
        <f>'CAM Characteristics'!G85/1000</f>
        <v>7.7051757934342116E-2</v>
      </c>
      <c r="N33" s="143"/>
      <c r="O33" s="127"/>
      <c r="P33" s="119">
        <f>'CAM Characteristics'!I85/1000</f>
        <v>0.12538635535454254</v>
      </c>
      <c r="Q33" s="143">
        <f>'CAM Characteristics'!I85/1000</f>
        <v>0.12538635535454254</v>
      </c>
      <c r="R33" s="119">
        <f>'CAM Characteristics'!J85/1000</f>
        <v>7.7051757934342116E-2</v>
      </c>
      <c r="S33" s="119">
        <f>'CAM Characteristics'!J85/1000</f>
        <v>7.7051757934342116E-2</v>
      </c>
      <c r="X33" t="s">
        <v>743</v>
      </c>
      <c r="Y33" s="9"/>
      <c r="Z33" s="9"/>
      <c r="AA33" s="9"/>
      <c r="AB33" s="9"/>
      <c r="AC33" s="9"/>
      <c r="AD33" s="9"/>
      <c r="AE33" s="9"/>
      <c r="AF33" s="9"/>
      <c r="AH33" t="s">
        <v>743</v>
      </c>
      <c r="AI33" s="9"/>
      <c r="AJ33" s="9"/>
      <c r="AK33" s="9"/>
      <c r="AL33" s="9"/>
      <c r="AM33" s="9"/>
      <c r="AN33" s="9"/>
      <c r="AO33" s="9"/>
      <c r="AP33" s="9"/>
    </row>
    <row r="34" spans="2:42" ht="14.25" x14ac:dyDescent="0.25">
      <c r="B34" s="734"/>
      <c r="C34" s="149" t="s">
        <v>425</v>
      </c>
      <c r="D34" s="119">
        <f>'CAM Characteristics'!C82/1000</f>
        <v>2.0103936681825325</v>
      </c>
      <c r="E34" s="119">
        <f>'CAM Characteristics'!C82/1000</f>
        <v>2.0103936681825325</v>
      </c>
      <c r="F34" s="119">
        <f>'CAM Characteristics'!D82/1000</f>
        <v>2.6534392274027638</v>
      </c>
      <c r="G34" s="119">
        <f>'CAM Characteristics'!D82/1000</f>
        <v>2.6534392274027638</v>
      </c>
      <c r="H34" s="119">
        <f>'CAM Characteristics'!E82/1000</f>
        <v>2.5762434181547023</v>
      </c>
      <c r="I34" s="119">
        <f>'CAM Characteristics'!E82/1000</f>
        <v>2.5762434181547023</v>
      </c>
      <c r="J34" s="119">
        <f>'CAM Characteristics'!F82/1000</f>
        <v>2.1346076252006854</v>
      </c>
      <c r="K34" s="119">
        <f>'CAM Characteristics'!F82/1000</f>
        <v>2.1346076252006854</v>
      </c>
      <c r="L34" s="119">
        <f>'CAM Characteristics'!G82/1000</f>
        <v>1.9278282046890098</v>
      </c>
      <c r="M34" s="119">
        <f>'CAM Characteristics'!G82/1000</f>
        <v>1.9278282046890098</v>
      </c>
      <c r="N34" s="143"/>
      <c r="O34" s="127"/>
      <c r="P34" s="119">
        <f>'CAM Characteristics'!I82/1000</f>
        <v>3.137155579780865</v>
      </c>
      <c r="Q34" s="143">
        <f>'CAM Characteristics'!I82/1000</f>
        <v>3.137155579780865</v>
      </c>
      <c r="R34" s="119">
        <f>'CAM Characteristics'!J82/1000</f>
        <v>1.9278282046890098</v>
      </c>
      <c r="S34" s="119">
        <f>'CAM Characteristics'!J82/1000</f>
        <v>1.9278282046890098</v>
      </c>
      <c r="X34" t="s">
        <v>744</v>
      </c>
      <c r="Y34" s="9"/>
      <c r="Z34" s="9"/>
      <c r="AA34" s="9"/>
      <c r="AB34" s="9"/>
      <c r="AC34" s="9"/>
      <c r="AD34" s="9"/>
      <c r="AE34" s="9"/>
      <c r="AF34" s="9"/>
      <c r="AH34" t="s">
        <v>744</v>
      </c>
      <c r="AI34" s="9"/>
      <c r="AJ34" s="9"/>
      <c r="AK34" s="9"/>
      <c r="AL34" s="9"/>
      <c r="AM34" s="9"/>
      <c r="AN34" s="9"/>
      <c r="AO34" s="9"/>
      <c r="AP34" s="9"/>
    </row>
    <row r="35" spans="2:42" ht="14.25" x14ac:dyDescent="0.25">
      <c r="B35" s="734"/>
      <c r="C35" s="404" t="s">
        <v>375</v>
      </c>
      <c r="D35" s="405">
        <f>'CAM Characteristics'!C88/1000</f>
        <v>8.3739633328681923E-2</v>
      </c>
      <c r="E35" s="406">
        <f>'CAM Characteristics'!C88/1000</f>
        <v>8.3739633328681923E-2</v>
      </c>
      <c r="F35" s="406">
        <f>'CAM Characteristics'!D88/1000</f>
        <v>0.11218250532293819</v>
      </c>
      <c r="G35" s="406">
        <f>'CAM Characteristics'!D88/1000</f>
        <v>0.11218250532293819</v>
      </c>
      <c r="H35" s="406">
        <f>'CAM Characteristics'!E88/1000</f>
        <v>0.10891880921396201</v>
      </c>
      <c r="I35" s="406">
        <f>'CAM Characteristics'!E88/1000</f>
        <v>0.10891880921396201</v>
      </c>
      <c r="J35" s="406">
        <f>'CAM Characteristics'!F88/1000</f>
        <v>9.0247264306427641E-2</v>
      </c>
      <c r="K35" s="406">
        <f>'CAM Characteristics'!F88/1000</f>
        <v>9.0247264306427641E-2</v>
      </c>
      <c r="L35" s="406">
        <f>'CAM Characteristics'!G88/1000</f>
        <v>8.1505012664609994E-2</v>
      </c>
      <c r="M35" s="406">
        <f>'CAM Characteristics'!G88/1000</f>
        <v>8.1505012664609994E-2</v>
      </c>
      <c r="N35" s="405"/>
      <c r="O35" s="406"/>
      <c r="P35" s="406">
        <f>'CAM Characteristics'!I88/1000</f>
        <v>0.1326331384917874</v>
      </c>
      <c r="Q35" s="405">
        <f>'CAM Characteristics'!I88/1000</f>
        <v>0.1326331384917874</v>
      </c>
      <c r="R35" s="406">
        <f>'CAM Characteristics'!J88/1000</f>
        <v>8.1505012664609994E-2</v>
      </c>
      <c r="S35" s="406">
        <f>'CAM Characteristics'!J88/1000</f>
        <v>8.1505012664609994E-2</v>
      </c>
      <c r="X35" t="s">
        <v>740</v>
      </c>
      <c r="Y35" s="9"/>
      <c r="Z35" s="9"/>
      <c r="AA35" s="9"/>
      <c r="AB35" s="9"/>
      <c r="AC35" s="9"/>
      <c r="AD35" s="9"/>
      <c r="AE35" s="9"/>
      <c r="AF35" s="9"/>
      <c r="AH35" t="s">
        <v>740</v>
      </c>
      <c r="AI35" s="9"/>
      <c r="AJ35" s="9"/>
      <c r="AK35" s="9"/>
      <c r="AL35" s="9"/>
      <c r="AM35" s="9"/>
      <c r="AN35" s="9"/>
      <c r="AO35" s="9"/>
      <c r="AP35" s="9"/>
    </row>
    <row r="36" spans="2:42" x14ac:dyDescent="0.2">
      <c r="B36" s="734"/>
      <c r="C36" s="147" t="s">
        <v>576</v>
      </c>
      <c r="D36" s="142"/>
      <c r="E36" s="125"/>
      <c r="F36" s="142"/>
      <c r="G36" s="125"/>
      <c r="H36" s="142"/>
      <c r="I36" s="125"/>
      <c r="J36" s="142"/>
      <c r="K36" s="125"/>
      <c r="L36" s="142"/>
      <c r="M36" s="125"/>
      <c r="N36" s="142">
        <f>'CAM Characteristics'!H22</f>
        <v>1.953125</v>
      </c>
      <c r="O36" s="125">
        <f>'CAM Characteristics'!H22</f>
        <v>1.953125</v>
      </c>
      <c r="P36" s="142"/>
      <c r="Q36" s="142"/>
      <c r="R36" s="142"/>
      <c r="S36" s="142"/>
      <c r="X36" s="1" t="s">
        <v>576</v>
      </c>
      <c r="Y36" s="58">
        <f t="shared" ref="Y36:AF36" si="32">SUM(Y38:Y45)</f>
        <v>0</v>
      </c>
      <c r="Z36" s="58">
        <f t="shared" si="32"/>
        <v>0</v>
      </c>
      <c r="AA36" s="58">
        <f t="shared" si="32"/>
        <v>0</v>
      </c>
      <c r="AB36" s="58">
        <f t="shared" si="32"/>
        <v>0</v>
      </c>
      <c r="AC36" s="58">
        <f t="shared" si="32"/>
        <v>0</v>
      </c>
      <c r="AD36" s="58">
        <f>SUM(AD37:AD45)</f>
        <v>11.558223844508522</v>
      </c>
      <c r="AE36" s="58">
        <f t="shared" si="32"/>
        <v>0</v>
      </c>
      <c r="AF36" s="58">
        <f t="shared" si="32"/>
        <v>0</v>
      </c>
      <c r="AH36" s="1" t="s">
        <v>576</v>
      </c>
      <c r="AI36" s="58">
        <f t="shared" ref="AI36:AP36" si="33">SUM(AI38:AI45)</f>
        <v>0</v>
      </c>
      <c r="AJ36" s="58">
        <f t="shared" si="33"/>
        <v>0</v>
      </c>
      <c r="AK36" s="58">
        <f t="shared" si="33"/>
        <v>0</v>
      </c>
      <c r="AL36" s="58">
        <f t="shared" si="33"/>
        <v>0</v>
      </c>
      <c r="AM36" s="58">
        <f t="shared" si="33"/>
        <v>0</v>
      </c>
      <c r="AN36" s="58">
        <f>SUM(AN37:AN45)</f>
        <v>10.593897823865616</v>
      </c>
      <c r="AO36" s="58">
        <f t="shared" si="33"/>
        <v>0</v>
      </c>
      <c r="AP36" s="58">
        <f t="shared" si="33"/>
        <v>0</v>
      </c>
    </row>
    <row r="37" spans="2:42" ht="14.25" x14ac:dyDescent="0.25">
      <c r="B37" s="734"/>
      <c r="C37" s="148" t="s">
        <v>368</v>
      </c>
      <c r="D37" s="142"/>
      <c r="E37" s="125"/>
      <c r="F37" s="142"/>
      <c r="G37" s="125"/>
      <c r="H37" s="142"/>
      <c r="I37" s="125"/>
      <c r="J37" s="142"/>
      <c r="K37" s="125"/>
      <c r="L37" s="142"/>
      <c r="M37" s="125"/>
      <c r="N37" s="143">
        <f>'CAM Characteristics'!H109/1000</f>
        <v>0.45739506742062591</v>
      </c>
      <c r="O37" s="127">
        <f>'CAM Characteristics'!H109/1000</f>
        <v>0.45739506742062591</v>
      </c>
      <c r="P37" s="142"/>
      <c r="Q37" s="142"/>
      <c r="R37" s="142"/>
      <c r="S37" s="142"/>
      <c r="U37" s="8">
        <f>'Ecoinvent 3.10'!N8</f>
        <v>8.1082999999999998</v>
      </c>
      <c r="V37" s="584">
        <v>6</v>
      </c>
      <c r="X37" t="s">
        <v>336</v>
      </c>
      <c r="Y37" s="9">
        <f t="shared" ref="Y37:Y45" si="34">E37*$U37</f>
        <v>0</v>
      </c>
      <c r="Z37" s="9">
        <f t="shared" ref="Z37:Z45" si="35">G37*$U37</f>
        <v>0</v>
      </c>
      <c r="AA37" s="9">
        <f t="shared" ref="AA37:AA45" si="36">I37*$U37</f>
        <v>0</v>
      </c>
      <c r="AB37" s="9">
        <f t="shared" ref="AB37:AB45" si="37">K37*$U37</f>
        <v>0</v>
      </c>
      <c r="AC37" s="9">
        <f t="shared" ref="AC37:AC45" si="38">M37*$U37</f>
        <v>0</v>
      </c>
      <c r="AD37" s="9">
        <f>O37*$U37</f>
        <v>3.7086964251666612</v>
      </c>
      <c r="AE37" s="9">
        <f t="shared" ref="AE37:AE45" si="39">Q37*$U37</f>
        <v>0</v>
      </c>
      <c r="AF37" s="9">
        <f t="shared" ref="AF37:AF45" si="40">S37*$U37</f>
        <v>0</v>
      </c>
      <c r="AH37" s="585" t="s">
        <v>336</v>
      </c>
      <c r="AI37" s="633">
        <f>E37*$V37</f>
        <v>0</v>
      </c>
      <c r="AJ37" s="633">
        <f>G37*$V37</f>
        <v>0</v>
      </c>
      <c r="AK37" s="633">
        <f>I37*$V37</f>
        <v>0</v>
      </c>
      <c r="AL37" s="633">
        <f>K37*$V37</f>
        <v>0</v>
      </c>
      <c r="AM37" s="633">
        <f>M37*$V37</f>
        <v>0</v>
      </c>
      <c r="AN37" s="633">
        <f>O37*$V37</f>
        <v>2.7443704045237554</v>
      </c>
      <c r="AO37" s="633">
        <f>Q37*$V37</f>
        <v>0</v>
      </c>
      <c r="AP37" s="633">
        <f>S37*$V37</f>
        <v>0</v>
      </c>
    </row>
    <row r="38" spans="2:42" x14ac:dyDescent="0.2">
      <c r="B38" s="734"/>
      <c r="C38" s="148" t="s">
        <v>56</v>
      </c>
      <c r="D38" s="143"/>
      <c r="E38" s="127"/>
      <c r="F38" s="143"/>
      <c r="G38" s="127"/>
      <c r="H38" s="143"/>
      <c r="I38" s="127"/>
      <c r="J38" s="143"/>
      <c r="K38" s="127"/>
      <c r="L38" s="143"/>
      <c r="M38" s="127"/>
      <c r="N38" s="193"/>
      <c r="O38" s="194"/>
      <c r="P38" s="142"/>
      <c r="Q38" s="142"/>
      <c r="R38" s="142"/>
      <c r="S38" s="142"/>
      <c r="U38" s="8">
        <f>'Ecoinvent 3.10'!N10</f>
        <v>15.558</v>
      </c>
      <c r="V38" s="584">
        <v>12</v>
      </c>
      <c r="X38" t="s">
        <v>56</v>
      </c>
      <c r="Y38" s="9">
        <f t="shared" si="34"/>
        <v>0</v>
      </c>
      <c r="Z38" s="9">
        <f t="shared" si="35"/>
        <v>0</v>
      </c>
      <c r="AA38" s="9">
        <f t="shared" si="36"/>
        <v>0</v>
      </c>
      <c r="AB38" s="9">
        <f t="shared" si="37"/>
        <v>0</v>
      </c>
      <c r="AC38" s="9">
        <f t="shared" si="38"/>
        <v>0</v>
      </c>
      <c r="AD38" s="9">
        <f t="shared" ref="AD38:AD45" si="41">O38*$U38</f>
        <v>0</v>
      </c>
      <c r="AE38" s="9">
        <f t="shared" si="39"/>
        <v>0</v>
      </c>
      <c r="AF38" s="9">
        <f t="shared" si="40"/>
        <v>0</v>
      </c>
      <c r="AH38" s="585" t="s">
        <v>56</v>
      </c>
      <c r="AI38" s="633">
        <f>E38*$V38</f>
        <v>0</v>
      </c>
      <c r="AJ38" s="633">
        <f>G38*$V38</f>
        <v>0</v>
      </c>
      <c r="AK38" s="633">
        <f>I38*$V38</f>
        <v>0</v>
      </c>
      <c r="AL38" s="633">
        <f>K38*$V38</f>
        <v>0</v>
      </c>
      <c r="AM38" s="633">
        <f>M38*$V38</f>
        <v>0</v>
      </c>
      <c r="AN38" s="633">
        <f>O38*$V38</f>
        <v>0</v>
      </c>
      <c r="AO38" s="633">
        <f>Q38*$V38</f>
        <v>0</v>
      </c>
      <c r="AP38" s="633">
        <f>S38*$V38</f>
        <v>0</v>
      </c>
    </row>
    <row r="39" spans="2:42" ht="14.25" x14ac:dyDescent="0.25">
      <c r="B39" s="734"/>
      <c r="C39" s="148" t="s">
        <v>577</v>
      </c>
      <c r="D39" s="143"/>
      <c r="E39" s="127"/>
      <c r="F39" s="143"/>
      <c r="G39" s="127"/>
      <c r="H39" s="143"/>
      <c r="I39" s="127"/>
      <c r="J39" s="143"/>
      <c r="K39" s="127"/>
      <c r="L39" s="143"/>
      <c r="M39" s="127"/>
      <c r="N39" s="193"/>
      <c r="O39" s="194"/>
      <c r="P39" s="143"/>
      <c r="Q39" s="143"/>
      <c r="R39" s="143"/>
      <c r="S39" s="143"/>
      <c r="U39" s="8">
        <f>'Ecoinvent 3.10'!N$11</f>
        <v>0.35428999999999999</v>
      </c>
      <c r="V39" s="8">
        <f>'Ecoinvent 3.10'!N$11</f>
        <v>0.35428999999999999</v>
      </c>
      <c r="X39" t="s">
        <v>567</v>
      </c>
      <c r="Y39" s="9">
        <f t="shared" si="34"/>
        <v>0</v>
      </c>
      <c r="Z39" s="9">
        <f t="shared" si="35"/>
        <v>0</v>
      </c>
      <c r="AA39" s="9">
        <f t="shared" si="36"/>
        <v>0</v>
      </c>
      <c r="AB39" s="9">
        <f t="shared" si="37"/>
        <v>0</v>
      </c>
      <c r="AC39" s="9">
        <f t="shared" si="38"/>
        <v>0</v>
      </c>
      <c r="AD39" s="9">
        <f t="shared" si="41"/>
        <v>0</v>
      </c>
      <c r="AE39" s="9">
        <f t="shared" si="39"/>
        <v>0</v>
      </c>
      <c r="AF39" s="9">
        <f t="shared" si="40"/>
        <v>0</v>
      </c>
      <c r="AH39" t="s">
        <v>567</v>
      </c>
      <c r="AI39" s="9">
        <f>Y39</f>
        <v>0</v>
      </c>
      <c r="AJ39" s="9">
        <f t="shared" ref="AJ39:AP45" si="42">Z39</f>
        <v>0</v>
      </c>
      <c r="AK39" s="9">
        <f t="shared" si="42"/>
        <v>0</v>
      </c>
      <c r="AL39" s="9">
        <f t="shared" si="42"/>
        <v>0</v>
      </c>
      <c r="AM39" s="9">
        <f t="shared" si="42"/>
        <v>0</v>
      </c>
      <c r="AN39" s="9">
        <f t="shared" si="42"/>
        <v>0</v>
      </c>
      <c r="AO39" s="9">
        <f t="shared" si="42"/>
        <v>0</v>
      </c>
      <c r="AP39" s="9">
        <f t="shared" si="42"/>
        <v>0</v>
      </c>
    </row>
    <row r="40" spans="2:42" ht="14.25" x14ac:dyDescent="0.25">
      <c r="B40" s="734"/>
      <c r="C40" s="148" t="s">
        <v>379</v>
      </c>
      <c r="D40" s="143"/>
      <c r="E40" s="127"/>
      <c r="F40" s="143"/>
      <c r="G40" s="127"/>
      <c r="H40" s="143"/>
      <c r="I40" s="127"/>
      <c r="J40" s="143"/>
      <c r="K40" s="127"/>
      <c r="L40" s="143"/>
      <c r="M40" s="127"/>
      <c r="N40" s="126">
        <f>'CAM Characteristics'!H115/1000</f>
        <v>1.634944232495585</v>
      </c>
      <c r="O40" s="127">
        <f>'CAM Characteristics'!H115/1000</f>
        <v>1.634944232495585</v>
      </c>
      <c r="P40" s="143"/>
      <c r="Q40" s="143"/>
      <c r="R40" s="143"/>
      <c r="S40" s="143"/>
      <c r="U40" s="8">
        <f>'Ecoinvent 3.10'!N19</f>
        <v>1.6167</v>
      </c>
      <c r="V40" s="8">
        <f>'Ecoinvent 3.10'!N19</f>
        <v>1.6167</v>
      </c>
      <c r="X40" t="s">
        <v>378</v>
      </c>
      <c r="Y40" s="9">
        <f t="shared" si="34"/>
        <v>0</v>
      </c>
      <c r="Z40" s="9">
        <f t="shared" si="35"/>
        <v>0</v>
      </c>
      <c r="AA40" s="9">
        <f t="shared" si="36"/>
        <v>0</v>
      </c>
      <c r="AB40" s="9">
        <f t="shared" si="37"/>
        <v>0</v>
      </c>
      <c r="AC40" s="9">
        <f t="shared" si="38"/>
        <v>0</v>
      </c>
      <c r="AD40" s="9">
        <f t="shared" si="41"/>
        <v>2.6432143406756121</v>
      </c>
      <c r="AE40" s="9">
        <f t="shared" si="39"/>
        <v>0</v>
      </c>
      <c r="AF40" s="9">
        <f t="shared" si="40"/>
        <v>0</v>
      </c>
      <c r="AH40" t="s">
        <v>378</v>
      </c>
      <c r="AI40" s="9">
        <f t="shared" ref="AI40:AI45" si="43">Y40</f>
        <v>0</v>
      </c>
      <c r="AJ40" s="9">
        <f t="shared" si="42"/>
        <v>0</v>
      </c>
      <c r="AK40" s="9">
        <f t="shared" si="42"/>
        <v>0</v>
      </c>
      <c r="AL40" s="9">
        <f t="shared" si="42"/>
        <v>0</v>
      </c>
      <c r="AM40" s="9">
        <f t="shared" si="42"/>
        <v>0</v>
      </c>
      <c r="AN40" s="9">
        <f t="shared" si="42"/>
        <v>2.6432143406756121</v>
      </c>
      <c r="AO40" s="9">
        <f t="shared" si="42"/>
        <v>0</v>
      </c>
      <c r="AP40" s="9">
        <f t="shared" si="42"/>
        <v>0</v>
      </c>
    </row>
    <row r="41" spans="2:42" ht="14.25" x14ac:dyDescent="0.25">
      <c r="B41" s="734"/>
      <c r="C41" s="148" t="s">
        <v>377</v>
      </c>
      <c r="D41" s="143"/>
      <c r="E41" s="127"/>
      <c r="F41" s="143"/>
      <c r="G41" s="127"/>
      <c r="H41" s="143"/>
      <c r="I41" s="127"/>
      <c r="J41" s="143"/>
      <c r="K41" s="127"/>
      <c r="L41" s="143"/>
      <c r="M41" s="127"/>
      <c r="N41" s="126">
        <f>'CAM Characteristics'!H112/1000</f>
        <v>0.95551047851671844</v>
      </c>
      <c r="O41" s="127">
        <f>'CAM Characteristics'!H112/1000</f>
        <v>0.95551047851671844</v>
      </c>
      <c r="P41" s="143"/>
      <c r="Q41" s="143"/>
      <c r="R41" s="143"/>
      <c r="S41" s="143"/>
      <c r="U41" s="8">
        <f>'Ecoinvent 3.10'!N20</f>
        <v>1.0038</v>
      </c>
      <c r="V41" s="8">
        <f>'Ecoinvent 3.10'!N20</f>
        <v>1.0038</v>
      </c>
      <c r="X41" t="s">
        <v>380</v>
      </c>
      <c r="Y41" s="9">
        <f t="shared" si="34"/>
        <v>0</v>
      </c>
      <c r="Z41" s="9">
        <f t="shared" si="35"/>
        <v>0</v>
      </c>
      <c r="AA41" s="9">
        <f t="shared" si="36"/>
        <v>0</v>
      </c>
      <c r="AB41" s="9">
        <f t="shared" si="37"/>
        <v>0</v>
      </c>
      <c r="AC41" s="9">
        <f t="shared" si="38"/>
        <v>0</v>
      </c>
      <c r="AD41" s="9">
        <f t="shared" si="41"/>
        <v>0.95914141833508204</v>
      </c>
      <c r="AE41" s="9">
        <f t="shared" si="39"/>
        <v>0</v>
      </c>
      <c r="AF41" s="9">
        <f t="shared" si="40"/>
        <v>0</v>
      </c>
      <c r="AH41" t="s">
        <v>380</v>
      </c>
      <c r="AI41" s="9">
        <f t="shared" si="43"/>
        <v>0</v>
      </c>
      <c r="AJ41" s="9">
        <f t="shared" si="42"/>
        <v>0</v>
      </c>
      <c r="AK41" s="9">
        <f t="shared" si="42"/>
        <v>0</v>
      </c>
      <c r="AL41" s="9">
        <f t="shared" si="42"/>
        <v>0</v>
      </c>
      <c r="AM41" s="9">
        <f t="shared" si="42"/>
        <v>0</v>
      </c>
      <c r="AN41" s="9">
        <f t="shared" si="42"/>
        <v>0.95914141833508204</v>
      </c>
      <c r="AO41" s="9">
        <f t="shared" si="42"/>
        <v>0</v>
      </c>
      <c r="AP41" s="9">
        <f t="shared" si="42"/>
        <v>0</v>
      </c>
    </row>
    <row r="42" spans="2:42" x14ac:dyDescent="0.2">
      <c r="B42" s="734"/>
      <c r="C42" s="148" t="s">
        <v>364</v>
      </c>
      <c r="D42" s="143"/>
      <c r="E42" s="127"/>
      <c r="F42" s="143"/>
      <c r="G42" s="127"/>
      <c r="H42" s="143"/>
      <c r="I42" s="127"/>
      <c r="J42" s="143"/>
      <c r="K42" s="127"/>
      <c r="L42" s="143"/>
      <c r="M42" s="127"/>
      <c r="N42" s="193"/>
      <c r="O42" s="194"/>
      <c r="P42" s="142"/>
      <c r="Q42" s="142"/>
      <c r="R42" s="142"/>
      <c r="S42" s="142"/>
      <c r="U42" s="8">
        <f>'Ecoinvent 3.10'!N26</f>
        <v>4.2383999999999998E-4</v>
      </c>
      <c r="V42" s="8">
        <f>'Ecoinvent 3.10'!N26</f>
        <v>4.2383999999999998E-4</v>
      </c>
      <c r="X42" t="s">
        <v>364</v>
      </c>
      <c r="Y42" s="9">
        <f t="shared" si="34"/>
        <v>0</v>
      </c>
      <c r="Z42" s="9">
        <f t="shared" si="35"/>
        <v>0</v>
      </c>
      <c r="AA42" s="9">
        <f t="shared" si="36"/>
        <v>0</v>
      </c>
      <c r="AB42" s="9">
        <f t="shared" si="37"/>
        <v>0</v>
      </c>
      <c r="AC42" s="9">
        <f t="shared" si="38"/>
        <v>0</v>
      </c>
      <c r="AD42" s="9">
        <f t="shared" si="41"/>
        <v>0</v>
      </c>
      <c r="AE42" s="9">
        <f t="shared" si="39"/>
        <v>0</v>
      </c>
      <c r="AF42" s="9">
        <f t="shared" si="40"/>
        <v>0</v>
      </c>
      <c r="AH42" t="s">
        <v>364</v>
      </c>
      <c r="AI42" s="9">
        <f t="shared" si="43"/>
        <v>0</v>
      </c>
      <c r="AJ42" s="9">
        <f t="shared" si="42"/>
        <v>0</v>
      </c>
      <c r="AK42" s="9">
        <f t="shared" si="42"/>
        <v>0</v>
      </c>
      <c r="AL42" s="9">
        <f t="shared" si="42"/>
        <v>0</v>
      </c>
      <c r="AM42" s="9">
        <f t="shared" si="42"/>
        <v>0</v>
      </c>
      <c r="AN42" s="9">
        <f t="shared" si="42"/>
        <v>0</v>
      </c>
      <c r="AO42" s="9">
        <f t="shared" si="42"/>
        <v>0</v>
      </c>
      <c r="AP42" s="9">
        <f t="shared" si="42"/>
        <v>0</v>
      </c>
    </row>
    <row r="43" spans="2:42" x14ac:dyDescent="0.2">
      <c r="B43" s="734"/>
      <c r="C43" s="148" t="s">
        <v>333</v>
      </c>
      <c r="D43" s="143"/>
      <c r="E43" s="127"/>
      <c r="F43" s="143"/>
      <c r="G43" s="127"/>
      <c r="H43" s="143"/>
      <c r="I43" s="127"/>
      <c r="J43" s="143"/>
      <c r="K43" s="127"/>
      <c r="L43" s="143"/>
      <c r="M43" s="127"/>
      <c r="N43" s="126">
        <f>GREET!L24</f>
        <v>12.404004075976564</v>
      </c>
      <c r="O43" s="127">
        <f>GREET!L24</f>
        <v>12.404004075976564</v>
      </c>
      <c r="P43" s="143"/>
      <c r="Q43" s="143"/>
      <c r="R43" s="143"/>
      <c r="S43" s="143"/>
      <c r="U43" s="8">
        <f>'Ecoinvent 3.10'!N34</f>
        <v>0.32044</v>
      </c>
      <c r="V43" s="8">
        <f>'Ecoinvent 3.10'!N34</f>
        <v>0.32044</v>
      </c>
      <c r="X43" t="s">
        <v>333</v>
      </c>
      <c r="Y43" s="9">
        <f t="shared" si="34"/>
        <v>0</v>
      </c>
      <c r="Z43" s="9">
        <f t="shared" si="35"/>
        <v>0</v>
      </c>
      <c r="AA43" s="9">
        <f t="shared" si="36"/>
        <v>0</v>
      </c>
      <c r="AB43" s="9">
        <f t="shared" si="37"/>
        <v>0</v>
      </c>
      <c r="AC43" s="9">
        <f t="shared" si="38"/>
        <v>0</v>
      </c>
      <c r="AD43" s="9">
        <f t="shared" si="41"/>
        <v>3.9747390661059301</v>
      </c>
      <c r="AE43" s="9">
        <f t="shared" si="39"/>
        <v>0</v>
      </c>
      <c r="AF43" s="9">
        <f t="shared" si="40"/>
        <v>0</v>
      </c>
      <c r="AH43" t="s">
        <v>333</v>
      </c>
      <c r="AI43" s="9">
        <f t="shared" si="43"/>
        <v>0</v>
      </c>
      <c r="AJ43" s="9">
        <f t="shared" si="42"/>
        <v>0</v>
      </c>
      <c r="AK43" s="9">
        <f t="shared" si="42"/>
        <v>0</v>
      </c>
      <c r="AL43" s="9">
        <f t="shared" si="42"/>
        <v>0</v>
      </c>
      <c r="AM43" s="9">
        <f t="shared" si="42"/>
        <v>0</v>
      </c>
      <c r="AN43" s="9">
        <f t="shared" si="42"/>
        <v>3.9747390661059301</v>
      </c>
      <c r="AO43" s="9">
        <f t="shared" si="42"/>
        <v>0</v>
      </c>
      <c r="AP43" s="9">
        <f t="shared" si="42"/>
        <v>0</v>
      </c>
    </row>
    <row r="44" spans="2:42" x14ac:dyDescent="0.2">
      <c r="B44" s="734"/>
      <c r="C44" s="148" t="s">
        <v>365</v>
      </c>
      <c r="D44" s="143"/>
      <c r="E44" s="127"/>
      <c r="F44" s="143"/>
      <c r="G44" s="127"/>
      <c r="H44" s="143"/>
      <c r="I44" s="127"/>
      <c r="J44" s="143"/>
      <c r="K44" s="127"/>
      <c r="L44" s="143"/>
      <c r="M44" s="127"/>
      <c r="N44" s="193"/>
      <c r="O44" s="194"/>
      <c r="P44" s="142"/>
      <c r="Q44" s="142"/>
      <c r="R44" s="142"/>
      <c r="S44" s="142"/>
      <c r="U44" s="8">
        <f>'Ecoinvent 3.10'!N35</f>
        <v>0.20746439999999999</v>
      </c>
      <c r="V44" s="8">
        <f>'Ecoinvent 3.10'!N35</f>
        <v>0.20746439999999999</v>
      </c>
      <c r="X44" t="s">
        <v>365</v>
      </c>
      <c r="Y44" s="9">
        <f t="shared" si="34"/>
        <v>0</v>
      </c>
      <c r="Z44" s="9">
        <f t="shared" si="35"/>
        <v>0</v>
      </c>
      <c r="AA44" s="9">
        <f t="shared" si="36"/>
        <v>0</v>
      </c>
      <c r="AB44" s="9">
        <f t="shared" si="37"/>
        <v>0</v>
      </c>
      <c r="AC44" s="9">
        <f t="shared" si="38"/>
        <v>0</v>
      </c>
      <c r="AD44" s="9">
        <f t="shared" si="41"/>
        <v>0</v>
      </c>
      <c r="AE44" s="9">
        <f t="shared" si="39"/>
        <v>0</v>
      </c>
      <c r="AF44" s="9">
        <f t="shared" si="40"/>
        <v>0</v>
      </c>
      <c r="AH44" t="s">
        <v>365</v>
      </c>
      <c r="AI44" s="9">
        <f t="shared" si="43"/>
        <v>0</v>
      </c>
      <c r="AJ44" s="9">
        <f t="shared" si="42"/>
        <v>0</v>
      </c>
      <c r="AK44" s="9">
        <f t="shared" si="42"/>
        <v>0</v>
      </c>
      <c r="AL44" s="9">
        <f t="shared" si="42"/>
        <v>0</v>
      </c>
      <c r="AM44" s="9">
        <f t="shared" si="42"/>
        <v>0</v>
      </c>
      <c r="AN44" s="9">
        <f t="shared" si="42"/>
        <v>0</v>
      </c>
      <c r="AO44" s="9">
        <f t="shared" si="42"/>
        <v>0</v>
      </c>
      <c r="AP44" s="9">
        <f t="shared" si="42"/>
        <v>0</v>
      </c>
    </row>
    <row r="45" spans="2:42" ht="14.25" x14ac:dyDescent="0.25">
      <c r="B45" s="734"/>
      <c r="C45" s="148" t="s">
        <v>374</v>
      </c>
      <c r="D45" s="143"/>
      <c r="E45" s="127"/>
      <c r="F45" s="143"/>
      <c r="G45" s="127"/>
      <c r="H45" s="143"/>
      <c r="I45" s="127"/>
      <c r="J45" s="143"/>
      <c r="K45" s="127"/>
      <c r="L45" s="143"/>
      <c r="M45" s="127"/>
      <c r="N45" s="143">
        <f>'CAM Characteristics'!H118/1000</f>
        <v>0.27243259422523713</v>
      </c>
      <c r="O45" s="127">
        <f>'CAM Characteristics'!H118/1000</f>
        <v>0.27243259422523713</v>
      </c>
      <c r="P45" s="143"/>
      <c r="Q45" s="143"/>
      <c r="R45" s="143"/>
      <c r="S45" s="143"/>
      <c r="U45">
        <v>1</v>
      </c>
      <c r="V45">
        <v>1</v>
      </c>
      <c r="X45" t="s">
        <v>739</v>
      </c>
      <c r="Y45" s="9">
        <f t="shared" si="34"/>
        <v>0</v>
      </c>
      <c r="Z45" s="9">
        <f t="shared" si="35"/>
        <v>0</v>
      </c>
      <c r="AA45" s="9">
        <f t="shared" si="36"/>
        <v>0</v>
      </c>
      <c r="AB45" s="9">
        <f t="shared" si="37"/>
        <v>0</v>
      </c>
      <c r="AC45" s="9">
        <f t="shared" si="38"/>
        <v>0</v>
      </c>
      <c r="AD45" s="9">
        <f t="shared" si="41"/>
        <v>0.27243259422523713</v>
      </c>
      <c r="AE45" s="9">
        <f t="shared" si="39"/>
        <v>0</v>
      </c>
      <c r="AF45" s="9">
        <f t="shared" si="40"/>
        <v>0</v>
      </c>
      <c r="AH45" t="s">
        <v>739</v>
      </c>
      <c r="AI45" s="9">
        <f t="shared" si="43"/>
        <v>0</v>
      </c>
      <c r="AJ45" s="9">
        <f t="shared" si="42"/>
        <v>0</v>
      </c>
      <c r="AK45" s="9">
        <f t="shared" si="42"/>
        <v>0</v>
      </c>
      <c r="AL45" s="9">
        <f t="shared" si="42"/>
        <v>0</v>
      </c>
      <c r="AM45" s="9">
        <f t="shared" si="42"/>
        <v>0</v>
      </c>
      <c r="AN45" s="9">
        <f t="shared" si="42"/>
        <v>0.27243259422523713</v>
      </c>
      <c r="AO45" s="9">
        <f t="shared" si="42"/>
        <v>0</v>
      </c>
      <c r="AP45" s="9">
        <f t="shared" si="42"/>
        <v>0</v>
      </c>
    </row>
    <row r="46" spans="2:42" ht="14.25" x14ac:dyDescent="0.25">
      <c r="B46" s="734"/>
      <c r="C46" s="148" t="s">
        <v>375</v>
      </c>
      <c r="D46" s="143"/>
      <c r="E46" s="127"/>
      <c r="F46" s="143"/>
      <c r="G46" s="127"/>
      <c r="H46" s="143"/>
      <c r="I46" s="127"/>
      <c r="J46" s="143"/>
      <c r="K46" s="127"/>
      <c r="L46" s="143"/>
      <c r="M46" s="127"/>
      <c r="N46" s="143">
        <f>'CAM Characteristics'!H121/1000</f>
        <v>0.33455928457594913</v>
      </c>
      <c r="O46" s="127">
        <f>'CAM Characteristics'!H121/1000</f>
        <v>0.33455928457594913</v>
      </c>
      <c r="P46" s="143"/>
      <c r="Q46" s="143"/>
      <c r="R46" s="143"/>
      <c r="S46" s="143"/>
      <c r="X46" t="s">
        <v>740</v>
      </c>
      <c r="Y46" s="9"/>
      <c r="Z46" s="9"/>
      <c r="AA46" s="9"/>
      <c r="AB46" s="9"/>
      <c r="AC46" s="9"/>
      <c r="AD46" s="9"/>
      <c r="AE46" s="9"/>
      <c r="AF46" s="9"/>
      <c r="AH46" t="s">
        <v>740</v>
      </c>
      <c r="AI46" s="9"/>
      <c r="AJ46" s="9"/>
      <c r="AK46" s="9"/>
      <c r="AL46" s="9"/>
      <c r="AM46" s="9"/>
      <c r="AN46" s="9"/>
      <c r="AO46" s="9"/>
      <c r="AP46" s="9"/>
    </row>
    <row r="47" spans="2:42" ht="14.25" x14ac:dyDescent="0.25">
      <c r="B47" s="734"/>
      <c r="C47" s="148" t="s">
        <v>416</v>
      </c>
      <c r="D47" s="143"/>
      <c r="E47" s="127"/>
      <c r="F47" s="143"/>
      <c r="G47" s="127"/>
      <c r="H47" s="143"/>
      <c r="I47" s="127"/>
      <c r="J47" s="143"/>
      <c r="K47" s="127"/>
      <c r="L47" s="143"/>
      <c r="M47" s="127"/>
      <c r="N47" s="143">
        <f>'CAM Characteristics'!H124/1000</f>
        <v>0.4217062675790631</v>
      </c>
      <c r="O47" s="127">
        <f>'CAM Characteristics'!H124/1000</f>
        <v>0.4217062675790631</v>
      </c>
      <c r="P47" s="143"/>
      <c r="Q47" s="143"/>
      <c r="R47" s="143"/>
      <c r="S47" s="143"/>
      <c r="X47" t="s">
        <v>743</v>
      </c>
      <c r="Y47" s="9"/>
      <c r="Z47" s="9"/>
      <c r="AA47" s="9"/>
      <c r="AB47" s="9"/>
      <c r="AC47" s="9"/>
      <c r="AD47" s="9"/>
      <c r="AE47" s="9"/>
      <c r="AF47" s="9"/>
      <c r="AH47" t="s">
        <v>743</v>
      </c>
      <c r="AI47" s="9"/>
      <c r="AJ47" s="9"/>
      <c r="AK47" s="9"/>
      <c r="AL47" s="9"/>
      <c r="AM47" s="9"/>
      <c r="AN47" s="9"/>
      <c r="AO47" s="9"/>
      <c r="AP47" s="9"/>
    </row>
    <row r="48" spans="2:42" ht="14.25" x14ac:dyDescent="0.25">
      <c r="B48" s="734"/>
      <c r="C48" s="407" t="s">
        <v>417</v>
      </c>
      <c r="D48" s="405"/>
      <c r="E48" s="406"/>
      <c r="F48" s="405"/>
      <c r="G48" s="406"/>
      <c r="H48" s="405"/>
      <c r="I48" s="406"/>
      <c r="J48" s="405"/>
      <c r="K48" s="406"/>
      <c r="L48" s="405"/>
      <c r="M48" s="406"/>
      <c r="N48" s="405">
        <f>'CAM Characteristics'!H127/1000</f>
        <v>6.6026632052679668E-2</v>
      </c>
      <c r="O48" s="406">
        <f>'CAM Characteristics'!H127/1000</f>
        <v>6.6026632052679668E-2</v>
      </c>
      <c r="P48" s="405"/>
      <c r="Q48" s="405"/>
      <c r="R48" s="405"/>
      <c r="S48" s="405"/>
      <c r="X48" t="s">
        <v>745</v>
      </c>
      <c r="Y48" s="9"/>
      <c r="Z48" s="9"/>
      <c r="AA48" s="9"/>
      <c r="AB48" s="9"/>
      <c r="AC48" s="9"/>
      <c r="AD48" s="9"/>
      <c r="AE48" s="9"/>
      <c r="AF48" s="9"/>
      <c r="AH48" t="s">
        <v>745</v>
      </c>
      <c r="AI48" s="9"/>
      <c r="AJ48" s="9"/>
      <c r="AK48" s="9"/>
      <c r="AL48" s="9"/>
      <c r="AM48" s="9"/>
      <c r="AN48" s="9"/>
      <c r="AO48" s="9"/>
      <c r="AP48" s="9"/>
    </row>
    <row r="49" spans="2:42" x14ac:dyDescent="0.2">
      <c r="B49" s="734"/>
      <c r="C49" s="117" t="s">
        <v>57</v>
      </c>
      <c r="D49" s="136">
        <f t="shared" ref="D49:O49" si="44">D50+D52-D59</f>
        <v>1.3138067327812863</v>
      </c>
      <c r="E49" s="120">
        <f t="shared" si="44"/>
        <v>1.1034348530798701</v>
      </c>
      <c r="F49" s="136">
        <f t="shared" si="44"/>
        <v>1.4427322827195366</v>
      </c>
      <c r="G49" s="120">
        <f t="shared" si="44"/>
        <v>1.1693301341594204</v>
      </c>
      <c r="H49" s="136">
        <f t="shared" si="44"/>
        <v>1.427082952585474</v>
      </c>
      <c r="I49" s="120">
        <f t="shared" si="44"/>
        <v>1.1613315876464547</v>
      </c>
      <c r="J49" s="136">
        <f t="shared" si="44"/>
        <v>1.1421915089589574</v>
      </c>
      <c r="K49" s="120">
        <f t="shared" si="44"/>
        <v>0.92035843418291186</v>
      </c>
      <c r="L49" s="136">
        <f t="shared" si="44"/>
        <v>0.97247836538007149</v>
      </c>
      <c r="M49" s="120">
        <f t="shared" si="44"/>
        <v>0.7727468175009905</v>
      </c>
      <c r="N49" s="136">
        <f t="shared" si="44"/>
        <v>1.7478141583345304</v>
      </c>
      <c r="O49" s="120">
        <f t="shared" si="44"/>
        <v>1.3792525748477078</v>
      </c>
      <c r="P49" s="136">
        <f>P51+P52-P59</f>
        <v>1.495803951115789</v>
      </c>
      <c r="Q49" s="120">
        <f>Q51+Q52-Q59</f>
        <v>1.2976515335517409</v>
      </c>
      <c r="R49" s="136">
        <f>R50+R56</f>
        <v>1.2496103696880727</v>
      </c>
      <c r="S49" s="136">
        <f>S50+S56</f>
        <v>0.63868974450723726</v>
      </c>
      <c r="X49" s="1" t="s">
        <v>57</v>
      </c>
      <c r="Y49" s="58">
        <f t="shared" ref="Y49:AF49" si="45">Y50+Y52</f>
        <v>9.0790511268756315</v>
      </c>
      <c r="Z49" s="58">
        <f t="shared" si="45"/>
        <v>9.678026052832525</v>
      </c>
      <c r="AA49" s="58">
        <f t="shared" si="45"/>
        <v>9.6053208647389745</v>
      </c>
      <c r="AB49" s="58">
        <f t="shared" si="45"/>
        <v>7.7390267544621745</v>
      </c>
      <c r="AC49" s="58">
        <f t="shared" si="45"/>
        <v>6.6041413577911747</v>
      </c>
      <c r="AD49" s="58">
        <f t="shared" si="45"/>
        <v>11.4673101791197</v>
      </c>
      <c r="AE49" s="58">
        <f>AE51+AE52</f>
        <v>6.9583162823948239</v>
      </c>
      <c r="AF49" s="58">
        <f t="shared" si="45"/>
        <v>39.063011590535666</v>
      </c>
      <c r="AH49" s="1" t="s">
        <v>57</v>
      </c>
      <c r="AI49" s="58">
        <f t="shared" ref="AI49:AP49" si="46">AI50+AI52</f>
        <v>10.226581991073163</v>
      </c>
      <c r="AJ49" s="58">
        <f t="shared" si="46"/>
        <v>10.825556917030056</v>
      </c>
      <c r="AK49" s="58">
        <f t="shared" si="46"/>
        <v>10.752851728936506</v>
      </c>
      <c r="AL49" s="58">
        <f t="shared" si="46"/>
        <v>8.5884976539330751</v>
      </c>
      <c r="AM49" s="58">
        <f t="shared" si="46"/>
        <v>7.2633612159472039</v>
      </c>
      <c r="AN49" s="58">
        <f t="shared" si="46"/>
        <v>12.758282401341923</v>
      </c>
      <c r="AO49" s="58">
        <f>AO51+AO52</f>
        <v>6.9583162823948239</v>
      </c>
      <c r="AP49" s="58">
        <f t="shared" si="46"/>
        <v>39.063011590535666</v>
      </c>
    </row>
    <row r="50" spans="2:42" x14ac:dyDescent="0.2">
      <c r="B50" s="734"/>
      <c r="C50" s="123" t="s">
        <v>219</v>
      </c>
      <c r="D50" s="121">
        <f>'Cell parameters'!D109/1000</f>
        <v>0.41086478374004631</v>
      </c>
      <c r="E50" s="116">
        <f>'Cell parameters'!E109/1000</f>
        <v>0.20999755613380142</v>
      </c>
      <c r="F50" s="121">
        <f>'Cell parameters'!F109/1000</f>
        <v>0.53979033367829687</v>
      </c>
      <c r="G50" s="116">
        <f>'Cell parameters'!G109/1000</f>
        <v>0.27589283721335156</v>
      </c>
      <c r="H50" s="121">
        <f>'Cell parameters'!H109/1000</f>
        <v>0.52414100354423376</v>
      </c>
      <c r="I50" s="116">
        <f>'Cell parameters'!I109/1000</f>
        <v>0.26789429070038617</v>
      </c>
      <c r="J50" s="121">
        <f>'Cell parameters'!J109/1000</f>
        <v>0.4386003798359136</v>
      </c>
      <c r="K50" s="116">
        <f>'Cell parameters'!K109/1000</f>
        <v>0.22417352747168917</v>
      </c>
      <c r="L50" s="121">
        <f>'Cell parameters'!L109/1000</f>
        <v>0.39613244046013096</v>
      </c>
      <c r="M50" s="116">
        <f>'Cell parameters'!M109/1000</f>
        <v>0.20246769179073362</v>
      </c>
      <c r="N50" s="121">
        <f>'Cell parameters'!N109/1000</f>
        <v>0.73200446566313548</v>
      </c>
      <c r="O50" s="116">
        <f>'Cell parameters'!O109/1000</f>
        <v>0.37413561578338028</v>
      </c>
      <c r="P50" s="193"/>
      <c r="Q50" s="194"/>
      <c r="R50" s="121">
        <f>'Cell parameters'!R109/1000</f>
        <v>0.38542615828553284</v>
      </c>
      <c r="S50" s="116">
        <f>'Cell parameters'!S109/1000</f>
        <v>0.19699559201260566</v>
      </c>
      <c r="U50" s="8">
        <f>'Ecoinvent 3.10'!N32</f>
        <v>9.0898000000000003</v>
      </c>
      <c r="V50" s="8">
        <f>'Ecoinvent 3.10'!N32</f>
        <v>9.0898000000000003</v>
      </c>
      <c r="X50" t="s">
        <v>219</v>
      </c>
      <c r="Y50" s="9">
        <f>E50*$U50</f>
        <v>1.9088357857450282</v>
      </c>
      <c r="Z50" s="9">
        <f>G50*$U50</f>
        <v>2.5078107117019233</v>
      </c>
      <c r="AA50" s="9">
        <f>I50*$U50</f>
        <v>2.4351055236083705</v>
      </c>
      <c r="AB50" s="9">
        <f>K50*$U50</f>
        <v>2.0376925300121602</v>
      </c>
      <c r="AC50" s="9">
        <f>M50*$U50</f>
        <v>1.8403908248394105</v>
      </c>
      <c r="AD50" s="9">
        <f>O50*$U50</f>
        <v>3.4008179203477704</v>
      </c>
      <c r="AE50" s="9">
        <f>Q50*$U50</f>
        <v>0</v>
      </c>
      <c r="AF50" s="9">
        <f>S50*$U50</f>
        <v>1.790650532276183</v>
      </c>
      <c r="AH50" t="s">
        <v>219</v>
      </c>
      <c r="AI50" s="9">
        <f>Y50</f>
        <v>1.9088357857450282</v>
      </c>
      <c r="AJ50" s="9">
        <f t="shared" ref="AJ50:AP51" si="47">Z50</f>
        <v>2.5078107117019233</v>
      </c>
      <c r="AK50" s="9">
        <f t="shared" si="47"/>
        <v>2.4351055236083705</v>
      </c>
      <c r="AL50" s="9">
        <f t="shared" si="47"/>
        <v>2.0376925300121602</v>
      </c>
      <c r="AM50" s="9">
        <f t="shared" si="47"/>
        <v>1.8403908248394105</v>
      </c>
      <c r="AN50" s="9">
        <f t="shared" si="47"/>
        <v>3.4008179203477704</v>
      </c>
      <c r="AO50" s="9">
        <f t="shared" si="47"/>
        <v>0</v>
      </c>
      <c r="AP50" s="9">
        <f t="shared" si="47"/>
        <v>1.790650532276183</v>
      </c>
    </row>
    <row r="51" spans="2:42" x14ac:dyDescent="0.2">
      <c r="B51" s="734"/>
      <c r="C51" s="123" t="s">
        <v>198</v>
      </c>
      <c r="D51" s="193"/>
      <c r="E51" s="194"/>
      <c r="F51" s="193"/>
      <c r="G51" s="194"/>
      <c r="H51" s="193"/>
      <c r="I51" s="194"/>
      <c r="J51" s="193"/>
      <c r="K51" s="194"/>
      <c r="L51" s="193"/>
      <c r="M51" s="194"/>
      <c r="N51" s="193"/>
      <c r="O51" s="194"/>
      <c r="P51" s="121">
        <f>'Cell parameters'!P110/1000</f>
        <v>0.38131560258488661</v>
      </c>
      <c r="Q51" s="121">
        <f>'Cell parameters'!Q110/1000</f>
        <v>0.19489464132116427</v>
      </c>
      <c r="R51" s="193"/>
      <c r="S51" s="194"/>
      <c r="U51" s="8">
        <f>'Ecoinvent 3.10'!N5</f>
        <v>16.254999999999999</v>
      </c>
      <c r="V51" s="8">
        <f>'Ecoinvent 3.10'!N5</f>
        <v>16.254999999999999</v>
      </c>
      <c r="X51" t="s">
        <v>198</v>
      </c>
      <c r="Y51" s="9">
        <f>E51*$U51</f>
        <v>0</v>
      </c>
      <c r="Z51" s="9">
        <f>G51*$U51</f>
        <v>0</v>
      </c>
      <c r="AA51" s="9">
        <f>I51*$U51</f>
        <v>0</v>
      </c>
      <c r="AB51" s="9">
        <f>K51*$U51</f>
        <v>0</v>
      </c>
      <c r="AC51" s="9">
        <f>M51*$U51</f>
        <v>0</v>
      </c>
      <c r="AD51" s="9">
        <f>O51*$U51</f>
        <v>0</v>
      </c>
      <c r="AE51" s="9">
        <f>Q51*$U51</f>
        <v>3.1680123946755252</v>
      </c>
      <c r="AF51" s="9">
        <f>S51*$U51</f>
        <v>0</v>
      </c>
      <c r="AH51" t="s">
        <v>198</v>
      </c>
      <c r="AI51" s="9">
        <f>Y51</f>
        <v>0</v>
      </c>
      <c r="AJ51" s="9">
        <f t="shared" si="47"/>
        <v>0</v>
      </c>
      <c r="AK51" s="9">
        <f t="shared" si="47"/>
        <v>0</v>
      </c>
      <c r="AL51" s="9">
        <f t="shared" si="47"/>
        <v>0</v>
      </c>
      <c r="AM51" s="9">
        <f t="shared" si="47"/>
        <v>0</v>
      </c>
      <c r="AN51" s="9">
        <f t="shared" si="47"/>
        <v>0</v>
      </c>
      <c r="AO51" s="9">
        <f t="shared" si="47"/>
        <v>3.1680123946755252</v>
      </c>
      <c r="AP51" s="9">
        <f t="shared" si="47"/>
        <v>0</v>
      </c>
    </row>
    <row r="52" spans="2:42" x14ac:dyDescent="0.2">
      <c r="B52" s="734"/>
      <c r="C52" s="123" t="s">
        <v>197</v>
      </c>
      <c r="D52" s="121">
        <f t="shared" ref="D52:Q52" si="48">SUM(D53:D59)</f>
        <v>1.8058838980824801</v>
      </c>
      <c r="E52" s="116">
        <f t="shared" si="48"/>
        <v>1.7868745938921375</v>
      </c>
      <c r="F52" s="121">
        <f t="shared" si="48"/>
        <v>1.8058838980824794</v>
      </c>
      <c r="G52" s="116">
        <f t="shared" si="48"/>
        <v>1.7868745938921373</v>
      </c>
      <c r="H52" s="121">
        <f t="shared" si="48"/>
        <v>1.8058838980824803</v>
      </c>
      <c r="I52" s="116">
        <f t="shared" si="48"/>
        <v>1.7868745938921378</v>
      </c>
      <c r="J52" s="121">
        <f t="shared" si="48"/>
        <v>1.4071822582460878</v>
      </c>
      <c r="K52" s="116">
        <f t="shared" si="48"/>
        <v>1.3923698134224454</v>
      </c>
      <c r="L52" s="121">
        <f t="shared" si="48"/>
        <v>1.152691849839881</v>
      </c>
      <c r="M52" s="116">
        <f t="shared" si="48"/>
        <v>1.1405582514205137</v>
      </c>
      <c r="N52" s="121">
        <f t="shared" si="48"/>
        <v>2.0316193853427897</v>
      </c>
      <c r="O52" s="116">
        <f t="shared" si="48"/>
        <v>2.0102339181286553</v>
      </c>
      <c r="P52" s="121">
        <f t="shared" si="48"/>
        <v>2.2289766970618041</v>
      </c>
      <c r="Q52" s="116">
        <f t="shared" si="48"/>
        <v>2.2055137844611532</v>
      </c>
      <c r="R52" s="193"/>
      <c r="S52" s="194"/>
      <c r="X52" s="1" t="s">
        <v>197</v>
      </c>
      <c r="Y52" s="58">
        <f>SUM(Y53:Y59)</f>
        <v>7.1702153411306027</v>
      </c>
      <c r="Z52" s="58">
        <f t="shared" ref="Z52:AF52" si="49">SUM(Z53:Z59)</f>
        <v>7.1702153411306018</v>
      </c>
      <c r="AA52" s="58">
        <f t="shared" si="49"/>
        <v>7.1702153411306035</v>
      </c>
      <c r="AB52" s="58">
        <f t="shared" si="49"/>
        <v>5.7013342244500143</v>
      </c>
      <c r="AC52" s="58">
        <f t="shared" si="49"/>
        <v>4.7637505329517644</v>
      </c>
      <c r="AD52" s="58">
        <f t="shared" si="49"/>
        <v>8.0664922587719303</v>
      </c>
      <c r="AE52" s="58">
        <f t="shared" si="49"/>
        <v>3.7903038877192987</v>
      </c>
      <c r="AF52" s="58">
        <f t="shared" si="49"/>
        <v>37.272361058259484</v>
      </c>
      <c r="AH52" s="1" t="s">
        <v>197</v>
      </c>
      <c r="AI52" s="58">
        <f t="shared" ref="AI52:AP52" si="50">SUM(AI53:AI59)</f>
        <v>8.3177462053281346</v>
      </c>
      <c r="AJ52" s="58">
        <f t="shared" si="50"/>
        <v>8.3177462053281328</v>
      </c>
      <c r="AK52" s="58">
        <f t="shared" si="50"/>
        <v>8.3177462053281346</v>
      </c>
      <c r="AL52" s="58">
        <f t="shared" si="50"/>
        <v>6.550805123920914</v>
      </c>
      <c r="AM52" s="58">
        <f t="shared" si="50"/>
        <v>5.4229703911077936</v>
      </c>
      <c r="AN52" s="58">
        <f t="shared" si="50"/>
        <v>9.3574644809941532</v>
      </c>
      <c r="AO52" s="58">
        <f t="shared" si="50"/>
        <v>3.7903038877192987</v>
      </c>
      <c r="AP52" s="58">
        <f t="shared" si="50"/>
        <v>37.272361058259484</v>
      </c>
    </row>
    <row r="53" spans="2:42" x14ac:dyDescent="0.2">
      <c r="B53" s="734"/>
      <c r="C53" s="147" t="s">
        <v>59</v>
      </c>
      <c r="D53" s="121">
        <f>'Cell parameters'!D102/1000</f>
        <v>0.84876543209876554</v>
      </c>
      <c r="E53" s="116">
        <f>'Cell parameters'!E102/1000</f>
        <v>0.84876543209876532</v>
      </c>
      <c r="F53" s="121">
        <f>'Cell parameters'!F102/1000</f>
        <v>0.84876543209876532</v>
      </c>
      <c r="G53" s="116">
        <f>'Cell parameters'!G102/1000</f>
        <v>0.8487654320987652</v>
      </c>
      <c r="H53" s="121">
        <f>'Cell parameters'!H102/1000</f>
        <v>0.84876543209876565</v>
      </c>
      <c r="I53" s="116">
        <f>'Cell parameters'!I102/1000</f>
        <v>0.84876543209876543</v>
      </c>
      <c r="J53" s="121">
        <f>'Cell parameters'!J102/1000</f>
        <v>0.62830687830687815</v>
      </c>
      <c r="K53" s="116">
        <f>'Cell parameters'!K102/1000</f>
        <v>0.62830687830687837</v>
      </c>
      <c r="L53" s="121">
        <f>'Cell parameters'!L102/1000</f>
        <v>0.48758865248226962</v>
      </c>
      <c r="M53" s="116">
        <f>'Cell parameters'!M102/1000</f>
        <v>0.48758865248226951</v>
      </c>
      <c r="N53" s="121">
        <f>'Cell parameters'!N102/1000</f>
        <v>0.95486111111111116</v>
      </c>
      <c r="O53" s="116">
        <f>'Cell parameters'!O102/1000</f>
        <v>0.95486111111111127</v>
      </c>
      <c r="P53" s="193"/>
      <c r="Q53" s="194"/>
      <c r="R53" s="193"/>
      <c r="S53" s="194"/>
      <c r="U53" s="8">
        <f>'Ecoinvent 3.10'!N28</f>
        <v>8.2479999999999993</v>
      </c>
      <c r="V53" s="584">
        <v>9.6</v>
      </c>
      <c r="X53" t="s">
        <v>59</v>
      </c>
      <c r="Y53" s="9">
        <f t="shared" ref="Y53:Y64" si="51">E53*$U53</f>
        <v>7.000617283950616</v>
      </c>
      <c r="Z53" s="9">
        <f t="shared" ref="Z53:Z64" si="52">G53*$U53</f>
        <v>7.0006172839506151</v>
      </c>
      <c r="AA53" s="9">
        <f t="shared" ref="AA53:AA64" si="53">I53*$U53</f>
        <v>7.0006172839506169</v>
      </c>
      <c r="AB53" s="9">
        <f t="shared" ref="AB53:AB64" si="54">K53*$U53</f>
        <v>5.1822751322751328</v>
      </c>
      <c r="AC53" s="9">
        <f t="shared" ref="AC53:AC64" si="55">M53*$U53</f>
        <v>4.0216312056737582</v>
      </c>
      <c r="AD53" s="9">
        <f>O53*$U53</f>
        <v>7.875694444444445</v>
      </c>
      <c r="AE53" s="9">
        <f t="shared" ref="AE53:AE64" si="56">Q53*$U53</f>
        <v>0</v>
      </c>
      <c r="AF53" s="9">
        <f t="shared" ref="AF53:AF64" si="57">S53*$U53</f>
        <v>0</v>
      </c>
      <c r="AH53" s="585" t="s">
        <v>59</v>
      </c>
      <c r="AI53" s="633">
        <f>E53*$V53</f>
        <v>8.148148148148147</v>
      </c>
      <c r="AJ53" s="633">
        <f>G53*$V53</f>
        <v>8.1481481481481453</v>
      </c>
      <c r="AK53" s="633">
        <f>I53*$V53</f>
        <v>8.148148148148147</v>
      </c>
      <c r="AL53" s="633">
        <f>K53*$V53</f>
        <v>6.0317460317460325</v>
      </c>
      <c r="AM53" s="633">
        <f>M53*$V53</f>
        <v>4.6808510638297873</v>
      </c>
      <c r="AN53" s="633">
        <f>O53*$V53</f>
        <v>9.1666666666666679</v>
      </c>
      <c r="AO53" s="633">
        <f>Q53*$V53</f>
        <v>0</v>
      </c>
      <c r="AP53" s="633">
        <f>S53*$V53</f>
        <v>0</v>
      </c>
    </row>
    <row r="54" spans="2:42" x14ac:dyDescent="0.2">
      <c r="B54" s="734"/>
      <c r="C54" s="147" t="s">
        <v>193</v>
      </c>
      <c r="D54" s="193"/>
      <c r="E54" s="194"/>
      <c r="F54" s="193"/>
      <c r="G54" s="194"/>
      <c r="H54" s="193"/>
      <c r="I54" s="194"/>
      <c r="J54" s="121">
        <f>'Cell parameters'!J103/1000</f>
        <v>3.306878306878306E-2</v>
      </c>
      <c r="K54" s="116">
        <f>'Cell parameters'!K103/1000</f>
        <v>3.3068783068783074E-2</v>
      </c>
      <c r="L54" s="121">
        <f>'Cell parameters'!L103/1000</f>
        <v>5.4176516942474405E-2</v>
      </c>
      <c r="M54" s="116">
        <f>'Cell parameters'!M103/1000</f>
        <v>5.4176516942474391E-2</v>
      </c>
      <c r="N54" s="193"/>
      <c r="O54" s="194"/>
      <c r="P54" s="193"/>
      <c r="Q54" s="194"/>
      <c r="R54" s="193"/>
      <c r="S54" s="194"/>
      <c r="U54" s="8">
        <f>'Ecoinvent 3.10'!N29</f>
        <v>11.7</v>
      </c>
      <c r="V54" s="8">
        <f>'Ecoinvent 3.10'!N29</f>
        <v>11.7</v>
      </c>
      <c r="X54" t="s">
        <v>193</v>
      </c>
      <c r="Y54" s="9">
        <f t="shared" si="51"/>
        <v>0</v>
      </c>
      <c r="Z54" s="9">
        <f t="shared" si="52"/>
        <v>0</v>
      </c>
      <c r="AA54" s="9">
        <f t="shared" si="53"/>
        <v>0</v>
      </c>
      <c r="AB54" s="9">
        <f t="shared" si="54"/>
        <v>0.38690476190476192</v>
      </c>
      <c r="AC54" s="9">
        <f t="shared" si="55"/>
        <v>0.63386524822695034</v>
      </c>
      <c r="AD54" s="9">
        <f t="shared" ref="AD54:AD64" si="58">O54*$U54</f>
        <v>0</v>
      </c>
      <c r="AE54" s="9">
        <f t="shared" si="56"/>
        <v>0</v>
      </c>
      <c r="AF54" s="9">
        <f t="shared" si="57"/>
        <v>0</v>
      </c>
      <c r="AH54" t="s">
        <v>193</v>
      </c>
      <c r="AI54" s="9">
        <f>Y54</f>
        <v>0</v>
      </c>
      <c r="AJ54" s="9">
        <f t="shared" ref="AJ54:AP64" si="59">Z54</f>
        <v>0</v>
      </c>
      <c r="AK54" s="9">
        <f t="shared" si="59"/>
        <v>0</v>
      </c>
      <c r="AL54" s="9">
        <f t="shared" si="59"/>
        <v>0.38690476190476192</v>
      </c>
      <c r="AM54" s="9">
        <f t="shared" si="59"/>
        <v>0.63386524822695034</v>
      </c>
      <c r="AN54" s="9">
        <f t="shared" si="59"/>
        <v>0</v>
      </c>
      <c r="AO54" s="9">
        <f t="shared" si="59"/>
        <v>0</v>
      </c>
      <c r="AP54" s="9">
        <f t="shared" si="59"/>
        <v>0</v>
      </c>
    </row>
    <row r="55" spans="2:42" x14ac:dyDescent="0.2">
      <c r="B55" s="734"/>
      <c r="C55" s="150" t="s">
        <v>579</v>
      </c>
      <c r="D55" s="193"/>
      <c r="E55" s="194"/>
      <c r="F55" s="193"/>
      <c r="G55" s="194"/>
      <c r="H55" s="193"/>
      <c r="I55" s="194"/>
      <c r="J55" s="193"/>
      <c r="K55" s="194"/>
      <c r="L55" s="193"/>
      <c r="M55" s="194"/>
      <c r="N55" s="193"/>
      <c r="O55" s="194"/>
      <c r="P55" s="115">
        <f>'Cell parameters'!P104/1000</f>
        <v>1.0476190476190479</v>
      </c>
      <c r="Q55" s="115">
        <f>'Cell parameters'!Q104/1000</f>
        <v>1.0476190476190477</v>
      </c>
      <c r="R55" s="193"/>
      <c r="S55" s="194"/>
      <c r="U55" s="8">
        <f>'Ecoinvent 3.10'!N30</f>
        <v>3.4182000000000001</v>
      </c>
      <c r="V55" s="8">
        <f>'Ecoinvent 3.10'!N30</f>
        <v>3.4182000000000001</v>
      </c>
      <c r="X55" t="s">
        <v>579</v>
      </c>
      <c r="Y55" s="9">
        <f t="shared" si="51"/>
        <v>0</v>
      </c>
      <c r="Z55" s="9">
        <f t="shared" si="52"/>
        <v>0</v>
      </c>
      <c r="AA55" s="9">
        <f t="shared" si="53"/>
        <v>0</v>
      </c>
      <c r="AB55" s="9">
        <f t="shared" si="54"/>
        <v>0</v>
      </c>
      <c r="AC55" s="9">
        <f t="shared" si="55"/>
        <v>0</v>
      </c>
      <c r="AD55" s="9">
        <f t="shared" si="58"/>
        <v>0</v>
      </c>
      <c r="AE55" s="9">
        <f t="shared" si="56"/>
        <v>3.5809714285714289</v>
      </c>
      <c r="AF55" s="9">
        <f t="shared" si="57"/>
        <v>0</v>
      </c>
      <c r="AH55" t="s">
        <v>579</v>
      </c>
      <c r="AI55" s="9">
        <f t="shared" ref="AI55:AI64" si="60">Y55</f>
        <v>0</v>
      </c>
      <c r="AJ55" s="9">
        <f t="shared" si="59"/>
        <v>0</v>
      </c>
      <c r="AK55" s="9">
        <f t="shared" si="59"/>
        <v>0</v>
      </c>
      <c r="AL55" s="9">
        <f t="shared" si="59"/>
        <v>0</v>
      </c>
      <c r="AM55" s="9">
        <f t="shared" si="59"/>
        <v>0</v>
      </c>
      <c r="AN55" s="9">
        <f t="shared" si="59"/>
        <v>0</v>
      </c>
      <c r="AO55" s="9">
        <f t="shared" si="59"/>
        <v>3.5809714285714289</v>
      </c>
      <c r="AP55" s="9">
        <f t="shared" si="59"/>
        <v>0</v>
      </c>
    </row>
    <row r="56" spans="2:42" x14ac:dyDescent="0.2">
      <c r="B56" s="734"/>
      <c r="C56" s="150" t="s">
        <v>648</v>
      </c>
      <c r="D56" s="193"/>
      <c r="E56" s="194"/>
      <c r="F56" s="193"/>
      <c r="G56" s="194"/>
      <c r="H56" s="193"/>
      <c r="I56" s="194"/>
      <c r="J56" s="193"/>
      <c r="K56" s="194"/>
      <c r="L56" s="193"/>
      <c r="M56" s="194"/>
      <c r="N56" s="193"/>
      <c r="O56" s="194"/>
      <c r="P56" s="121"/>
      <c r="Q56" s="121"/>
      <c r="R56" s="121">
        <f>'Cell parameters'!R105/1000</f>
        <v>0.86418421140253998</v>
      </c>
      <c r="S56" s="121">
        <f>'Cell parameters'!S105/1000</f>
        <v>0.44169415249463156</v>
      </c>
      <c r="U56" s="8">
        <f>'Ecoinvent 3.10'!N$31</f>
        <v>84.385000000000005</v>
      </c>
      <c r="V56" s="8">
        <f>'Ecoinvent 3.10'!N$31</f>
        <v>84.385000000000005</v>
      </c>
      <c r="X56" t="s">
        <v>648</v>
      </c>
      <c r="Y56" s="9">
        <f t="shared" si="51"/>
        <v>0</v>
      </c>
      <c r="Z56" s="9">
        <f t="shared" si="52"/>
        <v>0</v>
      </c>
      <c r="AA56" s="9">
        <f t="shared" si="53"/>
        <v>0</v>
      </c>
      <c r="AB56" s="9">
        <f t="shared" si="54"/>
        <v>0</v>
      </c>
      <c r="AC56" s="9">
        <f t="shared" si="55"/>
        <v>0</v>
      </c>
      <c r="AD56" s="9">
        <f t="shared" si="58"/>
        <v>0</v>
      </c>
      <c r="AE56" s="9">
        <f t="shared" si="56"/>
        <v>0</v>
      </c>
      <c r="AF56" s="9">
        <f t="shared" si="57"/>
        <v>37.272361058259484</v>
      </c>
      <c r="AH56" t="s">
        <v>648</v>
      </c>
      <c r="AI56" s="9">
        <f t="shared" si="60"/>
        <v>0</v>
      </c>
      <c r="AJ56" s="9">
        <f t="shared" si="59"/>
        <v>0</v>
      </c>
      <c r="AK56" s="9">
        <f t="shared" si="59"/>
        <v>0</v>
      </c>
      <c r="AL56" s="9">
        <f t="shared" si="59"/>
        <v>0</v>
      </c>
      <c r="AM56" s="9">
        <f t="shared" si="59"/>
        <v>0</v>
      </c>
      <c r="AN56" s="9">
        <f t="shared" si="59"/>
        <v>0</v>
      </c>
      <c r="AO56" s="9">
        <f t="shared" si="59"/>
        <v>0</v>
      </c>
      <c r="AP56" s="9">
        <f t="shared" si="59"/>
        <v>37.272361058259484</v>
      </c>
    </row>
    <row r="57" spans="2:42" x14ac:dyDescent="0.2">
      <c r="B57" s="734"/>
      <c r="C57" s="150" t="s">
        <v>66</v>
      </c>
      <c r="D57" s="121">
        <f>'Cell parameters'!D101/1000</f>
        <v>1.8058838980824804E-2</v>
      </c>
      <c r="E57" s="116">
        <f>'Cell parameters'!E101/1000</f>
        <v>8.9343729694606883E-3</v>
      </c>
      <c r="F57" s="121">
        <f>'Cell parameters'!F101/1000</f>
        <v>1.8058838980824801E-2</v>
      </c>
      <c r="G57" s="116">
        <f>'Cell parameters'!G101/1000</f>
        <v>8.9343729694606883E-3</v>
      </c>
      <c r="H57" s="121">
        <f>'Cell parameters'!H101/1000</f>
        <v>1.8058838980824807E-2</v>
      </c>
      <c r="I57" s="116">
        <f>'Cell parameters'!I101/1000</f>
        <v>8.93437296946069E-3</v>
      </c>
      <c r="J57" s="121">
        <f>'Cell parameters'!J101/1000</f>
        <v>1.4071822582460879E-2</v>
      </c>
      <c r="K57" s="116">
        <f>'Cell parameters'!K101/1000</f>
        <v>6.9618490671122264E-3</v>
      </c>
      <c r="L57" s="121">
        <f>'Cell parameters'!L101/1000</f>
        <v>1.1526918498398809E-2</v>
      </c>
      <c r="M57" s="116">
        <f>'Cell parameters'!M101/1000</f>
        <v>5.7027912571025697E-3</v>
      </c>
      <c r="N57" s="121">
        <f>'Cell parameters'!N101/1000</f>
        <v>2.0316193853427901E-2</v>
      </c>
      <c r="O57" s="116">
        <f>'Cell parameters'!O101/1000</f>
        <v>1.0051169590643278E-2</v>
      </c>
      <c r="P57" s="121">
        <f>'Cell parameters'!P101/1000</f>
        <v>2.2289766970618036E-2</v>
      </c>
      <c r="Q57" s="116">
        <f>'Cell parameters'!Q101/1000</f>
        <v>1.1027568922305766E-2</v>
      </c>
      <c r="R57" s="193"/>
      <c r="S57" s="194"/>
      <c r="U57" s="8">
        <f>'Ecoinvent 3.10'!N21</f>
        <v>2.5097999999999998</v>
      </c>
      <c r="V57" s="8">
        <f>'Ecoinvent 3.10'!N21</f>
        <v>2.5097999999999998</v>
      </c>
      <c r="X57" t="s">
        <v>66</v>
      </c>
      <c r="Y57" s="9">
        <f t="shared" si="51"/>
        <v>2.2423489278752432E-2</v>
      </c>
      <c r="Z57" s="9">
        <f t="shared" si="52"/>
        <v>2.2423489278752432E-2</v>
      </c>
      <c r="AA57" s="9">
        <f t="shared" si="53"/>
        <v>2.2423489278752439E-2</v>
      </c>
      <c r="AB57" s="9">
        <f t="shared" si="54"/>
        <v>1.7472848788638265E-2</v>
      </c>
      <c r="AC57" s="9">
        <f t="shared" si="55"/>
        <v>1.4312865497076029E-2</v>
      </c>
      <c r="AD57" s="9">
        <f t="shared" si="58"/>
        <v>2.5226425438596496E-2</v>
      </c>
      <c r="AE57" s="9">
        <f t="shared" si="56"/>
        <v>2.7676992481203009E-2</v>
      </c>
      <c r="AF57" s="9">
        <f t="shared" si="57"/>
        <v>0</v>
      </c>
      <c r="AH57" t="s">
        <v>66</v>
      </c>
      <c r="AI57" s="9">
        <f t="shared" si="60"/>
        <v>2.2423489278752432E-2</v>
      </c>
      <c r="AJ57" s="9">
        <f t="shared" si="59"/>
        <v>2.2423489278752432E-2</v>
      </c>
      <c r="AK57" s="9">
        <f t="shared" si="59"/>
        <v>2.2423489278752439E-2</v>
      </c>
      <c r="AL57" s="9">
        <f t="shared" si="59"/>
        <v>1.7472848788638265E-2</v>
      </c>
      <c r="AM57" s="9">
        <f t="shared" si="59"/>
        <v>1.4312865497076029E-2</v>
      </c>
      <c r="AN57" s="9">
        <f t="shared" si="59"/>
        <v>2.5226425438596496E-2</v>
      </c>
      <c r="AO57" s="9">
        <f t="shared" si="59"/>
        <v>2.7676992481203009E-2</v>
      </c>
      <c r="AP57" s="9">
        <f t="shared" si="59"/>
        <v>0</v>
      </c>
    </row>
    <row r="58" spans="2:42" x14ac:dyDescent="0.2">
      <c r="B58" s="734"/>
      <c r="C58" s="150" t="s">
        <v>69</v>
      </c>
      <c r="D58" s="121">
        <f>'Cell parameters'!D100/1000</f>
        <v>3.6117677961649608E-2</v>
      </c>
      <c r="E58" s="116">
        <f>'Cell parameters'!E100/1000</f>
        <v>3.5737491877842753E-2</v>
      </c>
      <c r="F58" s="121">
        <f>'Cell parameters'!F100/1000</f>
        <v>3.6117677961649601E-2</v>
      </c>
      <c r="G58" s="116">
        <f>'Cell parameters'!G100/1000</f>
        <v>3.5737491877842753E-2</v>
      </c>
      <c r="H58" s="121">
        <f>'Cell parameters'!H100/1000</f>
        <v>3.6117677961649615E-2</v>
      </c>
      <c r="I58" s="116">
        <f>'Cell parameters'!I100/1000</f>
        <v>3.573749187784276E-2</v>
      </c>
      <c r="J58" s="121">
        <f>'Cell parameters'!J100/1000</f>
        <v>2.8143645164921759E-2</v>
      </c>
      <c r="K58" s="116">
        <f>'Cell parameters'!K100/1000</f>
        <v>2.7847396268448905E-2</v>
      </c>
      <c r="L58" s="121">
        <f>'Cell parameters'!L100/1000</f>
        <v>2.3053836996797618E-2</v>
      </c>
      <c r="M58" s="116">
        <f>'Cell parameters'!M100/1000</f>
        <v>2.2811165028410279E-2</v>
      </c>
      <c r="N58" s="121">
        <f>'Cell parameters'!N100/1000</f>
        <v>4.0632387706855802E-2</v>
      </c>
      <c r="O58" s="116">
        <f>'Cell parameters'!O100/1000</f>
        <v>4.0204678362573111E-2</v>
      </c>
      <c r="P58" s="121">
        <f>'Cell parameters'!P100/1000</f>
        <v>4.4579533941236073E-2</v>
      </c>
      <c r="Q58" s="116">
        <f>'Cell parameters'!Q100/1000</f>
        <v>4.4110275689223065E-2</v>
      </c>
      <c r="R58" s="193"/>
      <c r="S58" s="194"/>
      <c r="U58" s="8">
        <f>'Ecoinvent 3.10'!N25</f>
        <v>4.1076160000000002</v>
      </c>
      <c r="V58" s="8">
        <f>'Ecoinvent 3.10'!N25</f>
        <v>4.1076160000000002</v>
      </c>
      <c r="X58" t="s">
        <v>69</v>
      </c>
      <c r="Y58" s="9">
        <f t="shared" si="51"/>
        <v>0.14679589343729693</v>
      </c>
      <c r="Z58" s="9">
        <f t="shared" si="52"/>
        <v>0.14679589343729693</v>
      </c>
      <c r="AA58" s="9">
        <f t="shared" si="53"/>
        <v>0.14679589343729696</v>
      </c>
      <c r="AB58" s="9">
        <f t="shared" si="54"/>
        <v>0.11438641047062102</v>
      </c>
      <c r="AC58" s="9">
        <f t="shared" si="55"/>
        <v>9.3699506449338527E-2</v>
      </c>
      <c r="AD58" s="9">
        <f t="shared" si="58"/>
        <v>0.16514538011695912</v>
      </c>
      <c r="AE58" s="9">
        <f t="shared" si="56"/>
        <v>0.1811880741854637</v>
      </c>
      <c r="AF58" s="9">
        <f t="shared" si="57"/>
        <v>0</v>
      </c>
      <c r="AH58" t="s">
        <v>69</v>
      </c>
      <c r="AI58" s="9">
        <f t="shared" si="60"/>
        <v>0.14679589343729693</v>
      </c>
      <c r="AJ58" s="9">
        <f t="shared" si="59"/>
        <v>0.14679589343729693</v>
      </c>
      <c r="AK58" s="9">
        <f t="shared" si="59"/>
        <v>0.14679589343729696</v>
      </c>
      <c r="AL58" s="9">
        <f t="shared" si="59"/>
        <v>0.11438641047062102</v>
      </c>
      <c r="AM58" s="9">
        <f t="shared" si="59"/>
        <v>9.3699506449338527E-2</v>
      </c>
      <c r="AN58" s="9">
        <f t="shared" si="59"/>
        <v>0.16514538011695912</v>
      </c>
      <c r="AO58" s="9">
        <f t="shared" si="59"/>
        <v>0.1811880741854637</v>
      </c>
      <c r="AP58" s="9">
        <f t="shared" si="59"/>
        <v>0</v>
      </c>
    </row>
    <row r="59" spans="2:42" x14ac:dyDescent="0.2">
      <c r="B59" s="734"/>
      <c r="C59" s="150" t="s">
        <v>70</v>
      </c>
      <c r="D59" s="121">
        <f>'Cell parameters'!D113/1000</f>
        <v>0.90294194904124003</v>
      </c>
      <c r="E59" s="116">
        <f>'Cell parameters'!E113/1000</f>
        <v>0.89343729694606888</v>
      </c>
      <c r="F59" s="121">
        <f>'Cell parameters'!F113/1000</f>
        <v>0.9029419490412397</v>
      </c>
      <c r="G59" s="116">
        <f>'Cell parameters'!G113/1000</f>
        <v>0.89343729694606877</v>
      </c>
      <c r="H59" s="121">
        <f>'Cell parameters'!H113/1000</f>
        <v>0.90294194904124014</v>
      </c>
      <c r="I59" s="116">
        <f>'Cell parameters'!I113/1000</f>
        <v>0.89343729694606899</v>
      </c>
      <c r="J59" s="121">
        <f>'Cell parameters'!J113/1000</f>
        <v>0.70359112912304389</v>
      </c>
      <c r="K59" s="116">
        <f>'Cell parameters'!K113/1000</f>
        <v>0.69618490671122268</v>
      </c>
      <c r="L59" s="121">
        <f>'Cell parameters'!L113/1000</f>
        <v>0.57634592491994052</v>
      </c>
      <c r="M59" s="116">
        <f>'Cell parameters'!M113/1000</f>
        <v>0.57027912571025674</v>
      </c>
      <c r="N59" s="121">
        <f>'Cell parameters'!N113/1000</f>
        <v>1.0158096926713949</v>
      </c>
      <c r="O59" s="116">
        <f>'Cell parameters'!O113/1000</f>
        <v>1.0051169590643276</v>
      </c>
      <c r="P59" s="121">
        <f>'Cell parameters'!P113/1000</f>
        <v>1.1144883485309018</v>
      </c>
      <c r="Q59" s="116">
        <f>'Cell parameters'!Q113/1000</f>
        <v>1.1027568922305766</v>
      </c>
      <c r="R59" s="193"/>
      <c r="S59" s="194"/>
      <c r="U59" s="8">
        <f>'Ecoinvent 3.10'!N26</f>
        <v>4.2383999999999998E-4</v>
      </c>
      <c r="V59" s="8">
        <f>'Ecoinvent 3.10'!N26</f>
        <v>4.2383999999999998E-4</v>
      </c>
      <c r="X59" t="s">
        <v>70</v>
      </c>
      <c r="Y59" s="9">
        <f t="shared" si="51"/>
        <v>3.7867446393762184E-4</v>
      </c>
      <c r="Z59" s="9">
        <f t="shared" si="52"/>
        <v>3.7867446393762179E-4</v>
      </c>
      <c r="AA59" s="9">
        <f t="shared" si="53"/>
        <v>3.7867446393762184E-4</v>
      </c>
      <c r="AB59" s="9">
        <f t="shared" si="54"/>
        <v>2.950710108604846E-4</v>
      </c>
      <c r="AC59" s="9">
        <f t="shared" si="55"/>
        <v>2.417071046410352E-4</v>
      </c>
      <c r="AD59" s="9">
        <f t="shared" si="58"/>
        <v>4.260087719298246E-4</v>
      </c>
      <c r="AE59" s="9">
        <f t="shared" si="56"/>
        <v>4.6739248120300758E-4</v>
      </c>
      <c r="AF59" s="9">
        <f t="shared" si="57"/>
        <v>0</v>
      </c>
      <c r="AH59" t="s">
        <v>70</v>
      </c>
      <c r="AI59" s="9">
        <f t="shared" si="60"/>
        <v>3.7867446393762184E-4</v>
      </c>
      <c r="AJ59" s="9">
        <f t="shared" si="59"/>
        <v>3.7867446393762179E-4</v>
      </c>
      <c r="AK59" s="9">
        <f t="shared" si="59"/>
        <v>3.7867446393762184E-4</v>
      </c>
      <c r="AL59" s="9">
        <f t="shared" si="59"/>
        <v>2.950710108604846E-4</v>
      </c>
      <c r="AM59" s="9">
        <f t="shared" si="59"/>
        <v>2.417071046410352E-4</v>
      </c>
      <c r="AN59" s="9">
        <f t="shared" si="59"/>
        <v>4.260087719298246E-4</v>
      </c>
      <c r="AO59" s="9">
        <f t="shared" si="59"/>
        <v>4.6739248120300758E-4</v>
      </c>
      <c r="AP59" s="9">
        <f t="shared" si="59"/>
        <v>0</v>
      </c>
    </row>
    <row r="60" spans="2:42" x14ac:dyDescent="0.2">
      <c r="B60" s="734"/>
      <c r="C60" s="151" t="s">
        <v>60</v>
      </c>
      <c r="D60" s="136">
        <f>'Cell parameters'!D111/1000</f>
        <v>0.20727483484643591</v>
      </c>
      <c r="E60" s="120">
        <f>'Cell parameters'!E111/1000</f>
        <v>0.10594047114373389</v>
      </c>
      <c r="F60" s="136">
        <f>'Cell parameters'!F111/1000</f>
        <v>0.27231575129510488</v>
      </c>
      <c r="G60" s="120">
        <f>'Cell parameters'!G111/1000</f>
        <v>0.13918360621749801</v>
      </c>
      <c r="H60" s="136">
        <f>'Cell parameters'!H111/1000</f>
        <v>0.26442090985975919</v>
      </c>
      <c r="I60" s="120">
        <f>'Cell parameters'!I111/1000</f>
        <v>0.13514846503943251</v>
      </c>
      <c r="J60" s="136">
        <f>'Cell parameters'!J111/1000</f>
        <v>0.22126700776475461</v>
      </c>
      <c r="K60" s="120">
        <f>'Cell parameters'!K111/1000</f>
        <v>0.11309202619087456</v>
      </c>
      <c r="L60" s="136">
        <f>'Cell parameters'!L111/1000</f>
        <v>0.19984259888683736</v>
      </c>
      <c r="M60" s="120">
        <f>'Cell parameters'!M111/1000</f>
        <v>0.10214177276438353</v>
      </c>
      <c r="N60" s="136">
        <f>'Cell parameters'!N111/1000</f>
        <v>0.36928476406772531</v>
      </c>
      <c r="O60" s="120">
        <f>'Cell parameters'!O111/1000</f>
        <v>0.18874554607905955</v>
      </c>
      <c r="P60" s="136">
        <f>'Cell parameters'!P111/1000</f>
        <v>0.42368400287209623</v>
      </c>
      <c r="Q60" s="120">
        <f>'Cell parameters'!Q111/1000</f>
        <v>0.21654960146796029</v>
      </c>
      <c r="R60" s="193"/>
      <c r="S60" s="194"/>
      <c r="U60" s="8">
        <f>'Ecoinvent 3.10'!N22</f>
        <v>3.79454</v>
      </c>
      <c r="V60" s="8">
        <f>'Ecoinvent 3.10'!N22</f>
        <v>3.79454</v>
      </c>
      <c r="X60" t="s">
        <v>60</v>
      </c>
      <c r="Y60" s="9">
        <f t="shared" si="51"/>
        <v>0.40199535537374403</v>
      </c>
      <c r="Z60" s="9">
        <f t="shared" si="52"/>
        <v>0.52813776113654487</v>
      </c>
      <c r="AA60" s="9">
        <f t="shared" si="53"/>
        <v>0.51282625653072822</v>
      </c>
      <c r="AB60" s="9">
        <f t="shared" si="54"/>
        <v>0.42913221706232119</v>
      </c>
      <c r="AC60" s="9">
        <f t="shared" si="55"/>
        <v>0.3875810424253639</v>
      </c>
      <c r="AD60" s="9">
        <f t="shared" si="58"/>
        <v>0.71620252441883459</v>
      </c>
      <c r="AE60" s="9">
        <f t="shared" si="56"/>
        <v>0.82170612475423399</v>
      </c>
      <c r="AF60" s="9">
        <f t="shared" si="57"/>
        <v>0</v>
      </c>
      <c r="AH60" t="s">
        <v>60</v>
      </c>
      <c r="AI60" s="9">
        <f t="shared" si="60"/>
        <v>0.40199535537374403</v>
      </c>
      <c r="AJ60" s="9">
        <f t="shared" si="59"/>
        <v>0.52813776113654487</v>
      </c>
      <c r="AK60" s="9">
        <f t="shared" si="59"/>
        <v>0.51282625653072822</v>
      </c>
      <c r="AL60" s="9">
        <f t="shared" si="59"/>
        <v>0.42913221706232119</v>
      </c>
      <c r="AM60" s="9">
        <f t="shared" si="59"/>
        <v>0.3875810424253639</v>
      </c>
      <c r="AN60" s="9">
        <f t="shared" si="59"/>
        <v>0.71620252441883459</v>
      </c>
      <c r="AO60" s="9">
        <f t="shared" si="59"/>
        <v>0.82170612475423399</v>
      </c>
      <c r="AP60" s="9">
        <f t="shared" si="59"/>
        <v>0</v>
      </c>
    </row>
    <row r="61" spans="2:42" x14ac:dyDescent="0.2">
      <c r="B61" s="734"/>
      <c r="C61" s="117" t="s">
        <v>621</v>
      </c>
      <c r="D61" s="136">
        <f>'Cell parameters'!D106/1000</f>
        <v>0.67183619539555894</v>
      </c>
      <c r="E61" s="120">
        <f>'Cell parameters'!E106/1000</f>
        <v>0.448758539640986</v>
      </c>
      <c r="F61" s="136">
        <f>'Cell parameters'!F106/1000</f>
        <v>0.77806969226171818</v>
      </c>
      <c r="G61" s="120">
        <f>'Cell parameters'!G106/1000</f>
        <v>0.51856912329589055</v>
      </c>
      <c r="H61" s="136">
        <f>'Cell parameters'!H106/1000</f>
        <v>0.76517478458398702</v>
      </c>
      <c r="I61" s="120">
        <f>'Cell parameters'!I106/1000</f>
        <v>0.51009532682195302</v>
      </c>
      <c r="J61" s="136">
        <f>'Cell parameters'!J106/1000</f>
        <v>0.62166618340370305</v>
      </c>
      <c r="K61" s="120">
        <f>'Cell parameters'!K106/1000</f>
        <v>0.41420128269456585</v>
      </c>
      <c r="L61" s="136">
        <f>'Cell parameters'!L106/1000</f>
        <v>0.54006396138710511</v>
      </c>
      <c r="M61" s="120">
        <f>'Cell parameters'!M106/1000</f>
        <v>0.35956316715500974</v>
      </c>
      <c r="N61" s="136">
        <f>'Cell parameters'!N106/1000</f>
        <v>0.97811332543362894</v>
      </c>
      <c r="O61" s="120">
        <f>'Cell parameters'!O106/1000</f>
        <v>0.6509346407850628</v>
      </c>
      <c r="P61" s="193"/>
      <c r="Q61" s="194"/>
      <c r="R61" s="193"/>
      <c r="S61" s="194"/>
      <c r="U61" s="8">
        <f>'Ecoinvent 3.10'!N23</f>
        <v>5.798</v>
      </c>
      <c r="V61" s="8">
        <f>'Ecoinvent 3.10'!N23</f>
        <v>5.798</v>
      </c>
      <c r="X61" t="s">
        <v>621</v>
      </c>
      <c r="Y61" s="9">
        <f t="shared" si="51"/>
        <v>2.6019020128384369</v>
      </c>
      <c r="Z61" s="9">
        <f t="shared" si="52"/>
        <v>3.0066637768695736</v>
      </c>
      <c r="AA61" s="9">
        <f t="shared" si="53"/>
        <v>2.9575327049136835</v>
      </c>
      <c r="AB61" s="9">
        <f t="shared" si="54"/>
        <v>2.4015390370630927</v>
      </c>
      <c r="AC61" s="9">
        <f t="shared" si="55"/>
        <v>2.0847472431647467</v>
      </c>
      <c r="AD61" s="9">
        <f t="shared" si="58"/>
        <v>3.7741190472717943</v>
      </c>
      <c r="AE61" s="9">
        <f t="shared" si="56"/>
        <v>0</v>
      </c>
      <c r="AF61" s="9">
        <f t="shared" si="57"/>
        <v>0</v>
      </c>
      <c r="AH61" t="s">
        <v>621</v>
      </c>
      <c r="AI61" s="9">
        <f t="shared" si="60"/>
        <v>2.6019020128384369</v>
      </c>
      <c r="AJ61" s="9">
        <f t="shared" si="59"/>
        <v>3.0066637768695736</v>
      </c>
      <c r="AK61" s="9">
        <f t="shared" si="59"/>
        <v>2.9575327049136835</v>
      </c>
      <c r="AL61" s="9">
        <f t="shared" si="59"/>
        <v>2.4015390370630927</v>
      </c>
      <c r="AM61" s="9">
        <f t="shared" si="59"/>
        <v>2.0847472431647467</v>
      </c>
      <c r="AN61" s="9">
        <f t="shared" si="59"/>
        <v>3.7741190472717943</v>
      </c>
      <c r="AO61" s="9">
        <f t="shared" si="59"/>
        <v>0</v>
      </c>
      <c r="AP61" s="9">
        <f t="shared" si="59"/>
        <v>0</v>
      </c>
    </row>
    <row r="62" spans="2:42" x14ac:dyDescent="0.2">
      <c r="B62" s="734"/>
      <c r="C62" s="117" t="s">
        <v>622</v>
      </c>
      <c r="D62" s="193"/>
      <c r="E62" s="194"/>
      <c r="F62" s="193"/>
      <c r="G62" s="194"/>
      <c r="H62" s="193"/>
      <c r="I62" s="194"/>
      <c r="J62" s="193"/>
      <c r="K62" s="194"/>
      <c r="L62" s="193"/>
      <c r="M62" s="194"/>
      <c r="N62" s="193"/>
      <c r="O62" s="194"/>
      <c r="P62" s="136">
        <f>'Cell parameters'!P106/1000</f>
        <v>1.2913272353975573</v>
      </c>
      <c r="Q62" s="120">
        <f>'Cell parameters'!Q106/1000</f>
        <v>0.86344052334056887</v>
      </c>
      <c r="R62" s="193"/>
      <c r="S62" s="194"/>
      <c r="U62" s="8">
        <f>'Ecoinvent 3.10'!N23</f>
        <v>5.798</v>
      </c>
      <c r="V62" s="8">
        <f>'Ecoinvent 3.10'!N23</f>
        <v>5.798</v>
      </c>
      <c r="X62" t="s">
        <v>622</v>
      </c>
      <c r="Y62" s="9">
        <f t="shared" si="51"/>
        <v>0</v>
      </c>
      <c r="Z62" s="9">
        <f t="shared" si="52"/>
        <v>0</v>
      </c>
      <c r="AA62" s="9">
        <f t="shared" si="53"/>
        <v>0</v>
      </c>
      <c r="AB62" s="9">
        <f t="shared" si="54"/>
        <v>0</v>
      </c>
      <c r="AC62" s="9">
        <f t="shared" si="55"/>
        <v>0</v>
      </c>
      <c r="AD62" s="9">
        <f t="shared" si="58"/>
        <v>0</v>
      </c>
      <c r="AE62" s="9">
        <f t="shared" si="56"/>
        <v>5.0062281543286185</v>
      </c>
      <c r="AF62" s="9">
        <f t="shared" si="57"/>
        <v>0</v>
      </c>
      <c r="AH62" t="s">
        <v>622</v>
      </c>
      <c r="AI62" s="9">
        <f t="shared" si="60"/>
        <v>0</v>
      </c>
      <c r="AJ62" s="9">
        <f t="shared" si="59"/>
        <v>0</v>
      </c>
      <c r="AK62" s="9">
        <f t="shared" si="59"/>
        <v>0</v>
      </c>
      <c r="AL62" s="9">
        <f t="shared" si="59"/>
        <v>0</v>
      </c>
      <c r="AM62" s="9">
        <f t="shared" si="59"/>
        <v>0</v>
      </c>
      <c r="AN62" s="9">
        <f t="shared" si="59"/>
        <v>0</v>
      </c>
      <c r="AO62" s="9">
        <f t="shared" si="59"/>
        <v>5.0062281543286185</v>
      </c>
      <c r="AP62" s="9">
        <f t="shared" si="59"/>
        <v>0</v>
      </c>
    </row>
    <row r="63" spans="2:42" x14ac:dyDescent="0.2">
      <c r="B63" s="734"/>
      <c r="C63" s="117" t="s">
        <v>623</v>
      </c>
      <c r="D63" s="193"/>
      <c r="E63" s="194"/>
      <c r="F63" s="193"/>
      <c r="G63" s="194"/>
      <c r="H63" s="193"/>
      <c r="I63" s="194"/>
      <c r="J63" s="193"/>
      <c r="K63" s="194"/>
      <c r="L63" s="193"/>
      <c r="M63" s="194"/>
      <c r="N63" s="193"/>
      <c r="O63" s="194"/>
      <c r="P63" s="193"/>
      <c r="Q63" s="194"/>
      <c r="R63" s="136">
        <f>'Cell parameters'!R107/1000</f>
        <v>0.5764108690054941</v>
      </c>
      <c r="S63" s="136">
        <f>'Cell parameters'!S107/1000</f>
        <v>0.3842739126703294</v>
      </c>
      <c r="U63" s="8">
        <f>'Ecoinvent 3.10'!N24</f>
        <v>5.7489473993358686</v>
      </c>
      <c r="V63" s="8">
        <f>'Ecoinvent 3.10'!N24</f>
        <v>5.7489473993358686</v>
      </c>
      <c r="X63" t="s">
        <v>623</v>
      </c>
      <c r="Y63" s="9">
        <f t="shared" si="51"/>
        <v>0</v>
      </c>
      <c r="Z63" s="9">
        <f t="shared" si="52"/>
        <v>0</v>
      </c>
      <c r="AA63" s="9">
        <f t="shared" si="53"/>
        <v>0</v>
      </c>
      <c r="AB63" s="9">
        <f t="shared" si="54"/>
        <v>0</v>
      </c>
      <c r="AC63" s="9">
        <f t="shared" si="55"/>
        <v>0</v>
      </c>
      <c r="AD63" s="9">
        <f t="shared" si="58"/>
        <v>0</v>
      </c>
      <c r="AE63" s="9">
        <f t="shared" si="56"/>
        <v>0</v>
      </c>
      <c r="AF63" s="9">
        <f t="shared" si="57"/>
        <v>2.209170510878709</v>
      </c>
      <c r="AH63" t="s">
        <v>623</v>
      </c>
      <c r="AI63" s="9">
        <f t="shared" si="60"/>
        <v>0</v>
      </c>
      <c r="AJ63" s="9">
        <f t="shared" si="59"/>
        <v>0</v>
      </c>
      <c r="AK63" s="9">
        <f t="shared" si="59"/>
        <v>0</v>
      </c>
      <c r="AL63" s="9">
        <f t="shared" si="59"/>
        <v>0</v>
      </c>
      <c r="AM63" s="9">
        <f t="shared" si="59"/>
        <v>0</v>
      </c>
      <c r="AN63" s="9">
        <f t="shared" si="59"/>
        <v>0</v>
      </c>
      <c r="AO63" s="9">
        <f t="shared" si="59"/>
        <v>0</v>
      </c>
      <c r="AP63" s="9">
        <f t="shared" si="59"/>
        <v>2.209170510878709</v>
      </c>
    </row>
    <row r="64" spans="2:42" x14ac:dyDescent="0.2">
      <c r="B64" s="734"/>
      <c r="C64" s="151" t="s">
        <v>548</v>
      </c>
      <c r="D64" s="136">
        <f>'Cell parameters'!D28/1000</f>
        <v>0.55996198666994146</v>
      </c>
      <c r="E64" s="136">
        <f>'Cell parameters'!E28/1000</f>
        <v>0.46098182831402679</v>
      </c>
      <c r="F64" s="136">
        <f>'Cell parameters'!F28/1000</f>
        <v>0.63769278917692063</v>
      </c>
      <c r="G64" s="136">
        <f>'Cell parameters'!G28/1000</f>
        <v>0.52105830229481276</v>
      </c>
      <c r="H64" s="136">
        <f>'Cell parameters'!H28/1000</f>
        <v>0.6412208471922175</v>
      </c>
      <c r="I64" s="136">
        <f>'Cell parameters'!I28/1000</f>
        <v>0.52456700575460757</v>
      </c>
      <c r="J64" s="136">
        <f>'Cell parameters'!J28/1000</f>
        <v>0.5222363725354161</v>
      </c>
      <c r="K64" s="136">
        <f>'Cell parameters'!K28/1000</f>
        <v>0.42642813290442216</v>
      </c>
      <c r="L64" s="136">
        <f>'Cell parameters'!L28/1000</f>
        <v>0.45328499882606255</v>
      </c>
      <c r="M64" s="136">
        <f>'Cell parameters'!M28/1000</f>
        <v>0.36919022211508962</v>
      </c>
      <c r="N64" s="136">
        <f>'Cell parameters'!N28/1000</f>
        <v>0.82397804885768955</v>
      </c>
      <c r="O64" s="136">
        <f>'Cell parameters'!O28/1000</f>
        <v>0.66999771889041049</v>
      </c>
      <c r="P64" s="136">
        <f>'Cell parameters'!P28/1000</f>
        <v>1.0928571662407991</v>
      </c>
      <c r="Q64" s="142">
        <f>'Cell parameters'!Q28/1000</f>
        <v>0.8945010251756853</v>
      </c>
      <c r="R64" s="142">
        <f>'Cell parameters'!R28/1000</f>
        <v>0.34623984846084715</v>
      </c>
      <c r="S64" s="142">
        <f>'Cell parameters'!S28/1000</f>
        <v>0.25087338994176367</v>
      </c>
      <c r="U64" s="8">
        <f>'Ecoinvent 3.10'!N33</f>
        <v>0.39843000000000001</v>
      </c>
      <c r="V64" s="8">
        <f>'Ecoinvent 3.10'!N33</f>
        <v>0.39843000000000001</v>
      </c>
      <c r="X64" t="s">
        <v>548</v>
      </c>
      <c r="Y64" s="9">
        <f t="shared" si="51"/>
        <v>0.1836689898551577</v>
      </c>
      <c r="Z64" s="9">
        <f t="shared" si="52"/>
        <v>0.20760525938332225</v>
      </c>
      <c r="AA64" s="9">
        <f t="shared" si="53"/>
        <v>0.2090032321028083</v>
      </c>
      <c r="AB64" s="9">
        <f t="shared" si="54"/>
        <v>0.16990176099310891</v>
      </c>
      <c r="AC64" s="9">
        <f t="shared" si="55"/>
        <v>0.14709646019731515</v>
      </c>
      <c r="AD64" s="9">
        <f t="shared" si="58"/>
        <v>0.26694719113750626</v>
      </c>
      <c r="AE64" s="9">
        <f t="shared" si="56"/>
        <v>0.35639604346074832</v>
      </c>
      <c r="AF64" s="9">
        <f t="shared" si="57"/>
        <v>9.9955484754496907E-2</v>
      </c>
      <c r="AH64" t="s">
        <v>548</v>
      </c>
      <c r="AI64" s="9">
        <f t="shared" si="60"/>
        <v>0.1836689898551577</v>
      </c>
      <c r="AJ64" s="9">
        <f t="shared" si="59"/>
        <v>0.20760525938332225</v>
      </c>
      <c r="AK64" s="9">
        <f t="shared" si="59"/>
        <v>0.2090032321028083</v>
      </c>
      <c r="AL64" s="9">
        <f t="shared" si="59"/>
        <v>0.16990176099310891</v>
      </c>
      <c r="AM64" s="9">
        <f t="shared" si="59"/>
        <v>0.14709646019731515</v>
      </c>
      <c r="AN64" s="9">
        <f t="shared" si="59"/>
        <v>0.26694719113750626</v>
      </c>
      <c r="AO64" s="9">
        <f t="shared" si="59"/>
        <v>0.35639604346074832</v>
      </c>
      <c r="AP64" s="9">
        <f t="shared" si="59"/>
        <v>9.9955484754496907E-2</v>
      </c>
    </row>
    <row r="65" spans="2:42" x14ac:dyDescent="0.2">
      <c r="B65" s="734"/>
      <c r="C65" s="117" t="s">
        <v>446</v>
      </c>
      <c r="D65" s="142">
        <f t="shared" ref="D65:O65" si="61">SUM(D66:D67)</f>
        <v>27.311172386176857</v>
      </c>
      <c r="E65" s="125">
        <f t="shared" si="61"/>
        <v>21.880539909758987</v>
      </c>
      <c r="F65" s="142">
        <f t="shared" si="61"/>
        <v>32.991559907765264</v>
      </c>
      <c r="G65" s="125">
        <f t="shared" si="61"/>
        <v>25.857234511649633</v>
      </c>
      <c r="H65" s="142">
        <f t="shared" si="61"/>
        <v>32.302059186943637</v>
      </c>
      <c r="I65" s="125">
        <f t="shared" si="61"/>
        <v>25.374532621317272</v>
      </c>
      <c r="J65" s="142">
        <f t="shared" si="61"/>
        <v>28.507387660672329</v>
      </c>
      <c r="K65" s="125">
        <f t="shared" si="61"/>
        <v>22.710513381500235</v>
      </c>
      <c r="L65" s="142">
        <f t="shared" si="61"/>
        <v>26.619806997039447</v>
      </c>
      <c r="M65" s="125">
        <f t="shared" si="61"/>
        <v>21.384300695476057</v>
      </c>
      <c r="N65" s="124">
        <f t="shared" si="61"/>
        <v>41.475130787754608</v>
      </c>
      <c r="O65" s="125">
        <f t="shared" si="61"/>
        <v>31.800627453086626</v>
      </c>
      <c r="P65" s="142">
        <f>SUM(P66:P67)</f>
        <v>47.648928632885145</v>
      </c>
      <c r="Q65" s="125">
        <f t="shared" ref="Q65" si="62">SUM(Q66:Q67)</f>
        <v>36.548602010118998</v>
      </c>
      <c r="R65" s="142">
        <f>SUM(R66:R67)</f>
        <v>27.745750521560762</v>
      </c>
      <c r="S65" s="125">
        <f>SUM(S66:S67)</f>
        <v>20.207865093194638</v>
      </c>
      <c r="X65" s="1" t="s">
        <v>446</v>
      </c>
      <c r="Y65" s="58">
        <f t="shared" ref="Y65:AF65" si="63">Y66+Y67</f>
        <v>6.0199291587964092</v>
      </c>
      <c r="Z65" s="58">
        <f t="shared" si="63"/>
        <v>6.9831067778048732</v>
      </c>
      <c r="AA65" s="58">
        <f t="shared" si="63"/>
        <v>6.8661936869177413</v>
      </c>
      <c r="AB65" s="58">
        <f t="shared" si="63"/>
        <v>6.2189561973541485</v>
      </c>
      <c r="AC65" s="58">
        <f t="shared" si="63"/>
        <v>5.8964653572946322</v>
      </c>
      <c r="AD65" s="58">
        <f t="shared" si="63"/>
        <v>8.4237694959069813</v>
      </c>
      <c r="AE65" s="58">
        <f t="shared" si="63"/>
        <v>9.6849990849127554</v>
      </c>
      <c r="AF65" s="58">
        <f t="shared" si="63"/>
        <v>4.8214704575564857</v>
      </c>
      <c r="AH65" s="1" t="s">
        <v>446</v>
      </c>
      <c r="AI65" s="58">
        <f t="shared" ref="AI65:AP65" si="64">AI66+AI67</f>
        <v>6.0199291587964092</v>
      </c>
      <c r="AJ65" s="58">
        <f t="shared" si="64"/>
        <v>6.9831067778048732</v>
      </c>
      <c r="AK65" s="58">
        <f t="shared" si="64"/>
        <v>6.8661936869177413</v>
      </c>
      <c r="AL65" s="58">
        <f t="shared" si="64"/>
        <v>6.2189561973541485</v>
      </c>
      <c r="AM65" s="58">
        <f t="shared" si="64"/>
        <v>5.8964653572946322</v>
      </c>
      <c r="AN65" s="58">
        <f t="shared" si="64"/>
        <v>8.4237694959069813</v>
      </c>
      <c r="AO65" s="58">
        <f t="shared" si="64"/>
        <v>9.6849990849127554</v>
      </c>
      <c r="AP65" s="58">
        <f t="shared" si="64"/>
        <v>4.8214704575564857</v>
      </c>
    </row>
    <row r="66" spans="2:42" x14ac:dyDescent="0.2">
      <c r="B66" s="734"/>
      <c r="C66" s="123" t="s">
        <v>333</v>
      </c>
      <c r="D66" s="143">
        <f>Summary!E3</f>
        <v>14.929516907783942</v>
      </c>
      <c r="E66" s="127">
        <f>Summary!E4</f>
        <v>13.104564832956919</v>
      </c>
      <c r="F66" s="143">
        <f>Summary!E5</f>
        <v>16.724656034105294</v>
      </c>
      <c r="G66" s="127">
        <f>Summary!E6</f>
        <v>14.327440032946839</v>
      </c>
      <c r="H66" s="143">
        <f>Summary!E7</f>
        <v>16.506757217014108</v>
      </c>
      <c r="I66" s="127">
        <f>Summary!E8</f>
        <v>14.179004150946986</v>
      </c>
      <c r="J66" s="143">
        <f>Summary!E9</f>
        <v>15.289903440227466</v>
      </c>
      <c r="K66" s="127">
        <f>Summary!E10</f>
        <v>13.342112500125969</v>
      </c>
      <c r="L66" s="143">
        <f>Summary!E11</f>
        <v>14.682119476233128</v>
      </c>
      <c r="M66" s="127">
        <f>Summary!E12</f>
        <v>12.92300500363007</v>
      </c>
      <c r="N66" s="126">
        <f>Summary!E13</f>
        <v>19.415739325719592</v>
      </c>
      <c r="O66" s="127">
        <f>Summary!E14</f>
        <v>16.165184355992228</v>
      </c>
      <c r="P66" s="143">
        <f>Summary!E15</f>
        <v>22.339974175604901</v>
      </c>
      <c r="Q66" s="127">
        <f>Summary!E16</f>
        <v>18.609906015499138</v>
      </c>
      <c r="R66" s="143">
        <f>Summary!E17</f>
        <v>8.2271596092032695</v>
      </c>
      <c r="S66" s="127">
        <f>Summary!E18</f>
        <v>5.5680859470179049</v>
      </c>
      <c r="U66" s="8">
        <f>'Ecoinvent 3.10'!N34</f>
        <v>0.32044</v>
      </c>
      <c r="V66" s="8">
        <f>'Ecoinvent 3.10'!N34</f>
        <v>0.32044</v>
      </c>
      <c r="X66" t="s">
        <v>333</v>
      </c>
      <c r="Y66" s="9">
        <f>E66*$U66</f>
        <v>4.1992267550727149</v>
      </c>
      <c r="Z66" s="9">
        <f>G66*$U66</f>
        <v>4.5910848841574854</v>
      </c>
      <c r="AA66" s="9">
        <f>I66*$U66</f>
        <v>4.5435200901294523</v>
      </c>
      <c r="AB66" s="9">
        <f>K66*$U66</f>
        <v>4.2753465295403652</v>
      </c>
      <c r="AC66" s="9">
        <f>M66*$U66</f>
        <v>4.1410477233632195</v>
      </c>
      <c r="AD66" s="9">
        <f>O66*$U66</f>
        <v>5.1799716750341496</v>
      </c>
      <c r="AE66" s="9">
        <f>Q66*$U66</f>
        <v>5.963358283606544</v>
      </c>
      <c r="AF66" s="9">
        <f>S66*$U66</f>
        <v>1.7842374608624174</v>
      </c>
      <c r="AH66" t="s">
        <v>333</v>
      </c>
      <c r="AI66" s="9">
        <f>Y66</f>
        <v>4.1992267550727149</v>
      </c>
      <c r="AJ66" s="9">
        <f t="shared" ref="AJ66:AP67" si="65">Z66</f>
        <v>4.5910848841574854</v>
      </c>
      <c r="AK66" s="9">
        <f t="shared" si="65"/>
        <v>4.5435200901294523</v>
      </c>
      <c r="AL66" s="9">
        <f t="shared" si="65"/>
        <v>4.2753465295403652</v>
      </c>
      <c r="AM66" s="9">
        <f t="shared" si="65"/>
        <v>4.1410477233632195</v>
      </c>
      <c r="AN66" s="9">
        <f t="shared" si="65"/>
        <v>5.1799716750341496</v>
      </c>
      <c r="AO66" s="9">
        <f t="shared" si="65"/>
        <v>5.963358283606544</v>
      </c>
      <c r="AP66" s="9">
        <f t="shared" si="65"/>
        <v>1.7842374608624174</v>
      </c>
    </row>
    <row r="67" spans="2:42" ht="13.5" thickBot="1" x14ac:dyDescent="0.25">
      <c r="B67" s="734"/>
      <c r="C67" s="159" t="s">
        <v>365</v>
      </c>
      <c r="D67" s="198">
        <f>Summary!F3</f>
        <v>12.381655478392915</v>
      </c>
      <c r="E67" s="199">
        <f>Summary!F4</f>
        <v>8.7759750768020659</v>
      </c>
      <c r="F67" s="198">
        <f>Summary!F5</f>
        <v>16.26690387365997</v>
      </c>
      <c r="G67" s="199">
        <f>Summary!F6</f>
        <v>11.529794478702794</v>
      </c>
      <c r="H67" s="198">
        <f>Summary!F7</f>
        <v>15.795301969929529</v>
      </c>
      <c r="I67" s="199">
        <f>Summary!F8</f>
        <v>11.195528470370288</v>
      </c>
      <c r="J67" s="198">
        <f>Summary!F9</f>
        <v>13.217484220444865</v>
      </c>
      <c r="K67" s="199">
        <f>Summary!F10</f>
        <v>9.3684008813742672</v>
      </c>
      <c r="L67" s="198">
        <f>Summary!F11</f>
        <v>11.937687520806318</v>
      </c>
      <c r="M67" s="199">
        <f>Summary!F12</f>
        <v>8.4612956918459883</v>
      </c>
      <c r="N67" s="200">
        <f>Summary!F13</f>
        <v>22.05939146203502</v>
      </c>
      <c r="O67" s="199">
        <f>Summary!F14</f>
        <v>15.6354430970944</v>
      </c>
      <c r="P67" s="198">
        <f>Summary!F15</f>
        <v>25.308954457280244</v>
      </c>
      <c r="Q67" s="199">
        <f>Summary!F16</f>
        <v>17.938695994619856</v>
      </c>
      <c r="R67" s="198">
        <f>Summary!F17</f>
        <v>19.518590912357492</v>
      </c>
      <c r="S67" s="199">
        <f>Summary!F18</f>
        <v>14.639779146176734</v>
      </c>
      <c r="U67" s="8">
        <f>'Ecoinvent 3.10'!N35</f>
        <v>0.20746439999999999</v>
      </c>
      <c r="V67" s="8">
        <f>'Ecoinvent 3.10'!N35</f>
        <v>0.20746439999999999</v>
      </c>
      <c r="X67" s="133" t="s">
        <v>365</v>
      </c>
      <c r="Y67" s="260">
        <f>E67*$U67</f>
        <v>1.8207024037236945</v>
      </c>
      <c r="Z67" s="260">
        <f>G67*$U67</f>
        <v>2.3920218936473878</v>
      </c>
      <c r="AA67" s="260">
        <f>I67*$U67</f>
        <v>2.3226735967882894</v>
      </c>
      <c r="AB67" s="260">
        <f>K67*$U67</f>
        <v>1.9436096678137835</v>
      </c>
      <c r="AC67" s="260">
        <f>M67*$U67</f>
        <v>1.7554176339314127</v>
      </c>
      <c r="AD67" s="260">
        <f>O67*$U67</f>
        <v>3.2437978208728313</v>
      </c>
      <c r="AE67" s="260">
        <f>Q67*$U67</f>
        <v>3.7216408013062114</v>
      </c>
      <c r="AF67" s="260">
        <f>S67*$U67</f>
        <v>3.0372329966940681</v>
      </c>
      <c r="AH67" s="133" t="s">
        <v>365</v>
      </c>
      <c r="AI67" s="260">
        <f>Y67</f>
        <v>1.8207024037236945</v>
      </c>
      <c r="AJ67" s="260">
        <f t="shared" si="65"/>
        <v>2.3920218936473878</v>
      </c>
      <c r="AK67" s="260">
        <f t="shared" si="65"/>
        <v>2.3226735967882894</v>
      </c>
      <c r="AL67" s="260">
        <f t="shared" si="65"/>
        <v>1.9436096678137835</v>
      </c>
      <c r="AM67" s="260">
        <f t="shared" si="65"/>
        <v>1.7554176339314127</v>
      </c>
      <c r="AN67" s="260">
        <f t="shared" si="65"/>
        <v>3.2437978208728313</v>
      </c>
      <c r="AO67" s="260">
        <f t="shared" si="65"/>
        <v>3.7216408013062114</v>
      </c>
      <c r="AP67" s="260">
        <f t="shared" si="65"/>
        <v>3.0372329966940681</v>
      </c>
    </row>
    <row r="68" spans="2:42" x14ac:dyDescent="0.2">
      <c r="X68" s="1" t="s">
        <v>215</v>
      </c>
      <c r="Y68" s="58">
        <f t="shared" ref="Y68:AF68" si="66">Y65+Y60+Y49+Y9+Y61+Y64+Y62+Y63</f>
        <v>62.302645505417161</v>
      </c>
      <c r="Z68" s="58">
        <f t="shared" si="66"/>
        <v>83.977090464508578</v>
      </c>
      <c r="AA68" s="58">
        <f t="shared" si="66"/>
        <v>83.257440526341369</v>
      </c>
      <c r="AB68" s="58">
        <f t="shared" si="66"/>
        <v>65.540978173781255</v>
      </c>
      <c r="AC68" s="58">
        <f t="shared" si="66"/>
        <v>56.778127925586276</v>
      </c>
      <c r="AD68" s="58">
        <f t="shared" si="66"/>
        <v>59.303220914049518</v>
      </c>
      <c r="AE68" s="58">
        <f t="shared" si="66"/>
        <v>74.773937627315021</v>
      </c>
      <c r="AF68" s="58">
        <f t="shared" si="66"/>
        <v>87.763948875036235</v>
      </c>
      <c r="AH68" s="1" t="s">
        <v>215</v>
      </c>
      <c r="AI68" s="58">
        <f t="shared" ref="AI68:AP68" si="67">AI65+AI60+AI49+AI9+AI61+AI64+AI62+AI63</f>
        <v>62.262015894745836</v>
      </c>
      <c r="AJ68" s="58">
        <f t="shared" si="67"/>
        <v>83.669536048785616</v>
      </c>
      <c r="AK68" s="58">
        <f t="shared" si="67"/>
        <v>82.992218523793127</v>
      </c>
      <c r="AL68" s="58">
        <f t="shared" si="67"/>
        <v>65.109953468583527</v>
      </c>
      <c r="AM68" s="58">
        <f t="shared" si="67"/>
        <v>56.280893776215557</v>
      </c>
      <c r="AN68" s="58">
        <f t="shared" si="67"/>
        <v>59.629867115628834</v>
      </c>
      <c r="AO68" s="58">
        <f t="shared" si="67"/>
        <v>74.773937627315021</v>
      </c>
      <c r="AP68" s="58">
        <f t="shared" si="67"/>
        <v>86.607494867509487</v>
      </c>
    </row>
  </sheetData>
  <mergeCells count="14">
    <mergeCell ref="AH4:AP4"/>
    <mergeCell ref="U3:U7"/>
    <mergeCell ref="V3:V7"/>
    <mergeCell ref="X4:AF4"/>
    <mergeCell ref="B3:B67"/>
    <mergeCell ref="C3:S3"/>
    <mergeCell ref="D4:E4"/>
    <mergeCell ref="F4:G4"/>
    <mergeCell ref="H4:I4"/>
    <mergeCell ref="J4:K4"/>
    <mergeCell ref="L4:M4"/>
    <mergeCell ref="N4:O4"/>
    <mergeCell ref="P4:Q4"/>
    <mergeCell ref="R4:S4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5D87-D398-404C-8313-072AAAABDC2A}">
  <dimension ref="B2:AI60"/>
  <sheetViews>
    <sheetView workbookViewId="0">
      <selection activeCell="B2" sqref="B2"/>
    </sheetView>
  </sheetViews>
  <sheetFormatPr baseColWidth="10" defaultRowHeight="12.75" x14ac:dyDescent="0.2"/>
  <cols>
    <col min="2" max="2" width="47.28515625" bestFit="1" customWidth="1"/>
    <col min="3" max="3" width="52.85546875" bestFit="1" customWidth="1"/>
    <col min="4" max="4" width="12.85546875" bestFit="1" customWidth="1"/>
    <col min="7" max="7" width="11.7109375" bestFit="1" customWidth="1"/>
    <col min="8" max="25" width="11.5703125" bestFit="1" customWidth="1"/>
  </cols>
  <sheetData>
    <row r="2" spans="2:35" ht="321.75" x14ac:dyDescent="0.2">
      <c r="B2" s="634" t="s">
        <v>878</v>
      </c>
      <c r="E2" s="586" t="s">
        <v>807</v>
      </c>
      <c r="F2" s="586" t="s">
        <v>806</v>
      </c>
      <c r="G2" s="586" t="s">
        <v>805</v>
      </c>
      <c r="H2" s="586" t="s">
        <v>804</v>
      </c>
      <c r="I2" s="592"/>
      <c r="J2" s="586" t="s">
        <v>803</v>
      </c>
      <c r="K2" s="586" t="s">
        <v>802</v>
      </c>
      <c r="L2" s="586" t="s">
        <v>801</v>
      </c>
      <c r="M2" s="586" t="s">
        <v>800</v>
      </c>
      <c r="N2" s="586" t="s">
        <v>799</v>
      </c>
      <c r="O2" s="586" t="s">
        <v>834</v>
      </c>
      <c r="P2" s="586" t="s">
        <v>808</v>
      </c>
      <c r="Q2" s="586" t="s">
        <v>809</v>
      </c>
      <c r="R2" s="586" t="s">
        <v>810</v>
      </c>
      <c r="S2" s="586" t="s">
        <v>811</v>
      </c>
      <c r="T2" s="586" t="s">
        <v>812</v>
      </c>
      <c r="U2" s="586" t="s">
        <v>813</v>
      </c>
      <c r="V2" s="592" t="s">
        <v>856</v>
      </c>
      <c r="W2" s="592" t="s">
        <v>826</v>
      </c>
      <c r="X2" s="592" t="s">
        <v>855</v>
      </c>
      <c r="Y2" s="592" t="s">
        <v>854</v>
      </c>
      <c r="Z2" s="586" t="s">
        <v>814</v>
      </c>
      <c r="AA2" s="595" t="s">
        <v>815</v>
      </c>
      <c r="AB2" s="586" t="s">
        <v>816</v>
      </c>
      <c r="AC2" s="586" t="s">
        <v>817</v>
      </c>
      <c r="AD2" s="592" t="s">
        <v>818</v>
      </c>
      <c r="AE2" s="586" t="s">
        <v>819</v>
      </c>
      <c r="AF2" s="586" t="s">
        <v>820</v>
      </c>
      <c r="AG2" s="586" t="s">
        <v>821</v>
      </c>
      <c r="AH2" s="586" t="s">
        <v>822</v>
      </c>
      <c r="AI2" s="586" t="s">
        <v>823</v>
      </c>
    </row>
    <row r="3" spans="2:35" x14ac:dyDescent="0.2">
      <c r="B3" t="s">
        <v>833</v>
      </c>
      <c r="C3" t="s">
        <v>830</v>
      </c>
      <c r="D3" t="s">
        <v>832</v>
      </c>
      <c r="E3">
        <v>175.16374035473899</v>
      </c>
      <c r="F3">
        <v>175.28658787196599</v>
      </c>
      <c r="G3">
        <v>150.79236909806301</v>
      </c>
      <c r="H3">
        <v>107.380535877494</v>
      </c>
      <c r="J3" s="55">
        <v>195.04154903333799</v>
      </c>
      <c r="K3" s="55">
        <v>4.9732981185429699</v>
      </c>
      <c r="L3" s="55">
        <v>262.251228823129</v>
      </c>
      <c r="M3" s="55">
        <v>13.360353314575301</v>
      </c>
      <c r="N3" s="55">
        <v>1177.04346597634</v>
      </c>
      <c r="O3" s="55">
        <v>10.0816433912034</v>
      </c>
      <c r="P3" s="55">
        <v>3.55909740618621</v>
      </c>
      <c r="Q3" s="55">
        <v>18.126999550568598</v>
      </c>
      <c r="R3" s="55">
        <v>47.636033982152597</v>
      </c>
      <c r="S3" s="55">
        <v>26.108878908326599</v>
      </c>
      <c r="T3" s="55">
        <v>15.1253887554527</v>
      </c>
      <c r="U3" s="55">
        <v>84.444460081823195</v>
      </c>
      <c r="V3" s="55">
        <v>98.933227039643299</v>
      </c>
      <c r="W3" s="55">
        <v>89.923253912624602</v>
      </c>
      <c r="X3" s="55">
        <v>113.56100828905539</v>
      </c>
      <c r="Y3" s="55">
        <v>91.784284512679818</v>
      </c>
      <c r="Z3" s="55">
        <v>6.2634852578089002E-3</v>
      </c>
      <c r="AA3" s="596">
        <v>124.447065709721</v>
      </c>
      <c r="AB3" s="55">
        <v>133.600424480014</v>
      </c>
      <c r="AC3" s="55">
        <v>173.76038505559899</v>
      </c>
      <c r="AD3" s="55">
        <v>43.830662365217798</v>
      </c>
      <c r="AE3" s="55">
        <v>1126.36393579733</v>
      </c>
      <c r="AF3" s="55">
        <v>134.56896593791399</v>
      </c>
      <c r="AG3" s="55">
        <v>5.4660149789570598</v>
      </c>
      <c r="AH3" s="55">
        <v>9.6680393209459403</v>
      </c>
      <c r="AI3" s="55">
        <v>0.99828727057226196</v>
      </c>
    </row>
    <row r="4" spans="2:35" x14ac:dyDescent="0.2">
      <c r="B4" t="s">
        <v>752</v>
      </c>
      <c r="C4" t="s">
        <v>753</v>
      </c>
      <c r="D4" t="s">
        <v>754</v>
      </c>
      <c r="E4" s="55">
        <v>16.254999999999999</v>
      </c>
      <c r="F4" s="55">
        <v>16.527000000000001</v>
      </c>
      <c r="G4" s="55">
        <v>9.0867000000000004</v>
      </c>
      <c r="H4" s="55">
        <v>8.1082999999999998</v>
      </c>
      <c r="I4" s="55"/>
      <c r="J4" s="55">
        <v>15.558</v>
      </c>
      <c r="K4" s="55">
        <v>0.35428999999999999</v>
      </c>
      <c r="L4" s="55">
        <v>5.4512</v>
      </c>
      <c r="M4" s="55">
        <v>0.90739000000000003</v>
      </c>
      <c r="N4" s="55">
        <v>31.433</v>
      </c>
      <c r="O4" s="55">
        <v>0.57650000000000001</v>
      </c>
      <c r="P4" s="55">
        <v>0.15923999999999999</v>
      </c>
      <c r="Q4" s="55">
        <v>0.90637000000000001</v>
      </c>
      <c r="R4" s="55">
        <v>2.9285999999999999</v>
      </c>
      <c r="S4" s="55">
        <v>1.6167</v>
      </c>
      <c r="T4" s="55">
        <v>1.0038</v>
      </c>
      <c r="U4" s="55">
        <v>2.5097999999999998</v>
      </c>
      <c r="V4" s="55">
        <v>3.79454</v>
      </c>
      <c r="W4" s="55">
        <v>5.798</v>
      </c>
      <c r="X4" s="55">
        <v>5.7489473993358686</v>
      </c>
      <c r="Y4" s="55">
        <v>4.1076160000000002</v>
      </c>
      <c r="Z4" s="55">
        <v>4.2383999999999998E-4</v>
      </c>
      <c r="AA4" s="596">
        <v>7.6771000000000003</v>
      </c>
      <c r="AB4" s="55">
        <v>8.2479999999999993</v>
      </c>
      <c r="AC4" s="55">
        <v>11.7</v>
      </c>
      <c r="AD4" s="55">
        <v>3.4182000000000001</v>
      </c>
      <c r="AE4" s="55">
        <v>84.385000000000005</v>
      </c>
      <c r="AF4" s="55">
        <v>9.0898000000000003</v>
      </c>
      <c r="AG4" s="55">
        <v>0.39843000000000001</v>
      </c>
      <c r="AH4" s="55">
        <v>0.32044</v>
      </c>
      <c r="AI4" s="55">
        <v>5.7629E-2</v>
      </c>
    </row>
    <row r="5" spans="2:35" x14ac:dyDescent="0.2">
      <c r="B5" t="s">
        <v>760</v>
      </c>
      <c r="C5" t="s">
        <v>761</v>
      </c>
      <c r="D5" t="s">
        <v>757</v>
      </c>
      <c r="E5" s="55">
        <v>73.988</v>
      </c>
      <c r="F5" s="55">
        <v>77.825000000000003</v>
      </c>
      <c r="G5" s="55">
        <v>77.320999999999998</v>
      </c>
      <c r="H5" s="55">
        <v>79.290999999999997</v>
      </c>
      <c r="I5" s="55"/>
      <c r="J5" s="55">
        <v>142.31</v>
      </c>
      <c r="K5" s="55">
        <v>5.5420999999999996</v>
      </c>
      <c r="L5" s="55">
        <v>357.78</v>
      </c>
      <c r="M5" s="55">
        <v>14.454000000000001</v>
      </c>
      <c r="N5" s="55">
        <v>1242.0999999999999</v>
      </c>
      <c r="O5" s="55">
        <v>10.927</v>
      </c>
      <c r="P5" s="55">
        <v>4.0871000000000004</v>
      </c>
      <c r="Q5" s="55">
        <v>9.6080000000000005</v>
      </c>
      <c r="R5" s="55">
        <v>13.289</v>
      </c>
      <c r="S5" s="55">
        <v>27.39</v>
      </c>
      <c r="T5" s="55">
        <v>10.98</v>
      </c>
      <c r="U5" s="55">
        <v>14.627000000000001</v>
      </c>
      <c r="V5" s="55">
        <v>30.333600000000001</v>
      </c>
      <c r="W5" s="55">
        <v>59.481000000000002</v>
      </c>
      <c r="X5" s="55">
        <v>55.21913928420328</v>
      </c>
      <c r="Y5" s="55">
        <v>30.489840000000001</v>
      </c>
      <c r="Z5" s="55">
        <v>5.8237000000000002E-3</v>
      </c>
      <c r="AA5" s="596">
        <v>524.34</v>
      </c>
      <c r="AB5" s="55">
        <v>499.09</v>
      </c>
      <c r="AC5" s="55">
        <v>1144.4000000000001</v>
      </c>
      <c r="AD5" s="55">
        <v>9.5533000000000001</v>
      </c>
      <c r="AE5" s="55">
        <v>666.19</v>
      </c>
      <c r="AF5" s="55">
        <v>1081.2</v>
      </c>
      <c r="AG5" s="55">
        <v>42.142000000000003</v>
      </c>
      <c r="AH5" s="55">
        <v>1.4854000000000001</v>
      </c>
      <c r="AI5" s="55">
        <v>0.18731999999999999</v>
      </c>
    </row>
    <row r="6" spans="2:35" x14ac:dyDescent="0.2">
      <c r="B6" t="s">
        <v>749</v>
      </c>
      <c r="C6" t="s">
        <v>750</v>
      </c>
      <c r="D6" t="s">
        <v>751</v>
      </c>
      <c r="E6" s="55">
        <v>7.0550000000000002E-2</v>
      </c>
      <c r="F6" s="55">
        <v>4.6198999999999997E-2</v>
      </c>
      <c r="G6" s="55">
        <v>2.6065999999999999E-2</v>
      </c>
      <c r="H6" s="55">
        <v>4.8938000000000002E-2</v>
      </c>
      <c r="I6" s="55"/>
      <c r="J6" s="55">
        <v>8.3553000000000002E-2</v>
      </c>
      <c r="K6" s="55">
        <v>3.2816999999999998E-3</v>
      </c>
      <c r="L6" s="55">
        <v>8.6679000000000006E-2</v>
      </c>
      <c r="M6" s="55">
        <v>2.3278E-2</v>
      </c>
      <c r="N6" s="55">
        <v>0.19073000000000001</v>
      </c>
      <c r="O6" s="55">
        <v>7.7117000000000002E-3</v>
      </c>
      <c r="P6" s="55">
        <v>8.0539999999999995E-4</v>
      </c>
      <c r="Q6" s="55">
        <v>2.7872000000000001E-3</v>
      </c>
      <c r="R6" s="55">
        <v>2.2812000000000002E-3</v>
      </c>
      <c r="S6" s="55">
        <v>5.0809E-2</v>
      </c>
      <c r="T6" s="55">
        <v>3.6633E-3</v>
      </c>
      <c r="U6" s="55">
        <v>6.2541000000000003E-3</v>
      </c>
      <c r="V6" s="55">
        <v>8.9674999999999998E-3</v>
      </c>
      <c r="W6" s="55">
        <v>2.6009999999999998E-2</v>
      </c>
      <c r="X6" s="55">
        <v>4.7702083932300486E-2</v>
      </c>
      <c r="Y6" s="55">
        <v>1.317519E-2</v>
      </c>
      <c r="Z6" s="55">
        <v>3.1441000000000001E-6</v>
      </c>
      <c r="AA6" s="596">
        <v>8.7953000000000003E-2</v>
      </c>
      <c r="AB6" s="55">
        <v>8.5597999999999994E-2</v>
      </c>
      <c r="AC6" s="55">
        <v>4.0571999999999997E-2</v>
      </c>
      <c r="AD6" s="55">
        <v>1.5990000000000001E-2</v>
      </c>
      <c r="AE6" s="55">
        <v>0.40967999999999999</v>
      </c>
      <c r="AF6" s="55">
        <v>0.43131999999999998</v>
      </c>
      <c r="AG6" s="55">
        <v>1.0785E-3</v>
      </c>
      <c r="AH6" s="55">
        <v>1.0951999999999999E-3</v>
      </c>
      <c r="AI6" s="55">
        <v>2.4686E-5</v>
      </c>
    </row>
    <row r="7" spans="2:35" x14ac:dyDescent="0.2">
      <c r="B7" t="s">
        <v>781</v>
      </c>
      <c r="C7" t="s">
        <v>782</v>
      </c>
      <c r="D7" t="s">
        <v>783</v>
      </c>
      <c r="E7" s="55">
        <v>0.30114999999999997</v>
      </c>
      <c r="F7" s="55">
        <v>10.906000000000001</v>
      </c>
      <c r="G7" s="55">
        <v>6.7847000000000005E-2</v>
      </c>
      <c r="H7" s="55">
        <v>26.823</v>
      </c>
      <c r="I7" s="55"/>
      <c r="J7" s="55">
        <v>43.543999999999997</v>
      </c>
      <c r="K7" s="55">
        <v>7.8510000000000003E-3</v>
      </c>
      <c r="L7" s="55">
        <v>2.1206</v>
      </c>
      <c r="M7" s="55">
        <v>5.9894999999999997E-2</v>
      </c>
      <c r="N7" s="55">
        <v>8.9141999999999992</v>
      </c>
      <c r="O7" s="55">
        <v>3.0505999999999998E-2</v>
      </c>
      <c r="P7" s="55">
        <v>5.9956999999999996E-3</v>
      </c>
      <c r="Q7" s="55">
        <v>0.18587999999999999</v>
      </c>
      <c r="R7" s="55">
        <v>2.2081E-2</v>
      </c>
      <c r="S7" s="55">
        <v>5.6105000000000002E-2</v>
      </c>
      <c r="T7" s="55">
        <v>7.1797E-2</v>
      </c>
      <c r="U7" s="55">
        <v>2.2887999999999999E-2</v>
      </c>
      <c r="V7" s="55">
        <v>4.49489E-2</v>
      </c>
      <c r="W7" s="55">
        <v>7.3672000000000004</v>
      </c>
      <c r="X7" s="55">
        <v>3.6140927779007304</v>
      </c>
      <c r="Y7" s="55">
        <v>0.27159644000000005</v>
      </c>
      <c r="Z7" s="55">
        <v>6.2706999999999994E-5</v>
      </c>
      <c r="AA7" s="596">
        <v>4.0640000000000003E-2</v>
      </c>
      <c r="AB7" s="55">
        <v>5.7987999999999998E-2</v>
      </c>
      <c r="AC7" s="55">
        <v>5.6184999999999999E-2</v>
      </c>
      <c r="AD7" s="55">
        <v>1.0161999999999999E-2</v>
      </c>
      <c r="AE7" s="55">
        <v>164.12</v>
      </c>
      <c r="AF7" s="55">
        <v>1.9114</v>
      </c>
      <c r="AG7" s="55">
        <v>6.2304999999999999E-2</v>
      </c>
      <c r="AH7" s="55">
        <v>1.9797999999999999E-3</v>
      </c>
      <c r="AI7" s="55">
        <v>3.3410999999999998E-4</v>
      </c>
    </row>
    <row r="8" spans="2:35" x14ac:dyDescent="0.2">
      <c r="B8" t="s">
        <v>795</v>
      </c>
      <c r="C8" t="s">
        <v>796</v>
      </c>
      <c r="D8" t="s">
        <v>797</v>
      </c>
      <c r="E8" s="55">
        <v>9.2152999999999999E-2</v>
      </c>
      <c r="F8" s="55">
        <v>0.12445000000000001</v>
      </c>
      <c r="G8" s="55">
        <v>0.28034999999999999</v>
      </c>
      <c r="H8" s="55">
        <v>8.7756000000000001E-2</v>
      </c>
      <c r="I8" s="55"/>
      <c r="J8" s="55">
        <v>0.14912</v>
      </c>
      <c r="K8" s="55">
        <v>1.6954E-2</v>
      </c>
      <c r="L8" s="55">
        <v>1.2017</v>
      </c>
      <c r="M8" s="55">
        <v>8.5038000000000006E-3</v>
      </c>
      <c r="N8" s="55">
        <v>5.1307</v>
      </c>
      <c r="O8" s="55">
        <v>1.3871E-2</v>
      </c>
      <c r="P8" s="55">
        <v>1.6105E-3</v>
      </c>
      <c r="Q8" s="55">
        <v>8.5290000000000001E-3</v>
      </c>
      <c r="R8" s="55">
        <v>5.6494000000000003E-2</v>
      </c>
      <c r="S8" s="55">
        <v>6.4343999999999998E-2</v>
      </c>
      <c r="T8" s="55">
        <v>7.7667999999999999E-3</v>
      </c>
      <c r="U8" s="55">
        <v>3.6481E-3</v>
      </c>
      <c r="V8" s="55">
        <v>3.8390000000000001E-2</v>
      </c>
      <c r="W8" s="55">
        <v>5.3903E-2</v>
      </c>
      <c r="X8" s="55">
        <v>0.15891144507523214</v>
      </c>
      <c r="Y8" s="55">
        <v>3.1879940000000002E-2</v>
      </c>
      <c r="Z8" s="55">
        <v>2.0772999999999999E-5</v>
      </c>
      <c r="AA8" s="596">
        <v>1.6879999999999999E-2</v>
      </c>
      <c r="AB8" s="55">
        <v>2.0081000000000002E-2</v>
      </c>
      <c r="AC8" s="55">
        <v>0.11222</v>
      </c>
      <c r="AD8" s="55">
        <v>8.5740999999999994E-3</v>
      </c>
      <c r="AE8" s="55">
        <v>0.74929999999999997</v>
      </c>
      <c r="AF8" s="55">
        <v>0.15271000000000001</v>
      </c>
      <c r="AG8" s="55">
        <v>7.3108000000000001E-3</v>
      </c>
      <c r="AH8" s="55">
        <v>4.7102999999999997E-3</v>
      </c>
      <c r="AI8" s="55">
        <v>4.3392000000000001E-5</v>
      </c>
    </row>
    <row r="9" spans="2:35" x14ac:dyDescent="0.2">
      <c r="B9" t="s">
        <v>765</v>
      </c>
      <c r="C9" t="s">
        <v>766</v>
      </c>
      <c r="D9" t="s">
        <v>767</v>
      </c>
      <c r="E9" s="55">
        <v>4.8764000000000004E-3</v>
      </c>
      <c r="F9" s="55">
        <v>4.1412000000000003E-3</v>
      </c>
      <c r="G9" s="55">
        <v>2.434E-3</v>
      </c>
      <c r="H9" s="55">
        <v>4.6760999999999999E-3</v>
      </c>
      <c r="I9" s="55"/>
      <c r="J9" s="55">
        <v>7.9451999999999995E-3</v>
      </c>
      <c r="K9" s="55">
        <v>1.9572E-4</v>
      </c>
      <c r="L9" s="55">
        <v>2.5753999999999998E-3</v>
      </c>
      <c r="M9" s="55">
        <v>3.3126E-4</v>
      </c>
      <c r="N9" s="55">
        <v>1.2161999999999999E-2</v>
      </c>
      <c r="O9" s="55">
        <v>3.3121000000000002E-4</v>
      </c>
      <c r="P9" s="55">
        <v>1.2416E-4</v>
      </c>
      <c r="Q9" s="55">
        <v>6.4247999999999996E-4</v>
      </c>
      <c r="R9" s="55">
        <v>1.3746E-4</v>
      </c>
      <c r="S9" s="55">
        <v>3.4665999999999999E-4</v>
      </c>
      <c r="T9" s="55">
        <v>4.0458999999999997E-4</v>
      </c>
      <c r="U9" s="55">
        <v>1.1883999999999999E-4</v>
      </c>
      <c r="V9" s="55">
        <v>8.4480999999999998E-4</v>
      </c>
      <c r="W9" s="55">
        <v>1.908E-3</v>
      </c>
      <c r="X9" s="55">
        <v>3.9670699619067081E-3</v>
      </c>
      <c r="Y9" s="55">
        <v>1.2287545E-3</v>
      </c>
      <c r="Z9" s="55">
        <v>1.5632000000000001E-7</v>
      </c>
      <c r="AA9" s="596">
        <v>1.2292E-3</v>
      </c>
      <c r="AB9" s="55">
        <v>1.3426E-3</v>
      </c>
      <c r="AC9" s="55">
        <v>3.3869999999999998E-3</v>
      </c>
      <c r="AD9" s="55">
        <v>1.3397999999999999E-3</v>
      </c>
      <c r="AE9" s="55">
        <v>4.1908000000000001E-2</v>
      </c>
      <c r="AF9" s="55">
        <v>4.6273000000000002E-2</v>
      </c>
      <c r="AG9" s="55">
        <v>1.3838000000000001E-4</v>
      </c>
      <c r="AH9" s="55">
        <v>2.8058E-4</v>
      </c>
      <c r="AI9" s="55">
        <v>9.4992000000000003E-7</v>
      </c>
    </row>
    <row r="10" spans="2:35" x14ac:dyDescent="0.2">
      <c r="B10" t="s">
        <v>755</v>
      </c>
      <c r="C10" t="s">
        <v>756</v>
      </c>
      <c r="D10" t="s">
        <v>757</v>
      </c>
      <c r="E10" s="55">
        <v>1.4147000000000001</v>
      </c>
      <c r="F10" s="55">
        <v>0.75333000000000006</v>
      </c>
      <c r="G10" s="55">
        <v>0.30120000000000002</v>
      </c>
      <c r="H10" s="55">
        <v>0.70374000000000003</v>
      </c>
      <c r="I10" s="55"/>
      <c r="J10" s="55">
        <v>1.2293000000000001</v>
      </c>
      <c r="K10" s="55">
        <v>4.8223000000000002E-2</v>
      </c>
      <c r="L10" s="55">
        <v>1.3548</v>
      </c>
      <c r="M10" s="55">
        <v>8.5722000000000007E-2</v>
      </c>
      <c r="N10" s="55">
        <v>5.0152000000000001</v>
      </c>
      <c r="O10" s="55">
        <v>8.5516999999999996E-2</v>
      </c>
      <c r="P10" s="55">
        <v>3.7781000000000002E-2</v>
      </c>
      <c r="Q10" s="55">
        <v>7.9323000000000005E-2</v>
      </c>
      <c r="R10" s="55">
        <v>5.0402000000000002E-2</v>
      </c>
      <c r="S10" s="55">
        <v>0.10946</v>
      </c>
      <c r="T10" s="55">
        <v>7.9260999999999998E-2</v>
      </c>
      <c r="U10" s="55">
        <v>4.4416999999999998E-2</v>
      </c>
      <c r="V10" s="55">
        <v>0.14163200000000001</v>
      </c>
      <c r="W10" s="55">
        <v>0.51175999999999999</v>
      </c>
      <c r="X10" s="55">
        <v>0.57401524652027491</v>
      </c>
      <c r="Y10" s="55">
        <v>0.16421840000000001</v>
      </c>
      <c r="Z10" s="55">
        <v>3.2746000000000001E-5</v>
      </c>
      <c r="AA10" s="596">
        <v>0.14888000000000001</v>
      </c>
      <c r="AB10" s="55">
        <v>0.18862000000000001</v>
      </c>
      <c r="AC10" s="55">
        <v>0.22664999999999999</v>
      </c>
      <c r="AD10" s="55">
        <v>6.0495E-2</v>
      </c>
      <c r="AE10" s="55">
        <v>5.8129</v>
      </c>
      <c r="AF10" s="55">
        <v>38.341999999999999</v>
      </c>
      <c r="AG10" s="55">
        <v>4.6913999999999997E-2</v>
      </c>
      <c r="AH10" s="55">
        <v>1.0652E-2</v>
      </c>
      <c r="AI10" s="55">
        <v>2.0754000000000001E-4</v>
      </c>
    </row>
    <row r="11" spans="2:35" x14ac:dyDescent="0.2">
      <c r="B11" t="s">
        <v>771</v>
      </c>
      <c r="C11" t="s">
        <v>772</v>
      </c>
      <c r="D11" t="s">
        <v>757</v>
      </c>
      <c r="E11" s="55">
        <v>9.4739000000000004</v>
      </c>
      <c r="F11" s="55">
        <v>1.6986000000000001</v>
      </c>
      <c r="G11" s="55">
        <v>1.2070000000000001</v>
      </c>
      <c r="H11" s="55">
        <v>1.7015</v>
      </c>
      <c r="I11" s="55"/>
      <c r="J11" s="55">
        <v>3.0192999999999999</v>
      </c>
      <c r="K11" s="55">
        <v>0.13572000000000001</v>
      </c>
      <c r="L11" s="55">
        <v>1.4785999999999999</v>
      </c>
      <c r="M11" s="55">
        <v>0.24201</v>
      </c>
      <c r="N11" s="55">
        <v>7.6147</v>
      </c>
      <c r="O11" s="55">
        <v>1.0862000000000001</v>
      </c>
      <c r="P11" s="55">
        <v>0.10124</v>
      </c>
      <c r="Q11" s="55">
        <v>0.24443999999999999</v>
      </c>
      <c r="R11" s="55">
        <v>0.23283999999999999</v>
      </c>
      <c r="S11" s="55">
        <v>0.31963000000000003</v>
      </c>
      <c r="T11" s="55">
        <v>0.26479999999999998</v>
      </c>
      <c r="U11" s="55">
        <v>0.26490000000000002</v>
      </c>
      <c r="V11" s="55">
        <v>0.70277900000000004</v>
      </c>
      <c r="W11" s="55">
        <v>1.1276999999999999</v>
      </c>
      <c r="X11" s="55">
        <v>4.2038068596027331</v>
      </c>
      <c r="Y11" s="55">
        <v>0.6461437000000001</v>
      </c>
      <c r="Z11" s="55">
        <v>1.5087E-4</v>
      </c>
      <c r="AA11" s="596">
        <v>0.85052000000000005</v>
      </c>
      <c r="AB11" s="55">
        <v>0.97914999999999996</v>
      </c>
      <c r="AC11" s="55">
        <v>0.91554000000000002</v>
      </c>
      <c r="AD11" s="55">
        <v>0.29146</v>
      </c>
      <c r="AE11" s="55">
        <v>15.446</v>
      </c>
      <c r="AF11" s="55">
        <v>9.9222000000000001</v>
      </c>
      <c r="AG11" s="55">
        <v>0.83779999999999999</v>
      </c>
      <c r="AH11" s="55">
        <v>4.0864999999999999E-2</v>
      </c>
      <c r="AI11" s="55">
        <v>3.0457000000000001E-3</v>
      </c>
    </row>
    <row r="12" spans="2:35" x14ac:dyDescent="0.2">
      <c r="B12" t="s">
        <v>773</v>
      </c>
      <c r="C12" t="s">
        <v>774</v>
      </c>
      <c r="D12" t="s">
        <v>757</v>
      </c>
      <c r="E12" s="55">
        <v>19.216999999999999</v>
      </c>
      <c r="F12" s="55">
        <v>17.273</v>
      </c>
      <c r="G12" s="55">
        <v>7.4701000000000004</v>
      </c>
      <c r="H12" s="55">
        <v>15.747</v>
      </c>
      <c r="I12" s="55"/>
      <c r="J12" s="55">
        <v>27.573</v>
      </c>
      <c r="K12" s="55">
        <v>0.88431999999999999</v>
      </c>
      <c r="L12" s="55">
        <v>33.988</v>
      </c>
      <c r="M12" s="55">
        <v>1.9912000000000001</v>
      </c>
      <c r="N12" s="55">
        <v>137.16</v>
      </c>
      <c r="O12" s="55">
        <v>1.7333000000000001</v>
      </c>
      <c r="P12" s="55">
        <v>0.63566999999999996</v>
      </c>
      <c r="Q12" s="55">
        <v>1.6248</v>
      </c>
      <c r="R12" s="55">
        <v>0.79256000000000004</v>
      </c>
      <c r="S12" s="55">
        <v>2.2107999999999999</v>
      </c>
      <c r="T12" s="55">
        <v>1.6207</v>
      </c>
      <c r="U12" s="55">
        <v>0.73807999999999996</v>
      </c>
      <c r="V12" s="55">
        <v>3.11463</v>
      </c>
      <c r="W12" s="55">
        <v>10.42</v>
      </c>
      <c r="X12" s="55">
        <v>12.763650267982332</v>
      </c>
      <c r="Y12" s="55">
        <v>4.2203189999999999</v>
      </c>
      <c r="Z12" s="55">
        <v>6.8725000000000004E-4</v>
      </c>
      <c r="AA12" s="596">
        <v>4.8497000000000003</v>
      </c>
      <c r="AB12" s="55">
        <v>5.5883000000000003</v>
      </c>
      <c r="AC12" s="55">
        <v>6.7973999999999997</v>
      </c>
      <c r="AD12" s="55">
        <v>2.7296</v>
      </c>
      <c r="AE12" s="55">
        <v>134.80000000000001</v>
      </c>
      <c r="AF12" s="55">
        <v>584.32000000000005</v>
      </c>
      <c r="AG12" s="55">
        <v>0.36719000000000002</v>
      </c>
      <c r="AH12" s="55">
        <v>0.37636999999999998</v>
      </c>
      <c r="AI12" s="55">
        <v>3.0636999999999999E-3</v>
      </c>
    </row>
    <row r="13" spans="2:35" x14ac:dyDescent="0.2">
      <c r="B13" t="s">
        <v>787</v>
      </c>
      <c r="C13" t="s">
        <v>788</v>
      </c>
      <c r="D13" t="s">
        <v>789</v>
      </c>
      <c r="E13" s="55">
        <v>3.1113999999999999E-2</v>
      </c>
      <c r="F13" s="55">
        <v>2.2447000000000002E-2</v>
      </c>
      <c r="G13" s="55">
        <v>1.1672E-2</v>
      </c>
      <c r="H13" s="55">
        <v>1.8803E-2</v>
      </c>
      <c r="I13" s="55"/>
      <c r="J13" s="55">
        <v>3.2518999999999999E-2</v>
      </c>
      <c r="K13" s="55">
        <v>8.7633999999999997E-4</v>
      </c>
      <c r="L13" s="55">
        <v>2.7871E-2</v>
      </c>
      <c r="M13" s="55">
        <v>7.3965000000000003E-3</v>
      </c>
      <c r="N13" s="55">
        <v>6.9818000000000005E-2</v>
      </c>
      <c r="O13" s="55">
        <v>2.5175000000000002E-3</v>
      </c>
      <c r="P13" s="55">
        <v>3.2508999999999999E-4</v>
      </c>
      <c r="Q13" s="55">
        <v>1.1577E-3</v>
      </c>
      <c r="R13" s="55">
        <v>8.7600000000000004E-4</v>
      </c>
      <c r="S13" s="55">
        <v>1.4992999999999999E-2</v>
      </c>
      <c r="T13" s="55">
        <v>1.8859E-3</v>
      </c>
      <c r="U13" s="55">
        <v>3.1310999999999999E-3</v>
      </c>
      <c r="V13" s="55">
        <v>4.3560999999999999E-3</v>
      </c>
      <c r="W13" s="55">
        <v>1.0801E-2</v>
      </c>
      <c r="X13" s="55">
        <v>1.6244734515508657E-2</v>
      </c>
      <c r="Y13" s="55">
        <v>6.4755979999999999E-3</v>
      </c>
      <c r="Z13" s="55">
        <v>1.1093999999999999E-6</v>
      </c>
      <c r="AA13" s="596">
        <v>3.0825999999999999E-2</v>
      </c>
      <c r="AB13" s="55">
        <v>3.0249000000000002E-2</v>
      </c>
      <c r="AC13" s="55">
        <v>1.9428999999999998E-2</v>
      </c>
      <c r="AD13" s="55">
        <v>6.0787999999999997E-3</v>
      </c>
      <c r="AE13" s="55">
        <v>0.17762</v>
      </c>
      <c r="AF13" s="55">
        <v>0.13907</v>
      </c>
      <c r="AG13" s="55">
        <v>5.8617000000000001E-4</v>
      </c>
      <c r="AH13" s="55">
        <v>4.5020999999999999E-4</v>
      </c>
      <c r="AI13" s="55">
        <v>9.8641999999999995E-6</v>
      </c>
    </row>
    <row r="14" spans="2:35" x14ac:dyDescent="0.2">
      <c r="B14" t="s">
        <v>762</v>
      </c>
      <c r="C14" t="s">
        <v>763</v>
      </c>
      <c r="D14" t="s">
        <v>764</v>
      </c>
      <c r="E14" s="55">
        <v>3.3473999999999999</v>
      </c>
      <c r="F14" s="55">
        <v>3.0777000000000001</v>
      </c>
      <c r="G14" s="55">
        <v>2.855</v>
      </c>
      <c r="H14" s="55">
        <v>2.0499000000000001</v>
      </c>
      <c r="I14" s="55"/>
      <c r="J14" s="55">
        <v>3.7145999999999999</v>
      </c>
      <c r="K14" s="55">
        <v>8.2319000000000003E-2</v>
      </c>
      <c r="L14" s="55">
        <v>1.7931999999999999</v>
      </c>
      <c r="M14" s="55">
        <v>0.23435</v>
      </c>
      <c r="N14" s="55">
        <v>8.8649000000000004</v>
      </c>
      <c r="O14" s="55">
        <v>0.14196</v>
      </c>
      <c r="P14" s="55">
        <v>4.2595000000000001E-2</v>
      </c>
      <c r="Q14" s="55">
        <v>0.23905000000000001</v>
      </c>
      <c r="R14" s="55">
        <v>0.97391000000000005</v>
      </c>
      <c r="S14" s="55">
        <v>0.48515999999999998</v>
      </c>
      <c r="T14" s="55">
        <v>0.26025999999999999</v>
      </c>
      <c r="U14" s="55">
        <v>1.8152999999999999</v>
      </c>
      <c r="V14" s="55">
        <v>1.97194</v>
      </c>
      <c r="W14" s="55">
        <v>1.6874</v>
      </c>
      <c r="X14" s="55">
        <v>1.5457032856406729</v>
      </c>
      <c r="Y14" s="55">
        <v>1.4415819999999999</v>
      </c>
      <c r="Z14" s="55">
        <v>1.0284E-4</v>
      </c>
      <c r="AA14" s="596">
        <v>2.4950000000000001</v>
      </c>
      <c r="AB14" s="55">
        <v>2.6562000000000001</v>
      </c>
      <c r="AC14" s="55">
        <v>2.5737999999999999</v>
      </c>
      <c r="AD14" s="55">
        <v>0.87026999999999999</v>
      </c>
      <c r="AE14" s="55">
        <v>20.361999999999998</v>
      </c>
      <c r="AF14" s="55">
        <v>2.0787</v>
      </c>
      <c r="AG14" s="55">
        <v>9.9793999999999994E-2</v>
      </c>
      <c r="AH14" s="55">
        <v>8.8775000000000007E-2</v>
      </c>
      <c r="AI14" s="55">
        <v>2.0798000000000001E-2</v>
      </c>
    </row>
    <row r="15" spans="2:35" x14ac:dyDescent="0.2">
      <c r="B15" t="s">
        <v>775</v>
      </c>
      <c r="C15" t="s">
        <v>776</v>
      </c>
      <c r="D15" t="s">
        <v>777</v>
      </c>
      <c r="E15" s="55">
        <v>0.30975000000000003</v>
      </c>
      <c r="F15" s="55">
        <v>0.98468</v>
      </c>
      <c r="G15" s="55">
        <v>0.49192999999999998</v>
      </c>
      <c r="H15" s="55">
        <v>0.28543000000000002</v>
      </c>
      <c r="I15" s="55"/>
      <c r="J15" s="55">
        <v>0.53774999999999995</v>
      </c>
      <c r="K15" s="55">
        <v>2.2055000000000002E-2</v>
      </c>
      <c r="L15" s="55">
        <v>1.6019000000000001</v>
      </c>
      <c r="M15" s="55">
        <v>7.3612999999999998E-2</v>
      </c>
      <c r="N15" s="55">
        <v>7.0021000000000004</v>
      </c>
      <c r="O15" s="55">
        <v>0.11928</v>
      </c>
      <c r="P15" s="55">
        <v>5.2911E-2</v>
      </c>
      <c r="Q15" s="55">
        <v>0.23164999999999999</v>
      </c>
      <c r="R15" s="55">
        <v>3.9056E-2</v>
      </c>
      <c r="S15" s="55">
        <v>9.5512E-2</v>
      </c>
      <c r="T15" s="55">
        <v>9.0987999999999999E-2</v>
      </c>
      <c r="U15" s="55">
        <v>1.9435000000000001E-2</v>
      </c>
      <c r="V15" s="55">
        <v>0.18269200000000002</v>
      </c>
      <c r="W15" s="55">
        <v>0.31485999999999997</v>
      </c>
      <c r="X15" s="55">
        <v>1.4202704987504569</v>
      </c>
      <c r="Y15" s="55">
        <v>0.28455640000000004</v>
      </c>
      <c r="Z15" s="55">
        <v>4.5904E-5</v>
      </c>
      <c r="AA15" s="596">
        <v>0.21296000000000001</v>
      </c>
      <c r="AB15" s="55">
        <v>0.23400000000000001</v>
      </c>
      <c r="AC15" s="55">
        <v>0.73611000000000004</v>
      </c>
      <c r="AD15" s="55">
        <v>0.1181</v>
      </c>
      <c r="AE15" s="55">
        <v>5.0571000000000002</v>
      </c>
      <c r="AF15" s="55">
        <v>0.67091999999999996</v>
      </c>
      <c r="AG15" s="55">
        <v>2.5309999999999999E-2</v>
      </c>
      <c r="AH15" s="55">
        <v>0.19803999999999999</v>
      </c>
      <c r="AI15" s="55">
        <v>2.7492E-4</v>
      </c>
    </row>
    <row r="16" spans="2:35" x14ac:dyDescent="0.2">
      <c r="B16" t="s">
        <v>778</v>
      </c>
      <c r="C16" t="s">
        <v>779</v>
      </c>
      <c r="D16" t="s">
        <v>780</v>
      </c>
      <c r="E16" s="55">
        <v>0.18704000000000001</v>
      </c>
      <c r="F16" s="55">
        <v>0.18140000000000001</v>
      </c>
      <c r="G16" s="55">
        <v>0.17080000000000001</v>
      </c>
      <c r="H16" s="55">
        <v>0.23585999999999999</v>
      </c>
      <c r="I16" s="55"/>
      <c r="J16" s="55">
        <v>0.41064000000000001</v>
      </c>
      <c r="K16" s="55">
        <v>2.8549999999999999E-2</v>
      </c>
      <c r="L16" s="55">
        <v>0.18276999999999999</v>
      </c>
      <c r="M16" s="55">
        <v>3.8766000000000002E-2</v>
      </c>
      <c r="N16" s="55">
        <v>0.81730000000000003</v>
      </c>
      <c r="O16" s="55">
        <v>1.9495999999999999E-2</v>
      </c>
      <c r="P16" s="55">
        <v>9.8299000000000008E-3</v>
      </c>
      <c r="Q16" s="55">
        <v>3.1961000000000003E-2</v>
      </c>
      <c r="R16" s="55">
        <v>1.1733E-2</v>
      </c>
      <c r="S16" s="55">
        <v>0.22259999999999999</v>
      </c>
      <c r="T16" s="55">
        <v>2.6634999999999999E-2</v>
      </c>
      <c r="U16" s="55">
        <v>1.8759000000000001E-2</v>
      </c>
      <c r="V16" s="55">
        <v>0.11455699999999999</v>
      </c>
      <c r="W16" s="55">
        <v>0.14602000000000001</v>
      </c>
      <c r="X16" s="55">
        <v>0.42317993446148416</v>
      </c>
      <c r="Y16" s="55">
        <v>0.51108746999999999</v>
      </c>
      <c r="Z16" s="55">
        <v>9.8532000000000008E-6</v>
      </c>
      <c r="AA16" s="596">
        <v>8.3482000000000001E-2</v>
      </c>
      <c r="AB16" s="55">
        <v>0.11225</v>
      </c>
      <c r="AC16" s="55">
        <v>0.85402999999999996</v>
      </c>
      <c r="AD16" s="55">
        <v>3.9916E-2</v>
      </c>
      <c r="AE16" s="55">
        <v>1.9899</v>
      </c>
      <c r="AF16" s="55">
        <v>1.2074</v>
      </c>
      <c r="AG16" s="55">
        <v>7.2392000000000003E-3</v>
      </c>
      <c r="AH16" s="55">
        <v>1.1283E-2</v>
      </c>
      <c r="AI16" s="55">
        <v>6.6684000000000001E-5</v>
      </c>
    </row>
    <row r="17" spans="2:35" x14ac:dyDescent="0.2">
      <c r="B17" t="s">
        <v>758</v>
      </c>
      <c r="C17" t="s">
        <v>759</v>
      </c>
      <c r="D17" t="s">
        <v>757</v>
      </c>
      <c r="E17" s="55">
        <v>1.8706</v>
      </c>
      <c r="F17" s="55">
        <v>1.0325</v>
      </c>
      <c r="G17" s="55">
        <v>0.46011000000000002</v>
      </c>
      <c r="H17" s="55">
        <v>0.96316999999999997</v>
      </c>
      <c r="I17" s="55"/>
      <c r="J17" s="55">
        <v>1.6881999999999999</v>
      </c>
      <c r="K17" s="55">
        <v>6.6274E-2</v>
      </c>
      <c r="L17" s="55">
        <v>1.8935</v>
      </c>
      <c r="M17" s="55">
        <v>0.12525</v>
      </c>
      <c r="N17" s="55">
        <v>7.0277000000000003</v>
      </c>
      <c r="O17" s="55">
        <v>0.12489</v>
      </c>
      <c r="P17" s="55">
        <v>5.1539000000000001E-2</v>
      </c>
      <c r="Q17" s="55">
        <v>0.11033999999999999</v>
      </c>
      <c r="R17" s="55">
        <v>7.7890000000000001E-2</v>
      </c>
      <c r="S17" s="55">
        <v>0.16916</v>
      </c>
      <c r="T17" s="55">
        <v>0.11101999999999999</v>
      </c>
      <c r="U17" s="55">
        <v>7.2867000000000001E-2</v>
      </c>
      <c r="V17" s="55">
        <v>0.21262200000000001</v>
      </c>
      <c r="W17" s="55">
        <v>0.70140999999999998</v>
      </c>
      <c r="X17" s="55">
        <v>0.80241576138963433</v>
      </c>
      <c r="Y17" s="55">
        <v>0.24145240000000001</v>
      </c>
      <c r="Z17" s="55">
        <v>4.7926999999999997E-5</v>
      </c>
      <c r="AA17" s="596">
        <v>0.68596000000000001</v>
      </c>
      <c r="AB17" s="55">
        <v>0.71292</v>
      </c>
      <c r="AC17" s="55">
        <v>1.6382000000000001</v>
      </c>
      <c r="AD17" s="55">
        <v>9.0787000000000007E-2</v>
      </c>
      <c r="AE17" s="55">
        <v>8.0045999999999999</v>
      </c>
      <c r="AF17" s="55">
        <v>48.152000000000001</v>
      </c>
      <c r="AG17" s="55">
        <v>0.1065</v>
      </c>
      <c r="AH17" s="55">
        <v>1.5778E-2</v>
      </c>
      <c r="AI17" s="55">
        <v>4.9843000000000001E-4</v>
      </c>
    </row>
    <row r="18" spans="2:35" x14ac:dyDescent="0.2">
      <c r="B18" t="s">
        <v>768</v>
      </c>
      <c r="C18" t="s">
        <v>769</v>
      </c>
      <c r="D18" t="s">
        <v>770</v>
      </c>
      <c r="E18" s="55">
        <v>3.9468000000000001E-4</v>
      </c>
      <c r="F18" s="55">
        <v>3.0236999999999999E-4</v>
      </c>
      <c r="G18" s="55">
        <v>2.1524000000000001E-4</v>
      </c>
      <c r="H18" s="55">
        <v>6.2123999999999999E-3</v>
      </c>
      <c r="I18" s="55"/>
      <c r="J18" s="55">
        <v>1.0109999999999999E-2</v>
      </c>
      <c r="K18" s="55">
        <v>3.4752999999999997E-5</v>
      </c>
      <c r="L18" s="55">
        <v>1.4379E-3</v>
      </c>
      <c r="M18" s="55">
        <v>2.4732E-5</v>
      </c>
      <c r="N18" s="55">
        <v>6.8431000000000004E-3</v>
      </c>
      <c r="O18" s="55">
        <v>2.1937999999999999E-5</v>
      </c>
      <c r="P18" s="55">
        <v>8.4717000000000006E-6</v>
      </c>
      <c r="Q18" s="55">
        <v>8.8616999999999995E-5</v>
      </c>
      <c r="R18" s="55">
        <v>6.4482999999999999E-5</v>
      </c>
      <c r="S18" s="55">
        <v>9.3715999999999995E-5</v>
      </c>
      <c r="T18" s="55">
        <v>4.4048999999999998E-5</v>
      </c>
      <c r="U18" s="55">
        <v>3.7951999999999998E-5</v>
      </c>
      <c r="V18" s="55">
        <v>1.3184500000000001E-4</v>
      </c>
      <c r="W18" s="55">
        <v>5.8177000000000001E-4</v>
      </c>
      <c r="X18" s="55">
        <v>1.0700978486372695E-3</v>
      </c>
      <c r="Y18" s="55">
        <v>1.3999869000000002E-4</v>
      </c>
      <c r="Z18" s="55">
        <v>2.1497000000000001E-8</v>
      </c>
      <c r="AA18" s="596">
        <v>1.1158999999999999E-4</v>
      </c>
      <c r="AB18" s="55">
        <v>1.2973999999999999E-4</v>
      </c>
      <c r="AC18" s="55">
        <v>2.6917999999999999E-4</v>
      </c>
      <c r="AD18" s="55">
        <v>9.1285000000000004E-5</v>
      </c>
      <c r="AE18" s="55">
        <v>3.8951E-2</v>
      </c>
      <c r="AF18" s="55">
        <v>8.7449999999999995E-4</v>
      </c>
      <c r="AG18" s="55">
        <v>1.0696000000000001E-5</v>
      </c>
      <c r="AH18" s="55">
        <v>2.2657999999999999E-5</v>
      </c>
      <c r="AI18" s="55">
        <v>6.9708000000000005E-7</v>
      </c>
    </row>
    <row r="19" spans="2:35" x14ac:dyDescent="0.2">
      <c r="B19" t="s">
        <v>793</v>
      </c>
      <c r="C19" t="s">
        <v>794</v>
      </c>
      <c r="D19" t="s">
        <v>792</v>
      </c>
      <c r="E19" s="55">
        <v>4.1751999999999997E-2</v>
      </c>
      <c r="F19" s="55">
        <v>2.5971000000000001E-2</v>
      </c>
      <c r="G19" s="55">
        <v>1.8713E-2</v>
      </c>
      <c r="H19" s="55">
        <v>2.9071E-2</v>
      </c>
      <c r="I19" s="55"/>
      <c r="J19" s="55">
        <v>5.0776000000000002E-2</v>
      </c>
      <c r="K19" s="55">
        <v>1.0039999999999999E-3</v>
      </c>
      <c r="L19" s="55">
        <v>1.5921000000000001E-2</v>
      </c>
      <c r="M19" s="55">
        <v>3.0370000000000002E-3</v>
      </c>
      <c r="N19" s="55">
        <v>7.3179999999999995E-2</v>
      </c>
      <c r="O19" s="55">
        <v>1.7401000000000001E-3</v>
      </c>
      <c r="P19" s="55">
        <v>4.7482999999999998E-4</v>
      </c>
      <c r="Q19" s="55">
        <v>1.8641E-3</v>
      </c>
      <c r="R19" s="55">
        <v>3.1310000000000001E-3</v>
      </c>
      <c r="S19" s="55">
        <v>3.0435000000000002E-3</v>
      </c>
      <c r="T19" s="55">
        <v>2.9293000000000001E-3</v>
      </c>
      <c r="U19" s="55">
        <v>5.4592E-3</v>
      </c>
      <c r="V19" s="55">
        <v>9.1696999999999994E-3</v>
      </c>
      <c r="W19" s="55">
        <v>1.3783E-2</v>
      </c>
      <c r="X19" s="55">
        <v>1.3904077859778222E-2</v>
      </c>
      <c r="Y19" s="55">
        <v>1.0445266E-2</v>
      </c>
      <c r="Z19" s="55">
        <v>8.2900000000000002E-7</v>
      </c>
      <c r="AA19" s="596">
        <v>2.7358E-2</v>
      </c>
      <c r="AB19" s="55">
        <v>2.8188999999999999E-2</v>
      </c>
      <c r="AC19" s="55">
        <v>2.8785999999999999E-2</v>
      </c>
      <c r="AD19" s="55">
        <v>8.1951000000000003E-3</v>
      </c>
      <c r="AE19" s="55">
        <v>0.25276999999999999</v>
      </c>
      <c r="AF19" s="55">
        <v>7.3639999999999997E-2</v>
      </c>
      <c r="AG19" s="55">
        <v>9.6261000000000003E-4</v>
      </c>
      <c r="AH19" s="55">
        <v>5.8116999999999999E-4</v>
      </c>
      <c r="AI19" s="55">
        <v>5.7707999999999997E-5</v>
      </c>
    </row>
    <row r="20" spans="2:35" x14ac:dyDescent="0.2">
      <c r="B20" t="s">
        <v>790</v>
      </c>
      <c r="C20" t="s">
        <v>791</v>
      </c>
      <c r="D20" t="s">
        <v>792</v>
      </c>
      <c r="E20" s="55">
        <v>4.1027000000000001E-2</v>
      </c>
      <c r="F20" s="55">
        <v>2.5007999999999999E-2</v>
      </c>
      <c r="G20" s="55">
        <v>1.7391E-2</v>
      </c>
      <c r="H20" s="55">
        <v>2.8277E-2</v>
      </c>
      <c r="I20" s="55"/>
      <c r="J20" s="55">
        <v>4.9326000000000002E-2</v>
      </c>
      <c r="K20" s="55">
        <v>9.7287000000000003E-4</v>
      </c>
      <c r="L20" s="55">
        <v>1.5069000000000001E-2</v>
      </c>
      <c r="M20" s="55">
        <v>2.9518000000000001E-3</v>
      </c>
      <c r="N20" s="55">
        <v>6.9267999999999996E-2</v>
      </c>
      <c r="O20" s="55">
        <v>1.6930999999999999E-3</v>
      </c>
      <c r="P20" s="55">
        <v>4.5795999999999999E-4</v>
      </c>
      <c r="Q20" s="55">
        <v>1.7937999999999999E-3</v>
      </c>
      <c r="R20" s="55">
        <v>2.7404999999999999E-3</v>
      </c>
      <c r="S20" s="55">
        <v>2.8191000000000002E-3</v>
      </c>
      <c r="T20" s="55">
        <v>2.8468999999999999E-3</v>
      </c>
      <c r="U20" s="55">
        <v>4.5881999999999997E-3</v>
      </c>
      <c r="V20" s="55">
        <v>8.135100000000001E-3</v>
      </c>
      <c r="W20" s="55">
        <v>1.2945E-2</v>
      </c>
      <c r="X20" s="55">
        <v>1.3384274597010996E-2</v>
      </c>
      <c r="Y20" s="55">
        <v>9.708851000000001E-3</v>
      </c>
      <c r="Z20" s="55">
        <v>7.9370999999999998E-7</v>
      </c>
      <c r="AA20" s="596">
        <v>2.6646E-2</v>
      </c>
      <c r="AB20" s="55">
        <v>2.7422999999999999E-2</v>
      </c>
      <c r="AC20" s="55">
        <v>2.8063999999999999E-2</v>
      </c>
      <c r="AD20" s="55">
        <v>8.0406999999999996E-3</v>
      </c>
      <c r="AE20" s="55">
        <v>0.24621999999999999</v>
      </c>
      <c r="AF20" s="55">
        <v>7.1980000000000002E-2</v>
      </c>
      <c r="AG20" s="55">
        <v>9.2363999999999999E-4</v>
      </c>
      <c r="AH20" s="55">
        <v>5.6205000000000003E-4</v>
      </c>
      <c r="AI20" s="55">
        <v>5.0742999999999999E-5</v>
      </c>
    </row>
    <row r="21" spans="2:35" x14ac:dyDescent="0.2">
      <c r="B21" t="s">
        <v>784</v>
      </c>
      <c r="C21" t="s">
        <v>785</v>
      </c>
      <c r="D21" t="s">
        <v>786</v>
      </c>
      <c r="E21" s="55">
        <v>3.4114999999999999E-6</v>
      </c>
      <c r="F21" s="55">
        <v>3.3598E-6</v>
      </c>
      <c r="G21" s="55">
        <v>1.7864E-6</v>
      </c>
      <c r="H21" s="55">
        <v>2.3578999999999999E-6</v>
      </c>
      <c r="I21" s="55"/>
      <c r="J21" s="55">
        <v>4.1810999999999997E-6</v>
      </c>
      <c r="K21" s="55">
        <v>9.8907E-8</v>
      </c>
      <c r="L21" s="55">
        <v>4.4078999999999998E-6</v>
      </c>
      <c r="M21" s="55">
        <v>2.9220999999999999E-7</v>
      </c>
      <c r="N21" s="55">
        <v>2.0285999999999999E-5</v>
      </c>
      <c r="O21" s="55">
        <v>1.8073E-7</v>
      </c>
      <c r="P21" s="55">
        <v>6.3791000000000005E-8</v>
      </c>
      <c r="Q21" s="55">
        <v>3.9541999999999998E-7</v>
      </c>
      <c r="R21" s="55">
        <v>2.6566000000000001E-7</v>
      </c>
      <c r="S21" s="55">
        <v>3.6375000000000001E-7</v>
      </c>
      <c r="T21" s="55">
        <v>3.5746999999999998E-7</v>
      </c>
      <c r="U21" s="55">
        <v>2.3970000000000001E-7</v>
      </c>
      <c r="V21" s="55">
        <v>8.2106000000000002E-7</v>
      </c>
      <c r="W21" s="55">
        <v>1.3077E-6</v>
      </c>
      <c r="X21" s="55">
        <v>1.896405869532958E-6</v>
      </c>
      <c r="Y21" s="55">
        <v>1.0826015999999999E-6</v>
      </c>
      <c r="Z21" s="55">
        <v>3.1596000000000001E-10</v>
      </c>
      <c r="AA21" s="596">
        <v>1.5568000000000001E-6</v>
      </c>
      <c r="AB21" s="55">
        <v>1.7038000000000001E-6</v>
      </c>
      <c r="AC21" s="55">
        <v>3.5196999999999999E-6</v>
      </c>
      <c r="AD21" s="55">
        <v>6.3157999999999999E-7</v>
      </c>
      <c r="AE21" s="55">
        <v>2.7404000000000001E-5</v>
      </c>
      <c r="AF21" s="55">
        <v>9.0183999999999999E-6</v>
      </c>
      <c r="AG21" s="55">
        <v>7.9495999999999999E-8</v>
      </c>
      <c r="AH21" s="55">
        <v>1.5043E-7</v>
      </c>
      <c r="AI21" s="55">
        <v>7.4866999999999998E-9</v>
      </c>
    </row>
    <row r="24" spans="2:35" x14ac:dyDescent="0.2">
      <c r="B24" s="101"/>
      <c r="D24" s="55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</row>
    <row r="25" spans="2:35" x14ac:dyDescent="0.2">
      <c r="B25" s="629"/>
      <c r="D25" s="55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</row>
    <row r="26" spans="2:35" x14ac:dyDescent="0.2">
      <c r="B26" s="101"/>
      <c r="D26" s="55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</row>
    <row r="27" spans="2:35" x14ac:dyDescent="0.2">
      <c r="B27" s="101"/>
      <c r="D27" s="55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</row>
    <row r="28" spans="2:35" x14ac:dyDescent="0.2">
      <c r="B28" s="101"/>
      <c r="D28" s="55"/>
      <c r="E28" s="630"/>
      <c r="F28" s="630"/>
    </row>
    <row r="29" spans="2:35" x14ac:dyDescent="0.2">
      <c r="B29" s="101"/>
      <c r="D29" s="55"/>
      <c r="E29" s="630"/>
      <c r="F29" s="630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2:35" x14ac:dyDescent="0.2">
      <c r="B30" s="101"/>
      <c r="D30" s="55"/>
      <c r="E30" s="630"/>
      <c r="G30" s="8"/>
      <c r="H30" s="632"/>
      <c r="I30" s="632"/>
      <c r="J30" s="632"/>
      <c r="K30" s="632"/>
      <c r="L30" s="632"/>
      <c r="M30" s="632"/>
      <c r="N30" s="632"/>
      <c r="O30" s="632"/>
      <c r="P30" s="632"/>
      <c r="Q30" s="632"/>
      <c r="R30" s="632"/>
      <c r="S30" s="632"/>
      <c r="T30" s="632"/>
      <c r="U30" s="632"/>
      <c r="V30" s="632"/>
      <c r="W30" s="632"/>
      <c r="X30" s="632"/>
      <c r="Y30" s="632"/>
    </row>
    <row r="31" spans="2:35" x14ac:dyDescent="0.2">
      <c r="B31" s="101"/>
      <c r="D31" s="55"/>
      <c r="E31" s="630"/>
      <c r="F31" s="630"/>
      <c r="G31" s="630"/>
      <c r="H31" s="630"/>
      <c r="I31" s="630"/>
      <c r="J31" s="630"/>
      <c r="K31" s="630"/>
      <c r="L31" s="630"/>
      <c r="M31" s="630"/>
      <c r="N31" s="630"/>
      <c r="O31" s="630"/>
      <c r="P31" s="630"/>
      <c r="Q31" s="630"/>
      <c r="R31" s="630"/>
      <c r="S31" s="630"/>
      <c r="T31" s="630"/>
      <c r="U31" s="630"/>
      <c r="V31" s="630"/>
      <c r="W31" s="101"/>
      <c r="X31" s="101"/>
      <c r="Y31" s="101"/>
    </row>
    <row r="32" spans="2:35" x14ac:dyDescent="0.2">
      <c r="B32" s="101"/>
      <c r="D32" s="55"/>
      <c r="E32" s="630"/>
      <c r="F32" s="630"/>
      <c r="G32" s="630"/>
      <c r="H32" s="630"/>
      <c r="I32" s="630"/>
      <c r="J32" s="630"/>
      <c r="K32" s="630"/>
      <c r="L32" s="630"/>
      <c r="M32" s="630"/>
      <c r="N32" s="630"/>
      <c r="O32" s="630"/>
      <c r="P32" s="630"/>
      <c r="Q32" s="630"/>
      <c r="R32" s="630"/>
      <c r="S32" s="630"/>
      <c r="T32" s="630"/>
      <c r="U32" s="630"/>
      <c r="V32" s="630"/>
      <c r="W32" s="101"/>
      <c r="X32" s="101"/>
      <c r="Y32" s="101"/>
    </row>
    <row r="33" spans="2:25" x14ac:dyDescent="0.2">
      <c r="B33" s="101"/>
      <c r="D33" s="55"/>
      <c r="E33" s="630"/>
      <c r="F33" s="630"/>
      <c r="G33" s="630"/>
      <c r="H33" s="630"/>
      <c r="I33" s="630"/>
      <c r="J33" s="630"/>
      <c r="K33" s="630"/>
      <c r="L33" s="630"/>
      <c r="M33" s="630"/>
      <c r="N33" s="630"/>
      <c r="O33" s="630"/>
      <c r="P33" s="630"/>
      <c r="Q33" s="630"/>
      <c r="R33" s="630"/>
      <c r="S33" s="630"/>
      <c r="T33" s="630"/>
      <c r="U33" s="630"/>
      <c r="V33" s="630"/>
      <c r="W33" s="101"/>
      <c r="X33" s="101"/>
      <c r="Y33" s="101"/>
    </row>
    <row r="34" spans="2:25" x14ac:dyDescent="0.2">
      <c r="B34" s="101"/>
      <c r="D34" s="55"/>
      <c r="E34" s="630"/>
      <c r="F34" s="630"/>
      <c r="G34" s="630"/>
      <c r="H34" s="630"/>
      <c r="I34" s="630"/>
      <c r="J34" s="630"/>
      <c r="K34" s="630"/>
      <c r="L34" s="630"/>
      <c r="M34" s="630"/>
      <c r="N34" s="630"/>
      <c r="O34" s="630"/>
      <c r="P34" s="630"/>
      <c r="Q34" s="630"/>
      <c r="R34" s="630"/>
      <c r="S34" s="630"/>
      <c r="T34" s="630"/>
      <c r="U34" s="630"/>
      <c r="V34" s="630"/>
      <c r="W34" s="101"/>
      <c r="X34" s="101"/>
      <c r="Y34" s="101"/>
    </row>
    <row r="35" spans="2:25" x14ac:dyDescent="0.2">
      <c r="B35" s="101"/>
      <c r="D35" s="55"/>
      <c r="E35" s="630"/>
      <c r="F35" s="630"/>
      <c r="G35" s="630"/>
      <c r="H35" s="630"/>
      <c r="I35" s="630"/>
      <c r="J35" s="630"/>
      <c r="K35" s="630"/>
      <c r="L35" s="630"/>
      <c r="M35" s="630"/>
      <c r="N35" s="630"/>
      <c r="O35" s="630"/>
      <c r="P35" s="630"/>
      <c r="Q35" s="630"/>
      <c r="R35" s="630"/>
      <c r="S35" s="630"/>
      <c r="T35" s="630"/>
      <c r="U35" s="630"/>
      <c r="V35" s="630"/>
      <c r="W35" s="101"/>
      <c r="X35" s="101"/>
      <c r="Y35" s="101"/>
    </row>
    <row r="36" spans="2:25" x14ac:dyDescent="0.2">
      <c r="B36" s="101"/>
      <c r="D36" s="55"/>
      <c r="E36" s="630"/>
      <c r="F36" s="630"/>
      <c r="G36" s="630"/>
      <c r="H36" s="630"/>
      <c r="I36" s="630"/>
      <c r="J36" s="630"/>
      <c r="K36" s="630"/>
      <c r="L36" s="630"/>
      <c r="M36" s="630"/>
      <c r="N36" s="630"/>
      <c r="O36" s="630"/>
      <c r="P36" s="630"/>
      <c r="Q36" s="630"/>
      <c r="R36" s="630"/>
      <c r="S36" s="630"/>
      <c r="T36" s="630"/>
      <c r="U36" s="630"/>
      <c r="V36" s="630"/>
      <c r="W36" s="101"/>
      <c r="X36" s="101"/>
      <c r="Y36" s="101"/>
    </row>
    <row r="37" spans="2:25" x14ac:dyDescent="0.2">
      <c r="B37" s="101"/>
      <c r="D37" s="55"/>
      <c r="E37" s="630"/>
      <c r="F37" s="630"/>
      <c r="G37" s="630"/>
      <c r="H37" s="630"/>
      <c r="I37" s="630"/>
      <c r="J37" s="630"/>
      <c r="K37" s="630"/>
      <c r="L37" s="630"/>
      <c r="M37" s="630"/>
      <c r="N37" s="630"/>
      <c r="O37" s="630"/>
      <c r="P37" s="630"/>
      <c r="Q37" s="630"/>
      <c r="R37" s="630"/>
      <c r="S37" s="630"/>
      <c r="T37" s="630"/>
      <c r="U37" s="630"/>
      <c r="V37" s="630"/>
      <c r="W37" s="101"/>
      <c r="X37" s="101"/>
      <c r="Y37" s="101"/>
    </row>
    <row r="38" spans="2:25" x14ac:dyDescent="0.2">
      <c r="B38" s="101"/>
      <c r="D38" s="55"/>
      <c r="E38" s="630"/>
      <c r="F38" s="630"/>
      <c r="G38" s="630"/>
      <c r="H38" s="630"/>
      <c r="I38" s="630"/>
      <c r="J38" s="630"/>
      <c r="K38" s="630"/>
      <c r="L38" s="630"/>
      <c r="M38" s="630"/>
      <c r="N38" s="630"/>
      <c r="O38" s="630"/>
      <c r="P38" s="630"/>
      <c r="Q38" s="630"/>
      <c r="R38" s="630"/>
      <c r="S38" s="630"/>
      <c r="T38" s="630"/>
      <c r="U38" s="630"/>
      <c r="V38" s="630"/>
      <c r="W38" s="101"/>
      <c r="X38" s="101"/>
      <c r="Y38" s="101"/>
    </row>
    <row r="39" spans="2:25" x14ac:dyDescent="0.2">
      <c r="B39" s="101"/>
      <c r="D39" s="55"/>
      <c r="E39" s="630"/>
      <c r="F39" s="630"/>
      <c r="G39" s="630"/>
      <c r="H39" s="630"/>
      <c r="I39" s="630"/>
      <c r="J39" s="630"/>
      <c r="K39" s="630"/>
      <c r="L39" s="630"/>
      <c r="M39" s="630"/>
      <c r="N39" s="630"/>
      <c r="O39" s="630"/>
      <c r="P39" s="630"/>
      <c r="Q39" s="630"/>
      <c r="R39" s="630"/>
      <c r="S39" s="630"/>
      <c r="T39" s="630"/>
      <c r="U39" s="630"/>
      <c r="V39" s="630"/>
      <c r="W39" s="101"/>
      <c r="X39" s="101"/>
      <c r="Y39" s="101"/>
    </row>
    <row r="40" spans="2:25" x14ac:dyDescent="0.2">
      <c r="B40" s="101"/>
      <c r="D40" s="55"/>
      <c r="E40" s="630"/>
      <c r="F40" s="630"/>
      <c r="G40" s="630"/>
      <c r="H40" s="630"/>
      <c r="I40" s="630"/>
      <c r="J40" s="630"/>
      <c r="K40" s="630"/>
      <c r="L40" s="630"/>
      <c r="M40" s="630"/>
      <c r="N40" s="630"/>
      <c r="O40" s="630"/>
      <c r="P40" s="630"/>
      <c r="Q40" s="630"/>
      <c r="R40" s="630"/>
      <c r="S40" s="630"/>
      <c r="T40" s="630"/>
      <c r="U40" s="630"/>
      <c r="V40" s="630"/>
      <c r="W40" s="101"/>
      <c r="X40" s="101"/>
      <c r="Y40" s="101"/>
    </row>
    <row r="41" spans="2:25" x14ac:dyDescent="0.2">
      <c r="B41" s="101"/>
      <c r="D41" s="55"/>
      <c r="E41" s="630"/>
      <c r="F41" s="630"/>
      <c r="G41" s="630"/>
      <c r="H41" s="630"/>
      <c r="I41" s="630"/>
      <c r="J41" s="630"/>
      <c r="K41" s="630"/>
      <c r="L41" s="630"/>
      <c r="M41" s="630"/>
      <c r="N41" s="630"/>
      <c r="O41" s="630"/>
      <c r="P41" s="630"/>
      <c r="Q41" s="630"/>
      <c r="R41" s="630"/>
      <c r="S41" s="630"/>
      <c r="T41" s="630"/>
      <c r="U41" s="630"/>
      <c r="V41" s="630"/>
      <c r="W41" s="101"/>
      <c r="X41" s="101"/>
      <c r="Y41" s="101"/>
    </row>
    <row r="42" spans="2:25" x14ac:dyDescent="0.2">
      <c r="B42" s="101"/>
      <c r="D42" s="55"/>
      <c r="E42" s="630"/>
      <c r="F42" s="630"/>
      <c r="G42" s="630"/>
      <c r="H42" s="630"/>
      <c r="I42" s="630"/>
      <c r="J42" s="630"/>
      <c r="K42" s="630"/>
      <c r="L42" s="630"/>
      <c r="M42" s="630"/>
      <c r="N42" s="630"/>
      <c r="O42" s="630"/>
      <c r="P42" s="630"/>
      <c r="Q42" s="630"/>
      <c r="R42" s="630"/>
      <c r="S42" s="630"/>
      <c r="T42" s="630"/>
      <c r="U42" s="630"/>
      <c r="V42" s="630"/>
      <c r="W42" s="101"/>
      <c r="X42" s="101"/>
      <c r="Y42" s="101"/>
    </row>
    <row r="43" spans="2:25" x14ac:dyDescent="0.2">
      <c r="B43" s="101"/>
      <c r="C43" s="630"/>
      <c r="D43" s="630"/>
      <c r="E43" s="630"/>
      <c r="F43" s="630"/>
      <c r="G43" s="630"/>
      <c r="H43" s="630"/>
      <c r="I43" s="630"/>
      <c r="J43" s="630"/>
      <c r="K43" s="630"/>
      <c r="L43" s="630"/>
      <c r="M43" s="630"/>
      <c r="N43" s="630"/>
      <c r="O43" s="630"/>
      <c r="P43" s="630"/>
      <c r="Q43" s="630"/>
      <c r="R43" s="630"/>
      <c r="S43" s="630"/>
      <c r="T43" s="630"/>
      <c r="U43" s="630"/>
      <c r="V43" s="630"/>
      <c r="W43" s="101"/>
      <c r="X43" s="101"/>
      <c r="Y43" s="101"/>
    </row>
    <row r="44" spans="2:25" x14ac:dyDescent="0.2">
      <c r="B44" s="101"/>
      <c r="C44" s="630"/>
      <c r="D44" s="630"/>
      <c r="E44" s="630"/>
      <c r="F44" s="630"/>
      <c r="G44" s="630"/>
      <c r="H44" s="630"/>
      <c r="I44" s="630"/>
      <c r="J44" s="630"/>
      <c r="K44" s="630"/>
      <c r="L44" s="630"/>
      <c r="M44" s="630"/>
      <c r="N44" s="630"/>
      <c r="O44" s="630"/>
      <c r="P44" s="630"/>
      <c r="Q44" s="630"/>
      <c r="R44" s="630"/>
      <c r="S44" s="630"/>
      <c r="T44" s="630"/>
      <c r="U44" s="630"/>
      <c r="V44" s="630"/>
      <c r="W44" s="101"/>
      <c r="X44" s="101"/>
      <c r="Y44" s="101"/>
    </row>
    <row r="45" spans="2:25" x14ac:dyDescent="0.2">
      <c r="B45" s="101"/>
      <c r="C45" s="630"/>
      <c r="D45" s="630"/>
      <c r="E45" s="630"/>
      <c r="F45" s="630"/>
      <c r="G45" s="630"/>
      <c r="H45" s="630"/>
      <c r="I45" s="630"/>
      <c r="J45" s="630"/>
      <c r="K45" s="630"/>
      <c r="L45" s="630"/>
      <c r="M45" s="630"/>
      <c r="N45" s="630"/>
      <c r="O45" s="630"/>
      <c r="P45" s="630"/>
      <c r="Q45" s="630"/>
      <c r="R45" s="630"/>
      <c r="S45" s="630"/>
      <c r="T45" s="630"/>
      <c r="U45" s="630"/>
      <c r="V45" s="630"/>
      <c r="W45" s="101"/>
      <c r="X45" s="101"/>
      <c r="Y45" s="101"/>
    </row>
    <row r="46" spans="2:25" x14ac:dyDescent="0.2">
      <c r="B46" s="101"/>
      <c r="C46" s="630"/>
      <c r="D46" s="630"/>
      <c r="E46" s="630"/>
      <c r="F46" s="630"/>
      <c r="G46" s="630"/>
      <c r="H46" s="630"/>
      <c r="I46" s="630"/>
      <c r="J46" s="630"/>
      <c r="K46" s="630"/>
      <c r="L46" s="630"/>
      <c r="M46" s="630"/>
      <c r="N46" s="630"/>
      <c r="O46" s="630"/>
      <c r="P46" s="630"/>
      <c r="Q46" s="630"/>
      <c r="R46" s="630"/>
      <c r="S46" s="630"/>
      <c r="T46" s="630"/>
      <c r="U46" s="630"/>
      <c r="V46" s="630"/>
      <c r="W46" s="101"/>
      <c r="X46" s="101"/>
      <c r="Y46" s="101"/>
    </row>
    <row r="47" spans="2:25" x14ac:dyDescent="0.2">
      <c r="B47" s="101"/>
      <c r="C47" s="630"/>
      <c r="D47" s="630"/>
      <c r="E47" s="630"/>
      <c r="F47" s="630"/>
      <c r="G47" s="630"/>
      <c r="H47" s="630"/>
      <c r="I47" s="630"/>
      <c r="J47" s="630"/>
      <c r="K47" s="630"/>
      <c r="L47" s="630"/>
      <c r="M47" s="630"/>
      <c r="N47" s="630"/>
      <c r="O47" s="630"/>
      <c r="P47" s="630"/>
      <c r="Q47" s="630"/>
      <c r="R47" s="630"/>
      <c r="S47" s="630"/>
      <c r="T47" s="630"/>
      <c r="U47" s="630"/>
      <c r="V47" s="630"/>
      <c r="W47" s="101"/>
      <c r="X47" s="101"/>
      <c r="Y47" s="101"/>
    </row>
    <row r="48" spans="2:25" x14ac:dyDescent="0.2">
      <c r="B48" s="101"/>
      <c r="C48" s="630"/>
      <c r="D48" s="630"/>
      <c r="E48" s="630"/>
      <c r="F48" s="630"/>
      <c r="G48" s="630"/>
      <c r="H48" s="630"/>
      <c r="I48" s="630"/>
      <c r="J48" s="630"/>
      <c r="K48" s="630"/>
      <c r="L48" s="630"/>
      <c r="M48" s="630"/>
      <c r="N48" s="630"/>
      <c r="O48" s="630"/>
      <c r="P48" s="630"/>
      <c r="Q48" s="630"/>
      <c r="R48" s="630"/>
      <c r="S48" s="630"/>
      <c r="T48" s="630"/>
      <c r="U48" s="630"/>
      <c r="V48" s="630"/>
      <c r="W48" s="101"/>
      <c r="X48" s="101"/>
      <c r="Y48" s="101"/>
    </row>
    <row r="49" spans="2:25" x14ac:dyDescent="0.2">
      <c r="B49" s="101"/>
      <c r="C49" s="630"/>
      <c r="D49" s="630"/>
      <c r="E49" s="630"/>
      <c r="F49" s="630"/>
      <c r="G49" s="630"/>
      <c r="H49" s="630"/>
      <c r="I49" s="630"/>
      <c r="J49" s="630"/>
      <c r="K49" s="630"/>
      <c r="L49" s="630"/>
      <c r="M49" s="630"/>
      <c r="N49" s="630"/>
      <c r="O49" s="630"/>
      <c r="P49" s="630"/>
      <c r="Q49" s="630"/>
      <c r="R49" s="630"/>
      <c r="S49" s="630"/>
      <c r="T49" s="630"/>
      <c r="U49" s="630"/>
      <c r="V49" s="630"/>
      <c r="W49" s="101"/>
      <c r="X49" s="101"/>
      <c r="Y49" s="101"/>
    </row>
    <row r="50" spans="2:25" x14ac:dyDescent="0.2">
      <c r="B50" s="101"/>
      <c r="C50" s="631"/>
      <c r="D50" s="631"/>
      <c r="E50" s="631"/>
      <c r="F50" s="631"/>
      <c r="G50" s="631"/>
      <c r="H50" s="631"/>
      <c r="I50" s="631"/>
      <c r="J50" s="631"/>
      <c r="K50" s="631"/>
      <c r="L50" s="631"/>
      <c r="M50" s="631"/>
      <c r="N50" s="631"/>
      <c r="O50" s="631"/>
      <c r="P50" s="631"/>
      <c r="Q50" s="631"/>
      <c r="R50" s="631"/>
      <c r="S50" s="631"/>
      <c r="T50" s="631"/>
      <c r="U50" s="631"/>
      <c r="V50" s="631"/>
      <c r="W50" s="101"/>
      <c r="X50" s="101"/>
      <c r="Y50" s="101"/>
    </row>
    <row r="51" spans="2:25" x14ac:dyDescent="0.2">
      <c r="B51" s="101"/>
      <c r="C51" s="630"/>
      <c r="D51" s="630"/>
      <c r="E51" s="630"/>
      <c r="F51" s="630"/>
      <c r="G51" s="630"/>
      <c r="H51" s="630"/>
      <c r="I51" s="630"/>
      <c r="J51" s="630"/>
      <c r="K51" s="630"/>
      <c r="L51" s="630"/>
      <c r="M51" s="630"/>
      <c r="N51" s="630"/>
      <c r="O51" s="630"/>
      <c r="P51" s="630"/>
      <c r="Q51" s="630"/>
      <c r="R51" s="630"/>
      <c r="S51" s="630"/>
      <c r="T51" s="630"/>
      <c r="U51" s="630"/>
      <c r="V51" s="630"/>
      <c r="W51" s="101"/>
      <c r="X51" s="101"/>
      <c r="Y51" s="101"/>
    </row>
    <row r="52" spans="2:25" x14ac:dyDescent="0.2">
      <c r="B52" s="101"/>
      <c r="C52" s="630"/>
      <c r="D52" s="630"/>
      <c r="E52" s="630"/>
      <c r="F52" s="630"/>
      <c r="G52" s="630"/>
      <c r="H52" s="630"/>
      <c r="I52" s="630"/>
      <c r="J52" s="630"/>
      <c r="K52" s="630"/>
      <c r="L52" s="630"/>
      <c r="M52" s="630"/>
      <c r="N52" s="630"/>
      <c r="O52" s="630"/>
      <c r="P52" s="630"/>
      <c r="Q52" s="630"/>
      <c r="R52" s="630"/>
      <c r="S52" s="630"/>
      <c r="T52" s="630"/>
      <c r="U52" s="630"/>
      <c r="V52" s="630"/>
      <c r="W52" s="101"/>
      <c r="X52" s="101"/>
      <c r="Y52" s="101"/>
    </row>
    <row r="53" spans="2:25" x14ac:dyDescent="0.2">
      <c r="B53" s="101"/>
      <c r="C53" s="630"/>
      <c r="D53" s="630"/>
      <c r="E53" s="630"/>
      <c r="F53" s="630"/>
      <c r="G53" s="630"/>
      <c r="H53" s="630"/>
      <c r="I53" s="630"/>
      <c r="J53" s="630"/>
      <c r="K53" s="630"/>
      <c r="L53" s="630"/>
      <c r="M53" s="630"/>
      <c r="N53" s="630"/>
      <c r="O53" s="630"/>
      <c r="P53" s="630"/>
      <c r="Q53" s="630"/>
      <c r="R53" s="630"/>
      <c r="S53" s="630"/>
      <c r="T53" s="630"/>
      <c r="U53" s="630"/>
      <c r="V53" s="630"/>
      <c r="W53" s="101"/>
      <c r="X53" s="101"/>
      <c r="Y53" s="101"/>
    </row>
    <row r="54" spans="2:25" x14ac:dyDescent="0.2">
      <c r="B54" s="101"/>
      <c r="C54" s="630"/>
      <c r="D54" s="630"/>
      <c r="E54" s="630"/>
      <c r="F54" s="630"/>
      <c r="G54" s="630"/>
      <c r="H54" s="630"/>
      <c r="I54" s="630"/>
      <c r="J54" s="630"/>
      <c r="K54" s="630"/>
      <c r="L54" s="630"/>
      <c r="M54" s="630"/>
      <c r="N54" s="630"/>
      <c r="O54" s="630"/>
      <c r="P54" s="630"/>
      <c r="Q54" s="630"/>
      <c r="R54" s="630"/>
      <c r="S54" s="630"/>
      <c r="T54" s="630"/>
      <c r="U54" s="630"/>
      <c r="V54" s="630"/>
      <c r="W54" s="101"/>
      <c r="X54" s="101"/>
      <c r="Y54" s="101"/>
    </row>
    <row r="55" spans="2:25" x14ac:dyDescent="0.2">
      <c r="B55" s="101"/>
      <c r="C55" s="630"/>
      <c r="D55" s="630"/>
      <c r="E55" s="630"/>
      <c r="F55" s="630"/>
      <c r="G55" s="630"/>
      <c r="H55" s="630"/>
      <c r="I55" s="630"/>
      <c r="J55" s="630"/>
      <c r="K55" s="630"/>
      <c r="L55" s="630"/>
      <c r="M55" s="630"/>
      <c r="N55" s="630"/>
      <c r="O55" s="630"/>
      <c r="P55" s="630"/>
      <c r="Q55" s="630"/>
      <c r="R55" s="630"/>
      <c r="S55" s="630"/>
      <c r="T55" s="630"/>
      <c r="U55" s="630"/>
      <c r="V55" s="630"/>
      <c r="W55" s="101"/>
      <c r="X55" s="101"/>
      <c r="Y55" s="101"/>
    </row>
    <row r="56" spans="2:25" x14ac:dyDescent="0.2">
      <c r="B56" s="101"/>
      <c r="C56" s="630"/>
      <c r="D56" s="630"/>
      <c r="E56" s="630"/>
      <c r="F56" s="630"/>
      <c r="G56" s="630"/>
      <c r="H56" s="630"/>
      <c r="I56" s="630"/>
      <c r="J56" s="630"/>
      <c r="K56" s="630"/>
      <c r="L56" s="630"/>
      <c r="M56" s="630"/>
      <c r="N56" s="630"/>
      <c r="O56" s="630"/>
      <c r="P56" s="630"/>
      <c r="Q56" s="630"/>
      <c r="R56" s="630"/>
      <c r="S56" s="630"/>
      <c r="T56" s="630"/>
      <c r="U56" s="630"/>
      <c r="V56" s="630"/>
      <c r="W56" s="101"/>
      <c r="X56" s="101"/>
      <c r="Y56" s="101"/>
    </row>
    <row r="57" spans="2:25" x14ac:dyDescent="0.2">
      <c r="B57" s="101"/>
      <c r="C57" s="630"/>
      <c r="D57" s="630"/>
      <c r="E57" s="630"/>
      <c r="F57" s="630"/>
      <c r="G57" s="630"/>
      <c r="H57" s="630"/>
      <c r="I57" s="630"/>
      <c r="J57" s="630"/>
      <c r="K57" s="630"/>
      <c r="L57" s="630"/>
      <c r="M57" s="630"/>
      <c r="N57" s="630"/>
      <c r="O57" s="630"/>
      <c r="P57" s="630"/>
      <c r="Q57" s="630"/>
      <c r="R57" s="630"/>
      <c r="S57" s="630"/>
      <c r="T57" s="630"/>
      <c r="U57" s="630"/>
      <c r="V57" s="630"/>
      <c r="W57" s="101"/>
      <c r="X57" s="101"/>
      <c r="Y57" s="101"/>
    </row>
    <row r="58" spans="2:25" x14ac:dyDescent="0.2">
      <c r="B58" s="101"/>
      <c r="C58" s="630"/>
      <c r="D58" s="630"/>
      <c r="E58" s="630"/>
      <c r="F58" s="630"/>
      <c r="G58" s="630"/>
      <c r="H58" s="630"/>
      <c r="I58" s="630"/>
      <c r="J58" s="630"/>
      <c r="K58" s="630"/>
      <c r="L58" s="630"/>
      <c r="M58" s="630"/>
      <c r="N58" s="630"/>
      <c r="O58" s="630"/>
      <c r="P58" s="630"/>
      <c r="Q58" s="630"/>
      <c r="R58" s="630"/>
      <c r="S58" s="630"/>
      <c r="T58" s="630"/>
      <c r="U58" s="630"/>
      <c r="V58" s="630"/>
      <c r="W58" s="101"/>
      <c r="X58" s="101"/>
      <c r="Y58" s="101"/>
    </row>
    <row r="59" spans="2:25" x14ac:dyDescent="0.2">
      <c r="B59" s="101"/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</row>
    <row r="60" spans="2:25" x14ac:dyDescent="0.2">
      <c r="B60" s="101"/>
      <c r="C60" s="101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</row>
  </sheetData>
  <pageMargins left="0.7" right="0.7" top="0.78740157499999996" bottom="0.78740157499999996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7EE3-11F4-4247-AF8E-30CED98199D8}">
  <dimension ref="B1:AV30"/>
  <sheetViews>
    <sheetView topLeftCell="A2" workbookViewId="0">
      <selection activeCell="B2" sqref="B2"/>
    </sheetView>
  </sheetViews>
  <sheetFormatPr baseColWidth="10" defaultRowHeight="12.75" x14ac:dyDescent="0.2"/>
  <cols>
    <col min="2" max="2" width="47.28515625" bestFit="1" customWidth="1"/>
    <col min="3" max="3" width="52.85546875" bestFit="1" customWidth="1"/>
    <col min="4" max="4" width="12.85546875" bestFit="1" customWidth="1"/>
  </cols>
  <sheetData>
    <row r="1" spans="2:48" x14ac:dyDescent="0.2">
      <c r="AK1" s="591">
        <v>0.67</v>
      </c>
      <c r="AL1" s="591">
        <v>0.33</v>
      </c>
      <c r="AM1" s="590"/>
      <c r="AN1" s="590"/>
      <c r="AO1" s="590"/>
      <c r="AP1" s="590"/>
    </row>
    <row r="2" spans="2:48" ht="390" x14ac:dyDescent="0.2">
      <c r="B2" s="634" t="s">
        <v>878</v>
      </c>
      <c r="E2" s="586" t="s">
        <v>807</v>
      </c>
      <c r="F2" s="586" t="s">
        <v>806</v>
      </c>
      <c r="G2" s="586" t="s">
        <v>805</v>
      </c>
      <c r="H2" s="586" t="s">
        <v>804</v>
      </c>
      <c r="I2" s="592"/>
      <c r="J2" s="586" t="s">
        <v>803</v>
      </c>
      <c r="K2" s="586" t="s">
        <v>802</v>
      </c>
      <c r="L2" s="586" t="s">
        <v>801</v>
      </c>
      <c r="M2" s="586" t="s">
        <v>800</v>
      </c>
      <c r="N2" s="586" t="s">
        <v>799</v>
      </c>
      <c r="O2" s="586" t="s">
        <v>834</v>
      </c>
      <c r="P2" s="586" t="s">
        <v>808</v>
      </c>
      <c r="Q2" s="586" t="s">
        <v>809</v>
      </c>
      <c r="R2" s="586" t="s">
        <v>810</v>
      </c>
      <c r="S2" s="586" t="s">
        <v>811</v>
      </c>
      <c r="T2" s="586" t="s">
        <v>812</v>
      </c>
      <c r="U2" s="586" t="s">
        <v>813</v>
      </c>
      <c r="V2" s="592" t="s">
        <v>856</v>
      </c>
      <c r="W2" s="592" t="s">
        <v>826</v>
      </c>
      <c r="X2" s="592" t="s">
        <v>855</v>
      </c>
      <c r="Y2" s="592" t="s">
        <v>854</v>
      </c>
      <c r="Z2" s="586" t="s">
        <v>814</v>
      </c>
      <c r="AA2" s="595" t="s">
        <v>815</v>
      </c>
      <c r="AB2" s="586" t="s">
        <v>816</v>
      </c>
      <c r="AC2" s="586" t="s">
        <v>817</v>
      </c>
      <c r="AD2" s="592" t="s">
        <v>818</v>
      </c>
      <c r="AE2" s="586" t="s">
        <v>819</v>
      </c>
      <c r="AF2" s="586" t="s">
        <v>820</v>
      </c>
      <c r="AG2" s="586" t="s">
        <v>821</v>
      </c>
      <c r="AH2" s="586" t="s">
        <v>822</v>
      </c>
      <c r="AI2" s="586" t="s">
        <v>823</v>
      </c>
      <c r="AK2" s="587" t="s">
        <v>824</v>
      </c>
      <c r="AL2" s="587" t="s">
        <v>825</v>
      </c>
      <c r="AM2" s="594" t="s">
        <v>666</v>
      </c>
      <c r="AN2" s="592"/>
      <c r="AO2" s="587" t="s">
        <v>827</v>
      </c>
      <c r="AP2" s="587" t="s">
        <v>828</v>
      </c>
      <c r="AQ2" s="587" t="s">
        <v>829</v>
      </c>
      <c r="AR2" s="594" t="s">
        <v>665</v>
      </c>
      <c r="AS2" s="586"/>
      <c r="AT2" s="587" t="s">
        <v>849</v>
      </c>
      <c r="AU2" s="587" t="s">
        <v>851</v>
      </c>
      <c r="AV2" s="594" t="s">
        <v>850</v>
      </c>
    </row>
    <row r="3" spans="2:48" x14ac:dyDescent="0.2">
      <c r="B3" t="s">
        <v>749</v>
      </c>
      <c r="C3" t="s">
        <v>750</v>
      </c>
      <c r="D3" t="s">
        <v>751</v>
      </c>
      <c r="E3" s="55">
        <v>7.0550000000000002E-2</v>
      </c>
      <c r="F3" s="55">
        <v>4.6198999999999997E-2</v>
      </c>
      <c r="G3" s="55">
        <v>2.6065999999999999E-2</v>
      </c>
      <c r="H3" s="55">
        <v>4.8938000000000002E-2</v>
      </c>
      <c r="I3" s="55"/>
      <c r="J3" s="55">
        <v>8.3553000000000002E-2</v>
      </c>
      <c r="K3" s="55">
        <v>3.2816999999999998E-3</v>
      </c>
      <c r="L3" s="55">
        <v>8.6679000000000006E-2</v>
      </c>
      <c r="M3" s="55">
        <v>2.3278E-2</v>
      </c>
      <c r="N3" s="55">
        <v>0.19073000000000001</v>
      </c>
      <c r="O3" s="55">
        <v>7.7117000000000002E-3</v>
      </c>
      <c r="P3" s="55">
        <v>8.0539999999999995E-4</v>
      </c>
      <c r="Q3" s="55">
        <v>2.7872000000000001E-3</v>
      </c>
      <c r="R3" s="55">
        <v>2.2812000000000002E-3</v>
      </c>
      <c r="S3" s="55">
        <v>5.0809E-2</v>
      </c>
      <c r="T3" s="55">
        <v>3.6633E-3</v>
      </c>
      <c r="U3" s="55">
        <v>6.2541000000000003E-3</v>
      </c>
      <c r="V3" s="55">
        <v>8.9674999999999998E-3</v>
      </c>
      <c r="W3" s="55">
        <v>2.6009999999999998E-2</v>
      </c>
      <c r="X3" s="55">
        <v>4.7702083932300486E-2</v>
      </c>
      <c r="Y3" s="55">
        <v>1.317519E-2</v>
      </c>
      <c r="Z3" s="55">
        <v>3.1441000000000001E-6</v>
      </c>
      <c r="AA3" s="596">
        <v>8.7953000000000003E-2</v>
      </c>
      <c r="AB3" s="55">
        <v>8.5597999999999994E-2</v>
      </c>
      <c r="AC3" s="55">
        <v>4.0571999999999997E-2</v>
      </c>
      <c r="AD3" s="55">
        <v>1.5990000000000001E-2</v>
      </c>
      <c r="AE3" s="55">
        <v>0.40967999999999999</v>
      </c>
      <c r="AF3" s="55">
        <v>0.43131999999999998</v>
      </c>
      <c r="AG3" s="55">
        <v>1.0785E-3</v>
      </c>
      <c r="AH3" s="55">
        <v>1.0951999999999999E-3</v>
      </c>
      <c r="AI3" s="55">
        <v>2.4686E-5</v>
      </c>
      <c r="AK3" s="589">
        <v>1.4877E-2</v>
      </c>
      <c r="AL3" s="589">
        <v>9.7199999999999995E-3</v>
      </c>
      <c r="AM3" s="593">
        <f>AK3*0.67+AL3*0.33</f>
        <v>1.317519E-2</v>
      </c>
      <c r="AN3" s="101"/>
      <c r="AO3" s="589">
        <v>2.4695999999999999E-2</v>
      </c>
      <c r="AP3" s="589">
        <v>5.2255000000000001E-3</v>
      </c>
      <c r="AQ3" s="589">
        <v>8.5802000000000003E-2</v>
      </c>
      <c r="AR3" s="593">
        <f>'CAM Characteristics'!$J$138/1000*EcoInvent_raw!H3+'CAM Characteristics'!$J$139/1000*EcoInvent_raw!AP3+'CAM Characteristics'!$J$140/1000*EcoInvent_raw!AQ3+'CAM Characteristics'!$J$141/1000*EcoInvent_raw!AO3+GREET!$M$19*EcoInvent_raw!AI3+GREET!$M$23*EcoInvent_raw!AH3</f>
        <v>4.7702083932300486E-2</v>
      </c>
      <c r="AT3" s="589">
        <v>7.2239000000000001E-3</v>
      </c>
      <c r="AU3" s="589">
        <v>1.7436000000000001E-3</v>
      </c>
      <c r="AV3" s="593">
        <f>AT3+AU3</f>
        <v>8.9674999999999998E-3</v>
      </c>
    </row>
    <row r="4" spans="2:48" x14ac:dyDescent="0.2">
      <c r="B4" t="s">
        <v>752</v>
      </c>
      <c r="C4" t="s">
        <v>753</v>
      </c>
      <c r="D4" t="s">
        <v>754</v>
      </c>
      <c r="E4" s="55">
        <v>16.254999999999999</v>
      </c>
      <c r="F4" s="55">
        <v>16.527000000000001</v>
      </c>
      <c r="G4" s="55">
        <v>9.0867000000000004</v>
      </c>
      <c r="H4" s="55">
        <v>8.1082999999999998</v>
      </c>
      <c r="I4" s="55"/>
      <c r="J4" s="55">
        <v>15.558</v>
      </c>
      <c r="K4" s="55">
        <v>0.35428999999999999</v>
      </c>
      <c r="L4" s="55">
        <v>5.4512</v>
      </c>
      <c r="M4" s="55">
        <v>0.90739000000000003</v>
      </c>
      <c r="N4" s="55">
        <v>31.433</v>
      </c>
      <c r="O4" s="55">
        <v>0.57650000000000001</v>
      </c>
      <c r="P4" s="55">
        <v>0.15923999999999999</v>
      </c>
      <c r="Q4" s="55">
        <v>0.90637000000000001</v>
      </c>
      <c r="R4" s="55">
        <v>2.9285999999999999</v>
      </c>
      <c r="S4" s="55">
        <v>1.6167</v>
      </c>
      <c r="T4" s="55">
        <v>1.0038</v>
      </c>
      <c r="U4" s="55">
        <v>2.5097999999999998</v>
      </c>
      <c r="V4" s="55">
        <v>3.79454</v>
      </c>
      <c r="W4" s="55">
        <v>5.798</v>
      </c>
      <c r="X4" s="55">
        <v>5.7489473993358686</v>
      </c>
      <c r="Y4" s="55">
        <v>4.1076160000000002</v>
      </c>
      <c r="Z4" s="55">
        <v>4.2383999999999998E-4</v>
      </c>
      <c r="AA4" s="596">
        <v>7.6771000000000003</v>
      </c>
      <c r="AB4" s="55">
        <v>8.2479999999999993</v>
      </c>
      <c r="AC4" s="55">
        <v>11.7</v>
      </c>
      <c r="AD4" s="55">
        <v>3.4182000000000001</v>
      </c>
      <c r="AE4" s="55">
        <v>84.385000000000005</v>
      </c>
      <c r="AF4" s="55">
        <v>9.0898000000000003</v>
      </c>
      <c r="AG4" s="55">
        <v>0.39843000000000001</v>
      </c>
      <c r="AH4" s="55">
        <v>0.32044</v>
      </c>
      <c r="AI4" s="55">
        <v>5.7629E-2</v>
      </c>
      <c r="AK4" s="589">
        <v>4.4325999999999999</v>
      </c>
      <c r="AL4" s="589">
        <v>3.4478</v>
      </c>
      <c r="AM4" s="593">
        <f t="shared" ref="AM4:AM21" si="0">AK4*0.67+AL4*0.33</f>
        <v>4.1076160000000002</v>
      </c>
      <c r="AN4" s="101"/>
      <c r="AO4" s="589">
        <v>1.4409000000000001</v>
      </c>
      <c r="AP4" s="589">
        <v>1.2158</v>
      </c>
      <c r="AQ4" s="589">
        <v>5.0411999999999999</v>
      </c>
      <c r="AR4" s="593">
        <f>'CAM Characteristics'!$J$138/1000*EcoInvent_raw!H4+'CAM Characteristics'!$J$139/1000*EcoInvent_raw!AP4+'CAM Characteristics'!$J$140/1000*EcoInvent_raw!AQ4+'CAM Characteristics'!$J$141/1000*EcoInvent_raw!AO4+GREET!$M$19*EcoInvent_raw!AI4+GREET!$M$23*EcoInvent_raw!AH4</f>
        <v>5.7489473993358686</v>
      </c>
      <c r="AT4" s="589">
        <v>3.2252000000000001</v>
      </c>
      <c r="AU4" s="589">
        <v>0.56933999999999996</v>
      </c>
      <c r="AV4" s="593">
        <f t="shared" ref="AV4:AV21" si="1">AT4+AU4</f>
        <v>3.79454</v>
      </c>
    </row>
    <row r="5" spans="2:48" x14ac:dyDescent="0.2">
      <c r="B5" t="s">
        <v>755</v>
      </c>
      <c r="C5" t="s">
        <v>756</v>
      </c>
      <c r="D5" t="s">
        <v>757</v>
      </c>
      <c r="E5" s="55">
        <v>1.4147000000000001</v>
      </c>
      <c r="F5" s="55">
        <v>0.75333000000000006</v>
      </c>
      <c r="G5" s="55">
        <v>0.30120000000000002</v>
      </c>
      <c r="H5" s="55">
        <v>0.70374000000000003</v>
      </c>
      <c r="I5" s="55"/>
      <c r="J5" s="55">
        <v>1.2293000000000001</v>
      </c>
      <c r="K5" s="55">
        <v>4.8223000000000002E-2</v>
      </c>
      <c r="L5" s="55">
        <v>1.3548</v>
      </c>
      <c r="M5" s="55">
        <v>8.5722000000000007E-2</v>
      </c>
      <c r="N5" s="55">
        <v>5.0152000000000001</v>
      </c>
      <c r="O5" s="55">
        <v>8.5516999999999996E-2</v>
      </c>
      <c r="P5" s="55">
        <v>3.7781000000000002E-2</v>
      </c>
      <c r="Q5" s="55">
        <v>7.9323000000000005E-2</v>
      </c>
      <c r="R5" s="55">
        <v>5.0402000000000002E-2</v>
      </c>
      <c r="S5" s="55">
        <v>0.10946</v>
      </c>
      <c r="T5" s="55">
        <v>7.9260999999999998E-2</v>
      </c>
      <c r="U5" s="55">
        <v>4.4416999999999998E-2</v>
      </c>
      <c r="V5" s="55">
        <v>0.14163200000000001</v>
      </c>
      <c r="W5" s="55">
        <v>0.51175999999999999</v>
      </c>
      <c r="X5" s="55">
        <v>0.57401524652027491</v>
      </c>
      <c r="Y5" s="55">
        <v>0.16421840000000001</v>
      </c>
      <c r="Z5" s="55">
        <v>3.2746000000000001E-5</v>
      </c>
      <c r="AA5" s="596">
        <v>0.14888000000000001</v>
      </c>
      <c r="AB5" s="55">
        <v>0.18862000000000001</v>
      </c>
      <c r="AC5" s="55">
        <v>0.22664999999999999</v>
      </c>
      <c r="AD5" s="55">
        <v>6.0495E-2</v>
      </c>
      <c r="AE5" s="55">
        <v>5.8129</v>
      </c>
      <c r="AF5" s="55">
        <v>38.341999999999999</v>
      </c>
      <c r="AG5" s="55">
        <v>4.6913999999999997E-2</v>
      </c>
      <c r="AH5" s="55">
        <v>1.0652E-2</v>
      </c>
      <c r="AI5" s="55">
        <v>2.0754000000000001E-4</v>
      </c>
      <c r="AK5" s="589">
        <v>0.16208</v>
      </c>
      <c r="AL5" s="589">
        <v>0.16855999999999999</v>
      </c>
      <c r="AM5" s="593">
        <f t="shared" si="0"/>
        <v>0.16421840000000001</v>
      </c>
      <c r="AN5" s="101"/>
      <c r="AO5" s="589">
        <v>0.46250999999999998</v>
      </c>
      <c r="AP5" s="589">
        <v>0.13475999999999999</v>
      </c>
      <c r="AQ5" s="589">
        <v>0.31540000000000001</v>
      </c>
      <c r="AR5" s="593">
        <f>'CAM Characteristics'!$J$138/1000*EcoInvent_raw!H5+'CAM Characteristics'!$J$139/1000*EcoInvent_raw!AP5+'CAM Characteristics'!$J$140/1000*EcoInvent_raw!AQ5+'CAM Characteristics'!$J$141/1000*EcoInvent_raw!AO5+GREET!$M$19*EcoInvent_raw!AI5+GREET!$M$23*EcoInvent_raw!AH5</f>
        <v>0.57401524652027491</v>
      </c>
      <c r="AT5" s="589">
        <v>0.124</v>
      </c>
      <c r="AU5" s="589">
        <v>1.7631999999999998E-2</v>
      </c>
      <c r="AV5" s="593">
        <f t="shared" si="1"/>
        <v>0.14163200000000001</v>
      </c>
    </row>
    <row r="6" spans="2:48" x14ac:dyDescent="0.2">
      <c r="B6" t="s">
        <v>758</v>
      </c>
      <c r="C6" t="s">
        <v>759</v>
      </c>
      <c r="D6" t="s">
        <v>757</v>
      </c>
      <c r="E6" s="55">
        <v>1.8706</v>
      </c>
      <c r="F6" s="55">
        <v>1.0325</v>
      </c>
      <c r="G6" s="55">
        <v>0.46011000000000002</v>
      </c>
      <c r="H6" s="55">
        <v>0.96316999999999997</v>
      </c>
      <c r="I6" s="55"/>
      <c r="J6" s="55">
        <v>1.6881999999999999</v>
      </c>
      <c r="K6" s="55">
        <v>6.6274E-2</v>
      </c>
      <c r="L6" s="55">
        <v>1.8935</v>
      </c>
      <c r="M6" s="55">
        <v>0.12525</v>
      </c>
      <c r="N6" s="55">
        <v>7.0277000000000003</v>
      </c>
      <c r="O6" s="55">
        <v>0.12489</v>
      </c>
      <c r="P6" s="55">
        <v>5.1539000000000001E-2</v>
      </c>
      <c r="Q6" s="55">
        <v>0.11033999999999999</v>
      </c>
      <c r="R6" s="55">
        <v>7.7890000000000001E-2</v>
      </c>
      <c r="S6" s="55">
        <v>0.16916</v>
      </c>
      <c r="T6" s="55">
        <v>0.11101999999999999</v>
      </c>
      <c r="U6" s="55">
        <v>7.2867000000000001E-2</v>
      </c>
      <c r="V6" s="55">
        <v>0.21262200000000001</v>
      </c>
      <c r="W6" s="55">
        <v>0.70140999999999998</v>
      </c>
      <c r="X6" s="55">
        <v>0.80241576138963433</v>
      </c>
      <c r="Y6" s="55">
        <v>0.24145240000000001</v>
      </c>
      <c r="Z6" s="55">
        <v>4.7926999999999997E-5</v>
      </c>
      <c r="AA6" s="596">
        <v>0.68596000000000001</v>
      </c>
      <c r="AB6" s="55">
        <v>0.71292</v>
      </c>
      <c r="AC6" s="55">
        <v>1.6382000000000001</v>
      </c>
      <c r="AD6" s="55">
        <v>9.0787000000000007E-2</v>
      </c>
      <c r="AE6" s="55">
        <v>8.0045999999999999</v>
      </c>
      <c r="AF6" s="55">
        <v>48.152000000000001</v>
      </c>
      <c r="AG6" s="55">
        <v>0.1065</v>
      </c>
      <c r="AH6" s="55">
        <v>1.5778E-2</v>
      </c>
      <c r="AI6" s="55">
        <v>4.9843000000000001E-4</v>
      </c>
      <c r="AK6" s="589">
        <v>0.23608000000000001</v>
      </c>
      <c r="AL6" s="589">
        <v>0.25235999999999997</v>
      </c>
      <c r="AM6" s="593">
        <f t="shared" si="0"/>
        <v>0.24145240000000001</v>
      </c>
      <c r="AN6" s="101"/>
      <c r="AO6" s="589">
        <v>0.63410999999999995</v>
      </c>
      <c r="AP6" s="589">
        <v>0.19939999999999999</v>
      </c>
      <c r="AQ6" s="589">
        <v>0.46167000000000002</v>
      </c>
      <c r="AR6" s="593">
        <f>'CAM Characteristics'!$J$138/1000*EcoInvent_raw!H6+'CAM Characteristics'!$J$139/1000*EcoInvent_raw!AP6+'CAM Characteristics'!$J$140/1000*EcoInvent_raw!AQ6+'CAM Characteristics'!$J$141/1000*EcoInvent_raw!AO6+GREET!$M$19*EcoInvent_raw!AI6+GREET!$M$23*EcoInvent_raw!AH6</f>
        <v>0.80241576138963433</v>
      </c>
      <c r="AT6" s="589">
        <v>0.18618999999999999</v>
      </c>
      <c r="AU6" s="589">
        <v>2.6432000000000001E-2</v>
      </c>
      <c r="AV6" s="593">
        <f t="shared" si="1"/>
        <v>0.21262200000000001</v>
      </c>
    </row>
    <row r="7" spans="2:48" x14ac:dyDescent="0.2">
      <c r="B7" t="s">
        <v>760</v>
      </c>
      <c r="C7" t="s">
        <v>761</v>
      </c>
      <c r="D7" t="s">
        <v>757</v>
      </c>
      <c r="E7" s="55">
        <v>73.988</v>
      </c>
      <c r="F7" s="55">
        <v>77.825000000000003</v>
      </c>
      <c r="G7" s="55">
        <v>77.320999999999998</v>
      </c>
      <c r="H7" s="55">
        <v>79.290999999999997</v>
      </c>
      <c r="I7" s="55"/>
      <c r="J7" s="55">
        <v>142.31</v>
      </c>
      <c r="K7" s="55">
        <v>5.5420999999999996</v>
      </c>
      <c r="L7" s="55">
        <v>357.78</v>
      </c>
      <c r="M7" s="55">
        <v>14.454000000000001</v>
      </c>
      <c r="N7" s="55">
        <v>1242.0999999999999</v>
      </c>
      <c r="O7" s="55">
        <v>10.927</v>
      </c>
      <c r="P7" s="55">
        <v>4.0871000000000004</v>
      </c>
      <c r="Q7" s="55">
        <v>9.6080000000000005</v>
      </c>
      <c r="R7" s="55">
        <v>13.289</v>
      </c>
      <c r="S7" s="55">
        <v>27.39</v>
      </c>
      <c r="T7" s="55">
        <v>10.98</v>
      </c>
      <c r="U7" s="55">
        <v>14.627000000000001</v>
      </c>
      <c r="V7" s="55">
        <v>30.333600000000001</v>
      </c>
      <c r="W7" s="55">
        <v>59.481000000000002</v>
      </c>
      <c r="X7" s="55">
        <v>55.21913928420328</v>
      </c>
      <c r="Y7" s="55">
        <v>30.489840000000001</v>
      </c>
      <c r="Z7" s="55">
        <v>5.8237000000000002E-3</v>
      </c>
      <c r="AA7" s="596">
        <v>524.34</v>
      </c>
      <c r="AB7" s="55">
        <v>499.09</v>
      </c>
      <c r="AC7" s="55">
        <v>1144.4000000000001</v>
      </c>
      <c r="AD7" s="55">
        <v>9.5533000000000001</v>
      </c>
      <c r="AE7" s="55">
        <v>666.19</v>
      </c>
      <c r="AF7" s="55">
        <v>1081.2</v>
      </c>
      <c r="AG7" s="55">
        <v>42.142000000000003</v>
      </c>
      <c r="AH7" s="55">
        <v>1.4854000000000001</v>
      </c>
      <c r="AI7" s="55">
        <v>0.18731999999999999</v>
      </c>
      <c r="AK7" s="589">
        <v>28.626000000000001</v>
      </c>
      <c r="AL7" s="589">
        <v>34.274000000000001</v>
      </c>
      <c r="AM7" s="593">
        <f t="shared" si="0"/>
        <v>30.489840000000001</v>
      </c>
      <c r="AN7" s="101"/>
      <c r="AO7" s="589">
        <v>32.767000000000003</v>
      </c>
      <c r="AP7" s="589">
        <v>6.3670999999999998</v>
      </c>
      <c r="AQ7" s="589">
        <v>47.182000000000002</v>
      </c>
      <c r="AR7" s="593">
        <f>'CAM Characteristics'!$J$138/1000*EcoInvent_raw!H7+'CAM Characteristics'!$J$139/1000*EcoInvent_raw!AP7+'CAM Characteristics'!$J$140/1000*EcoInvent_raw!AQ7+'CAM Characteristics'!$J$141/1000*EcoInvent_raw!AO7+GREET!$M$19*EcoInvent_raw!AI7+GREET!$M$23*EcoInvent_raw!AH7</f>
        <v>55.21913928420328</v>
      </c>
      <c r="AT7" s="589">
        <v>27.105</v>
      </c>
      <c r="AU7" s="589">
        <v>3.2286000000000001</v>
      </c>
      <c r="AV7" s="593">
        <f t="shared" si="1"/>
        <v>30.333600000000001</v>
      </c>
    </row>
    <row r="8" spans="2:48" x14ac:dyDescent="0.2">
      <c r="B8" t="s">
        <v>762</v>
      </c>
      <c r="C8" t="s">
        <v>763</v>
      </c>
      <c r="D8" t="s">
        <v>764</v>
      </c>
      <c r="E8" s="55">
        <v>3.3473999999999999</v>
      </c>
      <c r="F8" s="55">
        <v>3.0777000000000001</v>
      </c>
      <c r="G8" s="55">
        <v>2.855</v>
      </c>
      <c r="H8" s="55">
        <v>2.0499000000000001</v>
      </c>
      <c r="I8" s="55"/>
      <c r="J8" s="55">
        <v>3.7145999999999999</v>
      </c>
      <c r="K8" s="55">
        <v>8.2319000000000003E-2</v>
      </c>
      <c r="L8" s="55">
        <v>1.7931999999999999</v>
      </c>
      <c r="M8" s="55">
        <v>0.23435</v>
      </c>
      <c r="N8" s="55">
        <v>8.8649000000000004</v>
      </c>
      <c r="O8" s="55">
        <v>0.14196</v>
      </c>
      <c r="P8" s="55">
        <v>4.2595000000000001E-2</v>
      </c>
      <c r="Q8" s="55">
        <v>0.23905000000000001</v>
      </c>
      <c r="R8" s="55">
        <v>0.97391000000000005</v>
      </c>
      <c r="S8" s="55">
        <v>0.48515999999999998</v>
      </c>
      <c r="T8" s="55">
        <v>0.26025999999999999</v>
      </c>
      <c r="U8" s="55">
        <v>1.8152999999999999</v>
      </c>
      <c r="V8" s="55">
        <v>1.97194</v>
      </c>
      <c r="W8" s="55">
        <v>1.6874</v>
      </c>
      <c r="X8" s="55">
        <v>1.5457032856406729</v>
      </c>
      <c r="Y8" s="55">
        <v>1.4415819999999999</v>
      </c>
      <c r="Z8" s="55">
        <v>1.0284E-4</v>
      </c>
      <c r="AA8" s="596">
        <v>2.4950000000000001</v>
      </c>
      <c r="AB8" s="55">
        <v>2.6562000000000001</v>
      </c>
      <c r="AC8" s="55">
        <v>2.5737999999999999</v>
      </c>
      <c r="AD8" s="55">
        <v>0.87026999999999999</v>
      </c>
      <c r="AE8" s="55">
        <v>20.361999999999998</v>
      </c>
      <c r="AF8" s="55">
        <v>2.0787</v>
      </c>
      <c r="AG8" s="55">
        <v>9.9793999999999994E-2</v>
      </c>
      <c r="AH8" s="55">
        <v>8.8775000000000007E-2</v>
      </c>
      <c r="AI8" s="55">
        <v>2.0798000000000001E-2</v>
      </c>
      <c r="AK8" s="589">
        <v>1.2549999999999999</v>
      </c>
      <c r="AL8" s="589">
        <v>1.8204</v>
      </c>
      <c r="AM8" s="593">
        <f t="shared" si="0"/>
        <v>1.4415819999999999</v>
      </c>
      <c r="AN8" s="101"/>
      <c r="AO8" s="589">
        <v>0.33688000000000001</v>
      </c>
      <c r="AP8" s="589">
        <v>0.37162000000000001</v>
      </c>
      <c r="AQ8" s="589">
        <v>1.2233000000000001</v>
      </c>
      <c r="AR8" s="593">
        <f>'CAM Characteristics'!$J$138/1000*EcoInvent_raw!H8+'CAM Characteristics'!$J$139/1000*EcoInvent_raw!AP8+'CAM Characteristics'!$J$140/1000*EcoInvent_raw!AQ8+'CAM Characteristics'!$J$141/1000*EcoInvent_raw!AO8+GREET!$M$19*EcoInvent_raw!AI8+GREET!$M$23*EcoInvent_raw!AH8</f>
        <v>1.5457032856406729</v>
      </c>
      <c r="AT8" s="589">
        <v>1.83</v>
      </c>
      <c r="AU8" s="589">
        <v>0.14194000000000001</v>
      </c>
      <c r="AV8" s="593">
        <f t="shared" si="1"/>
        <v>1.97194</v>
      </c>
    </row>
    <row r="9" spans="2:48" x14ac:dyDescent="0.2">
      <c r="B9" t="s">
        <v>765</v>
      </c>
      <c r="C9" t="s">
        <v>766</v>
      </c>
      <c r="D9" t="s">
        <v>767</v>
      </c>
      <c r="E9" s="55">
        <v>4.8764000000000004E-3</v>
      </c>
      <c r="F9" s="55">
        <v>4.1412000000000003E-3</v>
      </c>
      <c r="G9" s="55">
        <v>2.434E-3</v>
      </c>
      <c r="H9" s="55">
        <v>4.6760999999999999E-3</v>
      </c>
      <c r="I9" s="55"/>
      <c r="J9" s="55">
        <v>7.9451999999999995E-3</v>
      </c>
      <c r="K9" s="55">
        <v>1.9572E-4</v>
      </c>
      <c r="L9" s="55">
        <v>2.5753999999999998E-3</v>
      </c>
      <c r="M9" s="55">
        <v>3.3126E-4</v>
      </c>
      <c r="N9" s="55">
        <v>1.2161999999999999E-2</v>
      </c>
      <c r="O9" s="55">
        <v>3.3121000000000002E-4</v>
      </c>
      <c r="P9" s="55">
        <v>1.2416E-4</v>
      </c>
      <c r="Q9" s="55">
        <v>6.4247999999999996E-4</v>
      </c>
      <c r="R9" s="55">
        <v>1.3746E-4</v>
      </c>
      <c r="S9" s="55">
        <v>3.4665999999999999E-4</v>
      </c>
      <c r="T9" s="55">
        <v>4.0458999999999997E-4</v>
      </c>
      <c r="U9" s="55">
        <v>1.1883999999999999E-4</v>
      </c>
      <c r="V9" s="55">
        <v>8.4480999999999998E-4</v>
      </c>
      <c r="W9" s="55">
        <v>1.908E-3</v>
      </c>
      <c r="X9" s="55">
        <v>3.9670699619067081E-3</v>
      </c>
      <c r="Y9" s="55">
        <v>1.2287545E-3</v>
      </c>
      <c r="Z9" s="55">
        <v>1.5632000000000001E-7</v>
      </c>
      <c r="AA9" s="596">
        <v>1.2292E-3</v>
      </c>
      <c r="AB9" s="55">
        <v>1.3426E-3</v>
      </c>
      <c r="AC9" s="55">
        <v>3.3869999999999998E-3</v>
      </c>
      <c r="AD9" s="55">
        <v>1.3397999999999999E-3</v>
      </c>
      <c r="AE9" s="55">
        <v>4.1908000000000001E-2</v>
      </c>
      <c r="AF9" s="55">
        <v>4.6273000000000002E-2</v>
      </c>
      <c r="AG9" s="55">
        <v>1.3838000000000001E-4</v>
      </c>
      <c r="AH9" s="55">
        <v>2.8058E-4</v>
      </c>
      <c r="AI9" s="55">
        <v>9.4992000000000003E-7</v>
      </c>
      <c r="AK9" s="589">
        <v>1.4205999999999999E-3</v>
      </c>
      <c r="AL9" s="589">
        <v>8.3925000000000004E-4</v>
      </c>
      <c r="AM9" s="593">
        <f t="shared" si="0"/>
        <v>1.2287545E-3</v>
      </c>
      <c r="AN9" s="101"/>
      <c r="AO9" s="589">
        <v>1.6618E-3</v>
      </c>
      <c r="AP9" s="589">
        <v>2.8770999999999999E-4</v>
      </c>
      <c r="AQ9" s="589">
        <v>1.7109E-3</v>
      </c>
      <c r="AR9" s="593">
        <f>'CAM Characteristics'!$J$138/1000*EcoInvent_raw!H9+'CAM Characteristics'!$J$139/1000*EcoInvent_raw!AP9+'CAM Characteristics'!$J$140/1000*EcoInvent_raw!AQ9+'CAM Characteristics'!$J$141/1000*EcoInvent_raw!AO9+GREET!$M$19*EcoInvent_raw!AI9+GREET!$M$23*EcoInvent_raw!AH9</f>
        <v>3.9670699619067081E-3</v>
      </c>
      <c r="AT9" s="589">
        <v>6.1943999999999996E-4</v>
      </c>
      <c r="AU9" s="589">
        <v>2.2536999999999999E-4</v>
      </c>
      <c r="AV9" s="593">
        <f t="shared" si="1"/>
        <v>8.4480999999999998E-4</v>
      </c>
    </row>
    <row r="10" spans="2:48" x14ac:dyDescent="0.2">
      <c r="B10" t="s">
        <v>768</v>
      </c>
      <c r="C10" t="s">
        <v>769</v>
      </c>
      <c r="D10" t="s">
        <v>770</v>
      </c>
      <c r="E10" s="55">
        <v>3.9468000000000001E-4</v>
      </c>
      <c r="F10" s="55">
        <v>3.0236999999999999E-4</v>
      </c>
      <c r="G10" s="55">
        <v>2.1524000000000001E-4</v>
      </c>
      <c r="H10" s="55">
        <v>6.2123999999999999E-3</v>
      </c>
      <c r="I10" s="55"/>
      <c r="J10" s="55">
        <v>1.0109999999999999E-2</v>
      </c>
      <c r="K10" s="55">
        <v>3.4752999999999997E-5</v>
      </c>
      <c r="L10" s="55">
        <v>1.4379E-3</v>
      </c>
      <c r="M10" s="55">
        <v>2.4732E-5</v>
      </c>
      <c r="N10" s="55">
        <v>6.8431000000000004E-3</v>
      </c>
      <c r="O10" s="55">
        <v>2.1937999999999999E-5</v>
      </c>
      <c r="P10" s="55">
        <v>8.4717000000000006E-6</v>
      </c>
      <c r="Q10" s="55">
        <v>8.8616999999999995E-5</v>
      </c>
      <c r="R10" s="55">
        <v>6.4482999999999999E-5</v>
      </c>
      <c r="S10" s="55">
        <v>9.3715999999999995E-5</v>
      </c>
      <c r="T10" s="55">
        <v>4.4048999999999998E-5</v>
      </c>
      <c r="U10" s="55">
        <v>3.7951999999999998E-5</v>
      </c>
      <c r="V10" s="55">
        <v>1.3184500000000001E-4</v>
      </c>
      <c r="W10" s="55">
        <v>5.8177000000000001E-4</v>
      </c>
      <c r="X10" s="55">
        <v>1.0700978486372695E-3</v>
      </c>
      <c r="Y10" s="55">
        <v>1.3999869000000002E-4</v>
      </c>
      <c r="Z10" s="55">
        <v>2.1497000000000001E-8</v>
      </c>
      <c r="AA10" s="596">
        <v>1.1158999999999999E-4</v>
      </c>
      <c r="AB10" s="55">
        <v>1.2973999999999999E-4</v>
      </c>
      <c r="AC10" s="55">
        <v>2.6917999999999999E-4</v>
      </c>
      <c r="AD10" s="55">
        <v>9.1285000000000004E-5</v>
      </c>
      <c r="AE10" s="55">
        <v>3.8951E-2</v>
      </c>
      <c r="AF10" s="55">
        <v>8.7449999999999995E-4</v>
      </c>
      <c r="AG10" s="55">
        <v>1.0696000000000001E-5</v>
      </c>
      <c r="AH10" s="55">
        <v>2.2657999999999999E-5</v>
      </c>
      <c r="AI10" s="55">
        <v>6.9708000000000005E-7</v>
      </c>
      <c r="AK10" s="589">
        <v>1.6122E-4</v>
      </c>
      <c r="AL10" s="589">
        <v>9.6912999999999999E-5</v>
      </c>
      <c r="AM10" s="593">
        <f t="shared" si="0"/>
        <v>1.3999869000000002E-4</v>
      </c>
      <c r="AN10" s="101"/>
      <c r="AO10" s="589">
        <v>6.4573000000000007E-5</v>
      </c>
      <c r="AP10" s="589">
        <v>1.9119000000000001E-5</v>
      </c>
      <c r="AQ10" s="589">
        <v>5.0732999999999996E-4</v>
      </c>
      <c r="AR10" s="593">
        <f>'CAM Characteristics'!$J$138/1000*EcoInvent_raw!H10+'CAM Characteristics'!$J$139/1000*EcoInvent_raw!AP10+'CAM Characteristics'!$J$140/1000*EcoInvent_raw!AQ10+'CAM Characteristics'!$J$141/1000*EcoInvent_raw!AO10+GREET!$M$19*EcoInvent_raw!AI10+GREET!$M$23*EcoInvent_raw!AH10</f>
        <v>1.0700978486372695E-3</v>
      </c>
      <c r="AT10" s="589">
        <v>8.4165999999999993E-5</v>
      </c>
      <c r="AU10" s="589">
        <v>4.7679000000000002E-5</v>
      </c>
      <c r="AV10" s="593">
        <f t="shared" si="1"/>
        <v>1.3184500000000001E-4</v>
      </c>
    </row>
    <row r="11" spans="2:48" x14ac:dyDescent="0.2">
      <c r="B11" t="s">
        <v>771</v>
      </c>
      <c r="C11" t="s">
        <v>772</v>
      </c>
      <c r="D11" t="s">
        <v>757</v>
      </c>
      <c r="E11" s="55">
        <v>9.4739000000000004</v>
      </c>
      <c r="F11" s="55">
        <v>1.6986000000000001</v>
      </c>
      <c r="G11" s="55">
        <v>1.2070000000000001</v>
      </c>
      <c r="H11" s="55">
        <v>1.7015</v>
      </c>
      <c r="I11" s="55"/>
      <c r="J11" s="55">
        <v>3.0192999999999999</v>
      </c>
      <c r="K11" s="55">
        <v>0.13572000000000001</v>
      </c>
      <c r="L11" s="55">
        <v>1.4785999999999999</v>
      </c>
      <c r="M11" s="55">
        <v>0.24201</v>
      </c>
      <c r="N11" s="55">
        <v>7.6147</v>
      </c>
      <c r="O11" s="55">
        <v>1.0862000000000001</v>
      </c>
      <c r="P11" s="55">
        <v>0.10124</v>
      </c>
      <c r="Q11" s="55">
        <v>0.24443999999999999</v>
      </c>
      <c r="R11" s="55">
        <v>0.23283999999999999</v>
      </c>
      <c r="S11" s="55">
        <v>0.31963000000000003</v>
      </c>
      <c r="T11" s="55">
        <v>0.26479999999999998</v>
      </c>
      <c r="U11" s="55">
        <v>0.26490000000000002</v>
      </c>
      <c r="V11" s="55">
        <v>0.70277900000000004</v>
      </c>
      <c r="W11" s="55">
        <v>1.1276999999999999</v>
      </c>
      <c r="X11" s="55">
        <v>4.2038068596027331</v>
      </c>
      <c r="Y11" s="55">
        <v>0.6461437000000001</v>
      </c>
      <c r="Z11" s="55">
        <v>1.5087E-4</v>
      </c>
      <c r="AA11" s="596">
        <v>0.85052000000000005</v>
      </c>
      <c r="AB11" s="55">
        <v>0.97914999999999996</v>
      </c>
      <c r="AC11" s="55">
        <v>0.91554000000000002</v>
      </c>
      <c r="AD11" s="55">
        <v>0.29146</v>
      </c>
      <c r="AE11" s="55">
        <v>15.446</v>
      </c>
      <c r="AF11" s="55">
        <v>9.9222000000000001</v>
      </c>
      <c r="AG11" s="55">
        <v>0.83779999999999999</v>
      </c>
      <c r="AH11" s="55">
        <v>4.0864999999999999E-2</v>
      </c>
      <c r="AI11" s="55">
        <v>3.0457000000000001E-3</v>
      </c>
      <c r="AK11" s="589">
        <v>0.65575000000000006</v>
      </c>
      <c r="AL11" s="589">
        <v>0.62663999999999997</v>
      </c>
      <c r="AM11" s="593">
        <f t="shared" si="0"/>
        <v>0.6461437000000001</v>
      </c>
      <c r="AN11" s="101"/>
      <c r="AO11" s="589">
        <v>4.3848000000000003</v>
      </c>
      <c r="AP11" s="589">
        <v>4.1326999999999998</v>
      </c>
      <c r="AQ11" s="589">
        <v>0.95818000000000003</v>
      </c>
      <c r="AR11" s="593">
        <f>'CAM Characteristics'!$J$138/1000*EcoInvent_raw!H11+'CAM Characteristics'!$J$139/1000*EcoInvent_raw!AP11+'CAM Characteristics'!$J$140/1000*EcoInvent_raw!AQ11+'CAM Characteristics'!$J$141/1000*EcoInvent_raw!AO11+GREET!$M$19*EcoInvent_raw!AI11+GREET!$M$23*EcoInvent_raw!AH11</f>
        <v>4.2038068596027331</v>
      </c>
      <c r="AT11" s="589">
        <v>0.61387000000000003</v>
      </c>
      <c r="AU11" s="589">
        <v>8.8909000000000002E-2</v>
      </c>
      <c r="AV11" s="593">
        <f t="shared" si="1"/>
        <v>0.70277900000000004</v>
      </c>
    </row>
    <row r="12" spans="2:48" x14ac:dyDescent="0.2">
      <c r="B12" t="s">
        <v>773</v>
      </c>
      <c r="C12" t="s">
        <v>774</v>
      </c>
      <c r="D12" t="s">
        <v>757</v>
      </c>
      <c r="E12" s="55">
        <v>19.216999999999999</v>
      </c>
      <c r="F12" s="55">
        <v>17.273</v>
      </c>
      <c r="G12" s="55">
        <v>7.4701000000000004</v>
      </c>
      <c r="H12" s="55">
        <v>15.747</v>
      </c>
      <c r="I12" s="55"/>
      <c r="J12" s="55">
        <v>27.573</v>
      </c>
      <c r="K12" s="55">
        <v>0.88431999999999999</v>
      </c>
      <c r="L12" s="55">
        <v>33.988</v>
      </c>
      <c r="M12" s="55">
        <v>1.9912000000000001</v>
      </c>
      <c r="N12" s="55">
        <v>137.16</v>
      </c>
      <c r="O12" s="55">
        <v>1.7333000000000001</v>
      </c>
      <c r="P12" s="55">
        <v>0.63566999999999996</v>
      </c>
      <c r="Q12" s="55">
        <v>1.6248</v>
      </c>
      <c r="R12" s="55">
        <v>0.79256000000000004</v>
      </c>
      <c r="S12" s="55">
        <v>2.2107999999999999</v>
      </c>
      <c r="T12" s="55">
        <v>1.6207</v>
      </c>
      <c r="U12" s="55">
        <v>0.73807999999999996</v>
      </c>
      <c r="V12" s="55">
        <v>3.11463</v>
      </c>
      <c r="W12" s="55">
        <v>10.42</v>
      </c>
      <c r="X12" s="55">
        <v>12.763650267982332</v>
      </c>
      <c r="Y12" s="55">
        <v>4.2203189999999999</v>
      </c>
      <c r="Z12" s="55">
        <v>6.8725000000000004E-4</v>
      </c>
      <c r="AA12" s="596">
        <v>4.8497000000000003</v>
      </c>
      <c r="AB12" s="55">
        <v>5.5883000000000003</v>
      </c>
      <c r="AC12" s="55">
        <v>6.7973999999999997</v>
      </c>
      <c r="AD12" s="55">
        <v>2.7296</v>
      </c>
      <c r="AE12" s="55">
        <v>134.80000000000001</v>
      </c>
      <c r="AF12" s="55">
        <v>584.32000000000005</v>
      </c>
      <c r="AG12" s="55">
        <v>0.36719000000000002</v>
      </c>
      <c r="AH12" s="55">
        <v>0.37636999999999998</v>
      </c>
      <c r="AI12" s="55">
        <v>3.0636999999999999E-3</v>
      </c>
      <c r="AK12" s="589">
        <v>4.2584999999999997</v>
      </c>
      <c r="AL12" s="589">
        <v>4.1428000000000003</v>
      </c>
      <c r="AM12" s="593">
        <f t="shared" si="0"/>
        <v>4.2203189999999999</v>
      </c>
      <c r="AN12" s="101"/>
      <c r="AO12" s="589">
        <v>9.0040999999999993</v>
      </c>
      <c r="AP12" s="589">
        <v>2.5872999999999999</v>
      </c>
      <c r="AQ12" s="589">
        <v>7.6741999999999999</v>
      </c>
      <c r="AR12" s="593">
        <f>'CAM Characteristics'!$J$138/1000*EcoInvent_raw!H12+'CAM Characteristics'!$J$139/1000*EcoInvent_raw!AP12+'CAM Characteristics'!$J$140/1000*EcoInvent_raw!AQ12+'CAM Characteristics'!$J$141/1000*EcoInvent_raw!AO12+GREET!$M$19*EcoInvent_raw!AI12+GREET!$M$23*EcoInvent_raw!AH12</f>
        <v>12.763650267982332</v>
      </c>
      <c r="AT12" s="589">
        <v>2.5613999999999999</v>
      </c>
      <c r="AU12" s="589">
        <v>0.55323</v>
      </c>
      <c r="AV12" s="593">
        <f t="shared" si="1"/>
        <v>3.11463</v>
      </c>
    </row>
    <row r="13" spans="2:48" x14ac:dyDescent="0.2">
      <c r="B13" t="s">
        <v>775</v>
      </c>
      <c r="C13" t="s">
        <v>776</v>
      </c>
      <c r="D13" t="s">
        <v>777</v>
      </c>
      <c r="E13" s="55">
        <v>0.30975000000000003</v>
      </c>
      <c r="F13" s="55">
        <v>0.98468</v>
      </c>
      <c r="G13" s="55">
        <v>0.49192999999999998</v>
      </c>
      <c r="H13" s="55">
        <v>0.28543000000000002</v>
      </c>
      <c r="I13" s="55"/>
      <c r="J13" s="55">
        <v>0.53774999999999995</v>
      </c>
      <c r="K13" s="55">
        <v>2.2055000000000002E-2</v>
      </c>
      <c r="L13" s="55">
        <v>1.6019000000000001</v>
      </c>
      <c r="M13" s="55">
        <v>7.3612999999999998E-2</v>
      </c>
      <c r="N13" s="55">
        <v>7.0021000000000004</v>
      </c>
      <c r="O13" s="55">
        <v>0.11928</v>
      </c>
      <c r="P13" s="55">
        <v>5.2911E-2</v>
      </c>
      <c r="Q13" s="55">
        <v>0.23164999999999999</v>
      </c>
      <c r="R13" s="55">
        <v>3.9056E-2</v>
      </c>
      <c r="S13" s="55">
        <v>9.5512E-2</v>
      </c>
      <c r="T13" s="55">
        <v>9.0987999999999999E-2</v>
      </c>
      <c r="U13" s="55">
        <v>1.9435000000000001E-2</v>
      </c>
      <c r="V13" s="55">
        <v>0.18269200000000002</v>
      </c>
      <c r="W13" s="55">
        <v>0.31485999999999997</v>
      </c>
      <c r="X13" s="55">
        <v>1.4202704987504569</v>
      </c>
      <c r="Y13" s="55">
        <v>0.28455640000000004</v>
      </c>
      <c r="Z13" s="55">
        <v>4.5904E-5</v>
      </c>
      <c r="AA13" s="596">
        <v>0.21296000000000001</v>
      </c>
      <c r="AB13" s="55">
        <v>0.23400000000000001</v>
      </c>
      <c r="AC13" s="55">
        <v>0.73611000000000004</v>
      </c>
      <c r="AD13" s="55">
        <v>0.1181</v>
      </c>
      <c r="AE13" s="55">
        <v>5.0571000000000002</v>
      </c>
      <c r="AF13" s="55">
        <v>0.67091999999999996</v>
      </c>
      <c r="AG13" s="55">
        <v>2.5309999999999999E-2</v>
      </c>
      <c r="AH13" s="55">
        <v>0.19803999999999999</v>
      </c>
      <c r="AI13" s="55">
        <v>2.7492E-4</v>
      </c>
      <c r="AK13" s="589">
        <v>0.31653999999999999</v>
      </c>
      <c r="AL13" s="589">
        <v>0.21962000000000001</v>
      </c>
      <c r="AM13" s="593">
        <f t="shared" si="0"/>
        <v>0.28455640000000004</v>
      </c>
      <c r="AN13" s="101"/>
      <c r="AO13" s="589">
        <v>6.1085E-2</v>
      </c>
      <c r="AP13" s="589">
        <v>2.8908E-2</v>
      </c>
      <c r="AQ13" s="589">
        <v>0.42748000000000003</v>
      </c>
      <c r="AR13" s="593">
        <f>'CAM Characteristics'!$J$138/1000*EcoInvent_raw!H13+'CAM Characteristics'!$J$139/1000*EcoInvent_raw!AP13+'CAM Characteristics'!$J$140/1000*EcoInvent_raw!AQ13+'CAM Characteristics'!$J$141/1000*EcoInvent_raw!AO13+GREET!$M$19*EcoInvent_raw!AI13+GREET!$M$23*EcoInvent_raw!AH13</f>
        <v>1.4202704987504569</v>
      </c>
      <c r="AT13" s="589">
        <v>0.10827000000000001</v>
      </c>
      <c r="AU13" s="589">
        <v>7.4422000000000002E-2</v>
      </c>
      <c r="AV13" s="593">
        <f t="shared" si="1"/>
        <v>0.18269200000000002</v>
      </c>
    </row>
    <row r="14" spans="2:48" x14ac:dyDescent="0.2">
      <c r="B14" t="s">
        <v>778</v>
      </c>
      <c r="C14" t="s">
        <v>779</v>
      </c>
      <c r="D14" t="s">
        <v>780</v>
      </c>
      <c r="E14" s="55">
        <v>0.18704000000000001</v>
      </c>
      <c r="F14" s="55">
        <v>0.18140000000000001</v>
      </c>
      <c r="G14" s="55">
        <v>0.17080000000000001</v>
      </c>
      <c r="H14" s="55">
        <v>0.23585999999999999</v>
      </c>
      <c r="I14" s="55"/>
      <c r="J14" s="55">
        <v>0.41064000000000001</v>
      </c>
      <c r="K14" s="55">
        <v>2.8549999999999999E-2</v>
      </c>
      <c r="L14" s="55">
        <v>0.18276999999999999</v>
      </c>
      <c r="M14" s="55">
        <v>3.8766000000000002E-2</v>
      </c>
      <c r="N14" s="55">
        <v>0.81730000000000003</v>
      </c>
      <c r="O14" s="55">
        <v>1.9495999999999999E-2</v>
      </c>
      <c r="P14" s="55">
        <v>9.8299000000000008E-3</v>
      </c>
      <c r="Q14" s="55">
        <v>3.1961000000000003E-2</v>
      </c>
      <c r="R14" s="55">
        <v>1.1733E-2</v>
      </c>
      <c r="S14" s="55">
        <v>0.22259999999999999</v>
      </c>
      <c r="T14" s="55">
        <v>2.6634999999999999E-2</v>
      </c>
      <c r="U14" s="55">
        <v>1.8759000000000001E-2</v>
      </c>
      <c r="V14" s="55">
        <v>0.11455699999999999</v>
      </c>
      <c r="W14" s="55">
        <v>0.14602000000000001</v>
      </c>
      <c r="X14" s="55">
        <v>0.42317993446148416</v>
      </c>
      <c r="Y14" s="55">
        <v>0.51108746999999999</v>
      </c>
      <c r="Z14" s="55">
        <v>9.8532000000000008E-6</v>
      </c>
      <c r="AA14" s="596">
        <v>8.3482000000000001E-2</v>
      </c>
      <c r="AB14" s="55">
        <v>0.11225</v>
      </c>
      <c r="AC14" s="55">
        <v>0.85402999999999996</v>
      </c>
      <c r="AD14" s="55">
        <v>3.9916E-2</v>
      </c>
      <c r="AE14" s="55">
        <v>1.9899</v>
      </c>
      <c r="AF14" s="55">
        <v>1.2074</v>
      </c>
      <c r="AG14" s="55">
        <v>7.2392000000000003E-3</v>
      </c>
      <c r="AH14" s="55">
        <v>1.1283E-2</v>
      </c>
      <c r="AI14" s="55">
        <v>6.6684000000000001E-5</v>
      </c>
      <c r="AK14" s="589">
        <v>0.71579999999999999</v>
      </c>
      <c r="AL14" s="589">
        <v>9.5459000000000002E-2</v>
      </c>
      <c r="AM14" s="593">
        <f t="shared" si="0"/>
        <v>0.51108746999999999</v>
      </c>
      <c r="AN14" s="101"/>
      <c r="AO14" s="589">
        <v>0.36412</v>
      </c>
      <c r="AP14" s="589">
        <v>1.0153000000000001E-2</v>
      </c>
      <c r="AQ14" s="589">
        <v>0.23505999999999999</v>
      </c>
      <c r="AR14" s="593">
        <f>'CAM Characteristics'!$J$138/1000*EcoInvent_raw!H14+'CAM Characteristics'!$J$139/1000*EcoInvent_raw!AP14+'CAM Characteristics'!$J$140/1000*EcoInvent_raw!AQ14+'CAM Characteristics'!$J$141/1000*EcoInvent_raw!AO14+GREET!$M$19*EcoInvent_raw!AI14+GREET!$M$23*EcoInvent_raw!AH14</f>
        <v>0.42317993446148416</v>
      </c>
      <c r="AT14" s="589">
        <v>4.6227999999999998E-2</v>
      </c>
      <c r="AU14" s="589">
        <v>6.8329000000000001E-2</v>
      </c>
      <c r="AV14" s="593">
        <f t="shared" si="1"/>
        <v>0.11455699999999999</v>
      </c>
    </row>
    <row r="15" spans="2:48" x14ac:dyDescent="0.2">
      <c r="B15" t="s">
        <v>781</v>
      </c>
      <c r="C15" t="s">
        <v>782</v>
      </c>
      <c r="D15" t="s">
        <v>783</v>
      </c>
      <c r="E15" s="55">
        <v>0.30114999999999997</v>
      </c>
      <c r="F15" s="55">
        <v>10.906000000000001</v>
      </c>
      <c r="G15" s="55">
        <v>6.7847000000000005E-2</v>
      </c>
      <c r="H15" s="55">
        <v>26.823</v>
      </c>
      <c r="I15" s="55"/>
      <c r="J15" s="55">
        <v>43.543999999999997</v>
      </c>
      <c r="K15" s="55">
        <v>7.8510000000000003E-3</v>
      </c>
      <c r="L15" s="55">
        <v>2.1206</v>
      </c>
      <c r="M15" s="55">
        <v>5.9894999999999997E-2</v>
      </c>
      <c r="N15" s="55">
        <v>8.9141999999999992</v>
      </c>
      <c r="O15" s="55">
        <v>3.0505999999999998E-2</v>
      </c>
      <c r="P15" s="55">
        <v>5.9956999999999996E-3</v>
      </c>
      <c r="Q15" s="55">
        <v>0.18587999999999999</v>
      </c>
      <c r="R15" s="55">
        <v>2.2081E-2</v>
      </c>
      <c r="S15" s="55">
        <v>5.6105000000000002E-2</v>
      </c>
      <c r="T15" s="55">
        <v>7.1797E-2</v>
      </c>
      <c r="U15" s="55">
        <v>2.2887999999999999E-2</v>
      </c>
      <c r="V15" s="55">
        <v>4.49489E-2</v>
      </c>
      <c r="W15" s="55">
        <v>7.3672000000000004</v>
      </c>
      <c r="X15" s="55">
        <v>3.6140927779007304</v>
      </c>
      <c r="Y15" s="55">
        <v>0.27159644000000005</v>
      </c>
      <c r="Z15" s="55">
        <v>6.2706999999999994E-5</v>
      </c>
      <c r="AA15" s="596">
        <v>4.0640000000000003E-2</v>
      </c>
      <c r="AB15" s="55">
        <v>5.7987999999999998E-2</v>
      </c>
      <c r="AC15" s="55">
        <v>5.6184999999999999E-2</v>
      </c>
      <c r="AD15" s="55">
        <v>1.0161999999999999E-2</v>
      </c>
      <c r="AE15" s="55">
        <v>164.12</v>
      </c>
      <c r="AF15" s="55">
        <v>1.9114</v>
      </c>
      <c r="AG15" s="55">
        <v>6.2304999999999999E-2</v>
      </c>
      <c r="AH15" s="55">
        <v>1.9797999999999999E-3</v>
      </c>
      <c r="AI15" s="55">
        <v>3.3410999999999998E-4</v>
      </c>
      <c r="AK15" s="589">
        <v>0.38318000000000002</v>
      </c>
      <c r="AL15" s="589">
        <v>4.5047999999999998E-2</v>
      </c>
      <c r="AM15" s="593">
        <f t="shared" si="0"/>
        <v>0.27159644000000005</v>
      </c>
      <c r="AN15" s="101"/>
      <c r="AO15" s="589">
        <v>8.7639999999999996E-2</v>
      </c>
      <c r="AP15" s="589">
        <v>0.11229</v>
      </c>
      <c r="AQ15" s="589">
        <v>0.93769999999999998</v>
      </c>
      <c r="AR15" s="593">
        <f>'CAM Characteristics'!$J$138/1000*EcoInvent_raw!H15+'CAM Characteristics'!$J$139/1000*EcoInvent_raw!AP15+'CAM Characteristics'!$J$140/1000*EcoInvent_raw!AQ15+'CAM Characteristics'!$J$141/1000*EcoInvent_raw!AO15+GREET!$M$19*EcoInvent_raw!AI15+GREET!$M$23*EcoInvent_raw!AH15</f>
        <v>3.6140927779007304</v>
      </c>
      <c r="AT15" s="589">
        <v>4.1375000000000002E-2</v>
      </c>
      <c r="AU15" s="589">
        <v>3.5739000000000001E-3</v>
      </c>
      <c r="AV15" s="593">
        <f t="shared" si="1"/>
        <v>4.49489E-2</v>
      </c>
    </row>
    <row r="16" spans="2:48" x14ac:dyDescent="0.2">
      <c r="B16" t="s">
        <v>784</v>
      </c>
      <c r="C16" t="s">
        <v>785</v>
      </c>
      <c r="D16" t="s">
        <v>786</v>
      </c>
      <c r="E16" s="55">
        <v>3.4114999999999999E-6</v>
      </c>
      <c r="F16" s="55">
        <v>3.3598E-6</v>
      </c>
      <c r="G16" s="55">
        <v>1.7864E-6</v>
      </c>
      <c r="H16" s="55">
        <v>2.3578999999999999E-6</v>
      </c>
      <c r="I16" s="55"/>
      <c r="J16" s="55">
        <v>4.1810999999999997E-6</v>
      </c>
      <c r="K16" s="55">
        <v>9.8907E-8</v>
      </c>
      <c r="L16" s="55">
        <v>4.4078999999999998E-6</v>
      </c>
      <c r="M16" s="55">
        <v>2.9220999999999999E-7</v>
      </c>
      <c r="N16" s="55">
        <v>2.0285999999999999E-5</v>
      </c>
      <c r="O16" s="55">
        <v>1.8073E-7</v>
      </c>
      <c r="P16" s="55">
        <v>6.3791000000000005E-8</v>
      </c>
      <c r="Q16" s="55">
        <v>3.9541999999999998E-7</v>
      </c>
      <c r="R16" s="55">
        <v>2.6566000000000001E-7</v>
      </c>
      <c r="S16" s="55">
        <v>3.6375000000000001E-7</v>
      </c>
      <c r="T16" s="55">
        <v>3.5746999999999998E-7</v>
      </c>
      <c r="U16" s="55">
        <v>2.3970000000000001E-7</v>
      </c>
      <c r="V16" s="55">
        <v>8.2106000000000002E-7</v>
      </c>
      <c r="W16" s="55">
        <v>1.3077E-6</v>
      </c>
      <c r="X16" s="55">
        <v>1.896405869532958E-6</v>
      </c>
      <c r="Y16" s="55">
        <v>1.0826015999999999E-6</v>
      </c>
      <c r="Z16" s="55">
        <v>3.1596000000000001E-10</v>
      </c>
      <c r="AA16" s="596">
        <v>1.5568000000000001E-6</v>
      </c>
      <c r="AB16" s="55">
        <v>1.7038000000000001E-6</v>
      </c>
      <c r="AC16" s="55">
        <v>3.5196999999999999E-6</v>
      </c>
      <c r="AD16" s="55">
        <v>6.3157999999999999E-7</v>
      </c>
      <c r="AE16" s="55">
        <v>2.7404000000000001E-5</v>
      </c>
      <c r="AF16" s="55">
        <v>9.0183999999999999E-6</v>
      </c>
      <c r="AG16" s="55">
        <v>7.9495999999999999E-8</v>
      </c>
      <c r="AH16" s="55">
        <v>1.5043E-7</v>
      </c>
      <c r="AI16" s="55">
        <v>7.4866999999999998E-9</v>
      </c>
      <c r="AK16" s="589">
        <v>1.2339E-6</v>
      </c>
      <c r="AL16" s="589">
        <v>7.7542000000000004E-7</v>
      </c>
      <c r="AM16" s="593">
        <f t="shared" si="0"/>
        <v>1.0826015999999999E-6</v>
      </c>
      <c r="AN16" s="101"/>
      <c r="AO16" s="589">
        <v>4.0927000000000001E-7</v>
      </c>
      <c r="AP16" s="589">
        <v>2.6068999999999999E-7</v>
      </c>
      <c r="AQ16" s="589">
        <v>1.3370000000000001E-6</v>
      </c>
      <c r="AR16" s="593">
        <f>'CAM Characteristics'!$J$138/1000*EcoInvent_raw!H16+'CAM Characteristics'!$J$139/1000*EcoInvent_raw!AP16+'CAM Characteristics'!$J$140/1000*EcoInvent_raw!AQ16+'CAM Characteristics'!$J$141/1000*EcoInvent_raw!AO16+GREET!$M$19*EcoInvent_raw!AI16+GREET!$M$23*EcoInvent_raw!AH16</f>
        <v>1.896405869532958E-6</v>
      </c>
      <c r="AT16" s="589">
        <v>6.4107999999999997E-7</v>
      </c>
      <c r="AU16" s="589">
        <v>1.7998E-7</v>
      </c>
      <c r="AV16" s="593">
        <f t="shared" si="1"/>
        <v>8.2106000000000002E-7</v>
      </c>
    </row>
    <row r="17" spans="2:48" x14ac:dyDescent="0.2">
      <c r="B17" t="s">
        <v>787</v>
      </c>
      <c r="C17" t="s">
        <v>788</v>
      </c>
      <c r="D17" t="s">
        <v>789</v>
      </c>
      <c r="E17" s="55">
        <v>3.1113999999999999E-2</v>
      </c>
      <c r="F17" s="55">
        <v>2.2447000000000002E-2</v>
      </c>
      <c r="G17" s="55">
        <v>1.1672E-2</v>
      </c>
      <c r="H17" s="55">
        <v>1.8803E-2</v>
      </c>
      <c r="I17" s="55"/>
      <c r="J17" s="55">
        <v>3.2518999999999999E-2</v>
      </c>
      <c r="K17" s="55">
        <v>8.7633999999999997E-4</v>
      </c>
      <c r="L17" s="55">
        <v>2.7871E-2</v>
      </c>
      <c r="M17" s="55">
        <v>7.3965000000000003E-3</v>
      </c>
      <c r="N17" s="55">
        <v>6.9818000000000005E-2</v>
      </c>
      <c r="O17" s="55">
        <v>2.5175000000000002E-3</v>
      </c>
      <c r="P17" s="55">
        <v>3.2508999999999999E-4</v>
      </c>
      <c r="Q17" s="55">
        <v>1.1577E-3</v>
      </c>
      <c r="R17" s="55">
        <v>8.7600000000000004E-4</v>
      </c>
      <c r="S17" s="55">
        <v>1.4992999999999999E-2</v>
      </c>
      <c r="T17" s="55">
        <v>1.8859E-3</v>
      </c>
      <c r="U17" s="55">
        <v>3.1310999999999999E-3</v>
      </c>
      <c r="V17" s="55">
        <v>4.3560999999999999E-3</v>
      </c>
      <c r="W17" s="55">
        <v>1.0801E-2</v>
      </c>
      <c r="X17" s="55">
        <v>1.6244734515508657E-2</v>
      </c>
      <c r="Y17" s="55">
        <v>6.4755979999999999E-3</v>
      </c>
      <c r="Z17" s="55">
        <v>1.1093999999999999E-6</v>
      </c>
      <c r="AA17" s="596">
        <v>3.0825999999999999E-2</v>
      </c>
      <c r="AB17" s="55">
        <v>3.0249000000000002E-2</v>
      </c>
      <c r="AC17" s="55">
        <v>1.9428999999999998E-2</v>
      </c>
      <c r="AD17" s="55">
        <v>6.0787999999999997E-3</v>
      </c>
      <c r="AE17" s="55">
        <v>0.17762</v>
      </c>
      <c r="AF17" s="55">
        <v>0.13907</v>
      </c>
      <c r="AG17" s="55">
        <v>5.8617000000000001E-4</v>
      </c>
      <c r="AH17" s="55">
        <v>4.5020999999999999E-4</v>
      </c>
      <c r="AI17" s="55">
        <v>9.8641999999999995E-6</v>
      </c>
      <c r="AK17" s="589">
        <v>7.3301E-3</v>
      </c>
      <c r="AL17" s="589">
        <v>4.7406999999999996E-3</v>
      </c>
      <c r="AM17" s="593">
        <f t="shared" si="0"/>
        <v>6.4755979999999999E-3</v>
      </c>
      <c r="AN17" s="101"/>
      <c r="AO17" s="589">
        <v>8.1040000000000001E-3</v>
      </c>
      <c r="AP17" s="589">
        <v>1.8959000000000001E-3</v>
      </c>
      <c r="AQ17" s="589">
        <v>2.6143E-2</v>
      </c>
      <c r="AR17" s="593">
        <f>'CAM Characteristics'!$J$138/1000*EcoInvent_raw!H17+'CAM Characteristics'!$J$139/1000*EcoInvent_raw!AP17+'CAM Characteristics'!$J$140/1000*EcoInvent_raw!AQ17+'CAM Characteristics'!$J$141/1000*EcoInvent_raw!AO17+GREET!$M$19*EcoInvent_raw!AI17+GREET!$M$23*EcoInvent_raw!AH17</f>
        <v>1.6244734515508657E-2</v>
      </c>
      <c r="AT17" s="589">
        <v>3.3547E-3</v>
      </c>
      <c r="AU17" s="589">
        <v>1.0013999999999999E-3</v>
      </c>
      <c r="AV17" s="593">
        <f t="shared" si="1"/>
        <v>4.3560999999999999E-3</v>
      </c>
    </row>
    <row r="18" spans="2:48" x14ac:dyDescent="0.2">
      <c r="B18" t="s">
        <v>790</v>
      </c>
      <c r="C18" t="s">
        <v>791</v>
      </c>
      <c r="D18" t="s">
        <v>792</v>
      </c>
      <c r="E18" s="55">
        <v>4.1027000000000001E-2</v>
      </c>
      <c r="F18" s="55">
        <v>2.5007999999999999E-2</v>
      </c>
      <c r="G18" s="55">
        <v>1.7391E-2</v>
      </c>
      <c r="H18" s="55">
        <v>2.8277E-2</v>
      </c>
      <c r="I18" s="55"/>
      <c r="J18" s="55">
        <v>4.9326000000000002E-2</v>
      </c>
      <c r="K18" s="55">
        <v>9.7287000000000003E-4</v>
      </c>
      <c r="L18" s="55">
        <v>1.5069000000000001E-2</v>
      </c>
      <c r="M18" s="55">
        <v>2.9518000000000001E-3</v>
      </c>
      <c r="N18" s="55">
        <v>6.9267999999999996E-2</v>
      </c>
      <c r="O18" s="55">
        <v>1.6930999999999999E-3</v>
      </c>
      <c r="P18" s="55">
        <v>4.5795999999999999E-4</v>
      </c>
      <c r="Q18" s="55">
        <v>1.7937999999999999E-3</v>
      </c>
      <c r="R18" s="55">
        <v>2.7404999999999999E-3</v>
      </c>
      <c r="S18" s="55">
        <v>2.8191000000000002E-3</v>
      </c>
      <c r="T18" s="55">
        <v>2.8468999999999999E-3</v>
      </c>
      <c r="U18" s="55">
        <v>4.5881999999999997E-3</v>
      </c>
      <c r="V18" s="55">
        <v>8.135100000000001E-3</v>
      </c>
      <c r="W18" s="55">
        <v>1.2945E-2</v>
      </c>
      <c r="X18" s="55">
        <v>1.3384274597010996E-2</v>
      </c>
      <c r="Y18" s="55">
        <v>9.708851000000001E-3</v>
      </c>
      <c r="Z18" s="55">
        <v>7.9370999999999998E-7</v>
      </c>
      <c r="AA18" s="596">
        <v>2.6646E-2</v>
      </c>
      <c r="AB18" s="55">
        <v>2.7422999999999999E-2</v>
      </c>
      <c r="AC18" s="55">
        <v>2.8063999999999999E-2</v>
      </c>
      <c r="AD18" s="55">
        <v>8.0406999999999996E-3</v>
      </c>
      <c r="AE18" s="55">
        <v>0.24621999999999999</v>
      </c>
      <c r="AF18" s="55">
        <v>7.1980000000000002E-2</v>
      </c>
      <c r="AG18" s="55">
        <v>9.2363999999999999E-4</v>
      </c>
      <c r="AH18" s="55">
        <v>5.6205000000000003E-4</v>
      </c>
      <c r="AI18" s="55">
        <v>5.0742999999999999E-5</v>
      </c>
      <c r="AK18" s="589">
        <v>1.043E-2</v>
      </c>
      <c r="AL18" s="589">
        <v>8.2447000000000006E-3</v>
      </c>
      <c r="AM18" s="593">
        <f t="shared" si="0"/>
        <v>9.708851000000001E-3</v>
      </c>
      <c r="AN18" s="101"/>
      <c r="AO18" s="589">
        <v>4.5850999999999999E-3</v>
      </c>
      <c r="AP18" s="589">
        <v>3.6648000000000002E-3</v>
      </c>
      <c r="AQ18" s="589">
        <v>1.1501000000000001E-2</v>
      </c>
      <c r="AR18" s="593">
        <f>'CAM Characteristics'!$J$138/1000*EcoInvent_raw!H18+'CAM Characteristics'!$J$139/1000*EcoInvent_raw!AP18+'CAM Characteristics'!$J$140/1000*EcoInvent_raw!AQ18+'CAM Characteristics'!$J$141/1000*EcoInvent_raw!AO18+GREET!$M$19*EcoInvent_raw!AI18+GREET!$M$23*EcoInvent_raw!AH18</f>
        <v>1.3384274597010996E-2</v>
      </c>
      <c r="AT18" s="589">
        <v>6.8780000000000004E-3</v>
      </c>
      <c r="AU18" s="589">
        <v>1.2570999999999999E-3</v>
      </c>
      <c r="AV18" s="593">
        <f t="shared" si="1"/>
        <v>8.135100000000001E-3</v>
      </c>
    </row>
    <row r="19" spans="2:48" x14ac:dyDescent="0.2">
      <c r="B19" t="s">
        <v>793</v>
      </c>
      <c r="C19" t="s">
        <v>794</v>
      </c>
      <c r="D19" t="s">
        <v>792</v>
      </c>
      <c r="E19" s="55">
        <v>4.1751999999999997E-2</v>
      </c>
      <c r="F19" s="55">
        <v>2.5971000000000001E-2</v>
      </c>
      <c r="G19" s="55">
        <v>1.8713E-2</v>
      </c>
      <c r="H19" s="55">
        <v>2.9071E-2</v>
      </c>
      <c r="I19" s="55"/>
      <c r="J19" s="55">
        <v>5.0776000000000002E-2</v>
      </c>
      <c r="K19" s="55">
        <v>1.0039999999999999E-3</v>
      </c>
      <c r="L19" s="55">
        <v>1.5921000000000001E-2</v>
      </c>
      <c r="M19" s="55">
        <v>3.0370000000000002E-3</v>
      </c>
      <c r="N19" s="55">
        <v>7.3179999999999995E-2</v>
      </c>
      <c r="O19" s="55">
        <v>1.7401000000000001E-3</v>
      </c>
      <c r="P19" s="55">
        <v>4.7482999999999998E-4</v>
      </c>
      <c r="Q19" s="55">
        <v>1.8641E-3</v>
      </c>
      <c r="R19" s="55">
        <v>3.1310000000000001E-3</v>
      </c>
      <c r="S19" s="55">
        <v>3.0435000000000002E-3</v>
      </c>
      <c r="T19" s="55">
        <v>2.9293000000000001E-3</v>
      </c>
      <c r="U19" s="55">
        <v>5.4592E-3</v>
      </c>
      <c r="V19" s="55">
        <v>9.1696999999999994E-3</v>
      </c>
      <c r="W19" s="55">
        <v>1.3783E-2</v>
      </c>
      <c r="X19" s="55">
        <v>1.3904077859778222E-2</v>
      </c>
      <c r="Y19" s="55">
        <v>1.0445266E-2</v>
      </c>
      <c r="Z19" s="55">
        <v>8.2900000000000002E-7</v>
      </c>
      <c r="AA19" s="596">
        <v>2.7358E-2</v>
      </c>
      <c r="AB19" s="55">
        <v>2.8188999999999999E-2</v>
      </c>
      <c r="AC19" s="55">
        <v>2.8785999999999999E-2</v>
      </c>
      <c r="AD19" s="55">
        <v>8.1951000000000003E-3</v>
      </c>
      <c r="AE19" s="55">
        <v>0.25276999999999999</v>
      </c>
      <c r="AF19" s="55">
        <v>7.3639999999999997E-2</v>
      </c>
      <c r="AG19" s="55">
        <v>9.6261000000000003E-4</v>
      </c>
      <c r="AH19" s="55">
        <v>5.8116999999999999E-4</v>
      </c>
      <c r="AI19" s="55">
        <v>5.7707999999999997E-5</v>
      </c>
      <c r="AK19" s="589">
        <v>1.0926999999999999E-2</v>
      </c>
      <c r="AL19" s="589">
        <v>9.4672000000000003E-3</v>
      </c>
      <c r="AM19" s="593">
        <f t="shared" si="0"/>
        <v>1.0445266E-2</v>
      </c>
      <c r="AN19" s="101"/>
      <c r="AO19" s="589">
        <v>4.7545E-3</v>
      </c>
      <c r="AP19" s="589">
        <v>3.813E-3</v>
      </c>
      <c r="AQ19" s="589">
        <v>1.1977E-2</v>
      </c>
      <c r="AR19" s="593">
        <f>'CAM Characteristics'!$J$138/1000*EcoInvent_raw!H19+'CAM Characteristics'!$J$139/1000*EcoInvent_raw!AP19+'CAM Characteristics'!$J$140/1000*EcoInvent_raw!AQ19+'CAM Characteristics'!$J$141/1000*EcoInvent_raw!AO19+GREET!$M$19*EcoInvent_raw!AI19+GREET!$M$23*EcoInvent_raw!AH19</f>
        <v>1.3904077859778222E-2</v>
      </c>
      <c r="AT19" s="589">
        <v>7.8744999999999996E-3</v>
      </c>
      <c r="AU19" s="589">
        <v>1.2952E-3</v>
      </c>
      <c r="AV19" s="593">
        <f t="shared" si="1"/>
        <v>9.1696999999999994E-3</v>
      </c>
    </row>
    <row r="20" spans="2:48" x14ac:dyDescent="0.2">
      <c r="B20" t="s">
        <v>795</v>
      </c>
      <c r="C20" t="s">
        <v>796</v>
      </c>
      <c r="D20" t="s">
        <v>797</v>
      </c>
      <c r="E20" s="55">
        <v>9.2152999999999999E-2</v>
      </c>
      <c r="F20" s="55">
        <v>0.12445000000000001</v>
      </c>
      <c r="G20" s="55">
        <v>0.28034999999999999</v>
      </c>
      <c r="H20" s="55">
        <v>8.7756000000000001E-2</v>
      </c>
      <c r="I20" s="55"/>
      <c r="J20" s="55">
        <v>0.14912</v>
      </c>
      <c r="K20" s="55">
        <v>1.6954E-2</v>
      </c>
      <c r="L20" s="55">
        <v>1.2017</v>
      </c>
      <c r="M20" s="55">
        <v>8.5038000000000006E-3</v>
      </c>
      <c r="N20" s="55">
        <v>5.1307</v>
      </c>
      <c r="O20" s="55">
        <v>1.3871E-2</v>
      </c>
      <c r="P20" s="55">
        <v>1.6105E-3</v>
      </c>
      <c r="Q20" s="55">
        <v>8.5290000000000001E-3</v>
      </c>
      <c r="R20" s="55">
        <v>5.6494000000000003E-2</v>
      </c>
      <c r="S20" s="55">
        <v>6.4343999999999998E-2</v>
      </c>
      <c r="T20" s="55">
        <v>7.7667999999999999E-3</v>
      </c>
      <c r="U20" s="55">
        <v>3.6481E-3</v>
      </c>
      <c r="V20" s="55">
        <v>3.8390000000000001E-2</v>
      </c>
      <c r="W20" s="55">
        <v>5.3903E-2</v>
      </c>
      <c r="X20" s="55">
        <v>0.15891144507523214</v>
      </c>
      <c r="Y20" s="55">
        <v>3.1879940000000002E-2</v>
      </c>
      <c r="Z20" s="55">
        <v>2.0772999999999999E-5</v>
      </c>
      <c r="AA20" s="596">
        <v>1.6879999999999999E-2</v>
      </c>
      <c r="AB20" s="55">
        <v>2.0081000000000002E-2</v>
      </c>
      <c r="AC20" s="55">
        <v>0.11222</v>
      </c>
      <c r="AD20" s="55">
        <v>8.5740999999999994E-3</v>
      </c>
      <c r="AE20" s="55">
        <v>0.74929999999999997</v>
      </c>
      <c r="AF20" s="55">
        <v>0.15271000000000001</v>
      </c>
      <c r="AG20" s="55">
        <v>7.3108000000000001E-3</v>
      </c>
      <c r="AH20" s="55">
        <v>4.7102999999999997E-3</v>
      </c>
      <c r="AI20" s="55">
        <v>4.3392000000000001E-5</v>
      </c>
      <c r="AK20" s="589">
        <v>2.7154999999999999E-2</v>
      </c>
      <c r="AL20" s="589">
        <v>4.1473000000000003E-2</v>
      </c>
      <c r="AM20" s="593">
        <f t="shared" si="0"/>
        <v>3.1879940000000002E-2</v>
      </c>
      <c r="AN20" s="101"/>
      <c r="AO20" s="589">
        <v>0.12028</v>
      </c>
      <c r="AP20" s="589">
        <v>4.4186E-3</v>
      </c>
      <c r="AQ20" s="589">
        <v>0.14180999999999999</v>
      </c>
      <c r="AR20" s="593">
        <f>'CAM Characteristics'!$J$138/1000*EcoInvent_raw!H20+'CAM Characteristics'!$J$139/1000*EcoInvent_raw!AP20+'CAM Characteristics'!$J$140/1000*EcoInvent_raw!AQ20+'CAM Characteristics'!$J$141/1000*EcoInvent_raw!AO20+GREET!$M$19*EcoInvent_raw!AI20+GREET!$M$23*EcoInvent_raw!AH20</f>
        <v>0.15891144507523214</v>
      </c>
      <c r="AT20" s="589">
        <v>1.8190999999999999E-2</v>
      </c>
      <c r="AU20" s="589">
        <v>2.0199000000000002E-2</v>
      </c>
      <c r="AV20" s="593">
        <f t="shared" si="1"/>
        <v>3.8390000000000001E-2</v>
      </c>
    </row>
    <row r="21" spans="2:48" x14ac:dyDescent="0.2">
      <c r="B21" t="s">
        <v>830</v>
      </c>
      <c r="C21" t="s">
        <v>831</v>
      </c>
      <c r="D21" t="s">
        <v>832</v>
      </c>
      <c r="E21">
        <v>175.16374035473899</v>
      </c>
      <c r="F21">
        <v>175.28658787196599</v>
      </c>
      <c r="G21">
        <v>150.79236909806301</v>
      </c>
      <c r="H21">
        <v>107.380535877494</v>
      </c>
      <c r="J21" s="55">
        <v>195.04154903333799</v>
      </c>
      <c r="K21" s="55">
        <v>4.9732981185429699</v>
      </c>
      <c r="L21" s="55">
        <v>262.251228823129</v>
      </c>
      <c r="M21" s="55">
        <v>13.360353314575301</v>
      </c>
      <c r="N21" s="55">
        <v>1177.04346597634</v>
      </c>
      <c r="O21" s="55">
        <v>10.0816433912034</v>
      </c>
      <c r="P21" s="55">
        <v>3.55909740618621</v>
      </c>
      <c r="Q21" s="55">
        <v>18.126999550568598</v>
      </c>
      <c r="R21" s="55">
        <v>47.636033982152597</v>
      </c>
      <c r="S21" s="55">
        <v>26.108878908326599</v>
      </c>
      <c r="T21" s="55">
        <v>15.1253887554527</v>
      </c>
      <c r="U21" s="55">
        <v>84.444460081823195</v>
      </c>
      <c r="V21" s="55">
        <v>98.933227039643299</v>
      </c>
      <c r="W21" s="55">
        <v>89.923253912624602</v>
      </c>
      <c r="X21" s="55">
        <v>113.56100828905539</v>
      </c>
      <c r="Y21" s="55">
        <v>91.784284512679818</v>
      </c>
      <c r="Z21" s="55">
        <v>6.2634852578089002E-3</v>
      </c>
      <c r="AA21" s="596">
        <v>124.447065709721</v>
      </c>
      <c r="AB21" s="55">
        <v>133.600424480014</v>
      </c>
      <c r="AC21" s="55">
        <v>173.76038505559899</v>
      </c>
      <c r="AD21" s="55">
        <v>43.830662365217798</v>
      </c>
      <c r="AE21" s="55">
        <v>1126.36393579733</v>
      </c>
      <c r="AF21" s="55">
        <v>134.56896593791399</v>
      </c>
      <c r="AG21" s="55">
        <v>5.4660149789570598</v>
      </c>
      <c r="AH21" s="55">
        <v>9.6680393209459403</v>
      </c>
      <c r="AI21" s="55">
        <v>0.99828727057226196</v>
      </c>
      <c r="AK21" s="589">
        <v>91.660098539615703</v>
      </c>
      <c r="AL21" s="589">
        <v>92.036419670113006</v>
      </c>
      <c r="AM21" s="593">
        <f t="shared" si="0"/>
        <v>91.784284512679818</v>
      </c>
      <c r="AN21" s="101"/>
      <c r="AO21" s="589">
        <v>18.277806417129799</v>
      </c>
      <c r="AP21" s="589">
        <v>18.409191782147701</v>
      </c>
      <c r="AQ21" s="589">
        <v>71.5107288430073</v>
      </c>
      <c r="AR21" s="593">
        <f>'CAM Characteristics'!$J$138/1000*EcoInvent_raw!H21+'CAM Characteristics'!$J$139/1000*EcoInvent_raw!AP21+'CAM Characteristics'!$J$140/1000*EcoInvent_raw!AQ21+'CAM Characteristics'!$J$141/1000*EcoInvent_raw!AO21+GREET!$M$19*EcoInvent_raw!AI21+GREET!$M$23*EcoInvent_raw!AH21</f>
        <v>113.56100828905539</v>
      </c>
      <c r="AT21" s="589">
        <v>88.894682433940005</v>
      </c>
      <c r="AU21" s="588">
        <v>10.038544605703301</v>
      </c>
      <c r="AV21" s="593">
        <f t="shared" si="1"/>
        <v>98.933227039643299</v>
      </c>
    </row>
    <row r="22" spans="2:48" x14ac:dyDescent="0.2">
      <c r="AN22" s="101"/>
      <c r="AO22" s="101"/>
      <c r="AP22" s="101"/>
      <c r="AQ22" s="101"/>
    </row>
    <row r="23" spans="2:48" x14ac:dyDescent="0.2">
      <c r="AN23" s="101"/>
      <c r="AO23" s="101"/>
      <c r="AP23" s="101"/>
      <c r="AQ23" s="101"/>
    </row>
    <row r="24" spans="2:48" x14ac:dyDescent="0.2">
      <c r="AN24" s="101"/>
      <c r="AO24" s="101"/>
      <c r="AP24" s="101"/>
      <c r="AQ24" s="101"/>
    </row>
    <row r="30" spans="2:48" x14ac:dyDescent="0.2">
      <c r="AB30" s="55"/>
    </row>
  </sheetData>
  <pageMargins left="0.7" right="0.7" top="0.78740157499999996" bottom="0.78740157499999996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E3B60-6FEB-41AE-85BD-1671BC087491}">
  <dimension ref="A1:K51"/>
  <sheetViews>
    <sheetView topLeftCell="A21" zoomScaleNormal="100" workbookViewId="0">
      <selection activeCell="M11" sqref="M11"/>
    </sheetView>
  </sheetViews>
  <sheetFormatPr baseColWidth="10" defaultColWidth="11.42578125" defaultRowHeight="12.75" x14ac:dyDescent="0.2"/>
  <sheetData>
    <row r="1" spans="1:11" x14ac:dyDescent="0.2">
      <c r="B1" s="44" t="s">
        <v>137</v>
      </c>
      <c r="C1" s="44" t="s">
        <v>138</v>
      </c>
      <c r="D1" s="44" t="s">
        <v>139</v>
      </c>
      <c r="E1" s="44" t="s">
        <v>140</v>
      </c>
      <c r="F1" s="44" t="s">
        <v>141</v>
      </c>
      <c r="G1" s="44" t="s">
        <v>142</v>
      </c>
      <c r="H1" s="44" t="s">
        <v>143</v>
      </c>
      <c r="I1" s="44" t="s">
        <v>144</v>
      </c>
      <c r="J1" s="44" t="s">
        <v>145</v>
      </c>
      <c r="K1" s="44" t="s">
        <v>146</v>
      </c>
    </row>
    <row r="2" spans="1:11" x14ac:dyDescent="0.2">
      <c r="A2" s="45" t="s">
        <v>147</v>
      </c>
      <c r="B2" s="46">
        <v>1591</v>
      </c>
      <c r="C2" s="46">
        <v>673</v>
      </c>
      <c r="D2" s="46">
        <v>1190</v>
      </c>
      <c r="E2" s="46">
        <v>483</v>
      </c>
      <c r="F2" s="46">
        <v>621</v>
      </c>
      <c r="G2" s="46">
        <v>103</v>
      </c>
      <c r="H2" s="46">
        <v>54</v>
      </c>
      <c r="I2" s="46">
        <v>173</v>
      </c>
      <c r="J2" s="46">
        <v>103</v>
      </c>
      <c r="K2" s="47">
        <f>SUM(B2:J2)</f>
        <v>4991</v>
      </c>
    </row>
    <row r="3" spans="1:11" x14ac:dyDescent="0.2">
      <c r="A3" s="45" t="s">
        <v>148</v>
      </c>
      <c r="B3" s="46">
        <v>1546</v>
      </c>
      <c r="C3" s="46">
        <v>682</v>
      </c>
      <c r="D3" s="46">
        <v>1117</v>
      </c>
      <c r="E3" s="46">
        <v>455</v>
      </c>
      <c r="F3" s="46">
        <v>656</v>
      </c>
      <c r="G3" s="46">
        <v>101</v>
      </c>
      <c r="H3" s="46">
        <v>53</v>
      </c>
      <c r="I3" s="46">
        <v>175</v>
      </c>
      <c r="J3" s="46">
        <v>101</v>
      </c>
      <c r="K3" s="47">
        <f t="shared" ref="K3:K32" si="0">SUM(B3:J3)</f>
        <v>4886</v>
      </c>
    </row>
    <row r="4" spans="1:11" x14ac:dyDescent="0.2">
      <c r="A4" s="45" t="s">
        <v>149</v>
      </c>
      <c r="B4" s="46">
        <v>1495</v>
      </c>
      <c r="C4" s="46">
        <v>702</v>
      </c>
      <c r="D4" s="46">
        <v>1066</v>
      </c>
      <c r="E4" s="46">
        <v>433</v>
      </c>
      <c r="F4" s="46">
        <v>611</v>
      </c>
      <c r="G4" s="46">
        <v>102</v>
      </c>
      <c r="H4" s="46">
        <v>57</v>
      </c>
      <c r="I4" s="46">
        <v>177</v>
      </c>
      <c r="J4" s="46">
        <v>99</v>
      </c>
      <c r="K4" s="47">
        <f t="shared" si="0"/>
        <v>4742</v>
      </c>
    </row>
    <row r="5" spans="1:11" x14ac:dyDescent="0.2">
      <c r="A5" s="45" t="s">
        <v>150</v>
      </c>
      <c r="B5" s="46">
        <v>1442</v>
      </c>
      <c r="C5" s="46">
        <v>706</v>
      </c>
      <c r="D5" s="46">
        <v>1037</v>
      </c>
      <c r="E5" s="46">
        <v>422</v>
      </c>
      <c r="F5" s="46">
        <v>621</v>
      </c>
      <c r="G5" s="46">
        <v>103</v>
      </c>
      <c r="H5" s="46">
        <v>60</v>
      </c>
      <c r="I5" s="46">
        <v>177</v>
      </c>
      <c r="J5" s="46">
        <v>97</v>
      </c>
      <c r="K5" s="47">
        <f t="shared" si="0"/>
        <v>4665</v>
      </c>
    </row>
    <row r="6" spans="1:11" x14ac:dyDescent="0.2">
      <c r="A6" s="45" t="s">
        <v>151</v>
      </c>
      <c r="B6" s="46">
        <v>1445</v>
      </c>
      <c r="C6" s="46">
        <v>713</v>
      </c>
      <c r="D6" s="46">
        <v>1060</v>
      </c>
      <c r="E6" s="46">
        <v>417</v>
      </c>
      <c r="F6" s="46">
        <v>578</v>
      </c>
      <c r="G6" s="46">
        <v>103</v>
      </c>
      <c r="H6" s="46">
        <v>62</v>
      </c>
      <c r="I6" s="46">
        <v>176</v>
      </c>
      <c r="J6" s="46">
        <v>96</v>
      </c>
      <c r="K6" s="47">
        <f t="shared" si="0"/>
        <v>4650</v>
      </c>
    </row>
    <row r="7" spans="1:11" x14ac:dyDescent="0.2">
      <c r="A7" s="45" t="s">
        <v>152</v>
      </c>
      <c r="B7" s="46">
        <v>1448</v>
      </c>
      <c r="C7" s="46">
        <v>725</v>
      </c>
      <c r="D7" s="46">
        <v>1092</v>
      </c>
      <c r="E7" s="46">
        <v>417</v>
      </c>
      <c r="F7" s="46">
        <v>586</v>
      </c>
      <c r="G7" s="46">
        <v>103</v>
      </c>
      <c r="H7" s="46">
        <v>66</v>
      </c>
      <c r="I7" s="46">
        <v>176</v>
      </c>
      <c r="J7" s="46">
        <v>94</v>
      </c>
      <c r="K7" s="47">
        <f t="shared" si="0"/>
        <v>4707</v>
      </c>
    </row>
    <row r="8" spans="1:11" x14ac:dyDescent="0.2">
      <c r="A8" s="45" t="s">
        <v>153</v>
      </c>
      <c r="B8" s="46">
        <v>1473</v>
      </c>
      <c r="C8" s="46">
        <v>746</v>
      </c>
      <c r="D8" s="46">
        <v>1083</v>
      </c>
      <c r="E8" s="46">
        <v>419</v>
      </c>
      <c r="F8" s="46">
        <v>638</v>
      </c>
      <c r="G8" s="46">
        <v>110</v>
      </c>
      <c r="H8" s="46">
        <v>69</v>
      </c>
      <c r="I8" s="46">
        <v>175</v>
      </c>
      <c r="J8" s="46">
        <v>96</v>
      </c>
      <c r="K8" s="47">
        <f t="shared" si="0"/>
        <v>4809</v>
      </c>
    </row>
    <row r="9" spans="1:11" x14ac:dyDescent="0.2">
      <c r="A9" s="45" t="s">
        <v>154</v>
      </c>
      <c r="B9" s="46">
        <v>1443</v>
      </c>
      <c r="C9" s="46">
        <v>756</v>
      </c>
      <c r="D9" s="46">
        <v>1079</v>
      </c>
      <c r="E9" s="46">
        <v>417</v>
      </c>
      <c r="F9" s="46">
        <v>599</v>
      </c>
      <c r="G9" s="46">
        <v>119</v>
      </c>
      <c r="H9" s="46">
        <v>72</v>
      </c>
      <c r="I9" s="46">
        <v>172</v>
      </c>
      <c r="J9" s="46">
        <v>97</v>
      </c>
      <c r="K9" s="47">
        <f t="shared" si="0"/>
        <v>4754</v>
      </c>
    </row>
    <row r="10" spans="1:11" x14ac:dyDescent="0.2">
      <c r="A10" s="45" t="s">
        <v>155</v>
      </c>
      <c r="B10" s="46">
        <v>1438</v>
      </c>
      <c r="C10" s="46">
        <v>786</v>
      </c>
      <c r="D10" s="46">
        <v>1035</v>
      </c>
      <c r="E10" s="46">
        <v>415</v>
      </c>
      <c r="F10" s="46">
        <v>585</v>
      </c>
      <c r="G10" s="46">
        <v>124</v>
      </c>
      <c r="H10" s="46">
        <v>76</v>
      </c>
      <c r="I10" s="46">
        <v>169</v>
      </c>
      <c r="J10" s="46">
        <v>98</v>
      </c>
      <c r="K10" s="47">
        <f t="shared" si="0"/>
        <v>4726</v>
      </c>
    </row>
    <row r="11" spans="1:11" x14ac:dyDescent="0.2">
      <c r="A11" s="45" t="s">
        <v>156</v>
      </c>
      <c r="B11" s="46">
        <v>1400</v>
      </c>
      <c r="C11" s="46">
        <v>802</v>
      </c>
      <c r="D11" s="46">
        <v>999</v>
      </c>
      <c r="E11" s="46">
        <v>414</v>
      </c>
      <c r="F11" s="46">
        <v>573</v>
      </c>
      <c r="G11" s="46">
        <v>121</v>
      </c>
      <c r="H11" s="46">
        <v>82</v>
      </c>
      <c r="I11" s="46">
        <v>166</v>
      </c>
      <c r="J11" s="46">
        <v>94</v>
      </c>
      <c r="K11" s="47">
        <f t="shared" si="0"/>
        <v>4651</v>
      </c>
    </row>
    <row r="12" spans="1:11" x14ac:dyDescent="0.2">
      <c r="A12" s="45" t="s">
        <v>157</v>
      </c>
      <c r="B12" s="46">
        <v>1412</v>
      </c>
      <c r="C12" s="46">
        <v>799</v>
      </c>
      <c r="D12" s="46">
        <v>1012</v>
      </c>
      <c r="E12" s="46">
        <v>409</v>
      </c>
      <c r="F12" s="46">
        <v>550</v>
      </c>
      <c r="G12" s="46">
        <v>129</v>
      </c>
      <c r="H12" s="46">
        <v>85</v>
      </c>
      <c r="I12" s="46">
        <v>165</v>
      </c>
      <c r="J12" s="46">
        <v>91</v>
      </c>
      <c r="K12" s="47">
        <f t="shared" si="0"/>
        <v>4652</v>
      </c>
    </row>
    <row r="13" spans="1:11" x14ac:dyDescent="0.2">
      <c r="A13" s="45" t="s">
        <v>158</v>
      </c>
      <c r="B13" s="46">
        <v>1435</v>
      </c>
      <c r="C13" s="46">
        <v>813</v>
      </c>
      <c r="D13" s="46">
        <v>986</v>
      </c>
      <c r="E13" s="46">
        <v>408</v>
      </c>
      <c r="F13" s="46">
        <v>592</v>
      </c>
      <c r="G13" s="46">
        <v>133</v>
      </c>
      <c r="H13" s="46">
        <v>84</v>
      </c>
      <c r="I13" s="46">
        <v>163</v>
      </c>
      <c r="J13" s="46">
        <v>91</v>
      </c>
      <c r="K13" s="47">
        <f t="shared" si="0"/>
        <v>4705</v>
      </c>
    </row>
    <row r="14" spans="1:11" x14ac:dyDescent="0.2">
      <c r="A14" s="45" t="s">
        <v>159</v>
      </c>
      <c r="B14" s="46">
        <v>1456</v>
      </c>
      <c r="C14" s="46">
        <v>823</v>
      </c>
      <c r="D14" s="46">
        <v>975</v>
      </c>
      <c r="E14" s="46">
        <v>400</v>
      </c>
      <c r="F14" s="46">
        <v>570</v>
      </c>
      <c r="G14" s="46">
        <v>139</v>
      </c>
      <c r="H14" s="46">
        <v>82</v>
      </c>
      <c r="I14" s="46">
        <v>161</v>
      </c>
      <c r="J14" s="46">
        <v>88</v>
      </c>
      <c r="K14" s="47">
        <f t="shared" si="0"/>
        <v>4694</v>
      </c>
    </row>
    <row r="15" spans="1:11" x14ac:dyDescent="0.2">
      <c r="A15" s="45" t="s">
        <v>160</v>
      </c>
      <c r="B15" s="46">
        <v>1504</v>
      </c>
      <c r="C15" s="46">
        <v>831</v>
      </c>
      <c r="D15" s="46">
        <v>991</v>
      </c>
      <c r="E15" s="46">
        <v>395</v>
      </c>
      <c r="F15" s="46">
        <v>583</v>
      </c>
      <c r="G15" s="46">
        <v>142</v>
      </c>
      <c r="H15" s="46">
        <v>85</v>
      </c>
      <c r="I15" s="46">
        <v>159</v>
      </c>
      <c r="J15" s="46">
        <v>90</v>
      </c>
      <c r="K15" s="47">
        <f t="shared" si="0"/>
        <v>4780</v>
      </c>
    </row>
    <row r="16" spans="1:11" x14ac:dyDescent="0.2">
      <c r="A16" s="45" t="s">
        <v>161</v>
      </c>
      <c r="B16" s="46">
        <v>1490</v>
      </c>
      <c r="C16" s="46">
        <v>850</v>
      </c>
      <c r="D16" s="46">
        <v>1001</v>
      </c>
      <c r="E16" s="46">
        <v>394</v>
      </c>
      <c r="F16" s="46">
        <v>578</v>
      </c>
      <c r="G16" s="46">
        <v>150</v>
      </c>
      <c r="H16" s="46">
        <v>90</v>
      </c>
      <c r="I16" s="46">
        <v>155</v>
      </c>
      <c r="J16" s="46">
        <v>89</v>
      </c>
      <c r="K16" s="47">
        <f t="shared" si="0"/>
        <v>4797</v>
      </c>
    </row>
    <row r="17" spans="1:11" x14ac:dyDescent="0.2">
      <c r="A17" s="45" t="s">
        <v>162</v>
      </c>
      <c r="B17" s="46">
        <v>1480</v>
      </c>
      <c r="C17" s="46">
        <v>848</v>
      </c>
      <c r="D17" s="46">
        <v>993</v>
      </c>
      <c r="E17" s="46">
        <v>389</v>
      </c>
      <c r="F17" s="46">
        <v>579</v>
      </c>
      <c r="G17" s="46">
        <v>154</v>
      </c>
      <c r="H17" s="46">
        <v>96</v>
      </c>
      <c r="I17" s="46">
        <v>151</v>
      </c>
      <c r="J17" s="46">
        <v>85</v>
      </c>
      <c r="K17" s="47">
        <f t="shared" si="0"/>
        <v>4775</v>
      </c>
    </row>
    <row r="18" spans="1:11" x14ac:dyDescent="0.2">
      <c r="A18" s="45" t="s">
        <v>163</v>
      </c>
      <c r="B18" s="46">
        <v>1485</v>
      </c>
      <c r="C18" s="46">
        <v>856</v>
      </c>
      <c r="D18" s="46">
        <v>984</v>
      </c>
      <c r="E18" s="46">
        <v>386</v>
      </c>
      <c r="F18" s="46">
        <v>580</v>
      </c>
      <c r="G18" s="46">
        <v>165</v>
      </c>
      <c r="H18" s="46">
        <v>101</v>
      </c>
      <c r="I18" s="46">
        <v>148</v>
      </c>
      <c r="J18" s="46">
        <v>85</v>
      </c>
      <c r="K18" s="47">
        <f t="shared" si="0"/>
        <v>4790</v>
      </c>
    </row>
    <row r="19" spans="1:11" x14ac:dyDescent="0.2">
      <c r="A19" s="45" t="s">
        <v>164</v>
      </c>
      <c r="B19" s="46">
        <v>1496</v>
      </c>
      <c r="C19" s="46">
        <v>865</v>
      </c>
      <c r="D19" s="46">
        <v>1006</v>
      </c>
      <c r="E19" s="46">
        <v>389</v>
      </c>
      <c r="F19" s="46">
        <v>509</v>
      </c>
      <c r="G19" s="46">
        <v>172</v>
      </c>
      <c r="H19" s="46">
        <v>106</v>
      </c>
      <c r="I19" s="46">
        <v>145</v>
      </c>
      <c r="J19" s="46">
        <v>84</v>
      </c>
      <c r="K19" s="47">
        <f t="shared" si="0"/>
        <v>4772</v>
      </c>
    </row>
    <row r="20" spans="1:11" x14ac:dyDescent="0.2">
      <c r="A20" s="45" t="s">
        <v>165</v>
      </c>
      <c r="B20" s="46">
        <v>1425</v>
      </c>
      <c r="C20" s="46">
        <v>847</v>
      </c>
      <c r="D20" s="46">
        <v>962</v>
      </c>
      <c r="E20" s="46">
        <v>386</v>
      </c>
      <c r="F20" s="46">
        <v>553</v>
      </c>
      <c r="G20" s="46">
        <v>170</v>
      </c>
      <c r="H20" s="46">
        <v>107</v>
      </c>
      <c r="I20" s="46">
        <v>142</v>
      </c>
      <c r="J20" s="46">
        <v>83</v>
      </c>
      <c r="K20" s="47">
        <f t="shared" si="0"/>
        <v>4675</v>
      </c>
    </row>
    <row r="21" spans="1:11" x14ac:dyDescent="0.2">
      <c r="A21" s="45" t="s">
        <v>166</v>
      </c>
      <c r="B21" s="46">
        <v>1318</v>
      </c>
      <c r="C21" s="46">
        <v>824</v>
      </c>
      <c r="D21" s="46">
        <v>796</v>
      </c>
      <c r="E21" s="46">
        <v>381</v>
      </c>
      <c r="F21" s="46">
        <v>541</v>
      </c>
      <c r="G21" s="46">
        <v>151</v>
      </c>
      <c r="H21" s="46">
        <v>99</v>
      </c>
      <c r="I21" s="46">
        <v>140</v>
      </c>
      <c r="J21" s="46">
        <v>83</v>
      </c>
      <c r="K21" s="47">
        <f t="shared" si="0"/>
        <v>4333</v>
      </c>
    </row>
    <row r="22" spans="1:11" x14ac:dyDescent="0.2">
      <c r="A22" s="45" t="s">
        <v>167</v>
      </c>
      <c r="B22" s="46">
        <v>1337</v>
      </c>
      <c r="C22" s="46">
        <v>818</v>
      </c>
      <c r="D22" s="46">
        <v>844</v>
      </c>
      <c r="E22" s="46">
        <v>377</v>
      </c>
      <c r="F22" s="46">
        <v>573</v>
      </c>
      <c r="G22" s="46">
        <v>150</v>
      </c>
      <c r="H22" s="46">
        <v>100</v>
      </c>
      <c r="I22" s="46">
        <v>137</v>
      </c>
      <c r="J22" s="46">
        <v>83</v>
      </c>
      <c r="K22" s="47">
        <f t="shared" si="0"/>
        <v>4419</v>
      </c>
    </row>
    <row r="23" spans="1:11" x14ac:dyDescent="0.2">
      <c r="A23" s="45" t="s">
        <v>168</v>
      </c>
      <c r="B23" s="46">
        <v>1329</v>
      </c>
      <c r="C23" s="46">
        <v>808</v>
      </c>
      <c r="D23" s="46">
        <v>831</v>
      </c>
      <c r="E23" s="46">
        <v>376</v>
      </c>
      <c r="F23" s="46">
        <v>500</v>
      </c>
      <c r="G23" s="46">
        <v>151</v>
      </c>
      <c r="H23" s="46">
        <v>103</v>
      </c>
      <c r="I23" s="46">
        <v>133</v>
      </c>
      <c r="J23" s="46">
        <v>84</v>
      </c>
      <c r="K23" s="47">
        <f t="shared" si="0"/>
        <v>4315</v>
      </c>
    </row>
    <row r="24" spans="1:11" x14ac:dyDescent="0.2">
      <c r="A24" s="45" t="s">
        <v>169</v>
      </c>
      <c r="B24" s="46">
        <v>1311</v>
      </c>
      <c r="C24" s="46">
        <v>779</v>
      </c>
      <c r="D24" s="46">
        <v>800</v>
      </c>
      <c r="E24" s="46">
        <v>375</v>
      </c>
      <c r="F24" s="46">
        <v>511</v>
      </c>
      <c r="G24" s="46">
        <v>140</v>
      </c>
      <c r="H24" s="46">
        <v>102</v>
      </c>
      <c r="I24" s="46">
        <v>130</v>
      </c>
      <c r="J24" s="46">
        <v>84</v>
      </c>
      <c r="K24" s="47">
        <f t="shared" si="0"/>
        <v>4232</v>
      </c>
    </row>
    <row r="25" spans="1:11" x14ac:dyDescent="0.2">
      <c r="A25" s="45" t="s">
        <v>170</v>
      </c>
      <c r="B25" s="46">
        <v>1246</v>
      </c>
      <c r="C25" s="46">
        <v>773</v>
      </c>
      <c r="D25" s="46">
        <v>781</v>
      </c>
      <c r="E25" s="46">
        <v>378</v>
      </c>
      <c r="F25" s="46">
        <v>515</v>
      </c>
      <c r="G25" s="46">
        <v>132</v>
      </c>
      <c r="H25" s="46">
        <v>103</v>
      </c>
      <c r="I25" s="46">
        <v>127</v>
      </c>
      <c r="J25" s="46">
        <v>85</v>
      </c>
      <c r="K25" s="47">
        <f t="shared" si="0"/>
        <v>4140</v>
      </c>
    </row>
    <row r="26" spans="1:11" x14ac:dyDescent="0.2">
      <c r="A26" s="45" t="s">
        <v>171</v>
      </c>
      <c r="B26" s="46">
        <v>1182</v>
      </c>
      <c r="C26" s="46">
        <v>779</v>
      </c>
      <c r="D26" s="46">
        <v>774</v>
      </c>
      <c r="E26" s="46">
        <v>384</v>
      </c>
      <c r="F26" s="46">
        <v>440</v>
      </c>
      <c r="G26" s="46">
        <v>128</v>
      </c>
      <c r="H26" s="46">
        <v>105</v>
      </c>
      <c r="I26" s="46">
        <v>123</v>
      </c>
      <c r="J26" s="46">
        <v>84</v>
      </c>
      <c r="K26" s="47">
        <f t="shared" si="0"/>
        <v>3999</v>
      </c>
    </row>
    <row r="27" spans="1:11" x14ac:dyDescent="0.2">
      <c r="A27" s="45" t="s">
        <v>172</v>
      </c>
      <c r="B27" s="46">
        <v>1190</v>
      </c>
      <c r="C27" s="46">
        <v>795</v>
      </c>
      <c r="D27" s="46">
        <v>775</v>
      </c>
      <c r="E27" s="46">
        <v>386</v>
      </c>
      <c r="F27" s="46">
        <v>466</v>
      </c>
      <c r="G27" s="46">
        <v>130</v>
      </c>
      <c r="H27" s="46">
        <v>109</v>
      </c>
      <c r="I27" s="46">
        <v>121</v>
      </c>
      <c r="J27" s="46">
        <v>83</v>
      </c>
      <c r="K27" s="47">
        <f t="shared" si="0"/>
        <v>4055</v>
      </c>
    </row>
    <row r="28" spans="1:11" x14ac:dyDescent="0.2">
      <c r="A28" s="45" t="s">
        <v>173</v>
      </c>
      <c r="B28" s="46">
        <v>1163</v>
      </c>
      <c r="C28" s="46">
        <v>812</v>
      </c>
      <c r="D28" s="46">
        <v>782</v>
      </c>
      <c r="E28" s="46">
        <v>387</v>
      </c>
      <c r="F28" s="46">
        <v>474</v>
      </c>
      <c r="G28" s="46">
        <v>134</v>
      </c>
      <c r="H28" s="46">
        <v>115</v>
      </c>
      <c r="I28" s="46">
        <v>118</v>
      </c>
      <c r="J28" s="46">
        <v>83</v>
      </c>
      <c r="K28" s="47">
        <f t="shared" si="0"/>
        <v>4068</v>
      </c>
    </row>
    <row r="29" spans="1:11" x14ac:dyDescent="0.2">
      <c r="A29" s="45" t="s">
        <v>174</v>
      </c>
      <c r="B29" s="46">
        <v>1158</v>
      </c>
      <c r="C29" s="46">
        <v>827</v>
      </c>
      <c r="D29" s="46">
        <v>802</v>
      </c>
      <c r="E29" s="46">
        <v>390</v>
      </c>
      <c r="F29" s="46">
        <v>469</v>
      </c>
      <c r="G29" s="46">
        <v>136</v>
      </c>
      <c r="H29" s="46">
        <v>124</v>
      </c>
      <c r="I29" s="46">
        <v>117</v>
      </c>
      <c r="J29" s="46">
        <v>83</v>
      </c>
      <c r="K29" s="47">
        <f t="shared" si="0"/>
        <v>4106</v>
      </c>
    </row>
    <row r="30" spans="1:11" x14ac:dyDescent="0.2">
      <c r="A30" s="45" t="s">
        <v>175</v>
      </c>
      <c r="B30" s="46">
        <v>1096</v>
      </c>
      <c r="C30" s="46">
        <v>828</v>
      </c>
      <c r="D30" s="46">
        <v>797</v>
      </c>
      <c r="E30" s="46">
        <v>386</v>
      </c>
      <c r="F30" s="46">
        <v>453</v>
      </c>
      <c r="G30" s="46">
        <v>139</v>
      </c>
      <c r="H30" s="46">
        <v>130</v>
      </c>
      <c r="I30" s="46">
        <v>115</v>
      </c>
      <c r="J30" s="46">
        <v>84</v>
      </c>
      <c r="K30" s="47">
        <f t="shared" si="0"/>
        <v>4028</v>
      </c>
    </row>
    <row r="31" spans="1:11" x14ac:dyDescent="0.2">
      <c r="A31" s="45" t="s">
        <v>176</v>
      </c>
      <c r="B31" s="46">
        <v>972</v>
      </c>
      <c r="C31" s="46">
        <v>835</v>
      </c>
      <c r="D31" s="46">
        <v>772</v>
      </c>
      <c r="E31" s="46">
        <v>382</v>
      </c>
      <c r="F31" s="46">
        <v>444</v>
      </c>
      <c r="G31" s="46">
        <v>138</v>
      </c>
      <c r="H31" s="46">
        <v>133</v>
      </c>
      <c r="I31" s="46">
        <v>114</v>
      </c>
      <c r="J31" s="46">
        <v>84</v>
      </c>
      <c r="K31" s="47">
        <f t="shared" si="0"/>
        <v>3874</v>
      </c>
    </row>
    <row r="32" spans="1:11" x14ac:dyDescent="0.2">
      <c r="A32" s="45" t="s">
        <v>177</v>
      </c>
      <c r="B32" s="46">
        <v>843</v>
      </c>
      <c r="C32" s="46">
        <v>721</v>
      </c>
      <c r="D32" s="46">
        <v>720</v>
      </c>
      <c r="E32" s="46">
        <v>382</v>
      </c>
      <c r="F32" s="46">
        <v>435</v>
      </c>
      <c r="G32" s="46">
        <v>123</v>
      </c>
      <c r="H32" s="46">
        <v>56</v>
      </c>
      <c r="I32" s="46">
        <v>112</v>
      </c>
      <c r="J32" s="46">
        <v>85</v>
      </c>
      <c r="K32" s="47">
        <f t="shared" si="0"/>
        <v>3477</v>
      </c>
    </row>
    <row r="33" spans="2:11" x14ac:dyDescent="0.2">
      <c r="B33" s="47">
        <f>SUM(B32:J32)-C33</f>
        <v>2756</v>
      </c>
      <c r="C33" s="46">
        <v>721</v>
      </c>
      <c r="K33" s="12">
        <f>(K2-K32)/K2</f>
        <v>0.303346022841114</v>
      </c>
    </row>
    <row r="34" spans="2:11" x14ac:dyDescent="0.2">
      <c r="C34">
        <f>C33/C2</f>
        <v>1.0713224368499257</v>
      </c>
      <c r="E34" t="s">
        <v>178</v>
      </c>
      <c r="F34" t="s">
        <v>179</v>
      </c>
      <c r="G34" t="s">
        <v>180</v>
      </c>
    </row>
    <row r="35" spans="2:11" x14ac:dyDescent="0.2">
      <c r="B35">
        <f>(C2-C35)/C2</f>
        <v>0.9</v>
      </c>
      <c r="C35">
        <f>0.1*C2</f>
        <v>67.3</v>
      </c>
      <c r="E35" t="s">
        <v>181</v>
      </c>
      <c r="F35" t="s">
        <v>182</v>
      </c>
      <c r="G35" t="s">
        <v>183</v>
      </c>
      <c r="H35" t="s">
        <v>184</v>
      </c>
    </row>
    <row r="36" spans="2:11" x14ac:dyDescent="0.2">
      <c r="C36" s="47">
        <f>C33-C35</f>
        <v>653.70000000000005</v>
      </c>
      <c r="E36">
        <v>1</v>
      </c>
      <c r="F36">
        <f>13.4*0.32</f>
        <v>4.2880000000000003</v>
      </c>
      <c r="G36">
        <f>73.2*0.32</f>
        <v>23.424000000000003</v>
      </c>
      <c r="H36">
        <f>12.9*0.32</f>
        <v>4.1280000000000001</v>
      </c>
      <c r="I36">
        <v>120</v>
      </c>
    </row>
    <row r="37" spans="2:11" x14ac:dyDescent="0.2">
      <c r="E37">
        <f>0.732*61</f>
        <v>44.652000000000001</v>
      </c>
      <c r="F37">
        <f>0.732*28</f>
        <v>20.495999999999999</v>
      </c>
      <c r="G37">
        <f>0.732*11</f>
        <v>8.0519999999999996</v>
      </c>
      <c r="H37">
        <v>300</v>
      </c>
    </row>
    <row r="38" spans="2:11" x14ac:dyDescent="0.2">
      <c r="C38">
        <f>C32*0.732</f>
        <v>527.77199999999993</v>
      </c>
    </row>
    <row r="39" spans="2:11" x14ac:dyDescent="0.2">
      <c r="C39">
        <f>C32*0.27</f>
        <v>194.67000000000002</v>
      </c>
      <c r="E39" t="s">
        <v>185</v>
      </c>
      <c r="F39" t="s">
        <v>186</v>
      </c>
    </row>
    <row r="41" spans="2:11" x14ac:dyDescent="0.2">
      <c r="C41">
        <f>C38*0.623</f>
        <v>328.80195599999996</v>
      </c>
      <c r="H41">
        <f>I36/SUM(E36:I36)</f>
        <v>0.78513478147081917</v>
      </c>
    </row>
    <row r="42" spans="2:11" x14ac:dyDescent="0.2">
      <c r="C42">
        <f>C41*0.55</f>
        <v>180.8410758</v>
      </c>
    </row>
    <row r="44" spans="2:11" x14ac:dyDescent="0.2">
      <c r="C44">
        <f>(C41-C42)*7</f>
        <v>1035.7261613999997</v>
      </c>
    </row>
    <row r="46" spans="2:11" x14ac:dyDescent="0.2">
      <c r="B46" t="s">
        <v>187</v>
      </c>
      <c r="C46">
        <f>104-(C47+C48)</f>
        <v>44.572000000000003</v>
      </c>
    </row>
    <row r="47" spans="2:11" x14ac:dyDescent="0.2">
      <c r="B47" t="s">
        <v>188</v>
      </c>
      <c r="C47">
        <f>44.571</f>
        <v>44.570999999999998</v>
      </c>
    </row>
    <row r="48" spans="2:11" x14ac:dyDescent="0.2">
      <c r="B48" t="s">
        <v>189</v>
      </c>
      <c r="C48">
        <f>14.857</f>
        <v>14.856999999999999</v>
      </c>
    </row>
    <row r="51" spans="3:3" x14ac:dyDescent="0.2">
      <c r="C51" s="4">
        <f>C36*0.732*0.623</f>
        <v>298.11073319999997</v>
      </c>
    </row>
  </sheetData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ACBBEC7A0702B49AF99B606A9AA86A3" ma:contentTypeVersion="12" ma:contentTypeDescription="Ein neues Dokument erstellen." ma:contentTypeScope="" ma:versionID="5b4e5f52d08be4a359bb19495f0b44f6">
  <xsd:schema xmlns:xsd="http://www.w3.org/2001/XMLSchema" xmlns:xs="http://www.w3.org/2001/XMLSchema" xmlns:p="http://schemas.microsoft.com/office/2006/metadata/properties" xmlns:ns2="fa743432-84d5-414f-a2ca-96c4c5dc6bb2" xmlns:ns3="d9e7c3a5-7bbe-406b-b563-2cb648be2db3" targetNamespace="http://schemas.microsoft.com/office/2006/metadata/properties" ma:root="true" ma:fieldsID="c3cd68f3c2b910c3449838cd37ee9408" ns2:_="" ns3:_="">
    <xsd:import namespace="fa743432-84d5-414f-a2ca-96c4c5dc6bb2"/>
    <xsd:import namespace="d9e7c3a5-7bbe-406b-b563-2cb648be2db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743432-84d5-414f-a2ca-96c4c5dc6b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e7c3a5-7bbe-406b-b563-2cb648be2db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0e7804-0e45-4f1a-8580-4b17961a65c4}" ma:internalName="TaxCatchAll" ma:showField="CatchAllData" ma:web="d9e7c3a5-7bbe-406b-b563-2cb648be2d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a743432-84d5-414f-a2ca-96c4c5dc6bb2">
      <Terms xmlns="http://schemas.microsoft.com/office/infopath/2007/PartnerControls"/>
    </lcf76f155ced4ddcb4097134ff3c332f>
    <TaxCatchAll xmlns="d9e7c3a5-7bbe-406b-b563-2cb648be2db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498EE80-27B9-4287-AB34-47D8329148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743432-84d5-414f-a2ca-96c4c5dc6bb2"/>
    <ds:schemaRef ds:uri="d9e7c3a5-7bbe-406b-b563-2cb648be2d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32D69A7-3A6F-4A6D-BCD0-E2428F7D9D91}">
  <ds:schemaRefs>
    <ds:schemaRef ds:uri="http://schemas.microsoft.com/office/2006/metadata/properties"/>
    <ds:schemaRef ds:uri="http://schemas.microsoft.com/office/2006/documentManagement/types"/>
    <ds:schemaRef ds:uri="fa743432-84d5-414f-a2ca-96c4c5dc6bb2"/>
    <ds:schemaRef ds:uri="http://purl.org/dc/dcmitype/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d9e7c3a5-7bbe-406b-b563-2cb648be2db3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73CD397D-3B20-4506-9F41-F2DF58BBFF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22</vt:i4>
      </vt:variant>
    </vt:vector>
  </HeadingPairs>
  <TitlesOfParts>
    <vt:vector size="22" baseType="lpstr">
      <vt:lpstr>CoverSheet</vt:lpstr>
      <vt:lpstr>Readme</vt:lpstr>
      <vt:lpstr>Cell parameters</vt:lpstr>
      <vt:lpstr>CAM Characteristics</vt:lpstr>
      <vt:lpstr>Tables Figures</vt:lpstr>
      <vt:lpstr>GREET</vt:lpstr>
      <vt:lpstr>Sankey Diagram Data</vt:lpstr>
      <vt:lpstr>LCIA</vt:lpstr>
      <vt:lpstr>Ecoinvent 3.10</vt:lpstr>
      <vt:lpstr>NCA</vt:lpstr>
      <vt:lpstr>NMC532</vt:lpstr>
      <vt:lpstr>NMC622</vt:lpstr>
      <vt:lpstr>NMC811</vt:lpstr>
      <vt:lpstr>NMC900</vt:lpstr>
      <vt:lpstr>LFP</vt:lpstr>
      <vt:lpstr>NaNFM422</vt:lpstr>
      <vt:lpstr>NMC900Li</vt:lpstr>
      <vt:lpstr>Summary</vt:lpstr>
      <vt:lpstr>Sensitivity Analysis</vt:lpstr>
      <vt:lpstr>EcoInvent_refined</vt:lpstr>
      <vt:lpstr>EcoInvent_raw</vt:lpstr>
      <vt:lpstr>Tabelle2</vt:lpstr>
    </vt:vector>
  </TitlesOfParts>
  <Manager/>
  <Company>Fraunhofer IPT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Florian Degen</dc:creator>
  <cp:keywords/>
  <dc:description/>
  <cp:lastModifiedBy>Degen, Florian</cp:lastModifiedBy>
  <cp:revision/>
  <dcterms:created xsi:type="dcterms:W3CDTF">2007-01-10T10:41:47Z</dcterms:created>
  <dcterms:modified xsi:type="dcterms:W3CDTF">2024-10-29T09:23:01Z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0x0101009ACBBEC7A0702B49AF99B606A9AA86A3</vt:lpwstr>
  </property>
  <property fmtid="{D5CDD505-2E9C-101B-9397-08002B2CF9AE}" pid="3" name="MediaServiceImageTags">
    <vt:lpwstr/>
  </property>
</Properties>
</file>