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polymtlca0-my.sharepoint.com/personal/marin_pellan_polymtlus_ca/Documents/Desktop/POST_DOC/Project/regional_minerals_sustainability/data/LCI/"/>
    </mc:Choice>
  </mc:AlternateContent>
  <xr:revisionPtr revIDLastSave="3009" documentId="13_ncr:1_{0CD9267C-230F-4C32-BDB0-E201BD3784C0}" xr6:coauthVersionLast="47" xr6:coauthVersionMax="47" xr10:uidLastSave="{F2F371B1-D19C-4C02-B1E4-E6989B65B22E}"/>
  <bookViews>
    <workbookView xWindow="-23148" yWindow="-108" windowWidth="23256" windowHeight="12456" activeTab="1" xr2:uid="{00000000-000D-0000-FFFF-FFFF00000000}"/>
  </bookViews>
  <sheets>
    <sheet name="Intro" sheetId="3" r:id="rId1"/>
    <sheet name="Lithium - Brine" sheetId="1" r:id="rId2"/>
    <sheet name="Lithium - Spodumene" sheetId="6" r:id="rId3"/>
    <sheet name="Cobalt" sheetId="4" r:id="rId4"/>
    <sheet name="Nickel" sheetId="12" r:id="rId5"/>
    <sheet name="Graphite - Natural" sheetId="2" r:id="rId6"/>
    <sheet name="Graphite - Synthetic" sheetId="14" r:id="rId7"/>
    <sheet name="Others" sheetId="13" r:id="rId8"/>
    <sheet name="Pedigree scores" sheetId="16" r:id="rId9"/>
    <sheet name="Datasets for breakdown" sheetId="10" r:id="rId10"/>
    <sheet name="ElecCons" sheetId="11" r:id="rId11"/>
    <sheet name="diesel_cobalt" sheetId="15" r:id="rId12"/>
  </sheets>
  <definedNames>
    <definedName name="_xlnm._FilterDatabase" localSheetId="3" hidden="1">Cobalt!$A$8:$XFA$8</definedName>
    <definedName name="_xlnm._FilterDatabase" localSheetId="5" hidden="1">'Graphite - Natural'!$A$1:$S$1</definedName>
    <definedName name="_xlnm._FilterDatabase" localSheetId="1" hidden="1">'Lithium - Brine'!$A$20:$O$20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3" i="13" l="1"/>
  <c r="H54" i="13"/>
  <c r="H52" i="13"/>
  <c r="H51" i="13"/>
  <c r="H50" i="13"/>
  <c r="H49" i="13"/>
  <c r="H48" i="13"/>
  <c r="H47" i="13"/>
  <c r="D46" i="13"/>
  <c r="H46" i="13"/>
  <c r="D35" i="13"/>
  <c r="D34" i="13" s="1"/>
  <c r="H35" i="13"/>
  <c r="H45" i="13"/>
  <c r="H34" i="13"/>
  <c r="H33" i="13"/>
  <c r="H33" i="6"/>
  <c r="H10" i="6"/>
  <c r="H12" i="1"/>
  <c r="K30" i="1"/>
  <c r="L30" i="1" s="1"/>
  <c r="K45" i="1"/>
  <c r="L45" i="1" s="1"/>
  <c r="K34" i="1"/>
  <c r="M34" i="1" s="1"/>
  <c r="K33" i="1"/>
  <c r="M33" i="1" s="1"/>
  <c r="K32" i="1"/>
  <c r="M32" i="1" s="1"/>
  <c r="K48" i="1"/>
  <c r="M48" i="1" s="1"/>
  <c r="K49" i="1"/>
  <c r="M49" i="1" s="1"/>
  <c r="K51" i="1"/>
  <c r="M51" i="1" s="1"/>
  <c r="K50" i="1"/>
  <c r="M50" i="1" s="1"/>
  <c r="K47" i="1"/>
  <c r="M47" i="1" s="1"/>
  <c r="K66" i="1"/>
  <c r="M66" i="1" s="1"/>
  <c r="K67" i="1"/>
  <c r="M67" i="1" s="1"/>
  <c r="K64" i="1"/>
  <c r="L64" i="1" s="1"/>
  <c r="M30" i="1" l="1"/>
  <c r="M45" i="1"/>
  <c r="M64" i="1"/>
  <c r="L50" i="1"/>
  <c r="L33" i="1"/>
  <c r="L47" i="1"/>
  <c r="L67" i="1"/>
  <c r="L66" i="1"/>
  <c r="L49" i="1"/>
  <c r="L51" i="1"/>
  <c r="L34" i="1"/>
  <c r="L32" i="1"/>
  <c r="L48" i="1"/>
  <c r="J14" i="2" l="1"/>
  <c r="L14" i="2" s="1"/>
  <c r="L13" i="2"/>
  <c r="K13" i="2"/>
  <c r="J13" i="2"/>
  <c r="J12" i="2"/>
  <c r="L12" i="2" s="1"/>
  <c r="J11" i="2"/>
  <c r="L11" i="2" s="1"/>
  <c r="L36" i="2"/>
  <c r="K36" i="2"/>
  <c r="J36" i="2"/>
  <c r="K35" i="2"/>
  <c r="J35" i="2"/>
  <c r="L35" i="2" s="1"/>
  <c r="J34" i="2"/>
  <c r="L34" i="2" s="1"/>
  <c r="J33" i="2"/>
  <c r="L33" i="2" s="1"/>
  <c r="J32" i="2"/>
  <c r="L32" i="2" s="1"/>
  <c r="J28" i="2"/>
  <c r="K28" i="2" s="1"/>
  <c r="J31" i="2"/>
  <c r="K31" i="2" s="1"/>
  <c r="J30" i="2"/>
  <c r="K30" i="2" s="1"/>
  <c r="J29" i="2"/>
  <c r="L29" i="2" s="1"/>
  <c r="L49" i="2"/>
  <c r="K49" i="2"/>
  <c r="J49" i="2"/>
  <c r="J51" i="2"/>
  <c r="L51" i="2" s="1"/>
  <c r="J50" i="2"/>
  <c r="L50" i="2" s="1"/>
  <c r="L67" i="2"/>
  <c r="K67" i="2"/>
  <c r="J67" i="2"/>
  <c r="K14" i="2" l="1"/>
  <c r="K12" i="2"/>
  <c r="K11" i="2"/>
  <c r="K34" i="2"/>
  <c r="K33" i="2"/>
  <c r="K32" i="2"/>
  <c r="L28" i="2"/>
  <c r="L31" i="2"/>
  <c r="L30" i="2"/>
  <c r="K29" i="2"/>
  <c r="K51" i="2"/>
  <c r="K50" i="2"/>
  <c r="J66" i="2"/>
  <c r="L66" i="2" s="1"/>
  <c r="K65" i="2"/>
  <c r="J65" i="2"/>
  <c r="L65" i="2" s="1"/>
  <c r="J64" i="2"/>
  <c r="K64" i="2" s="1"/>
  <c r="J63" i="2"/>
  <c r="L63" i="2" s="1"/>
  <c r="L84" i="2"/>
  <c r="L83" i="2"/>
  <c r="L82" i="2"/>
  <c r="K84" i="2"/>
  <c r="J84" i="2"/>
  <c r="J83" i="2"/>
  <c r="K83" i="2" s="1"/>
  <c r="K82" i="2"/>
  <c r="J82" i="2"/>
  <c r="K66" i="2" l="1"/>
  <c r="L64" i="2"/>
  <c r="K63" i="2"/>
  <c r="E30" i="15"/>
  <c r="E29" i="15"/>
  <c r="E31" i="10"/>
  <c r="E29" i="10"/>
  <c r="E28" i="10"/>
  <c r="D75" i="14"/>
  <c r="D74" i="14"/>
  <c r="D73" i="14"/>
  <c r="D30" i="14"/>
  <c r="D29" i="14"/>
  <c r="D46" i="14"/>
  <c r="D45" i="14"/>
  <c r="D43" i="14"/>
  <c r="D62" i="14"/>
  <c r="H62" i="14"/>
  <c r="D61" i="14"/>
  <c r="H61" i="14"/>
  <c r="D60" i="14"/>
  <c r="D57" i="14"/>
  <c r="H58" i="14"/>
  <c r="D93" i="14"/>
  <c r="D92" i="14"/>
  <c r="D91" i="14"/>
  <c r="D90" i="14"/>
  <c r="D87" i="14"/>
  <c r="D89" i="14"/>
  <c r="D88" i="14"/>
  <c r="D86" i="14"/>
  <c r="H60" i="14"/>
  <c r="H59" i="14"/>
  <c r="H57" i="14"/>
  <c r="H42" i="14"/>
  <c r="H56" i="14"/>
  <c r="H93" i="14"/>
  <c r="H91" i="14"/>
  <c r="H87" i="14"/>
  <c r="H92" i="14"/>
  <c r="H90" i="14"/>
  <c r="H89" i="14"/>
  <c r="H88" i="14"/>
  <c r="H73" i="14" l="1"/>
  <c r="H86" i="14"/>
  <c r="H85" i="14"/>
  <c r="E22" i="10"/>
  <c r="L11" i="11" s="1"/>
  <c r="D41" i="14"/>
  <c r="H45" i="14"/>
  <c r="H43" i="14"/>
  <c r="H16" i="14"/>
  <c r="H17" i="14"/>
  <c r="H15" i="14"/>
  <c r="H14" i="14"/>
  <c r="D13" i="14"/>
  <c r="D12" i="14"/>
  <c r="M11" i="11" s="1"/>
  <c r="D17" i="14"/>
  <c r="H13" i="14"/>
  <c r="H12" i="14"/>
  <c r="H11" i="14"/>
  <c r="H10" i="14"/>
  <c r="H9" i="14"/>
  <c r="H30" i="14"/>
  <c r="H29" i="14"/>
  <c r="D28" i="14"/>
  <c r="H28" i="14"/>
  <c r="H27" i="14"/>
  <c r="H46" i="14"/>
  <c r="H44" i="14"/>
  <c r="H41" i="14"/>
  <c r="H40" i="14"/>
  <c r="H75" i="14"/>
  <c r="H74" i="14"/>
  <c r="H72" i="14"/>
  <c r="H14" i="4"/>
  <c r="D65" i="13"/>
  <c r="H65" i="13"/>
  <c r="H64" i="13"/>
  <c r="E25" i="10" l="1"/>
  <c r="I11" i="11" s="1"/>
  <c r="E24" i="10"/>
  <c r="J11" i="11" s="1"/>
  <c r="E23" i="10"/>
  <c r="K11" i="11" s="1"/>
  <c r="H12" i="4"/>
  <c r="D52" i="4"/>
  <c r="D64" i="4"/>
  <c r="N11" i="11" l="1"/>
  <c r="E26" i="10"/>
  <c r="H19" i="12"/>
  <c r="H18" i="12"/>
  <c r="H98" i="12"/>
  <c r="H97" i="12"/>
  <c r="H96" i="12"/>
  <c r="H95" i="12"/>
  <c r="H23" i="13"/>
  <c r="H22" i="13"/>
  <c r="H21" i="13"/>
  <c r="H20" i="13"/>
  <c r="H100" i="12"/>
  <c r="H66" i="2"/>
  <c r="H10" i="13"/>
  <c r="H9" i="13"/>
  <c r="H177" i="12"/>
  <c r="H176" i="12"/>
  <c r="H215" i="12"/>
  <c r="H216" i="12"/>
  <c r="H72" i="12" l="1"/>
  <c r="H71" i="12"/>
  <c r="H70" i="12"/>
  <c r="H69" i="12"/>
  <c r="H68" i="12"/>
  <c r="H67" i="12"/>
  <c r="H66" i="12"/>
  <c r="H65" i="12"/>
  <c r="H64" i="12"/>
  <c r="H63" i="12"/>
  <c r="H62" i="12"/>
  <c r="H61" i="12"/>
  <c r="H60" i="12"/>
  <c r="H59" i="12"/>
  <c r="H303" i="12"/>
  <c r="H302"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129" i="12"/>
  <c r="H153" i="12"/>
  <c r="H152" i="12"/>
  <c r="H132" i="12"/>
  <c r="H151" i="12"/>
  <c r="H150" i="12"/>
  <c r="H149" i="12"/>
  <c r="H147" i="12"/>
  <c r="H146" i="12"/>
  <c r="H145" i="12"/>
  <c r="H144" i="12"/>
  <c r="H143" i="12"/>
  <c r="H142" i="12"/>
  <c r="H148" i="12"/>
  <c r="H99" i="12"/>
  <c r="E15" i="10" l="1"/>
  <c r="C9" i="11" s="1"/>
  <c r="E14" i="10"/>
  <c r="D9" i="11" s="1"/>
  <c r="E13" i="10"/>
  <c r="E9" i="11" s="1"/>
  <c r="H90" i="12"/>
  <c r="H185" i="12"/>
  <c r="H191" i="12"/>
  <c r="H184" i="12"/>
  <c r="H183" i="12"/>
  <c r="H182" i="12"/>
  <c r="H188" i="12"/>
  <c r="H181" i="12"/>
  <c r="H186" i="12"/>
  <c r="H180" i="12"/>
  <c r="H179" i="12"/>
  <c r="H187" i="12"/>
  <c r="H172" i="12"/>
  <c r="H190" i="12"/>
  <c r="H189" i="12"/>
  <c r="H178" i="12"/>
  <c r="H175" i="12"/>
  <c r="H174" i="12"/>
  <c r="H173" i="12"/>
  <c r="H201" i="12"/>
  <c r="H200" i="12"/>
  <c r="H199" i="12"/>
  <c r="H198" i="12"/>
  <c r="H197" i="12"/>
  <c r="H196" i="12"/>
  <c r="H195" i="12"/>
  <c r="H194" i="12"/>
  <c r="H193" i="12"/>
  <c r="H192" i="12"/>
  <c r="H159" i="12"/>
  <c r="H158" i="12"/>
  <c r="H157" i="12"/>
  <c r="H156" i="12"/>
  <c r="H155" i="12"/>
  <c r="H154" i="12"/>
  <c r="H141" i="12"/>
  <c r="H140" i="12"/>
  <c r="H139" i="12"/>
  <c r="H138" i="12"/>
  <c r="H137" i="12"/>
  <c r="H136" i="12"/>
  <c r="H135" i="12"/>
  <c r="H134" i="12"/>
  <c r="H133" i="12"/>
  <c r="H131" i="12"/>
  <c r="H130" i="12"/>
  <c r="H124" i="12"/>
  <c r="H91" i="12"/>
  <c r="H128" i="12"/>
  <c r="H123" i="12"/>
  <c r="H122" i="12"/>
  <c r="H121" i="12"/>
  <c r="H125" i="12"/>
  <c r="H120" i="12"/>
  <c r="H119" i="12"/>
  <c r="H118" i="12"/>
  <c r="H127" i="12"/>
  <c r="H117" i="12"/>
  <c r="H116" i="12"/>
  <c r="H115" i="12"/>
  <c r="H114" i="12"/>
  <c r="H113" i="12"/>
  <c r="H112" i="12"/>
  <c r="H111" i="12"/>
  <c r="H110" i="12"/>
  <c r="H109" i="12"/>
  <c r="H126" i="12"/>
  <c r="H108" i="12"/>
  <c r="H107" i="12"/>
  <c r="H106" i="12"/>
  <c r="H105" i="12"/>
  <c r="H104" i="12"/>
  <c r="H103" i="12"/>
  <c r="H94" i="12"/>
  <c r="H93" i="12"/>
  <c r="H92" i="12"/>
  <c r="H102" i="12"/>
  <c r="H101" i="12"/>
  <c r="H89" i="12"/>
  <c r="H88" i="12"/>
  <c r="H171" i="12"/>
  <c r="H212" i="12"/>
  <c r="H242" i="12"/>
  <c r="H231" i="12"/>
  <c r="H241" i="12"/>
  <c r="H240" i="12"/>
  <c r="H230" i="12"/>
  <c r="H229" i="12"/>
  <c r="H239" i="12"/>
  <c r="H228" i="12"/>
  <c r="H227" i="12"/>
  <c r="H233" i="12"/>
  <c r="H232" i="12"/>
  <c r="H226" i="12"/>
  <c r="H225" i="12"/>
  <c r="H238" i="12"/>
  <c r="H237" i="12"/>
  <c r="H236" i="12"/>
  <c r="H235" i="12"/>
  <c r="H234" i="12"/>
  <c r="H224" i="12"/>
  <c r="H223" i="12"/>
  <c r="H219" i="12"/>
  <c r="H222" i="12"/>
  <c r="H218" i="12"/>
  <c r="H221" i="12"/>
  <c r="H217" i="12"/>
  <c r="H214" i="12"/>
  <c r="H220" i="12"/>
  <c r="H213" i="12"/>
  <c r="H211" i="12"/>
  <c r="H170" i="12"/>
  <c r="H169" i="12"/>
  <c r="H49" i="12"/>
  <c r="H50" i="12"/>
  <c r="H51" i="12"/>
  <c r="H52" i="12"/>
  <c r="H53" i="12"/>
  <c r="H54" i="12"/>
  <c r="H55" i="12"/>
  <c r="H56" i="12"/>
  <c r="H57" i="12"/>
  <c r="H58" i="12"/>
  <c r="H73" i="12"/>
  <c r="H74" i="12"/>
  <c r="H75" i="12"/>
  <c r="H76" i="12"/>
  <c r="H77" i="12"/>
  <c r="H78" i="12"/>
  <c r="H44" i="12"/>
  <c r="H43" i="12"/>
  <c r="H42" i="12"/>
  <c r="H41" i="12"/>
  <c r="H40" i="12"/>
  <c r="H39" i="12"/>
  <c r="H38" i="12"/>
  <c r="H37" i="12"/>
  <c r="H36" i="12"/>
  <c r="H35" i="12"/>
  <c r="H34" i="12"/>
  <c r="H46" i="12"/>
  <c r="H33" i="12"/>
  <c r="H32" i="12"/>
  <c r="H45" i="12"/>
  <c r="H31" i="12"/>
  <c r="H30" i="12"/>
  <c r="H29" i="12"/>
  <c r="H28" i="12"/>
  <c r="H27" i="12"/>
  <c r="H17" i="12"/>
  <c r="H12" i="12"/>
  <c r="H48" i="12"/>
  <c r="H26" i="12"/>
  <c r="H25" i="12"/>
  <c r="H11" i="12"/>
  <c r="H24" i="12"/>
  <c r="H23" i="12"/>
  <c r="H22" i="12"/>
  <c r="H47" i="12"/>
  <c r="H21" i="12"/>
  <c r="H20" i="12"/>
  <c r="H15" i="12"/>
  <c r="H14" i="12"/>
  <c r="H13" i="12"/>
  <c r="H16" i="12"/>
  <c r="H10" i="12"/>
  <c r="H9" i="12"/>
  <c r="H13" i="4"/>
  <c r="F9" i="11" l="1"/>
  <c r="H13" i="1"/>
  <c r="H14" i="1"/>
  <c r="H15" i="1"/>
  <c r="H16" i="1"/>
  <c r="H17" i="1"/>
  <c r="H31" i="1"/>
  <c r="H32" i="1"/>
  <c r="H33" i="1"/>
  <c r="H46" i="1"/>
  <c r="H47" i="1"/>
  <c r="H48" i="1"/>
  <c r="H49" i="1"/>
  <c r="H50" i="1"/>
  <c r="H51" i="1"/>
  <c r="H52" i="1"/>
  <c r="H64" i="1"/>
  <c r="H65" i="1"/>
  <c r="H66" i="1"/>
  <c r="H11" i="6"/>
  <c r="H12" i="6"/>
  <c r="H13" i="6"/>
  <c r="H14" i="6"/>
  <c r="H15" i="6"/>
  <c r="H16" i="6"/>
  <c r="H17" i="6"/>
  <c r="H18" i="6"/>
  <c r="H19" i="6"/>
  <c r="H20" i="6"/>
  <c r="H34" i="6"/>
  <c r="H35" i="6"/>
  <c r="H36" i="6"/>
  <c r="H37" i="6"/>
  <c r="H38" i="6"/>
  <c r="H39" i="6"/>
  <c r="H40" i="6"/>
  <c r="H41" i="6"/>
  <c r="H42" i="6"/>
  <c r="H43" i="6"/>
  <c r="H56" i="6"/>
  <c r="H57" i="6"/>
  <c r="H58" i="6"/>
  <c r="H59" i="6"/>
  <c r="H60" i="6"/>
  <c r="H61" i="6"/>
  <c r="H62" i="6"/>
  <c r="H63" i="6"/>
  <c r="H64" i="6"/>
  <c r="H65" i="6"/>
  <c r="H66" i="6"/>
  <c r="H67" i="6"/>
  <c r="H68" i="6"/>
  <c r="H64" i="4"/>
  <c r="H42" i="4"/>
  <c r="H43" i="4"/>
  <c r="H44" i="4"/>
  <c r="H45" i="4"/>
  <c r="H46" i="4"/>
  <c r="H47" i="4"/>
  <c r="H48" i="4"/>
  <c r="H49" i="4"/>
  <c r="H50" i="4"/>
  <c r="H51" i="4"/>
  <c r="H11" i="4"/>
  <c r="H21" i="4"/>
  <c r="H22" i="4"/>
  <c r="H16" i="4"/>
  <c r="H19" i="4"/>
  <c r="H18" i="4"/>
  <c r="H17" i="4"/>
  <c r="H15" i="4"/>
  <c r="H20" i="4"/>
  <c r="H23" i="4"/>
  <c r="H24" i="4"/>
  <c r="H25" i="4"/>
  <c r="H26" i="4"/>
  <c r="H27" i="4"/>
  <c r="H28" i="4"/>
  <c r="H11" i="2"/>
  <c r="H12" i="2"/>
  <c r="H13" i="2"/>
  <c r="H14" i="2"/>
  <c r="H15" i="2"/>
  <c r="D35" i="6" l="1"/>
  <c r="D12" i="6"/>
  <c r="D66" i="6"/>
  <c r="E8" i="10" l="1"/>
  <c r="D56" i="6"/>
  <c r="C7" i="11" s="1"/>
  <c r="H32" i="6"/>
  <c r="H9" i="6"/>
  <c r="D11" i="6"/>
  <c r="E7" i="11" s="1"/>
  <c r="H22" i="6"/>
  <c r="D22" i="6"/>
  <c r="H21" i="6"/>
  <c r="D21" i="6"/>
  <c r="D45" i="6"/>
  <c r="D44" i="6"/>
  <c r="H45" i="6"/>
  <c r="H44" i="6"/>
  <c r="D42" i="6"/>
  <c r="D40" i="6"/>
  <c r="D43" i="6" s="1"/>
  <c r="D17" i="6"/>
  <c r="D20" i="6" s="1"/>
  <c r="D34" i="6"/>
  <c r="E6" i="10"/>
  <c r="E5" i="10"/>
  <c r="E4" i="10"/>
  <c r="D14" i="1"/>
  <c r="D19" i="1"/>
  <c r="D18" i="1"/>
  <c r="D13" i="1"/>
  <c r="D17" i="1"/>
  <c r="H11" i="1"/>
  <c r="D8" i="11"/>
  <c r="E8" i="11"/>
  <c r="C6" i="11"/>
  <c r="D6" i="11"/>
  <c r="E6" i="11"/>
  <c r="D52" i="1"/>
  <c r="H31" i="2"/>
  <c r="H64" i="2"/>
  <c r="D77" i="6"/>
  <c r="H83" i="6"/>
  <c r="H82" i="6"/>
  <c r="H81" i="6"/>
  <c r="H80" i="6"/>
  <c r="H79" i="6"/>
  <c r="H78" i="6"/>
  <c r="H55" i="6"/>
  <c r="H69" i="6"/>
  <c r="H70" i="6"/>
  <c r="H71" i="6"/>
  <c r="H72" i="6"/>
  <c r="H73" i="6"/>
  <c r="H74" i="6"/>
  <c r="H75" i="6"/>
  <c r="H76" i="6"/>
  <c r="H77" i="6"/>
  <c r="E11" i="10"/>
  <c r="E10" i="10"/>
  <c r="D68" i="2"/>
  <c r="F8" i="11" l="1"/>
  <c r="F7" i="11"/>
  <c r="F6" i="11"/>
  <c r="D31" i="2"/>
  <c r="D64" i="2"/>
  <c r="H71" i="1"/>
  <c r="H45" i="1"/>
  <c r="H53" i="1"/>
  <c r="H44" i="1"/>
  <c r="H34" i="1"/>
  <c r="H30" i="1" l="1"/>
  <c r="H87" i="2" l="1"/>
  <c r="H86" i="2"/>
  <c r="H85" i="2"/>
  <c r="H71" i="2"/>
  <c r="H62" i="2"/>
  <c r="H49" i="2"/>
  <c r="H38" i="2"/>
  <c r="H28" i="2"/>
  <c r="H17" i="2"/>
  <c r="H16" i="2"/>
  <c r="H10" i="2"/>
  <c r="H84" i="2"/>
  <c r="H83" i="2"/>
  <c r="H82" i="2"/>
  <c r="H70" i="2"/>
  <c r="H69" i="2"/>
  <c r="H68" i="2"/>
  <c r="H67" i="2"/>
  <c r="H65" i="2"/>
  <c r="H63" i="2"/>
  <c r="H51" i="2"/>
  <c r="H50" i="2"/>
  <c r="H37" i="2"/>
  <c r="H36" i="2"/>
  <c r="H35" i="2"/>
  <c r="H34" i="2"/>
  <c r="H33" i="2"/>
  <c r="H32" i="2"/>
  <c r="H30" i="2"/>
  <c r="H29" i="2"/>
  <c r="H81" i="2"/>
  <c r="H61" i="2"/>
  <c r="H48" i="2"/>
  <c r="H27" i="2"/>
  <c r="H9" i="2"/>
  <c r="H30" i="4" l="1"/>
  <c r="H29" i="4"/>
  <c r="H10" i="4"/>
  <c r="H9" i="4"/>
  <c r="H41" i="4"/>
  <c r="H53" i="4"/>
  <c r="H52" i="4"/>
  <c r="H40" i="4"/>
  <c r="H63" i="4"/>
  <c r="H69" i="4"/>
  <c r="H68" i="4"/>
  <c r="H67" i="4"/>
  <c r="H66" i="4"/>
  <c r="H65" i="4"/>
  <c r="H70" i="1"/>
  <c r="H69" i="1"/>
  <c r="H68" i="1"/>
  <c r="H67" i="1"/>
  <c r="B1" i="1" l="1"/>
  <c r="H29" i="1"/>
  <c r="H63" i="1"/>
  <c r="D87" i="2" l="1"/>
  <c r="D86" i="2"/>
  <c r="D85" i="2"/>
  <c r="D84" i="2"/>
  <c r="D83" i="2"/>
  <c r="D82" i="2"/>
  <c r="D69" i="2"/>
  <c r="D71" i="2"/>
  <c r="D67" i="2"/>
  <c r="D66" i="2"/>
  <c r="D62" i="2"/>
  <c r="D70" i="2" s="1"/>
  <c r="D65" i="2"/>
  <c r="D63" i="2"/>
  <c r="D49" i="2"/>
  <c r="D51" i="2"/>
  <c r="D50" i="2"/>
  <c r="D37" i="2"/>
  <c r="D38" i="2"/>
  <c r="D28" i="2"/>
  <c r="D36" i="2"/>
  <c r="D35" i="2"/>
  <c r="D34" i="2"/>
  <c r="D33" i="2"/>
  <c r="D32" i="2"/>
  <c r="D30" i="2"/>
  <c r="D29" i="2"/>
  <c r="D17" i="2"/>
  <c r="D16" i="2"/>
  <c r="D14" i="2"/>
  <c r="D10" i="2"/>
  <c r="D13" i="2"/>
  <c r="D12" i="2"/>
  <c r="D11" i="2"/>
  <c r="D15" i="2"/>
  <c r="E20" i="10" l="1"/>
  <c r="C10" i="11" s="1"/>
  <c r="E19" i="10"/>
  <c r="D10" i="11" s="1"/>
  <c r="E18" i="10"/>
  <c r="E17" i="10"/>
  <c r="E10" i="11" l="1"/>
  <c r="F10" i="11" s="1"/>
</calcChain>
</file>

<file path=xl/sharedStrings.xml><?xml version="1.0" encoding="utf-8"?>
<sst xmlns="http://schemas.openxmlformats.org/spreadsheetml/2006/main" count="4090" uniqueCount="814">
  <si>
    <t>database</t>
  </si>
  <si>
    <t>Activity</t>
  </si>
  <si>
    <t>comment</t>
  </si>
  <si>
    <t>location</t>
  </si>
  <si>
    <t>CN</t>
  </si>
  <si>
    <t>production amount</t>
  </si>
  <si>
    <t>reference product</t>
  </si>
  <si>
    <t>unit</t>
  </si>
  <si>
    <t>kilogram</t>
  </si>
  <si>
    <t>Exchanges</t>
  </si>
  <si>
    <t>name</t>
  </si>
  <si>
    <t>amount</t>
  </si>
  <si>
    <t>categories</t>
  </si>
  <si>
    <t>type</t>
  </si>
  <si>
    <t>production</t>
  </si>
  <si>
    <t>technosphere</t>
  </si>
  <si>
    <t>market for transport, freight, sea, bulk carrier for dry goods</t>
  </si>
  <si>
    <t>ton kilometer</t>
  </si>
  <si>
    <t>GLO</t>
  </si>
  <si>
    <t>transport, freight, sea, bulk carrier for dry goods</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</si>
  <si>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</si>
  <si>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source</t>
  </si>
  <si>
    <t>Engels P, Cerdas F, Dettmer T, Frey C, Hentschel J, Herrmann C, et al. Life cycle assessment of natural graphite production for lithium-ion battery anodes based on industrial primary data. J Clean Prod 2022;336:130474. https://doi.org/10.1016/J.JCLEPRO.2022.130474.</t>
  </si>
  <si>
    <t>market for transport, freight, lorry, unspecified</t>
  </si>
  <si>
    <t>RoW</t>
  </si>
  <si>
    <t>transport, freight, lorry, unspecified</t>
  </si>
  <si>
    <t>graphite sent from plant (1780 km)</t>
  </si>
  <si>
    <t>market group for electricity, medium voltage</t>
  </si>
  <si>
    <t>kilowatt hour</t>
  </si>
  <si>
    <t>electricity, medium voltage</t>
  </si>
  <si>
    <t>megajoule</t>
  </si>
  <si>
    <t>diesel, burned in building machine</t>
  </si>
  <si>
    <t>market for nitrogen, liquid</t>
  </si>
  <si>
    <t>nitrogen, liquid</t>
  </si>
  <si>
    <t>1010 purified graphite/t</t>
  </si>
  <si>
    <t>market for pitch</t>
  </si>
  <si>
    <t>pitch</t>
  </si>
  <si>
    <t>Carbon dioxide, fossil</t>
  </si>
  <si>
    <t>air</t>
  </si>
  <si>
    <t>biosphere</t>
  </si>
  <si>
    <t>64.407 kg CO2/t</t>
  </si>
  <si>
    <t>Nitrogen</t>
  </si>
  <si>
    <t>1.5 kg N/t</t>
  </si>
  <si>
    <t>cubic meter</t>
  </si>
  <si>
    <t>hydrogen fluoride</t>
  </si>
  <si>
    <t>market for hydrochloric acid, without water, in 30% solution state</t>
  </si>
  <si>
    <t>hydrochloric acid, without water, in 30% solution state</t>
  </si>
  <si>
    <t>market for nitric acid, without water, in 50% solution state</t>
  </si>
  <si>
    <t>nitric acid, without water, in 50% solution state</t>
  </si>
  <si>
    <t>market for tap water</t>
  </si>
  <si>
    <t>tap water</t>
  </si>
  <si>
    <t>market for lime</t>
  </si>
  <si>
    <t>lime</t>
  </si>
  <si>
    <t>natural graphite spheronization</t>
  </si>
  <si>
    <t>Water</t>
  </si>
  <si>
    <t>320.145 kg, as steam to air</t>
  </si>
  <si>
    <t>market for wastewater, average</t>
  </si>
  <si>
    <t>wastewater, average</t>
  </si>
  <si>
    <t>natural graphite concentration</t>
  </si>
  <si>
    <t>graphite ore, concentrated</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</si>
  <si>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</si>
  <si>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graphite ore mining</t>
  </si>
  <si>
    <t>graphite ore, mined</t>
  </si>
  <si>
    <t>9590 kg/t, carbon content of 11%</t>
  </si>
  <si>
    <t>market for diesel</t>
  </si>
  <si>
    <t>diesel</t>
  </si>
  <si>
    <t>21.707 m3/t</t>
  </si>
  <si>
    <t>treatment of non-sulfidic tailing, off-site</t>
  </si>
  <si>
    <t>non-sulfidic tailing, off-site</t>
  </si>
  <si>
    <t>transport of ore over 2 km</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</si>
  <si>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</si>
  <si>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market for explosive, tovex</t>
  </si>
  <si>
    <t>explosive, tovex</t>
  </si>
  <si>
    <t>From explosives</t>
  </si>
  <si>
    <t>Nitrogen oxides</t>
  </si>
  <si>
    <t>Originally, it says "Graphite dust"</t>
  </si>
  <si>
    <t>Carbon monoxide, fossil</t>
  </si>
  <si>
    <t>Methane, fossil</t>
  </si>
  <si>
    <t>natural resource::in ground</t>
  </si>
  <si>
    <t>heat production, natural gas, at industrial furnace &gt;100kW</t>
  </si>
  <si>
    <t>heat, district or industrial, natural gas</t>
  </si>
  <si>
    <t>skip</t>
  </si>
  <si>
    <t>CL</t>
  </si>
  <si>
    <t>Water, unspecified natural origin</t>
  </si>
  <si>
    <t>biosphere3</t>
  </si>
  <si>
    <t>market for kerosene</t>
  </si>
  <si>
    <t>kerosene</t>
  </si>
  <si>
    <t>lithium brine, from evaporation pond</t>
  </si>
  <si>
    <t>machine operation, diesel, &gt;= 74.57 kW, high load factor</t>
  </si>
  <si>
    <t>hour</t>
  </si>
  <si>
    <t>transport, freight, lorry &gt;32 metric ton, EURO3</t>
  </si>
  <si>
    <t>Occupation, mineral extraction site</t>
  </si>
  <si>
    <t>square meter-year</t>
  </si>
  <si>
    <t>natural resource::land</t>
  </si>
  <si>
    <t>Transformation, from unknown</t>
  </si>
  <si>
    <t>square meter</t>
  </si>
  <si>
    <t>Transformation, to mineral extraction site</t>
  </si>
  <si>
    <t>sodium hydroxide to generic market for neutralising agent</t>
  </si>
  <si>
    <t>neutralising agent, sodium hydroxide-equivalent</t>
  </si>
  <si>
    <t>market for quicklime, milled, packed</t>
  </si>
  <si>
    <t>quicklime, milled, packed</t>
  </si>
  <si>
    <t>lithium carbonate, battery grade</t>
  </si>
  <si>
    <t>Source: Regionalized life cycle assessment of present and future lithium production for Li-ion batteries. Vanessa Schenker, Christopher Oberschelp, Stephan Pfister. Includes washing, centrifugation and drying.</t>
  </si>
  <si>
    <t>Lithium</t>
  </si>
  <si>
    <t>Brine</t>
  </si>
  <si>
    <t>Spodumene</t>
  </si>
  <si>
    <t>Cobalt</t>
  </si>
  <si>
    <t>Nickel</t>
  </si>
  <si>
    <t>Graphite</t>
  </si>
  <si>
    <t>References</t>
  </si>
  <si>
    <t>1.	Schenker, V., Oberschelp, C., and Pfister, S. (2022). Regionalized life cycle assessment of present and future lithium production for Li-ion batteries. Resources, Conservation and Recycling 187, 106611. 10.1016/j.resconrec.2022.106611.</t>
  </si>
  <si>
    <t>Commodity</t>
  </si>
  <si>
    <t>ecoinvent database</t>
  </si>
  <si>
    <t>CD</t>
  </si>
  <si>
    <t>copper-cobalt ore</t>
  </si>
  <si>
    <t>biosphere database</t>
  </si>
  <si>
    <t>cobalt hydroxide</t>
  </si>
  <si>
    <t>market for lime, hydraulic</t>
  </si>
  <si>
    <t>lime, hydraulic</t>
  </si>
  <si>
    <t>market for limestone, crushed, for mill</t>
  </si>
  <si>
    <t>limestone, crushed, for mill</t>
  </si>
  <si>
    <t>market for magnesium oxide</t>
  </si>
  <si>
    <t>magnesium oxide</t>
  </si>
  <si>
    <t>market for sodium hydroxide, without water, in 50% solution state</t>
  </si>
  <si>
    <t>sodium hydroxide, without water, in 50% solution state</t>
  </si>
  <si>
    <t>market for sulfur</t>
  </si>
  <si>
    <t>sulfur</t>
  </si>
  <si>
    <t>market group for transport, freight, lorry, unspecified</t>
  </si>
  <si>
    <t>Sulfur dioxide</t>
  </si>
  <si>
    <t>market for non-sulfidic tailing, off-site</t>
  </si>
  <si>
    <t>market for sulfidic tailings, from copper mine operation</t>
  </si>
  <si>
    <t>sulfidic tailings, from copper mine operation</t>
  </si>
  <si>
    <t>cobalt sulfate</t>
  </si>
  <si>
    <t>market for sulfuric acid</t>
  </si>
  <si>
    <t>sulfuric acid</t>
  </si>
  <si>
    <t>market for limestone, crushed, washed</t>
  </si>
  <si>
    <t>limestone, crushed, washed</t>
  </si>
  <si>
    <t>disodium disulphite</t>
  </si>
  <si>
    <t>market for ammonium bicarbonate</t>
  </si>
  <si>
    <t>ammonium bicarbonate</t>
  </si>
  <si>
    <t>market for soda ash, dense</t>
  </si>
  <si>
    <t>soda ash, dense</t>
  </si>
  <si>
    <t>market for transport, freight train</t>
  </si>
  <si>
    <t>transport, freight train</t>
  </si>
  <si>
    <t>market for transport, freight, inland waterways, barge</t>
  </si>
  <si>
    <t>transport, freight, inland waterways, barge</t>
  </si>
  <si>
    <t>market for transport, freight, sea, container ship</t>
  </si>
  <si>
    <t>transport, freight, sea, container ship</t>
  </si>
  <si>
    <t>market for hazardous waste, for incineration</t>
  </si>
  <si>
    <t>hazardous waste, for incineration</t>
  </si>
  <si>
    <t>market for chemical factory, organics</t>
  </si>
  <si>
    <t>chemical factory, organics</t>
  </si>
  <si>
    <t>Water, cooling, unspecified natural origin</t>
  </si>
  <si>
    <t>natural resource::in water</t>
  </si>
  <si>
    <t>water</t>
  </si>
  <si>
    <t>natural graphite production, battery grade, from Heilongjiang</t>
  </si>
  <si>
    <t>natural graphite, battery grade</t>
  </si>
  <si>
    <t>natural graphite purification</t>
  </si>
  <si>
    <t>natural graphite, purified</t>
  </si>
  <si>
    <t>natural graphite, spherical</t>
  </si>
  <si>
    <t>market for electricity, low voltage</t>
  </si>
  <si>
    <t>Removal of lime, boron and manganese. Source: Regionalized life cycle assessment of present and future lithium production for Li-ion batteries. Vanessa Schenker, Christopher Oberschelp, Stephan Pfister.</t>
  </si>
  <si>
    <t>purified lithium brine</t>
  </si>
  <si>
    <t>electricity, low voltage</t>
  </si>
  <si>
    <t>from "filtering through water ion exchanger"</t>
  </si>
  <si>
    <t>market for soda ash, light</t>
  </si>
  <si>
    <t>soda ash, light</t>
  </si>
  <si>
    <t>market group for tap water</t>
  </si>
  <si>
    <t>market group for heat, district or industrial, natural gas</t>
  </si>
  <si>
    <t>market for sulfur dioxide, liquid</t>
  </si>
  <si>
    <t>sulfur dioxide, liquid</t>
  </si>
  <si>
    <t>Water, well, in ground</t>
  </si>
  <si>
    <t>Water, river</t>
  </si>
  <si>
    <t>Copper</t>
  </si>
  <si>
    <t>Particulate Matter, &lt; 2.5 um</t>
  </si>
  <si>
    <t>Particulate Matter, &gt; 2.5 um and &lt; 10um</t>
  </si>
  <si>
    <t>Particulate Matter, &gt; 10 um</t>
  </si>
  <si>
    <t>market for electricity, medium voltage</t>
  </si>
  <si>
    <t>heat production, at hard coal industrial furnace 1-10MW</t>
  </si>
  <si>
    <t>heat, district or industrial, other than natural gas</t>
  </si>
  <si>
    <t>air::urban air close to ground</t>
  </si>
  <si>
    <t>Aluminium III</t>
  </si>
  <si>
    <t>NMVOC, non-methane volatile organic compounds</t>
  </si>
  <si>
    <t>Graphite, natural</t>
  </si>
  <si>
    <t>stage</t>
  </si>
  <si>
    <t>Refining</t>
  </si>
  <si>
    <t>Concentration</t>
  </si>
  <si>
    <t>Mining</t>
  </si>
  <si>
    <t>Ammonia</t>
  </si>
  <si>
    <t>air::non-urban air or from high stacks</t>
  </si>
  <si>
    <t>Lithium, brine</t>
  </si>
  <si>
    <t>spodumene concentrate production</t>
  </si>
  <si>
    <t>spodumene concentrate</t>
  </si>
  <si>
    <t>AU</t>
  </si>
  <si>
    <t>meter</t>
  </si>
  <si>
    <t>conveyor belt</t>
  </si>
  <si>
    <t>market for conveyor belt</t>
  </si>
  <si>
    <t>heat, central or small-scale, other than natural gas</t>
  </si>
  <si>
    <t>industrial machine, heavy, unspecified</t>
  </si>
  <si>
    <t>market for industrial machine, heavy, unspecified</t>
  </si>
  <si>
    <t>mine infrastructure, iron</t>
  </si>
  <si>
    <t>market for mine infrastructure, iron</t>
  </si>
  <si>
    <t>recultivation, iron mine</t>
  </si>
  <si>
    <t>market for recultivation, iron mine</t>
  </si>
  <si>
    <t>Gangue</t>
  </si>
  <si>
    <t>Transformation, from forest, unspecified</t>
  </si>
  <si>
    <t>direct emission from blasting</t>
  </si>
  <si>
    <t>Originally "market for blasting"</t>
  </si>
  <si>
    <t>3 m3/t concentrate from Kelly et al (2021)</t>
  </si>
  <si>
    <t>elementary flow as of in the original dataset "spodumene production"</t>
  </si>
  <si>
    <t>diesel, burned in diesel-electric generating set, 10MW</t>
  </si>
  <si>
    <t>inert waste, for final disposal</t>
  </si>
  <si>
    <t>market for inert waste, for final disposal</t>
  </si>
  <si>
    <t>quicklime, milled, loose</t>
  </si>
  <si>
    <t>market for quicklime, milled, loose</t>
  </si>
  <si>
    <t>Lithium, spodumene</t>
  </si>
  <si>
    <t>heat production, anthracite, at stove 5-15kW</t>
  </si>
  <si>
    <t>production route</t>
  </si>
  <si>
    <t>Lithium - Brine</t>
  </si>
  <si>
    <t>mining</t>
  </si>
  <si>
    <t>concentration</t>
  </si>
  <si>
    <t>refining</t>
  </si>
  <si>
    <t>units</t>
  </si>
  <si>
    <t>kWh/kg lithium carbonate</t>
  </si>
  <si>
    <t>total</t>
  </si>
  <si>
    <t>On-site electricity consumption in mining, concentration and refining activities</t>
  </si>
  <si>
    <t>Lithium - Spodumene</t>
  </si>
  <si>
    <t>Graphite - Natural</t>
  </si>
  <si>
    <t>kWh/kg cobalt sulfate</t>
  </si>
  <si>
    <t>kWh/kg graphite</t>
  </si>
  <si>
    <t>Source: Regionalized life cycle assessment of present and future lithium production for Li-ion batteries. Vanessa Schenker, Christopher Oberschelp, Stephan Pfister. Includes transport to purification.</t>
  </si>
  <si>
    <t>lithium brine production, from evaporation pond, Salar de Atacama</t>
  </si>
  <si>
    <t>lithium carbonate production, Salar de Atacama</t>
  </si>
  <si>
    <t>lithium brine purification, Salar de Atacama</t>
  </si>
  <si>
    <t>lithium hydroxide production, Salar de Atacama</t>
  </si>
  <si>
    <t>lithium hydroxide, battery grade</t>
  </si>
  <si>
    <t>heat, from steam</t>
  </si>
  <si>
    <t>from Jiang et al. 2020</t>
  </si>
  <si>
    <t>solid waste; from Jiang et al. 2020</t>
  </si>
  <si>
    <t>solid waste; same amount as for lithium carbonate</t>
  </si>
  <si>
    <t>same amount as for lithium carbonate</t>
  </si>
  <si>
    <t>assumed 78% of the input water as for lithium carbonate</t>
  </si>
  <si>
    <t>assumed 78% of the input water as derived from Jiang et al. 2020</t>
  </si>
  <si>
    <t>default data from ecoinvent</t>
  </si>
  <si>
    <t>"The mined spodumene would be concentrated in a facility designed to have an independent electricity plant operating on diesel fuel." (Kelly et al., 2021). Electricity cosumption based on ecoinvent data. To convert electricity to megajoule of diesel in the generator, we assumed a consumption of 2.74 MJ diesel per kWh corresponding to a 2.2 MW generator operating at full load (https://www.generatorsource.com/Diesel_Fuel_Consumption.aspx)</t>
  </si>
  <si>
    <t>lithium carbonate production, from Australian spodumene</t>
  </si>
  <si>
    <t>lithium hydroxide production, from Australian spodumene</t>
  </si>
  <si>
    <t>12,971 km by ship to Shangai</t>
  </si>
  <si>
    <t>2,490 km by truck to Dar es Salaam port + 200 km by truck in China</t>
  </si>
  <si>
    <t>7,240 km by ship to China (Kelly et al.)</t>
  </si>
  <si>
    <t>161 km by truck from Chinese port to refining facility + 161 km by truck within Western Australia (Kelly et al.)</t>
  </si>
  <si>
    <t>402 km by train to Australia port (Kelly et al.)</t>
  </si>
  <si>
    <t>market for hydrogen fluoride</t>
  </si>
  <si>
    <t>including electricity from "washing", "precipitation 1", "filtering through water ion exchanger"; medium voltage as assumed in ecoinvent dataset</t>
  </si>
  <si>
    <t>ecoinvent-3.10-cutoff</t>
  </si>
  <si>
    <t>ecoinvent-3.10-biosphere</t>
  </si>
  <si>
    <t>steam production, as energy carrier, from natural gas</t>
  </si>
  <si>
    <t>Adapted from the ecoinvent dataset "steam production, as energy carrier, in chemical industry" to represent only natural gas</t>
  </si>
  <si>
    <t>Kelly et al. considers 21 MJ of natural gas; converted to heating based on a 90% efficiency according to the ecoinvent dataset</t>
  </si>
  <si>
    <t>135.89 MJ coal per kg of product, from which 39% is for steam and 61% is heat for the kiln; for the steam, the boiler has an efficiency of 80%</t>
  </si>
  <si>
    <t>71.343 MJ coal per kg of product, from which 54% is for steam and 46% is direct heat for the kilm. An efficiency of 80% for the boiler is already considered</t>
  </si>
  <si>
    <t>market activity is considered in the original dataset</t>
  </si>
  <si>
    <t>The LCI dataset represents lithium extraction from brine at Salar de Atacama in Chile, which accounts for ca. 70% of global lithium production from brines. The LCI data for lithium carbonate production was sourced from Schenker et al. [1]. Initial unit processes were aggregated in a more convienent way for the scope of our study. The LCI for lithium carbonate conversion into lithium hydroxide is from Kelly et al. [2]</t>
  </si>
  <si>
    <t>3.	Wernet, G., Bauer, C., Steubing, B., Reinhard, J., Moreno-Ruiz, E., and Weidema, B. (2016). The ecoinvent database version 3 (part I): overview and methodology. Int. J. Life Cycle Assess. 21, 1218–1230. 10.1007/s11367-016-1087-8.</t>
  </si>
  <si>
    <t>4.	Arvidsson, R., Chordia, M., and Nordelöf, A. (2022). Quantifying the life-cycle health impacts of a cobalt-containing lithium-ion battery. Int J Life Cycle Assess 27, 1106–1118. 10.1007/s11367-022-02084-3.</t>
  </si>
  <si>
    <t>5.	Dai, Q. (2018). Cobalt Life Cycle Analysis Update for the GREET Model</t>
  </si>
  <si>
    <t>6.	Sacchi, R., Terlouw, T., Siala, K., Dirnaichner, A., Bauer, C., Cox, B., Mutel, C., Daioglou, V., and Luderer, G. (2022). PRospective EnvironMental Impact asSEment (premise): A streamlined approach to producing databases for prospective life cycle assessment using integrated assessment models. Renewable and Sustainable Energy Reviews 160, 112311. 10.1016/j.rser.2022.112311.</t>
  </si>
  <si>
    <t>2.Kelly et al. (2021) Energy, greenhouse gas, and water life cycle analysis of lithium carbonate and lithium hydroxide monohydrate from brine and ore resources and their use in lithium ion battery cathodes and lithium ion batteries. Resources, Conservation &amp; Recycling 174, 105762. https://doi.org/10.1016/j.resconrec.2021.105762</t>
  </si>
  <si>
    <t>7. The Nickel Institute, 2021. Summary Life Cycle Assessment Report: Nickel Sulphate Hexahydrate.</t>
  </si>
  <si>
    <t>8.	Engels, P., Cerdas, F., Dettmer, T., Frey, C., Hentschel, J., Herrmann, C., Mirfabrikikar, T., and Schueler, M. (2022). Life cycle assessment of natural graphite production for lithium-ion battery anodes based on industrial primary data. Journal of Cleaner Production 336, 130474. 10.1016/j.jclepro.2022.130474.</t>
  </si>
  <si>
    <t>The inventory represents battery-grade graphite production from natural graphite in the Heilongjiang province in the north-east of China. Inventory data come from Engels et al. [8], who gathered primary data from plants. The authors confirm that the data is representative for the Chinese market, which currently accounts for 70% of global natural graphite mining and is the global major producer of battery-grade graphite. We use the inventory as implemented in the premise tool [2] without further modifications.</t>
  </si>
  <si>
    <t>heat and power co-generation, hard coal</t>
  </si>
  <si>
    <t>Thermal energy from hard coal</t>
  </si>
  <si>
    <t>heat production, heavy fuel oil, at industrial furnace 1MW</t>
  </si>
  <si>
    <t>heat production, light fuel oil, at boiler 100kW condensing, non-modulating</t>
  </si>
  <si>
    <t>Thermal energy from light fuel oil</t>
  </si>
  <si>
    <t>Thermal energy from LPG</t>
  </si>
  <si>
    <t>market for aluminium sulfate, powder</t>
  </si>
  <si>
    <t>aluminium sulfate, powder</t>
  </si>
  <si>
    <t>Floculant</t>
  </si>
  <si>
    <t>market for ammonia, anhydrous, liquid</t>
  </si>
  <si>
    <t>ammonia, anhydrous, liquid</t>
  </si>
  <si>
    <t>market for average incineration residue</t>
  </si>
  <si>
    <t>average incineration residue</t>
  </si>
  <si>
    <t>Non-hazardous waste for incineration</t>
  </si>
  <si>
    <t>market for chlorine, gaseous</t>
  </si>
  <si>
    <t>chlorine, gaseous</t>
  </si>
  <si>
    <t>market for compressed air, 1200 kPa gauge</t>
  </si>
  <si>
    <t>compressed air, 1200 kPa gauge</t>
  </si>
  <si>
    <t>Air; 7,05E-02 m3/kg at 1200 kPa</t>
  </si>
  <si>
    <t>Nitrogen gaseous and Oxygen gaseous; 7,05E-02 m3/kg at 1200 kPa</t>
  </si>
  <si>
    <t>market for electrode, negative, Ni</t>
  </si>
  <si>
    <t>electrode, negative, Ni</t>
  </si>
  <si>
    <t>market for formaldehyde</t>
  </si>
  <si>
    <t>formaldehyde</t>
  </si>
  <si>
    <t>Hazardous waste for incineration</t>
  </si>
  <si>
    <t>market for heat, district or industrial, natural gas</t>
  </si>
  <si>
    <t>Thermal energy from natural gas</t>
  </si>
  <si>
    <t>market for heat, from steam, in chemical industry</t>
  </si>
  <si>
    <t>heat, from steam, in chemical industry</t>
  </si>
  <si>
    <t>market for hydrogen peroxide, without water, in 50% solution state</t>
  </si>
  <si>
    <t>hydrogen peroxide, without water, in 50% solution state</t>
  </si>
  <si>
    <t>market for hydrogen sulfide</t>
  </si>
  <si>
    <t>hydrogen sulfide</t>
  </si>
  <si>
    <t>market for lime, hydrated, packed</t>
  </si>
  <si>
    <t>lime, hydrated, packed</t>
  </si>
  <si>
    <t>market for lubricating oil</t>
  </si>
  <si>
    <t>lubricating oil</t>
  </si>
  <si>
    <t>Lubricant</t>
  </si>
  <si>
    <t>market for naphthalene sulfonic acid</t>
  </si>
  <si>
    <t>naphthalene sulfonic acid</t>
  </si>
  <si>
    <t>Sodium naphthalenesulfonate</t>
  </si>
  <si>
    <t>market for oxygen, liquid</t>
  </si>
  <si>
    <t>oxygen, liquid</t>
  </si>
  <si>
    <t>market for process-specific burdens, inert material landfill</t>
  </si>
  <si>
    <t>process-specific burdens, inert material landfill</t>
  </si>
  <si>
    <t>Non-hazardous waste for landfilling</t>
  </si>
  <si>
    <t>market for silica sand</t>
  </si>
  <si>
    <t>silica sand</t>
  </si>
  <si>
    <t>Silica</t>
  </si>
  <si>
    <t>market for sodium chloride, powder</t>
  </si>
  <si>
    <t>sodium chloride, powder</t>
  </si>
  <si>
    <t>market for sodium hydrogen sulfite</t>
  </si>
  <si>
    <t>sodium hydrogen sulfite</t>
  </si>
  <si>
    <t>market for sodium pyrophosphate</t>
  </si>
  <si>
    <t>sodium pyrophosphate</t>
  </si>
  <si>
    <t>Phosphates</t>
  </si>
  <si>
    <t>market for sodium sulfate, anhydrite</t>
  </si>
  <si>
    <t>sodium sulfate, anhydrite</t>
  </si>
  <si>
    <t>Process water</t>
  </si>
  <si>
    <t>Sulfuric acid</t>
  </si>
  <si>
    <t>water::surface water</t>
  </si>
  <si>
    <t>Water, in air</t>
  </si>
  <si>
    <t>natural resource::in air</t>
  </si>
  <si>
    <t>electrode production, negative, Ni</t>
  </si>
  <si>
    <t>lime production, hydrated, packed</t>
  </si>
  <si>
    <t>market for base oil</t>
  </si>
  <si>
    <t>base oil</t>
  </si>
  <si>
    <t>Used oil</t>
  </si>
  <si>
    <t>Oxygen gaseous;  7,05E-02 m3/kg at 1200 kPa</t>
  </si>
  <si>
    <t>market for graphite</t>
  </si>
  <si>
    <t>graphite</t>
  </si>
  <si>
    <t>market for gravel, crushed</t>
  </si>
  <si>
    <t>gravel, crushed</t>
  </si>
  <si>
    <t>Sand</t>
  </si>
  <si>
    <t>market for iron pellet</t>
  </si>
  <si>
    <t>iron pellet</t>
  </si>
  <si>
    <t>Pellet feed</t>
  </si>
  <si>
    <t>market for iron scrap, unsorted</t>
  </si>
  <si>
    <t>iron scrap, unsorted</t>
  </si>
  <si>
    <t>Iron scrap</t>
  </si>
  <si>
    <t>market for iron sulfate</t>
  </si>
  <si>
    <t>iron sulfate</t>
  </si>
  <si>
    <t>market for iron(III) chloride, without water, in 40% solution state</t>
  </si>
  <si>
    <t>Ferric chloride</t>
  </si>
  <si>
    <t>market for nickel smelter slag</t>
  </si>
  <si>
    <t>nickel smelter slag</t>
  </si>
  <si>
    <t>Slag (containing Ni)</t>
  </si>
  <si>
    <t>market for process-specific burdens, residual material landfill</t>
  </si>
  <si>
    <t>process-specific burdens, residual material landfill</t>
  </si>
  <si>
    <t>market for sulfidic tailings, from nickel mine operation</t>
  </si>
  <si>
    <t>sulfidic tailings, from nickel mine operation</t>
  </si>
  <si>
    <t>Hydrochloric acid</t>
  </si>
  <si>
    <t>Sulfur oxides</t>
  </si>
  <si>
    <t>soil::agricultural</t>
  </si>
  <si>
    <t>Water, lake</t>
  </si>
  <si>
    <t>market for sulfidic tailings, generic</t>
  </si>
  <si>
    <t>sulfidic tailings, generic</t>
  </si>
  <si>
    <t>market for non-sulfidic overburden, off-site</t>
  </si>
  <si>
    <t>non-sulfidic overburden, off-site</t>
  </si>
  <si>
    <t>Waste water; treated</t>
  </si>
  <si>
    <t>The LCI dataset represents lithium hydroxide production from spodumene mined at the Greenbushes mine in Australia and refined in China. This pathway supplies more than 90% of the global lithium production from spodumene. The inventory data come from ecoinvent v3.9.1 database [3] without further modifications.</t>
  </si>
  <si>
    <t>The LCI dataset pertains to the year 2017 and represents 15% of the global production of nickel sulfate [7]. Nickel sulfate, produced in the hexahydrate form (NiSO4•6H2O) with a mass content of 22%, is the main product. It's essential to note that the dataset does not include information from China. The report highlights one Finnish company and two Japanese companies as notable producers of nickel sulfate in this context.
In the process of compiling the report, specific inputs or outputs identified as company-specific were amalgamated into more generic and equivalent flows [7]. Conversely, insignificant masses were omitted from the report presentation, a measure taken solely for the sake of clarity and simplicity and not applied within the model [7] . As an example, the three principal nickel raw materials entering the refining process, initially associated with individual companies, had been consolidated. It is important to approach water data cautiously, evaluating it as a total rather than at a unit process level [7].
Various methods are employed in the production of nickel sulfate, including extracting it from nickel matte used in metallic nickel production. Additionally, nickel sulfate can serve as a secondary product from ores primarily mined for copper and other metals, including platinum group metals. In these instances, nickel sulfate is recuperated as an impurity in the spent electrolyte during the refining process.</t>
  </si>
  <si>
    <t>nickel sulfate</t>
  </si>
  <si>
    <t>nickel matte</t>
  </si>
  <si>
    <t>nickel ore, mined</t>
  </si>
  <si>
    <t>nickel concentration, average excluding China</t>
  </si>
  <si>
    <t>nickel ore mining, average excluding China</t>
  </si>
  <si>
    <t>nickel concentrate</t>
  </si>
  <si>
    <t>market for hydrogen, gaseous, medium pressure, merchant</t>
  </si>
  <si>
    <t>hydrogen, gaseous, medium pressure, merchant</t>
  </si>
  <si>
    <t>Gold</t>
  </si>
  <si>
    <t>Iron</t>
  </si>
  <si>
    <t>Platinum</t>
  </si>
  <si>
    <t>Rhodium</t>
  </si>
  <si>
    <t>iron(III) chloride, without water, in 40% solution state</t>
  </si>
  <si>
    <t>Palladium</t>
  </si>
  <si>
    <t>kWh/kg nickel sulfate</t>
  </si>
  <si>
    <t>nickel matte production, nickel-cobalt sulphite and nickel sub materials, mass allocation</t>
  </si>
  <si>
    <t>coke</t>
  </si>
  <si>
    <t>market for coke</t>
  </si>
  <si>
    <t>Antimony ion</t>
  </si>
  <si>
    <t>Arsenic ion</t>
  </si>
  <si>
    <t>Cadmium II</t>
  </si>
  <si>
    <t>Chromium III</t>
  </si>
  <si>
    <t>Cobalt II</t>
  </si>
  <si>
    <t>Copper ion</t>
  </si>
  <si>
    <t>Manganese</t>
  </si>
  <si>
    <t>Lead II</t>
  </si>
  <si>
    <t>Manganese II</t>
  </si>
  <si>
    <t>Mercury II</t>
  </si>
  <si>
    <t>Nickel II</t>
  </si>
  <si>
    <t>Zinc II</t>
  </si>
  <si>
    <t>market for chlorine, liquid</t>
  </si>
  <si>
    <t>chlorine, liquid</t>
  </si>
  <si>
    <t>water::ocean</t>
  </si>
  <si>
    <t>BOD5, Biological Oxygen Demand</t>
  </si>
  <si>
    <t>COD, Chemical Oxygen Demand</t>
  </si>
  <si>
    <t>Chromium VI</t>
  </si>
  <si>
    <t>Fluoride</t>
  </si>
  <si>
    <t>Magnesium</t>
  </si>
  <si>
    <t>Nitrate</t>
  </si>
  <si>
    <t>Phosphorus</t>
  </si>
  <si>
    <t>Sulfate</t>
  </si>
  <si>
    <t>Suspended solids, unspecified</t>
  </si>
  <si>
    <t>TOC, Total Organic Carbon</t>
  </si>
  <si>
    <t>wastewater from nickel matte production</t>
  </si>
  <si>
    <t>treatment of wastewater from nickel matte production</t>
  </si>
  <si>
    <t>nickel sulfate production, average excluding China, economic allocation</t>
  </si>
  <si>
    <t>Chlorine</t>
  </si>
  <si>
    <t>Iron ion</t>
  </si>
  <si>
    <t>Selenium IV</t>
  </si>
  <si>
    <t>Titanium ion</t>
  </si>
  <si>
    <t>Silver I</t>
  </si>
  <si>
    <t>medium voltage is used in ecoinvent for other mining datasets</t>
  </si>
  <si>
    <t>thermal energy from LPG</t>
  </si>
  <si>
    <t>air; 7,05E-02 m3/kg at 1200 kPa</t>
  </si>
  <si>
    <t>explosives</t>
  </si>
  <si>
    <t>lubricant</t>
  </si>
  <si>
    <t>non-hazardous waste for landfilling</t>
  </si>
  <si>
    <t>non-hazardous waste for incineration</t>
  </si>
  <si>
    <t>hazardous waste for incineration</t>
  </si>
  <si>
    <t>overburden (deposited)</t>
  </si>
  <si>
    <t>market for petrol, low-sulfur</t>
  </si>
  <si>
    <t>gasoline</t>
  </si>
  <si>
    <t>emissions from diesel/gasoline combustion in machinery</t>
  </si>
  <si>
    <t>inert rock</t>
  </si>
  <si>
    <t>as nitrogen dioxide; emissions from diesel/gasoline combustion in machinery</t>
  </si>
  <si>
    <t>thermal energy from natural gas</t>
  </si>
  <si>
    <t>thermal energy from hard coal</t>
  </si>
  <si>
    <t>thermal energy from heavy fuel oil</t>
  </si>
  <si>
    <t>floculant</t>
  </si>
  <si>
    <t>grinding media</t>
  </si>
  <si>
    <t>tailings</t>
  </si>
  <si>
    <t>dust (unspecified) to air</t>
  </si>
  <si>
    <t>ferrous sulphate as flotation depressant</t>
  </si>
  <si>
    <t>pH control</t>
  </si>
  <si>
    <t>pH control and buffering agent</t>
  </si>
  <si>
    <t xml:space="preserve">phosphates as flotation depressant or diespersants </t>
  </si>
  <si>
    <t>sodium bislulphite as reducing agent</t>
  </si>
  <si>
    <t>15% from combustion of diesel/gasoline; 85% from the use of flotations agents that contain carbon (attributed to process emissions)</t>
  </si>
  <si>
    <t>as nitrogen dioxides</t>
  </si>
  <si>
    <t>from smelting</t>
  </si>
  <si>
    <t>coke used as reductant; 28,4 MJ/kg</t>
  </si>
  <si>
    <t>used in electric furnaces for lateritic ores</t>
  </si>
  <si>
    <t>electrodes</t>
  </si>
  <si>
    <t>market for diesel, collector in flotation</t>
  </si>
  <si>
    <t>diesel, collector in flotation</t>
  </si>
  <si>
    <t>Dataset to differentiate diesel as fuel and diesel as collector in flotation</t>
  </si>
  <si>
    <t>collector in flotation</t>
  </si>
  <si>
    <t>wastewater; treatment</t>
  </si>
  <si>
    <t>direct emissions from roasting and calcination</t>
  </si>
  <si>
    <t>as sodium hydrogen fluoride</t>
  </si>
  <si>
    <t>market for hard coal</t>
  </si>
  <si>
    <t>hard coal</t>
  </si>
  <si>
    <t>market for petroleum coke</t>
  </si>
  <si>
    <t>petroleum coke</t>
  </si>
  <si>
    <t>thermal energy from light fuel oil</t>
  </si>
  <si>
    <t>petrol, low-sulfur</t>
  </si>
  <si>
    <t>copper-cobalt mining, industrial</t>
  </si>
  <si>
    <t>160 kWh diesel/tonne ore</t>
  </si>
  <si>
    <t>cobalt hydroxide, hydrometallurigcal procesing of copper-cobalt ore, economic allocation</t>
  </si>
  <si>
    <t>cobalt sulfate production, from copper-cobalt ore, economic allocation</t>
  </si>
  <si>
    <t xml:space="preserve">Cobalt sulfate production, in China, from cobalt hydroxide. Adapted in Arvidsson, R., Chordia, M. &amp; Nordelöf, A. Quantifying the life-cycle health impacts of a cobalt-containing lithium-ion battery. Int J Life Cycle Assess (2022). https://doi.org/10.1007/s11367-022-02084-3, originally from Cobalt Life Cycle Analysis Update for the GREET Model, Dai et al. 2018. </t>
  </si>
  <si>
    <t>The LCI dataset represents industrial minig of copper-cobalt ore and processing into cobalt hydroxide in the Democratic Republic of Congo (DRC) followed by refining into battery-grade cobalt sulfate in China. The DRC accounted for over 70% of global cobalt production in 2022, and its dominance is projected to persist into the future. The LCI dataset was adapted by Arvidson et al. [4] based on Dai et al. [5]. The LCI flows for the hydrometallurgical processing of copper-cobalt were allocated to cobalt hydroxide based on economic allocation as described in [4,5]</t>
  </si>
  <si>
    <t>heat production, electric furnace</t>
  </si>
  <si>
    <t>assuming 90% electrical-to-thermal energy efficiency</t>
  </si>
  <si>
    <t>market for disodium disulphite</t>
  </si>
  <si>
    <t>Graphite - Synthetic</t>
  </si>
  <si>
    <t>Battery-grade graphite, coated</t>
  </si>
  <si>
    <t>Production route</t>
  </si>
  <si>
    <t>LCI dataset description and source</t>
  </si>
  <si>
    <t>9. Carrère, T., Khalid, U., Baumann, M., Bouzidi, M., and Allard, B. (2024). Carbon footprint assessment of manufacturing of synthetic graphite battery anode material for electric mobility applications. Journal of Energy Storage 94, 112356. https://doi.org/10.1016/j.est.2024.112356.</t>
  </si>
  <si>
    <t>calcined coke milling</t>
  </si>
  <si>
    <t>calcined coke powder</t>
  </si>
  <si>
    <t>graphite powder</t>
  </si>
  <si>
    <t>graphitization of calcined coke powder</t>
  </si>
  <si>
    <t>micronization of graphite powder</t>
  </si>
  <si>
    <t>micronized graphite powder</t>
  </si>
  <si>
    <t>micronizing process yield is only 60%. The by-product graphite fines have a negligible economic value; no allocation.</t>
  </si>
  <si>
    <t>graphite powder coating</t>
  </si>
  <si>
    <t>coke production, wet quenching</t>
  </si>
  <si>
    <t>coal tar</t>
  </si>
  <si>
    <t>0.97 kg of micronized graphite powder per kg of coated synthetic graphite</t>
  </si>
  <si>
    <t>0.05 kg of coal tar pitch per kg of coated synthetic graphite</t>
  </si>
  <si>
    <t>0.17+0.21+0.05 kWh electricity are used to produce 1 kg of coated synthetic graphite</t>
  </si>
  <si>
    <t>2.15 kWh of thermal energy is used to produce 1 kg of coated synthetic graphite</t>
  </si>
  <si>
    <t>0.07 kg CO2 are emitted to produce 1 kg of coated graphite (reported as CO2-eq, but all emissions were considered to be CO2)</t>
  </si>
  <si>
    <t>market for corrugated board box</t>
  </si>
  <si>
    <t>corrugated board box</t>
  </si>
  <si>
    <t>cardboard for packaging</t>
  </si>
  <si>
    <t>market for packaging film, low density polyethylene</t>
  </si>
  <si>
    <t>packaging film, low density polyethylene</t>
  </si>
  <si>
    <t>market for polypropylene, granulate</t>
  </si>
  <si>
    <t>polypropylene, granulate</t>
  </si>
  <si>
    <t>pellet for packaging</t>
  </si>
  <si>
    <t>big bag for packaging</t>
  </si>
  <si>
    <t>synthetic graphite, battery grade</t>
  </si>
  <si>
    <t>treatment of inert waste, inert material landfill</t>
  </si>
  <si>
    <t>Graphite, synthetic</t>
  </si>
  <si>
    <t>2.03 kg of calcined petroleum coke are used to produce 1.62 kg of calcined coke powder. The process has a yield of 80%. The by-product poweder fines have a negligible economic value; no allocation.</t>
  </si>
  <si>
    <t>calcined petroleum coke production</t>
  </si>
  <si>
    <t>calcined petroleum coke</t>
  </si>
  <si>
    <t>20,010 t/year of hydrated lime are used to produce 504,660 t/year of calcined petroleum coke</t>
  </si>
  <si>
    <t>5,995 MWh/year of heat from heavy fuel oil is used to produce 504,660 t/year of calcined petroleum coke</t>
  </si>
  <si>
    <t>498,772 m3/year of water are used to produce 504,660 t/year of calcined petroleum coke</t>
  </si>
  <si>
    <t>365,061 t/year of CO2 are generated as process emissions from the calciner to produce 504,660 t/year of calcined petroleum coke</t>
  </si>
  <si>
    <t>146 t/year of SO2 are generated to produce 504,660 t/year of calcined petroleum coke</t>
  </si>
  <si>
    <t>60 mg/Nm3 PM are generated, for 180,000 Nm3/year of flue gas, assuming 90% plant operation</t>
  </si>
  <si>
    <t>synthetic graphite block</t>
  </si>
  <si>
    <t>synthetic graphite block production</t>
  </si>
  <si>
    <t>679,282 t/year of green petroleum coke are used to produce 504,660 t/year of calcined petroleum coke. Production yield is about 74%</t>
  </si>
  <si>
    <t>7.711 mmBtu/ton of synthetic graphite</t>
  </si>
  <si>
    <t>CO emissions from baking and graphitization</t>
  </si>
  <si>
    <t>CH4 emissions from baking</t>
  </si>
  <si>
    <t>NOx emissions from baking</t>
  </si>
  <si>
    <t>1.108 kg of petroleum coke is used to produce 1 kg of synthetic graphite block. Process yield is 74%, meaning that 0.82 kg of calcined petroleum coke is required per kg of synthetic graphite block</t>
  </si>
  <si>
    <t>0.93 kg of synthetic grapite block is required per kg of graphite powder before machining. Machining losses are 71%, meaning that 0.27 kg are used as crucibles and 0.66 kg are losses of crucible chips.</t>
  </si>
  <si>
    <t>0.49 kg of packing media is used per kg of graphite powder. LHV of coke is 28.6 MJ/kg.</t>
  </si>
  <si>
    <t>16 MWh/t of graphitized powder was obtained from Tokai’s industrial production records</t>
  </si>
  <si>
    <t>0.26 kg of used packaging media is disposed in landfill per kg of graphite powder</t>
  </si>
  <si>
    <t>CO2 emissions from the partial oxidation of the packing media. 0.72 kg CO2 are emitted per kg of raphite powder (reported as CO2-eq, but all emissions were considered to be CO2)</t>
  </si>
  <si>
    <t>99.8% process yield</t>
  </si>
  <si>
    <t>3.33 kWh electricity are used per kg of micronized graphite powder</t>
  </si>
  <si>
    <t>0.27 kWh of thermal energy is used per kg of micronized graphite powder</t>
  </si>
  <si>
    <t>1.88 kWh electricity per kg calcined coke powder.</t>
  </si>
  <si>
    <t>0.21 kWh of thermal energy per kg of calcined coke powder.</t>
  </si>
  <si>
    <t>Lithium, brine - carbonate</t>
  </si>
  <si>
    <t>Lithium, spodumene - carbonate</t>
  </si>
  <si>
    <t>Calcination</t>
  </si>
  <si>
    <t>Milling</t>
  </si>
  <si>
    <t>Graphitization</t>
  </si>
  <si>
    <t>Micronization</t>
  </si>
  <si>
    <t>Coating</t>
  </si>
  <si>
    <t>Graphite crucibles</t>
  </si>
  <si>
    <t>calcination</t>
  </si>
  <si>
    <t>graphitization</t>
  </si>
  <si>
    <t>micronization</t>
  </si>
  <si>
    <t>coating</t>
  </si>
  <si>
    <t>milling</t>
  </si>
  <si>
    <t>graphite crucibles</t>
  </si>
  <si>
    <t>raw material</t>
  </si>
  <si>
    <t>Fuel use
(gal/hr)</t>
  </si>
  <si>
    <t>Fuel use (gal/yr)</t>
  </si>
  <si>
    <t>Matched Equipment</t>
  </si>
  <si>
    <t>CAT 772 Haul Truck, 45 t</t>
  </si>
  <si>
    <t>29</t>
  </si>
  <si>
    <t>5,600</t>
  </si>
  <si>
    <t>15.6</t>
  </si>
  <si>
    <t>2,533,440</t>
  </si>
  <si>
    <t/>
  </si>
  <si>
    <t>CAT 777 Haul Truck, 90 t</t>
  </si>
  <si>
    <t>33</t>
  </si>
  <si>
    <t>24.8</t>
  </si>
  <si>
    <t>4,583,040</t>
  </si>
  <si>
    <t>777D</t>
  </si>
  <si>
    <t>Mercedes Haul Truck, 50 t</t>
  </si>
  <si>
    <t>22</t>
  </si>
  <si>
    <t>18.7</t>
  </si>
  <si>
    <t>2,303,840</t>
  </si>
  <si>
    <t>CAT773F, matched based on payload</t>
  </si>
  <si>
    <t>Grizzly Feeder</t>
  </si>
  <si>
    <t>5</t>
  </si>
  <si>
    <t>12.0</t>
  </si>
  <si>
    <t>336,000</t>
  </si>
  <si>
    <t>FT2650 grizzly feeder and jaw crusher</t>
  </si>
  <si>
    <t>CAT 988 Front End Loader</t>
  </si>
  <si>
    <t>17</t>
  </si>
  <si>
    <t>17.2</t>
  </si>
  <si>
    <t>1,637,440</t>
  </si>
  <si>
    <t>CAT 992 Front End Loader</t>
  </si>
  <si>
    <t>2</t>
  </si>
  <si>
    <t>5,270</t>
  </si>
  <si>
    <t>32.0</t>
  </si>
  <si>
    <t>337,280</t>
  </si>
  <si>
    <t>RH120E Front Shovel</t>
  </si>
  <si>
    <t>8</t>
  </si>
  <si>
    <t>6,670</t>
  </si>
  <si>
    <t>81.6</t>
  </si>
  <si>
    <t>4,354,176</t>
  </si>
  <si>
    <t>CAT5230B, matched based on engine output</t>
  </si>
  <si>
    <t>RH90C Front Shovel</t>
  </si>
  <si>
    <t>1</t>
  </si>
  <si>
    <t>544,272</t>
  </si>
  <si>
    <t>T1255 Surface Miner</t>
  </si>
  <si>
    <t>4,030</t>
  </si>
  <si>
    <t>31.8</t>
  </si>
  <si>
    <t>640,770</t>
  </si>
  <si>
    <t>ROC L8 Drill</t>
  </si>
  <si>
    <t>4</t>
  </si>
  <si>
    <t>40.4</t>
  </si>
  <si>
    <t>904,960</t>
  </si>
  <si>
    <t>DM45 Drill</t>
  </si>
  <si>
    <t>1,131,200</t>
  </si>
  <si>
    <t>CAT D8R Track Dozer</t>
  </si>
  <si>
    <t>4,710</t>
  </si>
  <si>
    <t>14.2</t>
  </si>
  <si>
    <t>535,056</t>
  </si>
  <si>
    <t>D8T</t>
  </si>
  <si>
    <t>CAT D10N Track Dozer</t>
  </si>
  <si>
    <t>6</t>
  </si>
  <si>
    <t>4,720</t>
  </si>
  <si>
    <t>25.8</t>
  </si>
  <si>
    <t>730,656</t>
  </si>
  <si>
    <t>D10T</t>
  </si>
  <si>
    <t>CAT 824G-RTD Rubber Tired Dozer</t>
  </si>
  <si>
    <t>15.8</t>
  </si>
  <si>
    <t>372,880</t>
  </si>
  <si>
    <t>824H</t>
  </si>
  <si>
    <t>Rock Saw Drill/Excavator</t>
  </si>
  <si>
    <t>2,550</t>
  </si>
  <si>
    <t>16.1</t>
  </si>
  <si>
    <t>164,220</t>
  </si>
  <si>
    <t>CAT 345 Hydraulic Excavator</t>
  </si>
  <si>
    <t>CAT 14M Grader</t>
  </si>
  <si>
    <t>3</t>
  </si>
  <si>
    <t>10.5</t>
  </si>
  <si>
    <t>148,365</t>
  </si>
  <si>
    <t>CAT 16M Grader</t>
  </si>
  <si>
    <t>12.3</t>
  </si>
  <si>
    <t>289,665</t>
  </si>
  <si>
    <t>4,730</t>
  </si>
  <si>
    <t>152,306</t>
  </si>
  <si>
    <t>Tier 2</t>
  </si>
  <si>
    <t>CAT 772 Water Truck</t>
  </si>
  <si>
    <t>4,740</t>
  </si>
  <si>
    <t>147,888</t>
  </si>
  <si>
    <t>CAT 777 Water Truck</t>
  </si>
  <si>
    <t>235,104</t>
  </si>
  <si>
    <t>Total</t>
  </si>
  <si>
    <t>22,082,558</t>
  </si>
  <si>
    <t>Equipment</t>
  </si>
  <si>
    <t>Extracted from GREET report</t>
  </si>
  <si>
    <t>Diesel consumption by mining equipment fleet for cobalt mining in the DRC</t>
  </si>
  <si>
    <t>Max fleet size</t>
  </si>
  <si>
    <t>Avg. Operating hrs/yr</t>
  </si>
  <si>
    <t>Haul trucks %</t>
  </si>
  <si>
    <t>Other %</t>
  </si>
  <si>
    <t>Engine option 1</t>
  </si>
  <si>
    <t>CAT C15 engine</t>
  </si>
  <si>
    <t>commodity</t>
  </si>
  <si>
    <t>Reliability</t>
  </si>
  <si>
    <t>Completness</t>
  </si>
  <si>
    <t>Temporal correlation</t>
  </si>
  <si>
    <t>Geographical correlation</t>
  </si>
  <si>
    <t>Further technological correlation</t>
  </si>
  <si>
    <t>uncertainty type</t>
  </si>
  <si>
    <t>loc</t>
  </si>
  <si>
    <t>minimum</t>
  </si>
  <si>
    <t>maximum</t>
  </si>
  <si>
    <t>8.7 kWh/t; range 10%</t>
  </si>
  <si>
    <t>2.241 kg diesel/t, 43.4 MJ/kg; range 10%</t>
  </si>
  <si>
    <t>0.248 kg/t. Originally, "ammonium nitrate" is used; range 5%</t>
  </si>
  <si>
    <t>506 kWh/t; range 10%</t>
  </si>
  <si>
    <t>50 kg hard coal/t concentrate, 28.9 MJ/kg; range 10%</t>
  </si>
  <si>
    <t>0.996 kg/t, for bulldozer; range 10%</t>
  </si>
  <si>
    <t>1.551 kg/t, used as collector in flotation; range 10%</t>
  </si>
  <si>
    <t>22.027 m3/t; range 5%</t>
  </si>
  <si>
    <t>2100 kWh/t; range 10%</t>
  </si>
  <si>
    <t>0.415 kg/t, for forklift; range 10%</t>
  </si>
  <si>
    <t>2220 kg/t; range 2%</t>
  </si>
  <si>
    <t>305 kWh/t; range 10%</t>
  </si>
  <si>
    <t>0.249 kg/t, for forklift; range 10%</t>
  </si>
  <si>
    <t>1050 MJ/t; range 10%</t>
  </si>
  <si>
    <t>1130 kg/t; range 2%</t>
  </si>
  <si>
    <t>180 kg/t. Original "hydrofluoric acid"; range 5%</t>
  </si>
  <si>
    <t>200 kg/t; range 5%</t>
  </si>
  <si>
    <t>100 kg/t; range 5%</t>
  </si>
  <si>
    <t>25 m3/t; range 10%</t>
  </si>
  <si>
    <t>400 kg/t; range 15%</t>
  </si>
  <si>
    <t>4550 kWh/t; range 10%</t>
  </si>
  <si>
    <t>1.5 kg/t; range 15%</t>
  </si>
  <si>
    <t>50 kg pitch oil/t; range 10%</t>
  </si>
  <si>
    <t>including electricity consumption for pure water via reverse osmosis; low voltage as in ecoinvent dataset; triangular distribution with ± 15% as in Schenker et al.</t>
  </si>
  <si>
    <t>triangular distribution with ±30 % as in Schenker et al.</t>
  </si>
  <si>
    <t>transport over 240 km from Salar de Atacama to Antofagasta for purification and refining; triangular distribution with ±30 % as in Schenker et al.</t>
  </si>
  <si>
    <t>triangular distribution with ±50 % as in Schenker et al.</t>
  </si>
  <si>
    <t>from manganese removal; triangular distribution with ±10 % as in Schenker et al.</t>
  </si>
  <si>
    <t>including heat from "precipitation 2", "washing", "precipitation 1"; triangular distribution with ±30 % as in Schenker et al.</t>
  </si>
  <si>
    <t>from "precipitation 1"; triangular distribution with ±30 % as in Schenker et al.</t>
  </si>
  <si>
    <t>including "filtering through water ion exchanger"; triangular distribution with ±30 % as in Schenker et al.</t>
  </si>
  <si>
    <t>pedigree</t>
  </si>
  <si>
    <t>LIB raw materials</t>
  </si>
  <si>
    <t>Score</t>
  </si>
  <si>
    <t>process</t>
  </si>
  <si>
    <t>lithium hydroxide production</t>
  </si>
  <si>
    <t>The LCI data is from a specific cathode plant in China</t>
  </si>
  <si>
    <t>The report used as data source is from 2017. We therefore assume that the LCI dataset corresponds to year 2017, resulting a differnce of 7 years to 2024</t>
  </si>
  <si>
    <t>lithium carbonate production</t>
  </si>
  <si>
    <t>LCI data was obtained from "a cathode plant environmental impact assessment report produced by the Tianqi Lithium Corporation, a major cathode producer in China"</t>
  </si>
  <si>
    <t>Same score as in the original LCI dataset</t>
  </si>
  <si>
    <t>Comment</t>
  </si>
  <si>
    <t>(2, 3, 4, 1, 2, 1)</t>
  </si>
  <si>
    <t>pedigree scores evaluated in Schenker et al.</t>
  </si>
  <si>
    <t>(3, 3, 2, 1, 1, 1)</t>
  </si>
  <si>
    <t>for pure water via reverse osmosis; pedigree scores evaluated in Schenker et al.</t>
  </si>
  <si>
    <t>(2, 2, 4, 1, 1, 1)</t>
  </si>
  <si>
    <t>(2, 2, 1, 1, 1, 1)</t>
  </si>
  <si>
    <t>(5, 5, 5, 5, 5, 1)</t>
  </si>
  <si>
    <t>as "dearomatized hydrocarbon fluid production" in the original dataset, requiring 2 kg of kersone per kg; pedigree scores evaluated in Schenker et al.</t>
  </si>
  <si>
    <t>(3, 3, 5, 5, 3, 1)</t>
  </si>
  <si>
    <t>including electricity from "filtering through water ion exchanger"; medium voltage as assumed in ecoinvent dataset; pedigree scores evaluated in Schenker et al.</t>
  </si>
  <si>
    <t>including electricity from "washing", "precipitation 1", "filtering through water ion exchanger"; medium voltage as assumed in ecoinvent dataset; pedigree scores evaluated in Schenker et al.</t>
  </si>
  <si>
    <t>Pedigree matrix - only for processes assessed in this study</t>
  </si>
  <si>
    <t>(4, 3, 4, 3, 5, 1)</t>
  </si>
  <si>
    <t>Based on ecoinvent dataset "spodumene production" modified with data from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Pedigree scores assessed in this study; see "Pedigree scores" sheet</t>
  </si>
  <si>
    <t>(1, 4, 3, 1, 1, 1)</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</si>
  <si>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Jiang et al. Environmental impacts of lithium production showing the importance of primary data of upstream process in life-cycle assessment. Journal of Environmental Management 262 (2020) 110253. https://doi.org/10.1016/j.jenvman.2020.110253. Pedigree scores assessed in this study; see "Pedigree scores" sheet</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</si>
  <si>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Pedigree scores assessed in this study; see "Pedigree scores" sheet</t>
  </si>
  <si>
    <t>Data in Kelly et al. (2021) is primary data for Salar de Atacama</t>
  </si>
  <si>
    <t>Data source mentioned year 2018 as data collection period</t>
  </si>
  <si>
    <t>Graphite synthetic</t>
  </si>
  <si>
    <t>All processes</t>
  </si>
  <si>
    <t>The LCI data is for a coke calciner at Visakhapatnam (“Vizag”) in India</t>
  </si>
  <si>
    <t>The LCI data represents a production plant in India. In this study, the location is China</t>
  </si>
  <si>
    <t>Primary data for the plant under study (Edwards et al., 2020)</t>
  </si>
  <si>
    <t>Data collected in 2019 (Edwards et al., 2020)</t>
  </si>
  <si>
    <t>LCI dataset for a 500,000 tonnes/year coke calciner operated by Rain Carbon in India. The plant consists of two rotary kilns, waste heat recovery system and a flue gas treatment system. Electricity for plant operation is provided internally through the waste heat recovery boiler; surplus electricity might be exported to the grid, but here it is assumed that this surplus is not used (no allocation). Source: Edwards, L., Hunt, M., Verma, P., Weyell, P. &amp; Koop, J. Sustainable CPC Production at the Vizag Calciner. in Proceedings of the 38th International ICSOBA Conference (2020). https://raincarbon.com/Upload/PDF/2020-icsoba-sustainable-cpc-production-at-the-vizag-calciner.pdf. Pedigree scores assessed in this study; see "Pedigree scores" sheet</t>
  </si>
  <si>
    <t>(1, 4, 2, 5, 1, 1)</t>
  </si>
  <si>
    <t>1039 t/year of dedusting oil are used to produce 504,660 t/year of calcined petroleum coke</t>
  </si>
  <si>
    <t>LCI data partially based on Tokai Carbon Group industrial production records from 2019 and experience (Carrère et al., 2024)</t>
  </si>
  <si>
    <t>Unknown area for the modelled production processes. In this study, production is assumed in China</t>
  </si>
  <si>
    <t>(2, 3, 2, 5, 1, 1)</t>
  </si>
  <si>
    <t>(1, 3, 2, 5, 1, 1)</t>
  </si>
  <si>
    <t>"Milling of the calcined coke particles into smaller size particles at a mm scale. This process is performed using milling technologies (typically classifier mills) powered by electricity." The process has an overall efficiency of 80%, with 20% being a by-product of coke fines which however have a negligible economic value. Therefore, no allocation was conisdered.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</si>
  <si>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LCI data from Handbooks and literature</t>
  </si>
  <si>
    <t>Unknown represenativness as a typical process is modelled</t>
  </si>
  <si>
    <t>Geographical location not reported in the original data sources</t>
  </si>
  <si>
    <t>Modelled technology represents standard technology for synthetic graphite production</t>
  </si>
  <si>
    <t>(3, 5, 1, 5, 2)</t>
  </si>
  <si>
    <t>Synthetic graphite block production through the Acheson route including carbonization/baking and graphitization. Graphitization is performed on a block precursor. Calcined petroleum coke is an input. Source: Iyer and Kelly (2022): Updated Production Inventory for Lithium-Ion Battery Anodes for the GREET Model, and Review of Advanced Battery Chemistries. https://www.osti.gov/biblio/1891640. Pedigree scores assessed in this study; see "Pedigree scores" sheet</t>
  </si>
  <si>
    <t>(3, 5, 5, 5, 2)</t>
  </si>
  <si>
    <t>Data used in the original LCI dataset are from references from 2021 for electricity consumption, from 1999 for process yield, from 2010 for process efficiency, and from 2012 for emissions</t>
  </si>
  <si>
    <t>(3, 5, 4, 5, 2)</t>
  </si>
  <si>
    <t>1: thermal energy, input graphite powder
2: elec</t>
  </si>
  <si>
    <t>Graphitization of calcined coke powder using an Acheson electrical furnace. No allocation has been considered, which however have a negligible impact on the final results.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</si>
  <si>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"Graphite powder is reduced to its final size suitable for battery anode application (around 10–20 μm) in the subsequent process called micronizing using multiple classifier mills". The process has an overall efficiency of 60%, with 40% being a by-product of graphite fines which however have a negligible economic value. Therefore, no allocation was conisdered.Source: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</si>
  <si>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Including unit processes coating (kneading and thermal treatment) and packaging.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</si>
  <si>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Data in Dai et al. (2018) is from the TFM mine the DRC</t>
  </si>
  <si>
    <t>Data in Dai et al. (2018) is from the TFM mine the DRC, with some assumptions about diesel consumption by the fleet. Water consumption and diesel estimated from literature data</t>
  </si>
  <si>
    <t>Data in Dai et al. (2018) is mainly from the TFM mine the DRC</t>
  </si>
  <si>
    <t>Diesel data is from a technical report from 2014, and water consumption and PM emissions from reports from 2006 and 2007</t>
  </si>
  <si>
    <t>Diesel consumption data is for the TFM mine. Water consumption and PM emissions are average</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</si>
  <si>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 Pedigree scores assessed in this study; see "Pedigree scores" sheet</t>
  </si>
  <si>
    <t>(4, 4, 5, 5, 4, 1)</t>
  </si>
  <si>
    <t>(2, 4, 4, 1, 1, 1)</t>
  </si>
  <si>
    <t>2: diesel and minerals
4: water consumption and PM emissions</t>
  </si>
  <si>
    <t>4: diesel and minerals
5: water consumption and PM emissions</t>
  </si>
  <si>
    <t>1: diesel and minerals
5: water consumption and PM emissions</t>
  </si>
  <si>
    <t>1: diesel and minerals
4: water consumption and PM emissions</t>
  </si>
  <si>
    <t>(1, 4, 4, 1, 1, 1)</t>
  </si>
  <si>
    <t>Data in Dai et al. (2018) is for the TFM mine the DRC. Electricity and sulfur consumption is primary data. Consumption of other resources and SO2 emissions were estimated from literature data adjsuted for plant capacity</t>
  </si>
  <si>
    <t>Electricity and sulfur data is from a technical report from 2014. Consumption of other resources and SO2 emissions were estimated from a report from 2007 adjsuted for plant capacity</t>
  </si>
  <si>
    <t>Electricity and sulfur consumption data is for the TFM mine. Consumption of other resources and SO2 emissions were estimated from literature data adjsuted for plant capacity</t>
  </si>
  <si>
    <t>1: elec, sulfur, input ore
4: water, lime, limestone, magnesium oxide, sodium hydroxide, SO2 emissions</t>
  </si>
  <si>
    <t>4: elec, sulfur, input ore
5: water, lime, limestone, magnesium oxide, sodium hydroxide, SO2 emissions</t>
  </si>
  <si>
    <t>1: elec, sulfur, input ore
5: water, lime, limestone, magnesium oxide, sodium hydroxide, SO2 emissions</t>
  </si>
  <si>
    <t>Cobalt hydroxide from hydrometallurgical ore processing, in the Democratic Republic of the Congo.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Pedigree scores assessed in this study; see "Pedigree scores" sheet</t>
  </si>
  <si>
    <t>LCI data estimated from a technical report for the Tongxiang plant of Huayou Cobalt in China</t>
  </si>
  <si>
    <t>Dai et al. (2016) refer to year 2016 for plant data</t>
  </si>
  <si>
    <t>(2, 4, 3, 1, 1, 1)</t>
  </si>
  <si>
    <t>"As the majority of the relevant foreground data are measured data or calculated based on primary information sources of the owner of the technology, precision is considered to be high"</t>
  </si>
  <si>
    <t>LCI data accounting for 15% of the global production of nickel sulfate hexahydrate</t>
  </si>
  <si>
    <t>"All primary data were collected for the year 2017"</t>
  </si>
  <si>
    <t>"All primary and secondary data were collected specific to the countries or regions under study"</t>
  </si>
  <si>
    <t>"All primary and secondary data were modelled to be specific to the technologies or technology mixes under study."</t>
  </si>
  <si>
    <t>(2, 3, 3, 1, 1, 1)</t>
  </si>
  <si>
    <t>The Nickel Institute, 2020. Life cycle assessment of nickel products. Nickel Inst. 21, 1559–1572. https://doi.org/10.1007/s11367-016-1085-x. Pedigree scores assessed in this study; see "Pedigree scores" sheet</t>
  </si>
  <si>
    <t>electricity production, wind, 1-3MW turbine, onshore</t>
  </si>
  <si>
    <t>electricity, high voltage</t>
  </si>
  <si>
    <t>market for battery, Li-ion, LFP, rechargeable, prismatic</t>
  </si>
  <si>
    <t>battery, Li-ion, LFP, rechargeable, prismatic</t>
  </si>
  <si>
    <t xml:space="preserve">Cobalt sulfate heptahydrate (21% cobalt) </t>
  </si>
  <si>
    <t xml:space="preserve">Nickel sulfate hexahydrate (22% nickel) </t>
  </si>
  <si>
    <t xml:space="preserve">Lithium hydroxide monohydrate (≥ 97% LiOH·H2O; ≥ 16% lithium) </t>
  </si>
  <si>
    <t>22 TWh are supplied by the battery storage system over 30 years for the total of 90 TWh electricity generated by the system</t>
  </si>
  <si>
    <t>Inventory representing the consumption of 1 kWh of electricity from a coupled wind-battery energy storage system. The share of wind and battery electricity is based on Das et al. (2024). Comparative Life-Cycle Assessment of Electricity-Generation Technologies: West Texas Case Study. Energies 17, 992. https://doi.org/10.3390/en17050992. The system generates 90 TWh of electricity over 30 years based on 424 3 MW wind turbines at 31% capacity factor. 500 MW capacity LFP batteries are used delivering electricity 4 hours per day for about 22 TWh over 30 years. Therefore, 24.4% (22/90) of the totale electricity is delivered by the battery storage system</t>
  </si>
  <si>
    <t>electricity consumption, wind, 3MW turbine, onshore, with LFP battery storage</t>
  </si>
  <si>
    <t>electricity production, wind, 3MW turbine, onshore, at LFP battery</t>
  </si>
  <si>
    <t>overall efficiency (including charge/discharge and inverter efficiency) of LFP lithium-ion battery storage system: 90 %</t>
  </si>
  <si>
    <t>Inventory representing the production of 1 kWh electricity using a LFP battery storage charged with wind power. Based on: L. Krebs, R. Frischknecht, P. Stolz, P. Sinha, 2020, Environmental Life Cycle Assessment of Residential PV and Battery Storage Systems, IEA PVPS Task 12, International Energy Agency (IEA) PVPS Task 12, Report T12-17:2020. ISBN 978-3-906042-97-8</t>
  </si>
  <si>
    <t>market for electronics, for control units</t>
  </si>
  <si>
    <t>electronics, for control units</t>
  </si>
  <si>
    <t>cable, three-conductor cable</t>
  </si>
  <si>
    <t>cable production, three-conductor cable</t>
  </si>
  <si>
    <t>market for steel, low-alloyed</t>
  </si>
  <si>
    <t>steel, low-alloyed</t>
  </si>
  <si>
    <t>market for sheet rolling, steel</t>
  </si>
  <si>
    <t>sheet rolling, steel</t>
  </si>
  <si>
    <t>market for inverter, 2.5kW</t>
  </si>
  <si>
    <t>inverter, 2.5kW</t>
  </si>
  <si>
    <t>LCI data partially based on Tokai Carbon Group industrial production records from 2019 and experience (Carrère et al., 2024). Data assumed to be representative for some sites (score 3)</t>
  </si>
  <si>
    <t>LCI data partially based on Tokai Carbon Group industrial production records from 2019 and experience (Carrère et al., 2024). Thermal energy and graphite powder is based on production data (score 1), while electricity is partially based on production data combined with expert assumption (score 2)</t>
  </si>
  <si>
    <t>LCI data partially based on Tokai Carbon Group industrial production records from 2019 and experience (Carrère et al., 2024).
Amounts of thermal energy, pitch, and packaging are based on production data. A reliability score of 1 was assumed.
Electricity consumption is partially based on production data combined with expert assumption. CO2 emissions are calculated based on stoiochiometry. Similarly, process yield is estimated from production data (input and output). Therefore, a reliability score of 2 was assigned to electricity, CO2 emissions, and process yield</t>
  </si>
  <si>
    <t>LCI data partially based on Tokai Carbon Group industrial production records from 2019 and experience (Carrère et al., 2024).
Electricity consumption is based on production data (reliability score of 1).
Input of coke, packging media, and crucibles is based on production data combined with expert assumption. CO2 emissions are calculated based on stoiochiometry. A reliability score of 2 is assigned.</t>
  </si>
  <si>
    <t>1: electricity
2: input coke and packging media, crucibles, CO2 emissions</t>
  </si>
  <si>
    <t>1: thermal energy, pitch, packaging
2: electricity, CO2 emissions, process yield</t>
  </si>
  <si>
    <t>1: electricity
5: input coke and pitch
4: emissions</t>
  </si>
  <si>
    <t>1: electricity &amp; heat
4: input coke</t>
  </si>
  <si>
    <t>LCI data partially based on Tokai Carbon Group industrial production records from 2019 and experience (Carrère et al., 2024)
Electricity and thermal energy is based on production data (reliability score of 1)
Input coke is calculated from production data combined with expert estimate. A reliability score of 2 is assigned.</t>
  </si>
  <si>
    <t>Mineral</t>
  </si>
  <si>
    <t>This LCI dataset represents the Acheson powder route, which is the mainstream route for producing battery-grade synthetic graphite. The LCI dataset is primarily from Carrère et al. [9]. LCI data for the production of calcined petroleum coke was obtained from Edwards et al. [10] who describe a 500,000 tonnes/year coke calciner operated by Rain Carbon in India. The LCI for graphite crucible production is based on Iyer and Kelly [11]</t>
  </si>
  <si>
    <t>10.Edwards, L., Hunt, M., Verma, P., Weyell, P. &amp; Koop, J. Sustainable CPC Production at the Vizag Calciner. in Proceedings of the 38th International ICSOBA Conference (2020)</t>
  </si>
  <si>
    <t>11.Iyer, R. K. &amp; Kelly, J. C. Updated Production Inventory for Lithium-Ion Battery Anodes for the GREET Model, and Review of Advanced Battery Chemistries. https://www.osti.gov/servlets/purl/1891640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</si>
</sst>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000"/>
    <numFmt numFmtId="167" formatCode="0.0E+00"/>
    <numFmt numFmtId="168" formatCode="0.0"/>
    <numFmt numFmtId="169" formatCode="0.000000%"/>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name val="Calibri"/>
      <family val="2"/>
      <scheme val="minor"/>
    </font>
    <font>
      <b/>
      <sz val="11"/>
      <name val="Calibri"/>
      <family val="2"/>
      <scheme val="minor"/>
    </font>
    <font>
      <sz val="11"/>
      <color rgb="FFCCCCCC"/>
      <name val="Consolas"/>
      <family val="3"/>
    </font>
    <font>
      <b/>
      <sz val="14"/>
      <color theme="1"/>
      <name val="Calibri"/>
      <family val="2"/>
      <scheme val="minor"/>
    </font>
    <font>
      <i/>
      <sz val="11"/>
      <color theme="1"/>
      <name val="Calibri"/>
      <family val="2"/>
      <scheme val="minor"/>
    </font>
    <font>
      <sz val="11"/>
      <color theme="1"/>
      <name val="Segoe UI"/>
      <family val="2"/>
    </font>
  </fonts>
  <fills count="6">
    <fill>
      <patternFill patternType="none"/>
    </fill>
    <fill>
      <patternFill patternType="gray125"/>
    </fill>
    <fill>
      <patternFill patternType="solid">
        <fgColor rgb="FF00B0F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98">
    <xf numFmtId="0" fontId="0" fillId="0" borderId="0" xfId="0"/>
    <xf numFmtId="0" fontId="2" fillId="0" borderId="0" xfId="0" applyFont="1"/>
    <xf numFmtId="0" fontId="2" fillId="2" borderId="0" xfId="0" applyFont="1" applyFill="1"/>
    <xf numFmtId="0" fontId="4" fillId="0" borderId="0" xfId="0" applyFont="1"/>
    <xf numFmtId="0" fontId="0" fillId="3" borderId="0" xfId="0" applyFill="1"/>
    <xf numFmtId="0" fontId="2" fillId="0" borderId="0" xfId="0" applyFont="1" applyAlignment="1">
      <alignment horizontal="left"/>
    </xf>
    <xf numFmtId="0" fontId="0" fillId="0" borderId="0" xfId="0" applyAlignment="1">
      <alignment horizontal="left"/>
    </xf>
    <xf numFmtId="0" fontId="2" fillId="2" borderId="0" xfId="0" applyFont="1" applyFill="1" applyAlignment="1">
      <alignment horizontal="left"/>
    </xf>
    <xf numFmtId="0" fontId="0" fillId="3" borderId="0" xfId="0" applyFill="1" applyAlignment="1">
      <alignment horizontal="left"/>
    </xf>
    <xf numFmtId="0" fontId="4" fillId="0" borderId="0" xfId="0" applyFont="1" applyAlignment="1">
      <alignment horizontal="left"/>
    </xf>
    <xf numFmtId="0" fontId="5" fillId="0" borderId="0" xfId="0" applyFont="1" applyAlignment="1">
      <alignment horizontal="left"/>
    </xf>
    <xf numFmtId="166" fontId="0" fillId="0" borderId="0" xfId="0" applyNumberFormat="1" applyAlignment="1">
      <alignment horizontal="left"/>
    </xf>
    <xf numFmtId="11" fontId="4" fillId="0" borderId="0" xfId="0" applyNumberFormat="1" applyFont="1" applyAlignment="1">
      <alignment horizontal="left"/>
    </xf>
    <xf numFmtId="165" fontId="4" fillId="0" borderId="0" xfId="0" applyNumberFormat="1" applyFont="1" applyAlignment="1">
      <alignment horizontal="left"/>
    </xf>
    <xf numFmtId="11"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5" fillId="0" borderId="0" xfId="0" applyFont="1"/>
    <xf numFmtId="0" fontId="0" fillId="0" borderId="0" xfId="0" applyAlignment="1">
      <alignment horizontal="center"/>
    </xf>
    <xf numFmtId="164" fontId="0" fillId="0" borderId="0" xfId="0" applyNumberFormat="1" applyAlignment="1">
      <alignment horizontal="center"/>
    </xf>
    <xf numFmtId="0" fontId="2" fillId="0" borderId="0" xfId="0" applyFont="1" applyAlignment="1">
      <alignment horizontal="center"/>
    </xf>
    <xf numFmtId="165" fontId="0" fillId="0" borderId="0" xfId="0" applyNumberFormat="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2" fontId="0" fillId="0" borderId="0" xfId="0" applyNumberFormat="1" applyAlignment="1">
      <alignment horizontal="center"/>
    </xf>
    <xf numFmtId="0" fontId="6" fillId="0" borderId="0" xfId="0" applyFont="1"/>
    <xf numFmtId="2" fontId="0" fillId="0" borderId="0" xfId="0" applyNumberFormat="1" applyAlignment="1">
      <alignment horizontal="left"/>
    </xf>
    <xf numFmtId="0" fontId="7" fillId="0" borderId="0" xfId="0" applyFont="1" applyAlignment="1">
      <alignment horizontal="left"/>
    </xf>
    <xf numFmtId="11" fontId="7" fillId="0" borderId="0" xfId="0" applyNumberFormat="1" applyFont="1" applyAlignment="1">
      <alignment horizontal="left"/>
    </xf>
    <xf numFmtId="0" fontId="7" fillId="0" borderId="0" xfId="0" applyFont="1"/>
    <xf numFmtId="0" fontId="2" fillId="0" borderId="1" xfId="0" applyFont="1" applyBorder="1" applyAlignment="1">
      <alignment horizontal="justify" vertical="center" wrapText="1"/>
    </xf>
    <xf numFmtId="0" fontId="3" fillId="0" borderId="1" xfId="1" applyBorder="1" applyAlignment="1">
      <alignment horizontal="justify" vertical="top" wrapText="1"/>
    </xf>
    <xf numFmtId="0" fontId="7" fillId="0" borderId="1" xfId="0" applyFont="1" applyBorder="1" applyAlignment="1">
      <alignment horizontal="justify" vertical="top" wrapText="1"/>
    </xf>
    <xf numFmtId="0" fontId="0" fillId="0" borderId="1" xfId="0" applyBorder="1" applyAlignment="1">
      <alignment horizontal="justify" vertical="top" wrapText="1"/>
    </xf>
    <xf numFmtId="0" fontId="1" fillId="0" borderId="0" xfId="0" applyFont="1"/>
    <xf numFmtId="0" fontId="0" fillId="4" borderId="0" xfId="0" applyFill="1" applyAlignment="1">
      <alignment horizontal="left"/>
    </xf>
    <xf numFmtId="0" fontId="0" fillId="4" borderId="0" xfId="0" applyFill="1"/>
    <xf numFmtId="11" fontId="0" fillId="0" borderId="0" xfId="0" applyNumberFormat="1"/>
    <xf numFmtId="164" fontId="0" fillId="0" borderId="0" xfId="0" applyNumberFormat="1"/>
    <xf numFmtId="164" fontId="7" fillId="0" borderId="0" xfId="0" applyNumberFormat="1" applyFont="1"/>
    <xf numFmtId="165" fontId="0" fillId="0" borderId="0" xfId="0" applyNumberFormat="1"/>
    <xf numFmtId="0" fontId="8" fillId="0" borderId="0" xfId="0" applyFont="1"/>
    <xf numFmtId="0" fontId="8" fillId="0" borderId="0" xfId="0" applyFont="1" applyAlignment="1">
      <alignment horizontal="left"/>
    </xf>
    <xf numFmtId="11" fontId="7" fillId="0" borderId="0" xfId="0" applyNumberFormat="1" applyFont="1"/>
    <xf numFmtId="167" fontId="0" fillId="0" borderId="0" xfId="0" applyNumberFormat="1"/>
    <xf numFmtId="165" fontId="7" fillId="0" borderId="0" xfId="0" applyNumberFormat="1" applyFont="1"/>
    <xf numFmtId="0" fontId="7" fillId="4" borderId="0" xfId="0" applyFont="1" applyFill="1"/>
    <xf numFmtId="164" fontId="4" fillId="0" borderId="0" xfId="0" applyNumberFormat="1" applyFont="1" applyAlignment="1">
      <alignment horizontal="left"/>
    </xf>
    <xf numFmtId="3" fontId="0" fillId="0" borderId="0" xfId="0" applyNumberFormat="1" applyAlignment="1">
      <alignment horizontal="left"/>
    </xf>
    <xf numFmtId="10" fontId="0" fillId="0" borderId="0" xfId="0" applyNumberFormat="1" applyAlignment="1">
      <alignment horizontal="left"/>
    </xf>
    <xf numFmtId="0" fontId="3" fillId="0" borderId="1" xfId="1" quotePrefix="1" applyBorder="1" applyAlignment="1">
      <alignment horizontal="justify" vertical="top" wrapText="1"/>
    </xf>
    <xf numFmtId="164" fontId="7" fillId="0" borderId="0" xfId="0" applyNumberFormat="1" applyFont="1" applyAlignment="1">
      <alignment horizontal="left"/>
    </xf>
    <xf numFmtId="2" fontId="7" fillId="0" borderId="0" xfId="0" applyNumberFormat="1" applyFont="1" applyAlignment="1">
      <alignment horizontal="left"/>
    </xf>
    <xf numFmtId="10" fontId="0" fillId="0" borderId="0" xfId="0" applyNumberFormat="1" applyAlignment="1">
      <alignment horizontal="center"/>
    </xf>
    <xf numFmtId="168" fontId="0" fillId="0" borderId="0" xfId="0" applyNumberFormat="1" applyAlignment="1">
      <alignment horizontal="center"/>
    </xf>
    <xf numFmtId="10" fontId="0" fillId="0" borderId="0" xfId="0" applyNumberFormat="1"/>
    <xf numFmtId="9" fontId="0" fillId="0" borderId="0" xfId="0" applyNumberFormat="1" applyAlignment="1">
      <alignment horizontal="center"/>
    </xf>
    <xf numFmtId="3" fontId="0" fillId="0" borderId="0" xfId="0" applyNumberFormat="1" applyAlignment="1">
      <alignment horizontal="center"/>
    </xf>
    <xf numFmtId="169" fontId="0" fillId="0" borderId="0" xfId="0" applyNumberFormat="1" applyAlignment="1">
      <alignment horizontal="center"/>
    </xf>
    <xf numFmtId="9" fontId="0" fillId="0" borderId="0" xfId="0" applyNumberFormat="1"/>
    <xf numFmtId="0" fontId="9" fillId="0" borderId="0" xfId="0" applyFont="1"/>
    <xf numFmtId="0" fontId="10" fillId="0" borderId="0" xfId="0" applyFont="1"/>
    <xf numFmtId="0" fontId="2" fillId="0" borderId="0" xfId="0" applyFont="1" applyAlignment="1">
      <alignment vertical="center" wrapText="1"/>
    </xf>
    <xf numFmtId="0" fontId="0" fillId="0" borderId="0" xfId="0" applyAlignment="1">
      <alignment vertical="center" wrapText="1"/>
    </xf>
    <xf numFmtId="0" fontId="2"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pplyAlignment="1">
      <alignment horizontal="center" wrapText="1"/>
    </xf>
    <xf numFmtId="0" fontId="11" fillId="0" borderId="1" xfId="0" applyFont="1" applyBorder="1" applyAlignment="1">
      <alignment horizontal="center" vertical="top" wrapText="1"/>
    </xf>
    <xf numFmtId="0" fontId="2" fillId="4" borderId="1" xfId="0" applyFont="1" applyFill="1" applyBorder="1" applyAlignment="1">
      <alignment horizontal="center"/>
    </xf>
    <xf numFmtId="0" fontId="2" fillId="4" borderId="1" xfId="0" applyFont="1" applyFill="1" applyBorder="1" applyAlignment="1">
      <alignment horizontal="left" vertical="center"/>
    </xf>
    <xf numFmtId="0" fontId="0" fillId="0" borderId="1" xfId="0"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11" fillId="0" borderId="0" xfId="0" applyFont="1" applyAlignment="1">
      <alignment horizontal="center" wrapText="1"/>
    </xf>
    <xf numFmtId="0" fontId="0" fillId="0" borderId="0" xfId="0" applyAlignment="1">
      <alignment horizontal="left" wrapText="1"/>
    </xf>
    <xf numFmtId="0" fontId="0" fillId="0" borderId="1" xfId="0" applyBorder="1" applyAlignment="1">
      <alignment horizontal="center" wrapText="1"/>
    </xf>
    <xf numFmtId="0" fontId="0" fillId="0" borderId="0" xfId="0" applyAlignment="1">
      <alignment horizontal="center" wrapText="1"/>
    </xf>
    <xf numFmtId="0" fontId="12" fillId="0" borderId="0" xfId="0" applyFont="1" applyAlignment="1">
      <alignment vertical="center"/>
    </xf>
    <xf numFmtId="0" fontId="12" fillId="0" borderId="0" xfId="0" applyFont="1"/>
    <xf numFmtId="1" fontId="0" fillId="0" borderId="0" xfId="0" applyNumberFormat="1"/>
    <xf numFmtId="0" fontId="11" fillId="0" borderId="0" xfId="0" applyFont="1"/>
    <xf numFmtId="2" fontId="0" fillId="0" borderId="0" xfId="0" applyNumberFormat="1"/>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center"/>
    </xf>
    <xf numFmtId="0" fontId="2" fillId="0" borderId="1" xfId="0" applyFont="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164"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600075</xdr:colOff>
      <xdr:row>4</xdr:row>
      <xdr:rowOff>361950</xdr:rowOff>
    </xdr:from>
    <xdr:to>
      <xdr:col>25</xdr:col>
      <xdr:colOff>296679</xdr:colOff>
      <xdr:row>16</xdr:row>
      <xdr:rowOff>1496753</xdr:rowOff>
    </xdr:to>
    <xdr:pic>
      <xdr:nvPicPr>
        <xdr:cNvPr id="2" name="Picture 1">
          <a:extLst>
            <a:ext uri="{FF2B5EF4-FFF2-40B4-BE49-F238E27FC236}">
              <a16:creationId xmlns:a16="http://schemas.microsoft.com/office/drawing/2014/main" id="{4F48106B-C328-5B5C-B606-C83F53CAB80A}"/>
            </a:ext>
          </a:extLst>
        </xdr:cNvPr>
        <xdr:cNvPicPr>
          <a:picLocks noChangeAspect="1"/>
        </xdr:cNvPicPr>
      </xdr:nvPicPr>
      <xdr:blipFill>
        <a:blip xmlns:r="http://schemas.openxmlformats.org/officeDocument/2006/relationships" r:embed="rId1"/>
        <a:stretch>
          <a:fillRect/>
        </a:stretch>
      </xdr:blipFill>
      <xdr:spPr>
        <a:xfrm>
          <a:off x="13106400" y="1171575"/>
          <a:ext cx="10059804" cy="95168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59EE-1777-41E4-AD79-BDA4CD03F3B5}">
  <dimension ref="A1:D26"/>
  <sheetViews>
    <sheetView showGridLines="0" topLeftCell="A7" zoomScale="85" zoomScaleNormal="85" workbookViewId="0">
      <selection activeCell="C11" sqref="C11"/>
    </sheetView>
  </sheetViews>
  <sheetFormatPr defaultRowHeight="14.4" x14ac:dyDescent="0.3"/>
  <cols>
    <col min="1" max="1" width="19.6640625" customWidth="1"/>
    <col min="2" max="2" width="22.6640625" customWidth="1"/>
    <col min="3" max="3" width="21" customWidth="1"/>
    <col min="4" max="4" width="160.109375" customWidth="1"/>
  </cols>
  <sheetData>
    <row r="1" spans="1:4" x14ac:dyDescent="0.3">
      <c r="A1" t="s">
        <v>81</v>
      </c>
    </row>
    <row r="3" spans="1:4" x14ac:dyDescent="0.3">
      <c r="A3" t="s">
        <v>0</v>
      </c>
      <c r="B3" s="2" t="s">
        <v>692</v>
      </c>
    </row>
    <row r="4" spans="1:4" x14ac:dyDescent="0.3">
      <c r="A4" t="s">
        <v>112</v>
      </c>
      <c r="B4" s="2" t="s">
        <v>254</v>
      </c>
      <c r="D4" s="1"/>
    </row>
    <row r="5" spans="1:4" x14ac:dyDescent="0.3">
      <c r="A5" t="s">
        <v>115</v>
      </c>
      <c r="B5" s="2" t="s">
        <v>255</v>
      </c>
      <c r="D5" s="1"/>
    </row>
    <row r="6" spans="1:4" x14ac:dyDescent="0.3">
      <c r="B6" s="1"/>
    </row>
    <row r="7" spans="1:4" x14ac:dyDescent="0.3">
      <c r="A7" s="30" t="s">
        <v>810</v>
      </c>
      <c r="B7" s="30" t="s">
        <v>111</v>
      </c>
      <c r="C7" s="30" t="s">
        <v>480</v>
      </c>
      <c r="D7" s="30" t="s">
        <v>481</v>
      </c>
    </row>
    <row r="8" spans="1:4" ht="43.2" x14ac:dyDescent="0.3">
      <c r="A8" s="85" t="s">
        <v>103</v>
      </c>
      <c r="B8" s="85" t="s">
        <v>784</v>
      </c>
      <c r="C8" s="31" t="s">
        <v>104</v>
      </c>
      <c r="D8" s="32" t="s">
        <v>262</v>
      </c>
    </row>
    <row r="9" spans="1:4" ht="28.8" x14ac:dyDescent="0.3">
      <c r="A9" s="85"/>
      <c r="B9" s="85"/>
      <c r="C9" s="31" t="s">
        <v>105</v>
      </c>
      <c r="D9" s="32" t="s">
        <v>371</v>
      </c>
    </row>
    <row r="10" spans="1:4" ht="43.2" x14ac:dyDescent="0.3">
      <c r="A10" s="33" t="s">
        <v>106</v>
      </c>
      <c r="B10" s="84" t="s">
        <v>782</v>
      </c>
      <c r="C10" s="31" t="s">
        <v>106</v>
      </c>
      <c r="D10" s="33" t="s">
        <v>474</v>
      </c>
    </row>
    <row r="11" spans="1:4" ht="144" x14ac:dyDescent="0.3">
      <c r="A11" s="33" t="s">
        <v>107</v>
      </c>
      <c r="B11" s="84" t="s">
        <v>783</v>
      </c>
      <c r="C11" s="31" t="s">
        <v>107</v>
      </c>
      <c r="D11" s="33" t="s">
        <v>372</v>
      </c>
    </row>
    <row r="12" spans="1:4" ht="43.2" x14ac:dyDescent="0.3">
      <c r="A12" s="85" t="s">
        <v>108</v>
      </c>
      <c r="B12" s="85" t="s">
        <v>479</v>
      </c>
      <c r="C12" s="31" t="s">
        <v>227</v>
      </c>
      <c r="D12" s="32" t="s">
        <v>270</v>
      </c>
    </row>
    <row r="13" spans="1:4" ht="43.2" x14ac:dyDescent="0.3">
      <c r="A13" s="85"/>
      <c r="B13" s="85"/>
      <c r="C13" s="50" t="s">
        <v>478</v>
      </c>
      <c r="D13" s="32" t="s">
        <v>811</v>
      </c>
    </row>
    <row r="15" spans="1:4" x14ac:dyDescent="0.3">
      <c r="A15" s="1" t="s">
        <v>109</v>
      </c>
      <c r="B15" s="1"/>
    </row>
    <row r="16" spans="1:4" x14ac:dyDescent="0.3">
      <c r="A16" t="s">
        <v>110</v>
      </c>
    </row>
    <row r="17" spans="1:1" x14ac:dyDescent="0.3">
      <c r="A17" t="s">
        <v>267</v>
      </c>
    </row>
    <row r="18" spans="1:1" x14ac:dyDescent="0.3">
      <c r="A18" t="s">
        <v>263</v>
      </c>
    </row>
    <row r="19" spans="1:1" x14ac:dyDescent="0.3">
      <c r="A19" t="s">
        <v>264</v>
      </c>
    </row>
    <row r="20" spans="1:1" x14ac:dyDescent="0.3">
      <c r="A20" t="s">
        <v>265</v>
      </c>
    </row>
    <row r="21" spans="1:1" x14ac:dyDescent="0.3">
      <c r="A21" t="s">
        <v>266</v>
      </c>
    </row>
    <row r="22" spans="1:1" x14ac:dyDescent="0.3">
      <c r="A22" t="s">
        <v>268</v>
      </c>
    </row>
    <row r="23" spans="1:1" x14ac:dyDescent="0.3">
      <c r="A23" t="s">
        <v>269</v>
      </c>
    </row>
    <row r="24" spans="1:1" x14ac:dyDescent="0.3">
      <c r="A24" t="s">
        <v>482</v>
      </c>
    </row>
    <row r="25" spans="1:1" x14ac:dyDescent="0.3">
      <c r="A25" t="s">
        <v>812</v>
      </c>
    </row>
    <row r="26" spans="1:1" x14ac:dyDescent="0.3">
      <c r="A26" t="s">
        <v>813</v>
      </c>
    </row>
  </sheetData>
  <mergeCells count="4">
    <mergeCell ref="A8:A9"/>
    <mergeCell ref="B8:B9"/>
    <mergeCell ref="A12:A13"/>
    <mergeCell ref="B12:B13"/>
  </mergeCells>
  <hyperlinks>
    <hyperlink ref="C8" location="'Lithium - Brine'!A1" display="Brine" xr:uid="{A6178223-0DFE-441E-993C-C689A413FF78}"/>
    <hyperlink ref="C9" location="'Lithium - Spodumene'!A1" display="Spodumene" xr:uid="{56615C88-FFD8-469C-95AA-318BB2EBB2B5}"/>
    <hyperlink ref="C12" location="'Graphite - Natural'!A1" display="Graphite - Natural" xr:uid="{C38581DC-A7F9-406A-8B1D-3DB06C8400A4}"/>
    <hyperlink ref="C11" location="Nickel!A1" display="Nickel" xr:uid="{6EFA70C4-9183-4377-9D9B-9110212831A2}"/>
    <hyperlink ref="C10" location="Cobalt!A1" display="Cobalt" xr:uid="{601FC3FB-F39C-4E43-B47D-37A9CFA21D8B}"/>
    <hyperlink ref="C13" location="'Graphite - Synthetic'!A1" display="Graphite - Synthetic" xr:uid="{12B22442-F7FE-4E87-9090-EF776FF515D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5C63-9A17-4A94-984A-62E7EAD463FC}">
  <sheetPr>
    <tabColor rgb="FF92D050"/>
  </sheetPr>
  <dimension ref="A1:F33"/>
  <sheetViews>
    <sheetView workbookViewId="0">
      <selection activeCell="E33" sqref="E33"/>
    </sheetView>
  </sheetViews>
  <sheetFormatPr defaultRowHeight="14.4" x14ac:dyDescent="0.3"/>
  <cols>
    <col min="1" max="1" width="30.44140625" style="18" bestFit="1" customWidth="1"/>
    <col min="2" max="2" width="82.109375" style="18" bestFit="1" customWidth="1"/>
    <col min="3" max="3" width="37.6640625" style="18" bestFit="1" customWidth="1"/>
    <col min="4" max="4" width="9.109375" style="18"/>
    <col min="5" max="5" width="11.6640625" style="18" customWidth="1"/>
    <col min="6" max="6" width="17.33203125" style="18" bestFit="1" customWidth="1"/>
  </cols>
  <sheetData>
    <row r="1" spans="1:6" x14ac:dyDescent="0.3">
      <c r="A1" s="6" t="s">
        <v>81</v>
      </c>
    </row>
    <row r="2" spans="1:6" x14ac:dyDescent="0.3">
      <c r="A2" s="20" t="s">
        <v>551</v>
      </c>
      <c r="B2" s="20" t="s">
        <v>10</v>
      </c>
      <c r="C2" s="20" t="s">
        <v>6</v>
      </c>
      <c r="D2" s="20" t="s">
        <v>3</v>
      </c>
      <c r="E2" s="20" t="s">
        <v>11</v>
      </c>
      <c r="F2" s="20" t="s">
        <v>184</v>
      </c>
    </row>
    <row r="3" spans="1:6" x14ac:dyDescent="0.3">
      <c r="A3" s="22" t="s">
        <v>190</v>
      </c>
      <c r="B3" s="22" t="s">
        <v>234</v>
      </c>
      <c r="C3" s="22" t="s">
        <v>235</v>
      </c>
      <c r="D3" s="22" t="s">
        <v>82</v>
      </c>
      <c r="E3" s="23">
        <v>1</v>
      </c>
      <c r="F3" s="22" t="s">
        <v>185</v>
      </c>
    </row>
    <row r="4" spans="1:6" x14ac:dyDescent="0.3">
      <c r="A4" s="18" t="s">
        <v>190</v>
      </c>
      <c r="B4" s="18" t="s">
        <v>232</v>
      </c>
      <c r="C4" s="18" t="s">
        <v>101</v>
      </c>
      <c r="D4" s="18" t="s">
        <v>82</v>
      </c>
      <c r="E4" s="19">
        <f>'Lithium - Brine'!D12</f>
        <v>1.05</v>
      </c>
      <c r="F4" s="18" t="s">
        <v>185</v>
      </c>
    </row>
    <row r="5" spans="1:6" x14ac:dyDescent="0.3">
      <c r="A5" s="18" t="s">
        <v>190</v>
      </c>
      <c r="B5" s="18" t="s">
        <v>233</v>
      </c>
      <c r="C5" s="18" t="s">
        <v>162</v>
      </c>
      <c r="D5" s="18" t="s">
        <v>82</v>
      </c>
      <c r="E5" s="24">
        <f>'Lithium - Brine'!D12*'Lithium - Brine'!D30</f>
        <v>22.884814780185625</v>
      </c>
      <c r="F5" s="18" t="s">
        <v>186</v>
      </c>
    </row>
    <row r="6" spans="1:6" x14ac:dyDescent="0.3">
      <c r="A6" s="18" t="s">
        <v>190</v>
      </c>
      <c r="B6" s="18" t="s">
        <v>231</v>
      </c>
      <c r="C6" s="18" t="s">
        <v>87</v>
      </c>
      <c r="D6" s="18" t="s">
        <v>82</v>
      </c>
      <c r="E6" s="19">
        <f>'Lithium - Brine'!D12*'Lithium - Brine'!D30*'Lithium - Brine'!D45</f>
        <v>3.8620076761410544</v>
      </c>
      <c r="F6" s="18" t="s">
        <v>187</v>
      </c>
    </row>
    <row r="7" spans="1:6" x14ac:dyDescent="0.3">
      <c r="A7" s="22" t="s">
        <v>215</v>
      </c>
      <c r="B7" s="22" t="s">
        <v>246</v>
      </c>
      <c r="C7" s="22" t="s">
        <v>235</v>
      </c>
      <c r="D7" s="22" t="s">
        <v>4</v>
      </c>
      <c r="E7" s="23">
        <v>1</v>
      </c>
      <c r="F7" s="22" t="s">
        <v>185</v>
      </c>
    </row>
    <row r="8" spans="1:6" x14ac:dyDescent="0.3">
      <c r="A8" s="18" t="s">
        <v>215</v>
      </c>
      <c r="B8" s="18" t="s">
        <v>191</v>
      </c>
      <c r="C8" s="18" t="s">
        <v>192</v>
      </c>
      <c r="D8" s="18" t="s">
        <v>193</v>
      </c>
      <c r="E8" s="19">
        <f>'Lithium - Spodumene'!D10</f>
        <v>6.42</v>
      </c>
      <c r="F8" s="18" t="s">
        <v>186</v>
      </c>
    </row>
    <row r="9" spans="1:6" x14ac:dyDescent="0.3">
      <c r="A9" s="22" t="s">
        <v>106</v>
      </c>
      <c r="B9" s="22" t="s">
        <v>472</v>
      </c>
      <c r="C9" s="22" t="s">
        <v>132</v>
      </c>
      <c r="D9" s="22" t="s">
        <v>4</v>
      </c>
      <c r="E9" s="23">
        <v>1</v>
      </c>
      <c r="F9" s="22" t="s">
        <v>185</v>
      </c>
    </row>
    <row r="10" spans="1:6" x14ac:dyDescent="0.3">
      <c r="A10" s="18" t="s">
        <v>106</v>
      </c>
      <c r="B10" s="18" t="s">
        <v>471</v>
      </c>
      <c r="C10" s="18" t="s">
        <v>116</v>
      </c>
      <c r="D10" s="18" t="s">
        <v>113</v>
      </c>
      <c r="E10" s="19">
        <f>Cobalt!D10</f>
        <v>1.1000000000000001</v>
      </c>
      <c r="F10" s="18" t="s">
        <v>186</v>
      </c>
    </row>
    <row r="11" spans="1:6" x14ac:dyDescent="0.3">
      <c r="A11" s="18" t="s">
        <v>106</v>
      </c>
      <c r="B11" s="18" t="s">
        <v>469</v>
      </c>
      <c r="C11" s="18" t="s">
        <v>114</v>
      </c>
      <c r="D11" s="18" t="s">
        <v>113</v>
      </c>
      <c r="E11" s="19">
        <f>Cobalt!D10*Cobalt!D41</f>
        <v>50.6</v>
      </c>
      <c r="F11" s="18" t="s">
        <v>187</v>
      </c>
    </row>
    <row r="12" spans="1:6" x14ac:dyDescent="0.3">
      <c r="A12" s="22" t="s">
        <v>107</v>
      </c>
      <c r="B12" s="22" t="s">
        <v>418</v>
      </c>
      <c r="C12" s="22" t="s">
        <v>373</v>
      </c>
      <c r="D12" s="22" t="s">
        <v>18</v>
      </c>
      <c r="E12" s="23">
        <v>1</v>
      </c>
      <c r="F12" s="22" t="s">
        <v>185</v>
      </c>
    </row>
    <row r="13" spans="1:6" x14ac:dyDescent="0.3">
      <c r="A13" s="18" t="s">
        <v>107</v>
      </c>
      <c r="B13" s="18" t="s">
        <v>388</v>
      </c>
      <c r="C13" s="18" t="s">
        <v>374</v>
      </c>
      <c r="D13" s="18" t="s">
        <v>18</v>
      </c>
      <c r="E13" s="19">
        <f>Nickel!D10</f>
        <v>2.08</v>
      </c>
      <c r="F13" s="18" t="s">
        <v>185</v>
      </c>
    </row>
    <row r="14" spans="1:6" x14ac:dyDescent="0.3">
      <c r="A14" s="18" t="s">
        <v>107</v>
      </c>
      <c r="B14" s="18" t="s">
        <v>376</v>
      </c>
      <c r="C14" s="18" t="s">
        <v>378</v>
      </c>
      <c r="D14" s="18" t="s">
        <v>18</v>
      </c>
      <c r="E14" s="19">
        <f>Nickel!D10*Nickel!D89</f>
        <v>4.3680000000000003</v>
      </c>
      <c r="F14" s="18" t="s">
        <v>186</v>
      </c>
    </row>
    <row r="15" spans="1:6" x14ac:dyDescent="0.3">
      <c r="A15" s="18" t="s">
        <v>107</v>
      </c>
      <c r="B15" s="18" t="s">
        <v>377</v>
      </c>
      <c r="C15" s="18" t="s">
        <v>375</v>
      </c>
      <c r="D15" s="18" t="s">
        <v>18</v>
      </c>
      <c r="E15" s="19">
        <f>Nickel!D10*Nickel!D89*Nickel!D170</f>
        <v>12.012</v>
      </c>
      <c r="F15" s="18" t="s">
        <v>187</v>
      </c>
    </row>
    <row r="16" spans="1:6" x14ac:dyDescent="0.3">
      <c r="A16" s="22" t="s">
        <v>183</v>
      </c>
      <c r="B16" s="22" t="s">
        <v>155</v>
      </c>
      <c r="C16" s="22" t="s">
        <v>156</v>
      </c>
      <c r="D16" s="22" t="s">
        <v>4</v>
      </c>
      <c r="E16" s="23">
        <v>1</v>
      </c>
      <c r="F16" s="22" t="s">
        <v>185</v>
      </c>
    </row>
    <row r="17" spans="1:6" x14ac:dyDescent="0.3">
      <c r="A17" s="18" t="s">
        <v>183</v>
      </c>
      <c r="B17" s="18" t="s">
        <v>157</v>
      </c>
      <c r="C17" s="18" t="s">
        <v>158</v>
      </c>
      <c r="D17" s="18" t="s">
        <v>4</v>
      </c>
      <c r="E17" s="19">
        <f>'Graphite - Natural'!D10</f>
        <v>1.01</v>
      </c>
      <c r="F17" s="18" t="s">
        <v>185</v>
      </c>
    </row>
    <row r="18" spans="1:6" x14ac:dyDescent="0.3">
      <c r="A18" s="18" t="s">
        <v>183</v>
      </c>
      <c r="B18" s="18" t="s">
        <v>53</v>
      </c>
      <c r="C18" s="18" t="s">
        <v>159</v>
      </c>
      <c r="D18" s="18" t="s">
        <v>4</v>
      </c>
      <c r="E18" s="19">
        <f>'Graphite - Natural'!D10*'Graphite - Natural'!D28</f>
        <v>1.1413</v>
      </c>
      <c r="F18" s="18" t="s">
        <v>185</v>
      </c>
    </row>
    <row r="19" spans="1:6" x14ac:dyDescent="0.3">
      <c r="A19" s="18" t="s">
        <v>183</v>
      </c>
      <c r="B19" s="18" t="s">
        <v>58</v>
      </c>
      <c r="C19" s="18" t="s">
        <v>59</v>
      </c>
      <c r="D19" s="18" t="s">
        <v>4</v>
      </c>
      <c r="E19" s="19">
        <f>'Graphite - Natural'!D10*'Graphite - Natural'!D28*'Graphite - Natural'!D49</f>
        <v>2.5336860000000003</v>
      </c>
      <c r="F19" s="18" t="s">
        <v>186</v>
      </c>
    </row>
    <row r="20" spans="1:6" x14ac:dyDescent="0.3">
      <c r="A20" s="18" t="s">
        <v>183</v>
      </c>
      <c r="B20" s="18" t="s">
        <v>61</v>
      </c>
      <c r="C20" s="18" t="s">
        <v>62</v>
      </c>
      <c r="D20" s="18" t="s">
        <v>4</v>
      </c>
      <c r="E20" s="19">
        <f>'Graphite - Natural'!D10*'Graphite - Natural'!D28*'Graphite - Natural'!D49*'Graphite - Natural'!D62</f>
        <v>24.298048740000002</v>
      </c>
      <c r="F20" s="18" t="s">
        <v>187</v>
      </c>
    </row>
    <row r="21" spans="1:6" x14ac:dyDescent="0.3">
      <c r="A21" s="22" t="s">
        <v>509</v>
      </c>
      <c r="B21" s="22" t="s">
        <v>490</v>
      </c>
      <c r="C21" s="22" t="s">
        <v>507</v>
      </c>
      <c r="D21" s="22" t="s">
        <v>4</v>
      </c>
      <c r="E21" s="23">
        <v>1</v>
      </c>
      <c r="F21" s="22" t="s">
        <v>543</v>
      </c>
    </row>
    <row r="22" spans="1:6" x14ac:dyDescent="0.3">
      <c r="A22" s="18" t="s">
        <v>509</v>
      </c>
      <c r="B22" s="18" t="s">
        <v>487</v>
      </c>
      <c r="C22" s="18" t="s">
        <v>488</v>
      </c>
      <c r="D22" s="18" t="s">
        <v>4</v>
      </c>
      <c r="E22" s="19">
        <f>'Graphite - Synthetic'!D10</f>
        <v>0.97</v>
      </c>
      <c r="F22" s="18" t="s">
        <v>542</v>
      </c>
    </row>
    <row r="23" spans="1:6" x14ac:dyDescent="0.3">
      <c r="A23" s="18" t="s">
        <v>509</v>
      </c>
      <c r="B23" s="18" t="s">
        <v>486</v>
      </c>
      <c r="C23" s="18" t="s">
        <v>485</v>
      </c>
      <c r="D23" s="18" t="s">
        <v>4</v>
      </c>
      <c r="E23" s="19">
        <f>'Graphite - Synthetic'!D10*'Graphite - Synthetic'!D28</f>
        <v>1.6166666666666667</v>
      </c>
      <c r="F23" s="18" t="s">
        <v>541</v>
      </c>
    </row>
    <row r="24" spans="1:6" x14ac:dyDescent="0.3">
      <c r="A24" s="18" t="s">
        <v>509</v>
      </c>
      <c r="B24" s="18" t="s">
        <v>483</v>
      </c>
      <c r="C24" s="18" t="s">
        <v>484</v>
      </c>
      <c r="D24" s="18" t="s">
        <v>4</v>
      </c>
      <c r="E24" s="19">
        <f>'Graphite - Synthetic'!D10*'Graphite - Synthetic'!D28*'Graphite - Synthetic'!D41</f>
        <v>1.6199064796259184</v>
      </c>
      <c r="F24" s="18" t="s">
        <v>540</v>
      </c>
    </row>
    <row r="25" spans="1:6" x14ac:dyDescent="0.3">
      <c r="A25" s="18" t="s">
        <v>509</v>
      </c>
      <c r="B25" s="18" t="s">
        <v>520</v>
      </c>
      <c r="C25" s="18" t="s">
        <v>519</v>
      </c>
      <c r="D25" s="18" t="s">
        <v>4</v>
      </c>
      <c r="E25" s="19">
        <f>'Graphite - Synthetic'!D10*'Graphite - Synthetic'!D28*'Graphite - Synthetic'!D42</f>
        <v>1.5035000000000001</v>
      </c>
      <c r="F25" s="18" t="s">
        <v>544</v>
      </c>
    </row>
    <row r="26" spans="1:6" x14ac:dyDescent="0.3">
      <c r="A26" s="18" t="s">
        <v>509</v>
      </c>
      <c r="B26" s="18" t="s">
        <v>511</v>
      </c>
      <c r="C26" s="18" t="s">
        <v>512</v>
      </c>
      <c r="D26" s="18" t="s">
        <v>4</v>
      </c>
      <c r="E26" s="19">
        <f>('Graphite - Synthetic'!D10*'Graphite - Synthetic'!D28*'Graphite - Synthetic'!D41*'Graphite - Synthetic'!D73)+E25*'Graphite - Synthetic'!D57</f>
        <v>3.2626325308892681</v>
      </c>
      <c r="F26" s="18" t="s">
        <v>539</v>
      </c>
    </row>
    <row r="27" spans="1:6" x14ac:dyDescent="0.3">
      <c r="A27" s="22" t="s">
        <v>537</v>
      </c>
      <c r="B27" s="22" t="s">
        <v>232</v>
      </c>
      <c r="C27" s="22" t="s">
        <v>101</v>
      </c>
      <c r="D27" s="22" t="s">
        <v>82</v>
      </c>
      <c r="E27" s="23">
        <v>1</v>
      </c>
      <c r="F27" s="22" t="s">
        <v>185</v>
      </c>
    </row>
    <row r="28" spans="1:6" x14ac:dyDescent="0.3">
      <c r="A28" s="18" t="s">
        <v>537</v>
      </c>
      <c r="B28" s="18" t="s">
        <v>233</v>
      </c>
      <c r="C28" s="18" t="s">
        <v>162</v>
      </c>
      <c r="D28" s="18" t="s">
        <v>82</v>
      </c>
      <c r="E28" s="24">
        <f>'Lithium - Brine'!D30</f>
        <v>21.79506169541488</v>
      </c>
      <c r="F28" s="18" t="s">
        <v>186</v>
      </c>
    </row>
    <row r="29" spans="1:6" x14ac:dyDescent="0.3">
      <c r="A29" s="18" t="s">
        <v>537</v>
      </c>
      <c r="B29" s="18" t="s">
        <v>231</v>
      </c>
      <c r="C29" s="18" t="s">
        <v>87</v>
      </c>
      <c r="D29" s="18" t="s">
        <v>82</v>
      </c>
      <c r="E29" s="19">
        <f>'Lithium - Brine'!D30*'Lithium - Brine'!D45</f>
        <v>3.6781025487057661</v>
      </c>
      <c r="F29" s="18" t="s">
        <v>187</v>
      </c>
    </row>
    <row r="30" spans="1:6" x14ac:dyDescent="0.3">
      <c r="A30" s="22" t="s">
        <v>538</v>
      </c>
      <c r="B30" s="22" t="s">
        <v>245</v>
      </c>
      <c r="C30" s="22" t="s">
        <v>101</v>
      </c>
      <c r="D30" s="22" t="s">
        <v>4</v>
      </c>
      <c r="E30" s="23">
        <v>1</v>
      </c>
      <c r="F30" s="22" t="s">
        <v>185</v>
      </c>
    </row>
    <row r="31" spans="1:6" x14ac:dyDescent="0.3">
      <c r="A31" s="18" t="s">
        <v>538</v>
      </c>
      <c r="B31" s="18" t="s">
        <v>191</v>
      </c>
      <c r="C31" s="18" t="s">
        <v>192</v>
      </c>
      <c r="D31" s="18" t="s">
        <v>193</v>
      </c>
      <c r="E31" s="19">
        <f>'Lithium - Spodumene'!D33</f>
        <v>7.3</v>
      </c>
      <c r="F31" s="18" t="s">
        <v>186</v>
      </c>
    </row>
    <row r="33" spans="6:6" x14ac:dyDescent="0.3">
      <c r="F33"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9828-6EA2-42E5-9718-36DC129752E1}">
  <sheetPr>
    <tabColor theme="0" tint="-0.499984740745262"/>
  </sheetPr>
  <dimension ref="A1:N38"/>
  <sheetViews>
    <sheetView workbookViewId="0">
      <selection activeCell="E17" sqref="E17"/>
    </sheetView>
  </sheetViews>
  <sheetFormatPr defaultRowHeight="14.4" x14ac:dyDescent="0.3"/>
  <cols>
    <col min="1" max="1" width="22.44140625" customWidth="1"/>
    <col min="2" max="2" width="24.44140625" bestFit="1" customWidth="1"/>
    <col min="3" max="3" width="17.88671875" style="18" customWidth="1"/>
    <col min="4" max="4" width="14.5546875" style="18" customWidth="1"/>
    <col min="5" max="5" width="13.88671875" style="18" customWidth="1"/>
    <col min="6" max="6" width="9.109375" style="18"/>
    <col min="8" max="8" width="10.5546875" bestFit="1" customWidth="1"/>
    <col min="9" max="9" width="17.33203125" bestFit="1" customWidth="1"/>
    <col min="10" max="10" width="11.5546875" customWidth="1"/>
    <col min="11" max="11" width="13.44140625" bestFit="1" customWidth="1"/>
    <col min="12" max="12" width="13.33203125" bestFit="1" customWidth="1"/>
  </cols>
  <sheetData>
    <row r="1" spans="1:14" x14ac:dyDescent="0.3">
      <c r="A1" t="s">
        <v>81</v>
      </c>
    </row>
    <row r="3" spans="1:14" ht="21" x14ac:dyDescent="0.4">
      <c r="A3" s="25" t="s">
        <v>225</v>
      </c>
    </row>
    <row r="5" spans="1:14" x14ac:dyDescent="0.3">
      <c r="A5" t="s">
        <v>217</v>
      </c>
      <c r="B5" t="s">
        <v>222</v>
      </c>
      <c r="C5" s="18" t="s">
        <v>219</v>
      </c>
      <c r="D5" s="18" t="s">
        <v>220</v>
      </c>
      <c r="E5" s="18" t="s">
        <v>221</v>
      </c>
      <c r="F5" s="18" t="s">
        <v>224</v>
      </c>
      <c r="H5" s="18" t="s">
        <v>545</v>
      </c>
      <c r="I5" s="18" t="s">
        <v>550</v>
      </c>
      <c r="J5" s="18" t="s">
        <v>549</v>
      </c>
      <c r="K5" s="18" t="s">
        <v>546</v>
      </c>
      <c r="L5" s="18" t="s">
        <v>547</v>
      </c>
      <c r="M5" s="18" t="s">
        <v>548</v>
      </c>
      <c r="N5" s="18" t="s">
        <v>224</v>
      </c>
    </row>
    <row r="6" spans="1:14" x14ac:dyDescent="0.3">
      <c r="A6" t="s">
        <v>218</v>
      </c>
      <c r="B6" t="s">
        <v>223</v>
      </c>
      <c r="C6" s="21">
        <f>'Lithium - Brine'!D30*'Lithium - Brine'!D45*'Lithium - Brine'!D64</f>
        <v>1.0778061505465392E-2</v>
      </c>
      <c r="D6" s="19">
        <f>'Lithium - Brine'!D30*'Lithium - Brine'!D46</f>
        <v>2.5827948274061069E-2</v>
      </c>
      <c r="E6" s="19">
        <f>('Lithium - Brine'!D31)+('Lithium - Brine'!D30*'Lithium - Brine'!D46)+('Lithium - Brine'!D45*'Lithium - Brine'!D64)</f>
        <v>0.44085544527659637</v>
      </c>
      <c r="F6" s="21">
        <f>SUM(C6:E6)</f>
        <v>0.47746145505612281</v>
      </c>
    </row>
    <row r="7" spans="1:14" x14ac:dyDescent="0.3">
      <c r="A7" t="s">
        <v>226</v>
      </c>
      <c r="B7" t="s">
        <v>223</v>
      </c>
      <c r="C7" s="97">
        <f>'Lithium - Spodumene'!D10*'Lithium - Spodumene'!D56/3.6</f>
        <v>0.16610191762962964</v>
      </c>
      <c r="D7" s="97"/>
      <c r="E7" s="19">
        <f>'Lithium - Spodumene'!D11</f>
        <v>3.5</v>
      </c>
      <c r="F7" s="21">
        <f t="shared" ref="F7:F10" si="0">SUM(C7:E7)</f>
        <v>3.6661019176296294</v>
      </c>
    </row>
    <row r="8" spans="1:14" x14ac:dyDescent="0.3">
      <c r="A8" t="s">
        <v>106</v>
      </c>
      <c r="B8" t="s">
        <v>228</v>
      </c>
      <c r="C8" s="19">
        <v>0</v>
      </c>
      <c r="D8" s="19">
        <f>Cobalt!D10*Cobalt!D42</f>
        <v>4.51</v>
      </c>
      <c r="E8" s="19">
        <f>Cobalt!D11</f>
        <v>1.2</v>
      </c>
      <c r="F8" s="21">
        <f t="shared" si="0"/>
        <v>5.71</v>
      </c>
    </row>
    <row r="9" spans="1:14" x14ac:dyDescent="0.3">
      <c r="A9" t="s">
        <v>107</v>
      </c>
      <c r="B9" t="s">
        <v>387</v>
      </c>
      <c r="C9" s="19">
        <f>'Datasets for breakdown'!E15*Nickel!D212</f>
        <v>0.27664</v>
      </c>
      <c r="D9" s="19">
        <f>'Datasets for breakdown'!E14*Nickel!D171</f>
        <v>0.52780000000000005</v>
      </c>
      <c r="E9" s="19">
        <f>'Datasets for breakdown'!E13*Nickel!D90+'Datasets for breakdown'!E12*Nickel!D11</f>
        <v>2.3309000000000002</v>
      </c>
      <c r="F9" s="21">
        <f t="shared" si="0"/>
        <v>3.1353400000000002</v>
      </c>
    </row>
    <row r="10" spans="1:14" x14ac:dyDescent="0.3">
      <c r="A10" t="s">
        <v>227</v>
      </c>
      <c r="B10" t="s">
        <v>229</v>
      </c>
      <c r="C10" s="19">
        <f>'Datasets for breakdown'!E20*'Graphite - Natural'!D82</f>
        <v>0.211393024038</v>
      </c>
      <c r="D10" s="19">
        <f>'Datasets for breakdown'!E19*'Graphite - Natural'!D63</f>
        <v>1.2820451160000002</v>
      </c>
      <c r="E10" s="19">
        <f>'Datasets for breakdown'!E18*'Graphite - Natural'!D50+'Datasets for breakdown'!E17*'Graphite - Natural'!D29+'Datasets for breakdown'!E16*'Graphite - Natural'!D11</f>
        <v>7.2547800000000002</v>
      </c>
      <c r="F10" s="21">
        <f t="shared" si="0"/>
        <v>8.7482181400380004</v>
      </c>
    </row>
    <row r="11" spans="1:14" x14ac:dyDescent="0.3">
      <c r="A11" t="s">
        <v>478</v>
      </c>
      <c r="B11" t="s">
        <v>229</v>
      </c>
      <c r="H11" s="18">
        <v>0</v>
      </c>
      <c r="I11" s="19">
        <f>'Datasets for breakdown'!E25*'Graphite - Synthetic'!D59</f>
        <v>3.75875</v>
      </c>
      <c r="J11" s="19">
        <f>'Datasets for breakdown'!E24*'Graphite - Synthetic'!D74</f>
        <v>3.0454241816967262</v>
      </c>
      <c r="K11" s="19">
        <f>'Datasets for breakdown'!E23*'Graphite - Synthetic'!D44</f>
        <v>25.866666666666667</v>
      </c>
      <c r="L11" s="19">
        <f>'Datasets for breakdown'!E22*'Graphite - Synthetic'!D29</f>
        <v>3.2301000000000002</v>
      </c>
      <c r="M11" s="19">
        <f>'Datasets for breakdown'!E21*'Graphite - Synthetic'!D12</f>
        <v>0.43</v>
      </c>
      <c r="N11" s="54">
        <f>SUM(H11:M11)</f>
        <v>36.330940848363397</v>
      </c>
    </row>
    <row r="13" spans="1:14" x14ac:dyDescent="0.3">
      <c r="E13" s="53"/>
    </row>
    <row r="17" spans="2:2" x14ac:dyDescent="0.3">
      <c r="B17" s="37"/>
    </row>
    <row r="24" spans="2:2" x14ac:dyDescent="0.3">
      <c r="B24" s="37"/>
    </row>
    <row r="28" spans="2:2" x14ac:dyDescent="0.3">
      <c r="B28" s="37"/>
    </row>
    <row r="33" spans="9:10" x14ac:dyDescent="0.3">
      <c r="I33" s="59"/>
    </row>
    <row r="34" spans="9:10" x14ac:dyDescent="0.3">
      <c r="I34" s="59"/>
    </row>
    <row r="35" spans="9:10" x14ac:dyDescent="0.3">
      <c r="I35" s="59"/>
      <c r="J35" s="55"/>
    </row>
    <row r="36" spans="9:10" x14ac:dyDescent="0.3">
      <c r="I36" s="59"/>
    </row>
    <row r="38" spans="9:10" x14ac:dyDescent="0.3">
      <c r="I38" s="55"/>
    </row>
  </sheetData>
  <mergeCells count="1">
    <mergeCell ref="C7:D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0632-2F6F-429A-99E6-B19DD6120310}">
  <sheetPr>
    <tabColor theme="0" tint="-0.499984740745262"/>
  </sheetPr>
  <dimension ref="A1:G34"/>
  <sheetViews>
    <sheetView workbookViewId="0">
      <selection activeCell="E33" sqref="E33"/>
    </sheetView>
  </sheetViews>
  <sheetFormatPr defaultRowHeight="14.4" x14ac:dyDescent="0.3"/>
  <cols>
    <col min="1" max="1" width="28.109375" customWidth="1"/>
    <col min="2" max="2" width="13.88671875" customWidth="1"/>
    <col min="3" max="3" width="23.33203125" customWidth="1"/>
    <col min="4" max="4" width="16.44140625" bestFit="1" customWidth="1"/>
    <col min="5" max="5" width="32.33203125" customWidth="1"/>
    <col min="6" max="6" width="40.6640625" bestFit="1" customWidth="1"/>
  </cols>
  <sheetData>
    <row r="1" spans="1:6" x14ac:dyDescent="0.3">
      <c r="A1" t="s">
        <v>81</v>
      </c>
    </row>
    <row r="2" spans="1:6" ht="21" x14ac:dyDescent="0.4">
      <c r="A2" s="25" t="s">
        <v>643</v>
      </c>
    </row>
    <row r="3" spans="1:6" x14ac:dyDescent="0.3">
      <c r="A3" t="s">
        <v>642</v>
      </c>
    </row>
    <row r="6" spans="1:6" x14ac:dyDescent="0.3">
      <c r="A6" t="s">
        <v>641</v>
      </c>
      <c r="B6" s="18" t="s">
        <v>644</v>
      </c>
      <c r="C6" s="18" t="s">
        <v>645</v>
      </c>
      <c r="D6" s="18" t="s">
        <v>552</v>
      </c>
      <c r="E6" s="18" t="s">
        <v>553</v>
      </c>
      <c r="F6" t="s">
        <v>554</v>
      </c>
    </row>
    <row r="7" spans="1:6" x14ac:dyDescent="0.3">
      <c r="A7" t="s">
        <v>555</v>
      </c>
      <c r="B7" s="24" t="s">
        <v>556</v>
      </c>
      <c r="C7" s="18" t="s">
        <v>557</v>
      </c>
      <c r="D7" s="18" t="s">
        <v>558</v>
      </c>
      <c r="E7" s="57" t="s">
        <v>559</v>
      </c>
      <c r="F7" t="s">
        <v>560</v>
      </c>
    </row>
    <row r="8" spans="1:6" x14ac:dyDescent="0.3">
      <c r="A8" t="s">
        <v>561</v>
      </c>
      <c r="B8" s="24" t="s">
        <v>562</v>
      </c>
      <c r="C8" s="18" t="s">
        <v>557</v>
      </c>
      <c r="D8" s="18" t="s">
        <v>563</v>
      </c>
      <c r="E8" s="57" t="s">
        <v>564</v>
      </c>
      <c r="F8" t="s">
        <v>565</v>
      </c>
    </row>
    <row r="9" spans="1:6" x14ac:dyDescent="0.3">
      <c r="A9" t="s">
        <v>566</v>
      </c>
      <c r="B9" s="24" t="s">
        <v>567</v>
      </c>
      <c r="C9" s="18" t="s">
        <v>557</v>
      </c>
      <c r="D9" s="18" t="s">
        <v>568</v>
      </c>
      <c r="E9" s="57" t="s">
        <v>569</v>
      </c>
      <c r="F9" t="s">
        <v>570</v>
      </c>
    </row>
    <row r="10" spans="1:6" x14ac:dyDescent="0.3">
      <c r="A10" t="s">
        <v>571</v>
      </c>
      <c r="B10" s="24" t="s">
        <v>572</v>
      </c>
      <c r="C10" s="18" t="s">
        <v>557</v>
      </c>
      <c r="D10" s="18" t="s">
        <v>573</v>
      </c>
      <c r="E10" s="57" t="s">
        <v>574</v>
      </c>
      <c r="F10" t="s">
        <v>575</v>
      </c>
    </row>
    <row r="11" spans="1:6" x14ac:dyDescent="0.3">
      <c r="A11" t="s">
        <v>576</v>
      </c>
      <c r="B11" s="24" t="s">
        <v>577</v>
      </c>
      <c r="C11" s="18" t="s">
        <v>557</v>
      </c>
      <c r="D11" s="18" t="s">
        <v>578</v>
      </c>
      <c r="E11" s="57" t="s">
        <v>579</v>
      </c>
      <c r="F11" t="s">
        <v>560</v>
      </c>
    </row>
    <row r="12" spans="1:6" x14ac:dyDescent="0.3">
      <c r="A12" t="s">
        <v>580</v>
      </c>
      <c r="B12" s="24" t="s">
        <v>581</v>
      </c>
      <c r="C12" s="18" t="s">
        <v>582</v>
      </c>
      <c r="D12" s="18" t="s">
        <v>583</v>
      </c>
      <c r="E12" s="57" t="s">
        <v>584</v>
      </c>
      <c r="F12" t="s">
        <v>560</v>
      </c>
    </row>
    <row r="13" spans="1:6" x14ac:dyDescent="0.3">
      <c r="A13" t="s">
        <v>585</v>
      </c>
      <c r="B13" s="24" t="s">
        <v>586</v>
      </c>
      <c r="C13" s="18" t="s">
        <v>587</v>
      </c>
      <c r="D13" s="18" t="s">
        <v>588</v>
      </c>
      <c r="E13" s="57" t="s">
        <v>589</v>
      </c>
      <c r="F13" t="s">
        <v>590</v>
      </c>
    </row>
    <row r="14" spans="1:6" x14ac:dyDescent="0.3">
      <c r="A14" t="s">
        <v>591</v>
      </c>
      <c r="B14" s="24" t="s">
        <v>592</v>
      </c>
      <c r="C14" s="18" t="s">
        <v>587</v>
      </c>
      <c r="D14" s="18" t="s">
        <v>588</v>
      </c>
      <c r="E14" s="57" t="s">
        <v>593</v>
      </c>
      <c r="F14" t="s">
        <v>590</v>
      </c>
    </row>
    <row r="15" spans="1:6" x14ac:dyDescent="0.3">
      <c r="A15" t="s">
        <v>594</v>
      </c>
      <c r="B15" s="24" t="s">
        <v>572</v>
      </c>
      <c r="C15" s="18" t="s">
        <v>595</v>
      </c>
      <c r="D15" s="18" t="s">
        <v>596</v>
      </c>
      <c r="E15" s="57" t="s">
        <v>597</v>
      </c>
      <c r="F15" t="s">
        <v>648</v>
      </c>
    </row>
    <row r="16" spans="1:6" x14ac:dyDescent="0.3">
      <c r="A16" t="s">
        <v>598</v>
      </c>
      <c r="B16" s="24" t="s">
        <v>599</v>
      </c>
      <c r="C16" s="18" t="s">
        <v>557</v>
      </c>
      <c r="D16" s="18" t="s">
        <v>600</v>
      </c>
      <c r="E16" s="57" t="s">
        <v>601</v>
      </c>
      <c r="F16" t="s">
        <v>649</v>
      </c>
    </row>
    <row r="17" spans="1:7" x14ac:dyDescent="0.3">
      <c r="A17" t="s">
        <v>602</v>
      </c>
      <c r="B17" s="24" t="s">
        <v>572</v>
      </c>
      <c r="C17" s="18" t="s">
        <v>557</v>
      </c>
      <c r="D17" s="18" t="s">
        <v>600</v>
      </c>
      <c r="E17" s="57" t="s">
        <v>603</v>
      </c>
      <c r="F17" t="s">
        <v>649</v>
      </c>
    </row>
    <row r="18" spans="1:7" x14ac:dyDescent="0.3">
      <c r="A18" t="s">
        <v>604</v>
      </c>
      <c r="B18" s="24" t="s">
        <v>586</v>
      </c>
      <c r="C18" s="18" t="s">
        <v>605</v>
      </c>
      <c r="D18" s="18" t="s">
        <v>606</v>
      </c>
      <c r="E18" s="57" t="s">
        <v>607</v>
      </c>
      <c r="F18" t="s">
        <v>608</v>
      </c>
    </row>
    <row r="19" spans="1:7" x14ac:dyDescent="0.3">
      <c r="A19" t="s">
        <v>609</v>
      </c>
      <c r="B19" s="24" t="s">
        <v>610</v>
      </c>
      <c r="C19" s="18" t="s">
        <v>611</v>
      </c>
      <c r="D19" s="18" t="s">
        <v>612</v>
      </c>
      <c r="E19" s="57" t="s">
        <v>613</v>
      </c>
      <c r="F19" t="s">
        <v>614</v>
      </c>
    </row>
    <row r="20" spans="1:7" x14ac:dyDescent="0.3">
      <c r="A20" t="s">
        <v>615</v>
      </c>
      <c r="B20" s="24" t="s">
        <v>572</v>
      </c>
      <c r="C20" s="18" t="s">
        <v>611</v>
      </c>
      <c r="D20" s="18" t="s">
        <v>616</v>
      </c>
      <c r="E20" s="57" t="s">
        <v>617</v>
      </c>
      <c r="F20" t="s">
        <v>618</v>
      </c>
    </row>
    <row r="21" spans="1:7" x14ac:dyDescent="0.3">
      <c r="A21" t="s">
        <v>619</v>
      </c>
      <c r="B21" s="24" t="s">
        <v>599</v>
      </c>
      <c r="C21" s="18" t="s">
        <v>620</v>
      </c>
      <c r="D21" s="18" t="s">
        <v>621</v>
      </c>
      <c r="E21" s="57" t="s">
        <v>622</v>
      </c>
      <c r="F21" t="s">
        <v>623</v>
      </c>
    </row>
    <row r="22" spans="1:7" x14ac:dyDescent="0.3">
      <c r="A22" t="s">
        <v>624</v>
      </c>
      <c r="B22" s="24" t="s">
        <v>625</v>
      </c>
      <c r="C22" s="18" t="s">
        <v>605</v>
      </c>
      <c r="D22" s="18" t="s">
        <v>626</v>
      </c>
      <c r="E22" s="57" t="s">
        <v>627</v>
      </c>
      <c r="F22" t="s">
        <v>560</v>
      </c>
    </row>
    <row r="23" spans="1:7" x14ac:dyDescent="0.3">
      <c r="A23" t="s">
        <v>628</v>
      </c>
      <c r="B23" s="24" t="s">
        <v>572</v>
      </c>
      <c r="C23" s="18" t="s">
        <v>605</v>
      </c>
      <c r="D23" s="18" t="s">
        <v>629</v>
      </c>
      <c r="E23" s="57" t="s">
        <v>630</v>
      </c>
      <c r="F23" t="s">
        <v>560</v>
      </c>
    </row>
    <row r="24" spans="1:7" x14ac:dyDescent="0.3">
      <c r="A24" t="s">
        <v>623</v>
      </c>
      <c r="B24" s="24" t="s">
        <v>581</v>
      </c>
      <c r="C24" s="18" t="s">
        <v>631</v>
      </c>
      <c r="D24" s="18" t="s">
        <v>621</v>
      </c>
      <c r="E24" s="57" t="s">
        <v>632</v>
      </c>
      <c r="F24" t="s">
        <v>633</v>
      </c>
    </row>
    <row r="25" spans="1:7" x14ac:dyDescent="0.3">
      <c r="A25" t="s">
        <v>634</v>
      </c>
      <c r="B25" s="24" t="s">
        <v>581</v>
      </c>
      <c r="C25" s="18" t="s">
        <v>635</v>
      </c>
      <c r="D25" s="18" t="s">
        <v>558</v>
      </c>
      <c r="E25" s="57" t="s">
        <v>636</v>
      </c>
      <c r="F25" t="s">
        <v>560</v>
      </c>
    </row>
    <row r="26" spans="1:7" x14ac:dyDescent="0.3">
      <c r="A26" t="s">
        <v>637</v>
      </c>
      <c r="B26" s="24" t="s">
        <v>581</v>
      </c>
      <c r="C26" s="18" t="s">
        <v>635</v>
      </c>
      <c r="D26" s="18" t="s">
        <v>563</v>
      </c>
      <c r="E26" s="57" t="s">
        <v>638</v>
      </c>
      <c r="F26" t="s">
        <v>565</v>
      </c>
    </row>
    <row r="27" spans="1:7" x14ac:dyDescent="0.3">
      <c r="A27" t="s">
        <v>560</v>
      </c>
      <c r="B27" s="18"/>
      <c r="C27" s="18"/>
      <c r="D27" s="18" t="s">
        <v>639</v>
      </c>
      <c r="E27" s="57" t="s">
        <v>640</v>
      </c>
      <c r="F27" t="s">
        <v>560</v>
      </c>
      <c r="G27" t="s">
        <v>560</v>
      </c>
    </row>
    <row r="28" spans="1:7" x14ac:dyDescent="0.3">
      <c r="E28" s="18"/>
    </row>
    <row r="29" spans="1:7" x14ac:dyDescent="0.3">
      <c r="D29" s="18" t="s">
        <v>646</v>
      </c>
      <c r="E29" s="56">
        <f>(E7+E8+E9)/E27</f>
        <v>0.42659550582862726</v>
      </c>
    </row>
    <row r="30" spans="1:7" x14ac:dyDescent="0.3">
      <c r="C30" s="58"/>
      <c r="D30" s="18" t="s">
        <v>647</v>
      </c>
      <c r="E30" s="56">
        <f>1-E29</f>
        <v>0.57340449417137274</v>
      </c>
    </row>
    <row r="33" spans="5:5" x14ac:dyDescent="0.3">
      <c r="E33" s="55"/>
    </row>
    <row r="34" spans="5:5" x14ac:dyDescent="0.3">
      <c r="E34"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1"/>
  <sheetViews>
    <sheetView tabSelected="1" zoomScale="85" zoomScaleNormal="85" workbookViewId="0"/>
  </sheetViews>
  <sheetFormatPr defaultColWidth="8.88671875" defaultRowHeight="14.4" x14ac:dyDescent="0.3"/>
  <cols>
    <col min="1" max="1" width="49.44140625" style="6" customWidth="1"/>
    <col min="2" max="2" width="36.44140625" style="6" customWidth="1"/>
    <col min="3" max="3" width="8.109375" style="6" bestFit="1" customWidth="1"/>
    <col min="4" max="4" width="10.44140625" style="6" customWidth="1"/>
    <col min="5" max="5" width="17.6640625" style="6" bestFit="1" customWidth="1"/>
    <col min="6" max="6" width="13.44140625" style="6" bestFit="1" customWidth="1"/>
    <col min="7" max="7" width="25.5546875" style="6" bestFit="1" customWidth="1"/>
    <col min="8" max="8" width="20.44140625" style="6" bestFit="1" customWidth="1"/>
    <col min="9" max="9" width="11" style="6" customWidth="1"/>
    <col min="10" max="10" width="13.6640625" style="6" bestFit="1" customWidth="1"/>
    <col min="11" max="11" width="10.88671875" style="6" customWidth="1"/>
    <col min="12" max="12" width="9.5546875" style="6" bestFit="1" customWidth="1"/>
    <col min="13" max="13" width="9.88671875" style="6" bestFit="1" customWidth="1"/>
  </cols>
  <sheetData>
    <row r="1" spans="1:14" x14ac:dyDescent="0.3">
      <c r="A1" s="7" t="s">
        <v>0</v>
      </c>
      <c r="B1" s="7" t="str">
        <f>Intro!B3</f>
        <v>LIB raw materials</v>
      </c>
    </row>
    <row r="2" spans="1:14" s="4" customFormat="1" x14ac:dyDescent="0.3">
      <c r="A2" s="8"/>
      <c r="B2" s="8"/>
      <c r="C2" s="8"/>
      <c r="D2" s="8"/>
      <c r="E2" s="8"/>
      <c r="F2" s="8"/>
      <c r="G2" s="8"/>
      <c r="H2" s="8"/>
      <c r="I2" s="8"/>
      <c r="J2" s="8"/>
      <c r="K2" s="8"/>
      <c r="L2" s="8"/>
      <c r="M2" s="8"/>
    </row>
    <row r="3" spans="1:14" s="1" customFormat="1" x14ac:dyDescent="0.3">
      <c r="A3" s="5" t="s">
        <v>1</v>
      </c>
      <c r="B3" s="5" t="s">
        <v>234</v>
      </c>
      <c r="C3" s="5"/>
      <c r="D3" s="5"/>
      <c r="E3" s="5"/>
      <c r="F3" s="5"/>
      <c r="G3" s="5"/>
      <c r="H3" s="5"/>
      <c r="I3" s="5"/>
      <c r="J3" s="5"/>
      <c r="K3" s="5"/>
      <c r="L3" s="5"/>
      <c r="M3" s="5"/>
    </row>
    <row r="4" spans="1:14" x14ac:dyDescent="0.3">
      <c r="A4" s="5" t="s">
        <v>6</v>
      </c>
      <c r="B4" s="6" t="s">
        <v>235</v>
      </c>
    </row>
    <row r="5" spans="1:14" x14ac:dyDescent="0.3">
      <c r="A5" s="5" t="s">
        <v>3</v>
      </c>
      <c r="B5" s="6" t="s">
        <v>82</v>
      </c>
    </row>
    <row r="6" spans="1:14" x14ac:dyDescent="0.3">
      <c r="A6" s="5" t="s">
        <v>5</v>
      </c>
      <c r="B6" s="6">
        <v>1</v>
      </c>
    </row>
    <row r="7" spans="1:14" x14ac:dyDescent="0.3">
      <c r="A7" s="5" t="s">
        <v>7</v>
      </c>
      <c r="B7" s="6" t="s">
        <v>8</v>
      </c>
    </row>
    <row r="8" spans="1:14" x14ac:dyDescent="0.3">
      <c r="A8" s="5" t="s">
        <v>2</v>
      </c>
      <c r="B8" s="6" t="s">
        <v>718</v>
      </c>
    </row>
    <row r="9" spans="1:14" x14ac:dyDescent="0.3">
      <c r="A9" s="5" t="s">
        <v>9</v>
      </c>
    </row>
    <row r="10" spans="1:14" s="1" customFormat="1" ht="15.75" customHeight="1" x14ac:dyDescent="0.3">
      <c r="A10" s="5" t="s">
        <v>10</v>
      </c>
      <c r="B10" s="5" t="s">
        <v>6</v>
      </c>
      <c r="C10" s="5" t="s">
        <v>3</v>
      </c>
      <c r="D10" s="5" t="s">
        <v>11</v>
      </c>
      <c r="E10" s="5" t="s">
        <v>7</v>
      </c>
      <c r="F10" s="5" t="s">
        <v>13</v>
      </c>
      <c r="G10" s="5" t="s">
        <v>12</v>
      </c>
      <c r="H10" s="5" t="s">
        <v>0</v>
      </c>
      <c r="I10" s="42" t="s">
        <v>656</v>
      </c>
      <c r="J10" s="42" t="s">
        <v>691</v>
      </c>
      <c r="K10" s="42" t="s">
        <v>657</v>
      </c>
      <c r="L10" s="42" t="s">
        <v>658</v>
      </c>
      <c r="M10" s="42" t="s">
        <v>659</v>
      </c>
      <c r="N10" s="5" t="s">
        <v>2</v>
      </c>
    </row>
    <row r="11" spans="1:14" x14ac:dyDescent="0.3">
      <c r="A11" s="6" t="s">
        <v>234</v>
      </c>
      <c r="B11" s="6" t="s">
        <v>235</v>
      </c>
      <c r="C11" s="6" t="s">
        <v>82</v>
      </c>
      <c r="D11" s="15">
        <v>1</v>
      </c>
      <c r="E11" s="6" t="s">
        <v>8</v>
      </c>
      <c r="F11" s="6" t="s">
        <v>14</v>
      </c>
      <c r="H11" s="6" t="str">
        <f>Intro!$B$3</f>
        <v>LIB raw materials</v>
      </c>
      <c r="J11"/>
    </row>
    <row r="12" spans="1:14" x14ac:dyDescent="0.3">
      <c r="A12" s="6" t="s">
        <v>232</v>
      </c>
      <c r="B12" s="6" t="s">
        <v>101</v>
      </c>
      <c r="C12" s="6" t="s">
        <v>82</v>
      </c>
      <c r="D12" s="15">
        <v>1.05</v>
      </c>
      <c r="E12" s="6" t="s">
        <v>8</v>
      </c>
      <c r="F12" s="6" t="s">
        <v>15</v>
      </c>
      <c r="H12" s="6" t="str">
        <f>Intro!$B$3</f>
        <v>LIB raw materials</v>
      </c>
      <c r="J12"/>
    </row>
    <row r="13" spans="1:14" x14ac:dyDescent="0.3">
      <c r="A13" s="6" t="s">
        <v>177</v>
      </c>
      <c r="B13" s="6" t="s">
        <v>29</v>
      </c>
      <c r="C13" s="6" t="s">
        <v>82</v>
      </c>
      <c r="D13" s="15">
        <f>5000/3.6/1000</f>
        <v>1.3888888888888888</v>
      </c>
      <c r="E13" s="6" t="s">
        <v>28</v>
      </c>
      <c r="F13" s="6" t="s">
        <v>15</v>
      </c>
      <c r="H13" s="6" t="str">
        <f>Intro!$B$4</f>
        <v>ecoinvent-3.10-cutoff</v>
      </c>
      <c r="I13" s="6">
        <v>2</v>
      </c>
      <c r="J13" t="s">
        <v>716</v>
      </c>
      <c r="N13" t="s">
        <v>253</v>
      </c>
    </row>
    <row r="14" spans="1:14" x14ac:dyDescent="0.3">
      <c r="A14" s="6" t="s">
        <v>79</v>
      </c>
      <c r="B14" s="6" t="s">
        <v>80</v>
      </c>
      <c r="C14" s="6" t="s">
        <v>24</v>
      </c>
      <c r="D14" s="26">
        <f>21*0.9</f>
        <v>18.900000000000002</v>
      </c>
      <c r="E14" s="6" t="s">
        <v>30</v>
      </c>
      <c r="F14" s="6" t="s">
        <v>15</v>
      </c>
      <c r="H14" s="6" t="str">
        <f>Intro!$B$4</f>
        <v>ecoinvent-3.10-cutoff</v>
      </c>
      <c r="I14" s="6">
        <v>2</v>
      </c>
      <c r="J14" t="s">
        <v>716</v>
      </c>
      <c r="N14" t="s">
        <v>258</v>
      </c>
    </row>
    <row r="15" spans="1:14" x14ac:dyDescent="0.3">
      <c r="A15" s="6" t="s">
        <v>31</v>
      </c>
      <c r="B15" s="6" t="s">
        <v>31</v>
      </c>
      <c r="C15" s="6" t="s">
        <v>18</v>
      </c>
      <c r="D15" s="15">
        <v>3</v>
      </c>
      <c r="E15" s="6" t="s">
        <v>30</v>
      </c>
      <c r="F15" s="6" t="s">
        <v>15</v>
      </c>
      <c r="H15" s="6" t="str">
        <f>Intro!$B$4</f>
        <v>ecoinvent-3.10-cutoff</v>
      </c>
      <c r="I15" s="6">
        <v>2</v>
      </c>
      <c r="J15" t="s">
        <v>716</v>
      </c>
    </row>
    <row r="16" spans="1:14" x14ac:dyDescent="0.3">
      <c r="A16" s="6" t="s">
        <v>214</v>
      </c>
      <c r="B16" s="6" t="s">
        <v>213</v>
      </c>
      <c r="C16" s="6" t="s">
        <v>24</v>
      </c>
      <c r="D16" s="15">
        <v>1.1499999999999999</v>
      </c>
      <c r="E16" s="6" t="s">
        <v>8</v>
      </c>
      <c r="F16" s="6" t="s">
        <v>15</v>
      </c>
      <c r="H16" s="6" t="str">
        <f>Intro!$B$4</f>
        <v>ecoinvent-3.10-cutoff</v>
      </c>
      <c r="I16" s="6">
        <v>2</v>
      </c>
      <c r="J16" t="s">
        <v>716</v>
      </c>
    </row>
    <row r="17" spans="1:14" x14ac:dyDescent="0.3">
      <c r="A17" s="6" t="s">
        <v>49</v>
      </c>
      <c r="B17" s="6" t="s">
        <v>50</v>
      </c>
      <c r="C17" s="6" t="s">
        <v>24</v>
      </c>
      <c r="D17" s="15">
        <f>0.5/997</f>
        <v>5.0150451354062187E-4</v>
      </c>
      <c r="E17" s="6" t="s">
        <v>8</v>
      </c>
      <c r="F17" s="6" t="s">
        <v>15</v>
      </c>
      <c r="H17" s="6" t="str">
        <f>Intro!$B$4</f>
        <v>ecoinvent-3.10-cutoff</v>
      </c>
      <c r="I17" s="6">
        <v>2</v>
      </c>
      <c r="J17" t="s">
        <v>716</v>
      </c>
    </row>
    <row r="18" spans="1:14" x14ac:dyDescent="0.3">
      <c r="A18" s="6" t="s">
        <v>174</v>
      </c>
      <c r="D18" s="14">
        <f>100/1000000</f>
        <v>1E-4</v>
      </c>
      <c r="E18" s="6" t="s">
        <v>8</v>
      </c>
      <c r="F18" s="6" t="s">
        <v>39</v>
      </c>
      <c r="G18" s="6" t="s">
        <v>180</v>
      </c>
      <c r="H18" s="6" t="s">
        <v>84</v>
      </c>
      <c r="I18" s="6">
        <v>2</v>
      </c>
      <c r="J18" t="s">
        <v>716</v>
      </c>
    </row>
    <row r="19" spans="1:14" x14ac:dyDescent="0.3">
      <c r="A19" s="6" t="s">
        <v>175</v>
      </c>
      <c r="D19" s="14">
        <f>50/1000000</f>
        <v>5.0000000000000002E-5</v>
      </c>
      <c r="E19" s="6" t="s">
        <v>8</v>
      </c>
      <c r="F19" s="6" t="s">
        <v>39</v>
      </c>
      <c r="G19" s="6" t="s">
        <v>180</v>
      </c>
      <c r="H19" s="6" t="s">
        <v>84</v>
      </c>
      <c r="I19" s="6">
        <v>2</v>
      </c>
      <c r="J19" t="s">
        <v>716</v>
      </c>
    </row>
    <row r="20" spans="1:14" s="4" customFormat="1" x14ac:dyDescent="0.3">
      <c r="A20" s="8"/>
      <c r="B20" s="8"/>
      <c r="C20" s="8"/>
      <c r="D20" s="8"/>
      <c r="E20" s="8"/>
      <c r="F20" s="8"/>
      <c r="G20" s="8"/>
      <c r="H20" s="8"/>
      <c r="I20" s="8"/>
      <c r="J20" s="8"/>
      <c r="K20" s="8"/>
      <c r="L20" s="8"/>
      <c r="M20" s="8"/>
    </row>
    <row r="21" spans="1:14" s="1" customFormat="1" x14ac:dyDescent="0.3">
      <c r="A21" s="5" t="s">
        <v>1</v>
      </c>
      <c r="B21" s="5" t="s">
        <v>232</v>
      </c>
      <c r="C21" s="5"/>
      <c r="D21" s="5"/>
      <c r="E21" s="5"/>
      <c r="F21" s="5"/>
      <c r="G21" s="5"/>
      <c r="H21" s="5"/>
      <c r="I21" s="5"/>
      <c r="J21" s="5"/>
      <c r="K21" s="5"/>
      <c r="L21" s="5"/>
      <c r="M21" s="5"/>
    </row>
    <row r="22" spans="1:14" x14ac:dyDescent="0.3">
      <c r="A22" s="5" t="s">
        <v>6</v>
      </c>
      <c r="B22" s="6" t="s">
        <v>101</v>
      </c>
    </row>
    <row r="23" spans="1:14" x14ac:dyDescent="0.3">
      <c r="A23" s="5" t="s">
        <v>3</v>
      </c>
      <c r="B23" s="6" t="s">
        <v>82</v>
      </c>
    </row>
    <row r="24" spans="1:14" x14ac:dyDescent="0.3">
      <c r="A24" s="5" t="s">
        <v>5</v>
      </c>
      <c r="B24" s="6">
        <v>1</v>
      </c>
    </row>
    <row r="25" spans="1:14" x14ac:dyDescent="0.3">
      <c r="A25" s="5" t="s">
        <v>7</v>
      </c>
      <c r="B25" s="6" t="s">
        <v>8</v>
      </c>
    </row>
    <row r="26" spans="1:14" x14ac:dyDescent="0.3">
      <c r="A26" s="5" t="s">
        <v>2</v>
      </c>
      <c r="B26" s="6" t="s">
        <v>102</v>
      </c>
    </row>
    <row r="27" spans="1:14" x14ac:dyDescent="0.3">
      <c r="A27" s="5" t="s">
        <v>9</v>
      </c>
    </row>
    <row r="28" spans="1:14" s="1" customFormat="1" x14ac:dyDescent="0.3">
      <c r="A28" s="5" t="s">
        <v>10</v>
      </c>
      <c r="B28" s="5" t="s">
        <v>6</v>
      </c>
      <c r="C28" s="5" t="s">
        <v>3</v>
      </c>
      <c r="D28" s="5" t="s">
        <v>11</v>
      </c>
      <c r="E28" s="5" t="s">
        <v>7</v>
      </c>
      <c r="F28" s="5" t="s">
        <v>13</v>
      </c>
      <c r="G28" s="5" t="s">
        <v>12</v>
      </c>
      <c r="H28" s="5" t="s">
        <v>0</v>
      </c>
      <c r="I28" s="42" t="s">
        <v>656</v>
      </c>
      <c r="J28" s="42" t="s">
        <v>691</v>
      </c>
      <c r="K28" s="42" t="s">
        <v>657</v>
      </c>
      <c r="L28" s="42" t="s">
        <v>658</v>
      </c>
      <c r="M28" s="42" t="s">
        <v>659</v>
      </c>
      <c r="N28" s="5" t="s">
        <v>2</v>
      </c>
    </row>
    <row r="29" spans="1:14" x14ac:dyDescent="0.3">
      <c r="A29" s="6" t="s">
        <v>232</v>
      </c>
      <c r="B29" s="6" t="s">
        <v>101</v>
      </c>
      <c r="C29" s="6" t="s">
        <v>82</v>
      </c>
      <c r="D29" s="15">
        <v>1</v>
      </c>
      <c r="E29" s="6" t="s">
        <v>8</v>
      </c>
      <c r="F29" s="6" t="s">
        <v>14</v>
      </c>
      <c r="H29" s="6" t="str">
        <f>Intro!$B$3</f>
        <v>LIB raw materials</v>
      </c>
    </row>
    <row r="30" spans="1:14" x14ac:dyDescent="0.3">
      <c r="A30" s="6" t="s">
        <v>233</v>
      </c>
      <c r="B30" s="6" t="s">
        <v>162</v>
      </c>
      <c r="C30" s="6" t="s">
        <v>82</v>
      </c>
      <c r="D30" s="15">
        <v>21.79506169541488</v>
      </c>
      <c r="E30" s="6" t="s">
        <v>8</v>
      </c>
      <c r="F30" s="6" t="s">
        <v>15</v>
      </c>
      <c r="H30" s="6" t="str">
        <f>Intro!$B$3</f>
        <v>LIB raw materials</v>
      </c>
      <c r="I30" s="6">
        <v>5</v>
      </c>
      <c r="K30" s="15">
        <f>D30</f>
        <v>21.79506169541488</v>
      </c>
      <c r="L30" s="15">
        <f>K30*(1-0.3)</f>
        <v>15.256543186790415</v>
      </c>
      <c r="M30" s="15">
        <f>K30*(1+0.3)</f>
        <v>28.333580204039343</v>
      </c>
      <c r="N30" t="s">
        <v>684</v>
      </c>
    </row>
    <row r="31" spans="1:14" x14ac:dyDescent="0.3">
      <c r="A31" s="6" t="s">
        <v>177</v>
      </c>
      <c r="B31" s="6" t="s">
        <v>29</v>
      </c>
      <c r="C31" s="6" t="s">
        <v>82</v>
      </c>
      <c r="D31" s="15">
        <v>0.4145329784893011</v>
      </c>
      <c r="E31" s="6" t="s">
        <v>28</v>
      </c>
      <c r="F31" s="6" t="s">
        <v>15</v>
      </c>
      <c r="H31" s="6" t="str">
        <f>Intro!$B$4</f>
        <v>ecoinvent-3.10-cutoff</v>
      </c>
      <c r="I31" s="6">
        <v>2</v>
      </c>
      <c r="J31" s="6" t="s">
        <v>710</v>
      </c>
      <c r="N31" t="s">
        <v>712</v>
      </c>
    </row>
    <row r="32" spans="1:14" x14ac:dyDescent="0.3">
      <c r="A32" s="6" t="s">
        <v>79</v>
      </c>
      <c r="B32" s="6" t="s">
        <v>80</v>
      </c>
      <c r="C32" s="6" t="s">
        <v>24</v>
      </c>
      <c r="D32" s="15">
        <v>22.867800020038139</v>
      </c>
      <c r="E32" s="6" t="s">
        <v>30</v>
      </c>
      <c r="F32" s="6" t="s">
        <v>15</v>
      </c>
      <c r="H32" s="6" t="str">
        <f>Intro!$B$4</f>
        <v>ecoinvent-3.10-cutoff</v>
      </c>
      <c r="I32" s="6">
        <v>5</v>
      </c>
      <c r="K32" s="15">
        <f>D32</f>
        <v>22.867800020038139</v>
      </c>
      <c r="L32" s="15">
        <f>K32*(1-0.3)</f>
        <v>16.007460014026698</v>
      </c>
      <c r="M32" s="15">
        <f>K32*(1+0.3)</f>
        <v>29.72814002604958</v>
      </c>
      <c r="N32" t="s">
        <v>688</v>
      </c>
    </row>
    <row r="33" spans="1:15" x14ac:dyDescent="0.3">
      <c r="A33" s="6" t="s">
        <v>165</v>
      </c>
      <c r="B33" s="6" t="s">
        <v>166</v>
      </c>
      <c r="C33" s="6" t="s">
        <v>24</v>
      </c>
      <c r="D33" s="15">
        <v>2.0487995361037497</v>
      </c>
      <c r="E33" s="6" t="s">
        <v>8</v>
      </c>
      <c r="F33" s="6" t="s">
        <v>15</v>
      </c>
      <c r="H33" s="6" t="str">
        <f>Intro!$B$4</f>
        <v>ecoinvent-3.10-cutoff</v>
      </c>
      <c r="I33" s="6">
        <v>5</v>
      </c>
      <c r="K33" s="15">
        <f>D33</f>
        <v>2.0487995361037497</v>
      </c>
      <c r="L33" s="15">
        <f>K33*(1-0.3)</f>
        <v>1.4341596752726247</v>
      </c>
      <c r="M33" s="15">
        <f>K33*(1+0.3)</f>
        <v>2.6634393969348746</v>
      </c>
      <c r="N33" t="s">
        <v>689</v>
      </c>
    </row>
    <row r="34" spans="1:15" x14ac:dyDescent="0.3">
      <c r="A34" s="6" t="s">
        <v>83</v>
      </c>
      <c r="D34" s="15">
        <v>2.9466740911820659E-2</v>
      </c>
      <c r="E34" s="6" t="s">
        <v>43</v>
      </c>
      <c r="F34" s="6" t="s">
        <v>39</v>
      </c>
      <c r="G34" s="6" t="s">
        <v>78</v>
      </c>
      <c r="H34" s="6" t="str">
        <f>Intro!$B$5</f>
        <v>ecoinvent-3.10-biosphere</v>
      </c>
      <c r="I34" s="6">
        <v>5</v>
      </c>
      <c r="K34" s="15">
        <f>D34</f>
        <v>2.9466740911820659E-2</v>
      </c>
      <c r="L34" s="15">
        <f>K34*(1-0.3)</f>
        <v>2.062671863827446E-2</v>
      </c>
      <c r="M34" s="15">
        <f>K34*(1+0.3)</f>
        <v>3.8306763185366854E-2</v>
      </c>
      <c r="N34" s="6" t="s">
        <v>690</v>
      </c>
    </row>
    <row r="35" spans="1:15" s="4" customFormat="1" x14ac:dyDescent="0.3">
      <c r="A35" s="8"/>
      <c r="B35" s="8"/>
      <c r="C35" s="8"/>
      <c r="D35" s="8"/>
      <c r="E35" s="8"/>
      <c r="F35" s="8"/>
      <c r="G35" s="8"/>
      <c r="H35" s="8"/>
      <c r="I35" s="8"/>
      <c r="J35" s="8"/>
      <c r="K35" s="8"/>
      <c r="L35" s="8"/>
      <c r="M35" s="8"/>
    </row>
    <row r="36" spans="1:15" x14ac:dyDescent="0.3">
      <c r="A36" s="5" t="s">
        <v>1</v>
      </c>
      <c r="B36" s="5" t="s">
        <v>233</v>
      </c>
      <c r="C36" s="5"/>
      <c r="D36" s="5"/>
      <c r="E36" s="5"/>
      <c r="F36" s="5"/>
      <c r="G36" s="5"/>
      <c r="H36" s="5"/>
      <c r="I36" s="5"/>
      <c r="J36" s="5"/>
      <c r="K36" s="5"/>
      <c r="L36" s="5"/>
      <c r="M36" s="5"/>
      <c r="N36" s="1"/>
      <c r="O36" s="1"/>
    </row>
    <row r="37" spans="1:15" x14ac:dyDescent="0.3">
      <c r="A37" s="5" t="s">
        <v>6</v>
      </c>
      <c r="B37" s="6" t="s">
        <v>162</v>
      </c>
    </row>
    <row r="38" spans="1:15" x14ac:dyDescent="0.3">
      <c r="A38" s="5" t="s">
        <v>3</v>
      </c>
      <c r="B38" s="6" t="s">
        <v>82</v>
      </c>
    </row>
    <row r="39" spans="1:15" x14ac:dyDescent="0.3">
      <c r="A39" s="5" t="s">
        <v>5</v>
      </c>
      <c r="B39" s="6">
        <v>1</v>
      </c>
    </row>
    <row r="40" spans="1:15" x14ac:dyDescent="0.3">
      <c r="A40" s="5" t="s">
        <v>7</v>
      </c>
      <c r="B40" s="6" t="s">
        <v>8</v>
      </c>
    </row>
    <row r="41" spans="1:15" x14ac:dyDescent="0.3">
      <c r="A41" s="5" t="s">
        <v>2</v>
      </c>
      <c r="B41" s="6" t="s">
        <v>161</v>
      </c>
    </row>
    <row r="42" spans="1:15" x14ac:dyDescent="0.3">
      <c r="A42" s="5" t="s">
        <v>9</v>
      </c>
    </row>
    <row r="43" spans="1:15" x14ac:dyDescent="0.3">
      <c r="A43" s="5" t="s">
        <v>10</v>
      </c>
      <c r="B43" s="5" t="s">
        <v>6</v>
      </c>
      <c r="C43" s="5" t="s">
        <v>3</v>
      </c>
      <c r="D43" s="5" t="s">
        <v>11</v>
      </c>
      <c r="E43" s="5" t="s">
        <v>7</v>
      </c>
      <c r="F43" s="5" t="s">
        <v>13</v>
      </c>
      <c r="G43" s="5" t="s">
        <v>12</v>
      </c>
      <c r="H43" s="5" t="s">
        <v>0</v>
      </c>
      <c r="I43" s="42" t="s">
        <v>656</v>
      </c>
      <c r="J43" s="42" t="s">
        <v>691</v>
      </c>
      <c r="K43" s="42" t="s">
        <v>657</v>
      </c>
      <c r="L43" s="42" t="s">
        <v>658</v>
      </c>
      <c r="M43" s="42" t="s">
        <v>659</v>
      </c>
      <c r="N43" s="5" t="s">
        <v>2</v>
      </c>
    </row>
    <row r="44" spans="1:15" ht="16.5" customHeight="1" x14ac:dyDescent="0.3">
      <c r="A44" s="6" t="s">
        <v>233</v>
      </c>
      <c r="B44" s="6" t="s">
        <v>162</v>
      </c>
      <c r="C44" s="6" t="s">
        <v>82</v>
      </c>
      <c r="D44" s="6">
        <v>1</v>
      </c>
      <c r="E44" s="6" t="s">
        <v>8</v>
      </c>
      <c r="F44" s="6" t="s">
        <v>14</v>
      </c>
      <c r="H44" s="6" t="str">
        <f>Intro!$B$3</f>
        <v>LIB raw materials</v>
      </c>
    </row>
    <row r="45" spans="1:15" x14ac:dyDescent="0.3">
      <c r="A45" s="6" t="s">
        <v>231</v>
      </c>
      <c r="B45" s="6" t="s">
        <v>87</v>
      </c>
      <c r="C45" s="6" t="s">
        <v>82</v>
      </c>
      <c r="D45" s="11">
        <v>0.16875852888636439</v>
      </c>
      <c r="E45" s="6" t="s">
        <v>8</v>
      </c>
      <c r="F45" s="6" t="s">
        <v>15</v>
      </c>
      <c r="H45" s="6" t="str">
        <f>Intro!$B$3</f>
        <v>LIB raw materials</v>
      </c>
      <c r="I45" s="6">
        <v>5</v>
      </c>
      <c r="K45" s="15">
        <f>D45</f>
        <v>0.16875852888636439</v>
      </c>
      <c r="L45" s="15">
        <f>K45*(1-0.3)</f>
        <v>0.11813097022045506</v>
      </c>
      <c r="M45" s="15">
        <f>K45*(1+0.3)</f>
        <v>0.21938608755227371</v>
      </c>
      <c r="N45" t="s">
        <v>684</v>
      </c>
    </row>
    <row r="46" spans="1:15" x14ac:dyDescent="0.3">
      <c r="A46" s="6" t="s">
        <v>177</v>
      </c>
      <c r="B46" s="6" t="s">
        <v>29</v>
      </c>
      <c r="C46" s="6" t="s">
        <v>82</v>
      </c>
      <c r="D46" s="6">
        <v>1.1850367131328013E-3</v>
      </c>
      <c r="E46" s="6" t="s">
        <v>28</v>
      </c>
      <c r="F46" s="6" t="s">
        <v>15</v>
      </c>
      <c r="H46" s="6" t="str">
        <f>Intro!$B$4</f>
        <v>ecoinvent-3.10-cutoff</v>
      </c>
      <c r="I46" s="6">
        <v>2</v>
      </c>
      <c r="J46" s="6" t="s">
        <v>710</v>
      </c>
      <c r="N46" t="s">
        <v>711</v>
      </c>
    </row>
    <row r="47" spans="1:15" x14ac:dyDescent="0.3">
      <c r="A47" s="6" t="s">
        <v>79</v>
      </c>
      <c r="B47" s="6" t="s">
        <v>80</v>
      </c>
      <c r="C47" s="6" t="s">
        <v>24</v>
      </c>
      <c r="D47" s="6">
        <v>5.3212383280761087E-3</v>
      </c>
      <c r="E47" s="6" t="s">
        <v>30</v>
      </c>
      <c r="F47" s="6" t="s">
        <v>15</v>
      </c>
      <c r="H47" s="6" t="str">
        <f>Intro!$B$4</f>
        <v>ecoinvent-3.10-cutoff</v>
      </c>
      <c r="I47" s="6">
        <v>5</v>
      </c>
      <c r="K47" s="15">
        <f>D47</f>
        <v>5.3212383280761087E-3</v>
      </c>
      <c r="L47" s="15">
        <f>K47*(1-0.3)</f>
        <v>3.7248668296532756E-3</v>
      </c>
      <c r="M47" s="15">
        <f>K47*(1+0.3)</f>
        <v>6.9176098264989412E-3</v>
      </c>
      <c r="N47" t="s">
        <v>684</v>
      </c>
    </row>
    <row r="48" spans="1:15" x14ac:dyDescent="0.3">
      <c r="A48" s="6" t="s">
        <v>99</v>
      </c>
      <c r="B48" s="6" t="s">
        <v>100</v>
      </c>
      <c r="C48" s="6" t="s">
        <v>24</v>
      </c>
      <c r="D48" s="6">
        <v>1.8276552313448999E-3</v>
      </c>
      <c r="E48" s="6" t="s">
        <v>8</v>
      </c>
      <c r="F48" s="6" t="s">
        <v>15</v>
      </c>
      <c r="H48" s="6" t="str">
        <f>Intro!$B$4</f>
        <v>ecoinvent-3.10-cutoff</v>
      </c>
      <c r="I48" s="6">
        <v>5</v>
      </c>
      <c r="K48" s="15">
        <f>D48</f>
        <v>1.8276552313448999E-3</v>
      </c>
      <c r="L48" s="15">
        <f>K48*(1-0.3)</f>
        <v>1.2793586619414298E-3</v>
      </c>
      <c r="M48" s="15">
        <f>K48*(1+0.3)</f>
        <v>2.3759518007483698E-3</v>
      </c>
      <c r="N48" t="s">
        <v>684</v>
      </c>
    </row>
    <row r="49" spans="1:14" x14ac:dyDescent="0.3">
      <c r="A49" s="6" t="s">
        <v>165</v>
      </c>
      <c r="B49" s="6" t="s">
        <v>166</v>
      </c>
      <c r="C49" s="6" t="s">
        <v>24</v>
      </c>
      <c r="D49" s="6">
        <v>1.3467161338811401E-2</v>
      </c>
      <c r="E49" s="6" t="s">
        <v>8</v>
      </c>
      <c r="F49" s="6" t="s">
        <v>15</v>
      </c>
      <c r="H49" s="6" t="str">
        <f>Intro!$B$4</f>
        <v>ecoinvent-3.10-cutoff</v>
      </c>
      <c r="I49" s="6">
        <v>5</v>
      </c>
      <c r="K49" s="15">
        <f>D49</f>
        <v>1.3467161338811401E-2</v>
      </c>
      <c r="L49" s="15">
        <f>K49*(1-0.1)</f>
        <v>1.2120445204930261E-2</v>
      </c>
      <c r="M49" s="15">
        <f>K49*(1+0.1)</f>
        <v>1.4813877472692543E-2</v>
      </c>
      <c r="N49" t="s">
        <v>687</v>
      </c>
    </row>
    <row r="50" spans="1:14" x14ac:dyDescent="0.3">
      <c r="A50" s="6" t="s">
        <v>45</v>
      </c>
      <c r="B50" s="6" t="s">
        <v>46</v>
      </c>
      <c r="C50" s="6" t="s">
        <v>24</v>
      </c>
      <c r="D50" s="6">
        <v>4.6626447061508796E-3</v>
      </c>
      <c r="E50" s="6" t="s">
        <v>8</v>
      </c>
      <c r="F50" s="6" t="s">
        <v>15</v>
      </c>
      <c r="H50" s="6" t="str">
        <f>Intro!$B$4</f>
        <v>ecoinvent-3.10-cutoff</v>
      </c>
      <c r="I50" s="6">
        <v>5</v>
      </c>
      <c r="K50" s="15">
        <f>D50</f>
        <v>4.6626447061508796E-3</v>
      </c>
      <c r="L50" s="15">
        <f>K50*(1-0.5)</f>
        <v>2.3313223530754398E-3</v>
      </c>
      <c r="M50" s="15">
        <f>K50*(1+0.5)</f>
        <v>6.9939670592263194E-3</v>
      </c>
      <c r="N50" t="s">
        <v>686</v>
      </c>
    </row>
    <row r="51" spans="1:14" x14ac:dyDescent="0.3">
      <c r="A51" s="6" t="s">
        <v>97</v>
      </c>
      <c r="B51" s="6" t="s">
        <v>98</v>
      </c>
      <c r="C51" s="6" t="s">
        <v>24</v>
      </c>
      <c r="D51" s="6">
        <v>2.5177683745143077E-3</v>
      </c>
      <c r="E51" s="6" t="s">
        <v>8</v>
      </c>
      <c r="F51" s="6" t="s">
        <v>15</v>
      </c>
      <c r="H51" s="6" t="str">
        <f>Intro!$B$4</f>
        <v>ecoinvent-3.10-cutoff</v>
      </c>
      <c r="I51" s="6">
        <v>5</v>
      </c>
      <c r="K51" s="15">
        <f>D51</f>
        <v>2.5177683745143077E-3</v>
      </c>
      <c r="L51" s="15">
        <f>K51*(1-0.5)</f>
        <v>1.2588841872571538E-3</v>
      </c>
      <c r="M51" s="15">
        <f>K51*(1+0.5)</f>
        <v>3.7766525617714615E-3</v>
      </c>
      <c r="N51" t="s">
        <v>686</v>
      </c>
    </row>
    <row r="52" spans="1:14" x14ac:dyDescent="0.3">
      <c r="A52" s="6" t="s">
        <v>85</v>
      </c>
      <c r="B52" s="6" t="s">
        <v>86</v>
      </c>
      <c r="C52" s="6" t="s">
        <v>24</v>
      </c>
      <c r="D52" s="6">
        <f>0.00417577610014538*2</f>
        <v>8.3515522002907596E-3</v>
      </c>
      <c r="E52" s="6" t="s">
        <v>8</v>
      </c>
      <c r="F52" s="6" t="s">
        <v>15</v>
      </c>
      <c r="H52" s="6" t="str">
        <f>Intro!$B$4</f>
        <v>ecoinvent-3.10-cutoff</v>
      </c>
      <c r="I52" s="6">
        <v>2</v>
      </c>
      <c r="J52" s="6" t="s">
        <v>708</v>
      </c>
      <c r="N52" t="s">
        <v>709</v>
      </c>
    </row>
    <row r="53" spans="1:14" x14ac:dyDescent="0.3">
      <c r="A53" s="6" t="s">
        <v>83</v>
      </c>
      <c r="D53" s="6">
        <v>1.0681303400421702E-5</v>
      </c>
      <c r="E53" s="6" t="s">
        <v>43</v>
      </c>
      <c r="F53" s="6" t="s">
        <v>39</v>
      </c>
      <c r="G53" s="6" t="s">
        <v>78</v>
      </c>
      <c r="H53" s="6" t="str">
        <f>Intro!$B$5</f>
        <v>ecoinvent-3.10-biosphere</v>
      </c>
      <c r="N53" t="s">
        <v>164</v>
      </c>
    </row>
    <row r="54" spans="1:14" s="4" customFormat="1" x14ac:dyDescent="0.3">
      <c r="A54" s="8"/>
      <c r="B54" s="8"/>
      <c r="C54" s="8"/>
      <c r="D54" s="8"/>
      <c r="E54" s="8"/>
      <c r="F54" s="8"/>
      <c r="G54" s="8"/>
      <c r="H54" s="8"/>
      <c r="I54" s="8"/>
      <c r="J54" s="8"/>
      <c r="K54" s="8"/>
      <c r="L54" s="8"/>
      <c r="M54" s="8"/>
    </row>
    <row r="55" spans="1:14" s="1" customFormat="1" x14ac:dyDescent="0.3">
      <c r="A55" s="5" t="s">
        <v>1</v>
      </c>
      <c r="B55" s="5" t="s">
        <v>231</v>
      </c>
      <c r="C55" s="5"/>
      <c r="D55" s="5"/>
      <c r="E55" s="5"/>
      <c r="F55" s="5"/>
      <c r="G55" s="5"/>
      <c r="H55" s="5"/>
      <c r="I55" s="5"/>
      <c r="J55" s="5"/>
      <c r="K55" s="5"/>
      <c r="L55" s="5"/>
      <c r="M55" s="5"/>
    </row>
    <row r="56" spans="1:14" x14ac:dyDescent="0.3">
      <c r="A56" s="5" t="s">
        <v>6</v>
      </c>
      <c r="B56" s="6" t="s">
        <v>87</v>
      </c>
    </row>
    <row r="57" spans="1:14" x14ac:dyDescent="0.3">
      <c r="A57" s="5" t="s">
        <v>3</v>
      </c>
      <c r="B57" s="6" t="s">
        <v>82</v>
      </c>
    </row>
    <row r="58" spans="1:14" x14ac:dyDescent="0.3">
      <c r="A58" s="5" t="s">
        <v>5</v>
      </c>
      <c r="B58" s="6">
        <v>1</v>
      </c>
      <c r="D58" s="14"/>
    </row>
    <row r="59" spans="1:14" ht="14.1" customHeight="1" x14ac:dyDescent="0.3">
      <c r="A59" s="5" t="s">
        <v>7</v>
      </c>
      <c r="B59" s="6" t="s">
        <v>8</v>
      </c>
    </row>
    <row r="60" spans="1:14" x14ac:dyDescent="0.3">
      <c r="A60" s="5" t="s">
        <v>2</v>
      </c>
      <c r="B60" s="6" t="s">
        <v>230</v>
      </c>
    </row>
    <row r="61" spans="1:14" x14ac:dyDescent="0.3">
      <c r="A61" s="5" t="s">
        <v>9</v>
      </c>
    </row>
    <row r="62" spans="1:14" x14ac:dyDescent="0.3">
      <c r="A62" s="5" t="s">
        <v>10</v>
      </c>
      <c r="B62" s="5" t="s">
        <v>6</v>
      </c>
      <c r="C62" s="5" t="s">
        <v>3</v>
      </c>
      <c r="D62" s="5" t="s">
        <v>11</v>
      </c>
      <c r="E62" s="5" t="s">
        <v>7</v>
      </c>
      <c r="F62" s="5" t="s">
        <v>13</v>
      </c>
      <c r="G62" s="5" t="s">
        <v>12</v>
      </c>
      <c r="H62" s="5" t="s">
        <v>0</v>
      </c>
      <c r="I62" s="42" t="s">
        <v>656</v>
      </c>
      <c r="J62" s="42" t="s">
        <v>691</v>
      </c>
      <c r="K62" s="42" t="s">
        <v>657</v>
      </c>
      <c r="L62" s="42" t="s">
        <v>658</v>
      </c>
      <c r="M62" s="42" t="s">
        <v>659</v>
      </c>
      <c r="N62" s="5" t="s">
        <v>2</v>
      </c>
    </row>
    <row r="63" spans="1:14" x14ac:dyDescent="0.3">
      <c r="A63" s="6" t="s">
        <v>231</v>
      </c>
      <c r="B63" s="6" t="s">
        <v>87</v>
      </c>
      <c r="C63" s="6" t="s">
        <v>82</v>
      </c>
      <c r="D63" s="15">
        <v>1</v>
      </c>
      <c r="E63" s="6" t="s">
        <v>8</v>
      </c>
      <c r="F63" s="6" t="s">
        <v>14</v>
      </c>
      <c r="H63" s="6" t="str">
        <f>Intro!$B$3</f>
        <v>LIB raw materials</v>
      </c>
    </row>
    <row r="64" spans="1:14" x14ac:dyDescent="0.3">
      <c r="A64" s="6" t="s">
        <v>160</v>
      </c>
      <c r="B64" s="6" t="s">
        <v>163</v>
      </c>
      <c r="C64" s="6" t="s">
        <v>82</v>
      </c>
      <c r="D64" s="15">
        <v>2.9303319749086187E-3</v>
      </c>
      <c r="E64" s="6" t="s">
        <v>28</v>
      </c>
      <c r="F64" s="6" t="s">
        <v>15</v>
      </c>
      <c r="H64" s="6" t="str">
        <f>Intro!$B$4</f>
        <v>ecoinvent-3.10-cutoff</v>
      </c>
      <c r="I64" s="6">
        <v>5</v>
      </c>
      <c r="K64" s="15">
        <f>D64</f>
        <v>2.9303319749086187E-3</v>
      </c>
      <c r="L64" s="15">
        <f>K64*(1-0.15)</f>
        <v>2.4907821786723256E-3</v>
      </c>
      <c r="M64" s="15">
        <f>K64*(1+0.15)</f>
        <v>3.3698817711449113E-3</v>
      </c>
      <c r="N64" t="s">
        <v>683</v>
      </c>
    </row>
    <row r="65" spans="1:14" x14ac:dyDescent="0.3">
      <c r="A65" s="6" t="s">
        <v>88</v>
      </c>
      <c r="B65" s="6" t="s">
        <v>88</v>
      </c>
      <c r="C65" s="6" t="s">
        <v>18</v>
      </c>
      <c r="D65" s="14">
        <v>1.6088665933519349E-4</v>
      </c>
      <c r="E65" s="6" t="s">
        <v>89</v>
      </c>
      <c r="F65" s="6" t="s">
        <v>15</v>
      </c>
      <c r="H65" s="6" t="str">
        <f>Intro!$B$4</f>
        <v>ecoinvent-3.10-cutoff</v>
      </c>
      <c r="I65" s="6">
        <v>2</v>
      </c>
      <c r="J65" s="6" t="s">
        <v>702</v>
      </c>
      <c r="K65" s="14"/>
      <c r="N65" t="s">
        <v>703</v>
      </c>
    </row>
    <row r="66" spans="1:14" x14ac:dyDescent="0.3">
      <c r="A66" s="6" t="s">
        <v>90</v>
      </c>
      <c r="B66" s="6" t="s">
        <v>90</v>
      </c>
      <c r="C66" s="6" t="s">
        <v>24</v>
      </c>
      <c r="D66" s="15">
        <v>0.24</v>
      </c>
      <c r="E66" s="6" t="s">
        <v>17</v>
      </c>
      <c r="F66" s="6" t="s">
        <v>15</v>
      </c>
      <c r="H66" s="6" t="str">
        <f>Intro!$B$4</f>
        <v>ecoinvent-3.10-cutoff</v>
      </c>
      <c r="I66" s="6">
        <v>5</v>
      </c>
      <c r="K66" s="15">
        <f>D66</f>
        <v>0.24</v>
      </c>
      <c r="L66" s="15">
        <f>K66*(1-0.3)</f>
        <v>0.16799999999999998</v>
      </c>
      <c r="M66" s="15">
        <f>K66*(1+0.3)</f>
        <v>0.312</v>
      </c>
      <c r="N66" t="s">
        <v>685</v>
      </c>
    </row>
    <row r="67" spans="1:14" x14ac:dyDescent="0.3">
      <c r="A67" s="6" t="s">
        <v>103</v>
      </c>
      <c r="D67" s="15">
        <v>0.1055414191739782</v>
      </c>
      <c r="E67" s="6" t="s">
        <v>8</v>
      </c>
      <c r="F67" s="6" t="s">
        <v>39</v>
      </c>
      <c r="G67" s="6" t="s">
        <v>78</v>
      </c>
      <c r="H67" s="6" t="str">
        <f>Intro!$B$5</f>
        <v>ecoinvent-3.10-biosphere</v>
      </c>
      <c r="I67" s="6">
        <v>5</v>
      </c>
      <c r="K67" s="15">
        <f>D67</f>
        <v>0.1055414191739782</v>
      </c>
      <c r="L67" s="15">
        <f>K67*(1-0.3)</f>
        <v>7.3878993421784736E-2</v>
      </c>
      <c r="M67" s="15">
        <f>K67*(1+0.3)</f>
        <v>0.13720384492617166</v>
      </c>
      <c r="N67" t="s">
        <v>684</v>
      </c>
    </row>
    <row r="68" spans="1:14" x14ac:dyDescent="0.3">
      <c r="A68" s="6" t="s">
        <v>91</v>
      </c>
      <c r="D68" s="14">
        <v>2.2033311689119981E-10</v>
      </c>
      <c r="E68" s="6" t="s">
        <v>92</v>
      </c>
      <c r="F68" s="6" t="s">
        <v>39</v>
      </c>
      <c r="G68" s="6" t="s">
        <v>93</v>
      </c>
      <c r="H68" s="6" t="str">
        <f>Intro!$B$5</f>
        <v>ecoinvent-3.10-biosphere</v>
      </c>
      <c r="I68" s="6">
        <v>2</v>
      </c>
      <c r="J68" s="6" t="s">
        <v>706</v>
      </c>
      <c r="K68" s="14"/>
      <c r="N68" t="s">
        <v>703</v>
      </c>
    </row>
    <row r="69" spans="1:14" x14ac:dyDescent="0.3">
      <c r="A69" s="6" t="s">
        <v>94</v>
      </c>
      <c r="D69" s="14">
        <v>5.5083279222799941E-12</v>
      </c>
      <c r="E69" s="6" t="s">
        <v>95</v>
      </c>
      <c r="F69" s="6" t="s">
        <v>39</v>
      </c>
      <c r="G69" s="6" t="s">
        <v>93</v>
      </c>
      <c r="H69" s="6" t="str">
        <f>Intro!$B$5</f>
        <v>ecoinvent-3.10-biosphere</v>
      </c>
      <c r="I69" s="6">
        <v>2</v>
      </c>
      <c r="J69" s="6" t="s">
        <v>707</v>
      </c>
      <c r="K69" s="14"/>
      <c r="N69" t="s">
        <v>703</v>
      </c>
    </row>
    <row r="70" spans="1:14" x14ac:dyDescent="0.3">
      <c r="A70" s="6" t="s">
        <v>96</v>
      </c>
      <c r="D70" s="14">
        <v>5.5083279222799941E-12</v>
      </c>
      <c r="E70" s="6" t="s">
        <v>95</v>
      </c>
      <c r="F70" s="6" t="s">
        <v>39</v>
      </c>
      <c r="G70" s="6" t="s">
        <v>93</v>
      </c>
      <c r="H70" s="6" t="str">
        <f>Intro!$B$5</f>
        <v>ecoinvent-3.10-biosphere</v>
      </c>
      <c r="I70" s="6">
        <v>2</v>
      </c>
      <c r="J70" s="6" t="s">
        <v>707</v>
      </c>
      <c r="K70" s="14"/>
      <c r="N70" t="s">
        <v>703</v>
      </c>
    </row>
    <row r="71" spans="1:14" x14ac:dyDescent="0.3">
      <c r="A71" s="6" t="s">
        <v>83</v>
      </c>
      <c r="D71" s="14">
        <v>1.895833262163252E-4</v>
      </c>
      <c r="E71" s="6" t="s">
        <v>43</v>
      </c>
      <c r="F71" s="6" t="s">
        <v>39</v>
      </c>
      <c r="G71" s="6" t="s">
        <v>78</v>
      </c>
      <c r="H71" s="6" t="str">
        <f>Intro!$B$5</f>
        <v>ecoinvent-3.10-biosphere</v>
      </c>
      <c r="I71" s="6">
        <v>2</v>
      </c>
      <c r="J71" s="6" t="s">
        <v>704</v>
      </c>
      <c r="N71" t="s">
        <v>705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D36A-0BAC-4924-91DD-945153EBE883}">
  <dimension ref="A1:P173"/>
  <sheetViews>
    <sheetView topLeftCell="A67" zoomScale="85" zoomScaleNormal="85" workbookViewId="0">
      <selection activeCell="I55" sqref="I1:I1048576"/>
    </sheetView>
  </sheetViews>
  <sheetFormatPr defaultColWidth="8.88671875" defaultRowHeight="14.4" x14ac:dyDescent="0.3"/>
  <cols>
    <col min="1" max="1" width="49.44140625" style="6" customWidth="1"/>
    <col min="2" max="2" width="30.88671875" style="6" customWidth="1"/>
    <col min="3" max="3" width="8.109375" style="6" bestFit="1" customWidth="1"/>
    <col min="4" max="4" width="11.5546875" style="6" bestFit="1" customWidth="1"/>
    <col min="5" max="5" width="13.109375" style="6" customWidth="1"/>
    <col min="6" max="6" width="13.44140625" style="6" bestFit="1" customWidth="1"/>
    <col min="7" max="7" width="22.5546875" style="6" customWidth="1"/>
    <col min="8" max="8" width="20.44140625" style="6" bestFit="1" customWidth="1"/>
    <col min="9" max="9" width="15.6640625" style="6" bestFit="1" customWidth="1"/>
    <col min="10" max="10" width="13.6640625" style="6" bestFit="1" customWidth="1"/>
  </cols>
  <sheetData>
    <row r="1" spans="1:11" s="1" customFormat="1" x14ac:dyDescent="0.3">
      <c r="A1" s="5" t="s">
        <v>1</v>
      </c>
      <c r="B1" s="5" t="s">
        <v>246</v>
      </c>
      <c r="C1" s="5"/>
      <c r="D1" s="5"/>
      <c r="E1" s="5"/>
      <c r="F1" s="5"/>
      <c r="G1" s="5"/>
      <c r="H1" s="5"/>
      <c r="I1" s="5"/>
      <c r="J1" s="5"/>
    </row>
    <row r="2" spans="1:11" x14ac:dyDescent="0.3">
      <c r="A2" s="5" t="s">
        <v>6</v>
      </c>
      <c r="B2" s="6" t="s">
        <v>235</v>
      </c>
    </row>
    <row r="3" spans="1:11" x14ac:dyDescent="0.3">
      <c r="A3" s="5" t="s">
        <v>3</v>
      </c>
      <c r="B3" s="6" t="s">
        <v>4</v>
      </c>
    </row>
    <row r="4" spans="1:11" x14ac:dyDescent="0.3">
      <c r="A4" s="5" t="s">
        <v>11</v>
      </c>
      <c r="B4" s="6">
        <v>1</v>
      </c>
    </row>
    <row r="5" spans="1:11" x14ac:dyDescent="0.3">
      <c r="A5" s="5" t="s">
        <v>7</v>
      </c>
      <c r="B5" s="6" t="s">
        <v>8</v>
      </c>
    </row>
    <row r="6" spans="1:11" x14ac:dyDescent="0.3">
      <c r="A6" s="5" t="s">
        <v>2</v>
      </c>
      <c r="B6" s="6" t="s">
        <v>718</v>
      </c>
    </row>
    <row r="7" spans="1:11" x14ac:dyDescent="0.3">
      <c r="A7" s="5" t="s">
        <v>9</v>
      </c>
    </row>
    <row r="8" spans="1:11" s="1" customFormat="1" x14ac:dyDescent="0.3">
      <c r="A8" s="5" t="s">
        <v>10</v>
      </c>
      <c r="B8" s="5" t="s">
        <v>6</v>
      </c>
      <c r="C8" s="5" t="s">
        <v>3</v>
      </c>
      <c r="D8" s="5" t="s">
        <v>11</v>
      </c>
      <c r="E8" s="5" t="s">
        <v>7</v>
      </c>
      <c r="F8" s="5" t="s">
        <v>13</v>
      </c>
      <c r="G8" s="5" t="s">
        <v>12</v>
      </c>
      <c r="H8" s="5" t="s">
        <v>0</v>
      </c>
      <c r="I8" s="42" t="s">
        <v>656</v>
      </c>
      <c r="J8" s="42" t="s">
        <v>691</v>
      </c>
      <c r="K8" s="5" t="s">
        <v>2</v>
      </c>
    </row>
    <row r="9" spans="1:11" x14ac:dyDescent="0.3">
      <c r="A9" s="6" t="s">
        <v>246</v>
      </c>
      <c r="B9" s="6" t="s">
        <v>235</v>
      </c>
      <c r="C9" s="6" t="s">
        <v>4</v>
      </c>
      <c r="D9" s="15">
        <v>1</v>
      </c>
      <c r="E9" s="6" t="s">
        <v>8</v>
      </c>
      <c r="F9" s="6" t="s">
        <v>14</v>
      </c>
      <c r="H9" s="6" t="str">
        <f>Intro!$B$3</f>
        <v>LIB raw materials</v>
      </c>
    </row>
    <row r="10" spans="1:11" x14ac:dyDescent="0.3">
      <c r="A10" s="6" t="s">
        <v>191</v>
      </c>
      <c r="B10" s="6" t="s">
        <v>192</v>
      </c>
      <c r="C10" s="6" t="s">
        <v>193</v>
      </c>
      <c r="D10" s="15">
        <v>6.42</v>
      </c>
      <c r="E10" s="6" t="s">
        <v>8</v>
      </c>
      <c r="F10" s="6" t="s">
        <v>15</v>
      </c>
      <c r="H10" s="6" t="str">
        <f>Intro!$B$3</f>
        <v>LIB raw materials</v>
      </c>
      <c r="I10" s="6">
        <v>0</v>
      </c>
      <c r="J10" t="s">
        <v>716</v>
      </c>
    </row>
    <row r="11" spans="1:11" x14ac:dyDescent="0.3">
      <c r="A11" s="6" t="s">
        <v>27</v>
      </c>
      <c r="B11" s="6" t="s">
        <v>29</v>
      </c>
      <c r="C11" s="6" t="s">
        <v>4</v>
      </c>
      <c r="D11" s="15">
        <f>12600/3.6/1000</f>
        <v>3.5</v>
      </c>
      <c r="E11" s="6" t="s">
        <v>28</v>
      </c>
      <c r="F11" s="6" t="s">
        <v>15</v>
      </c>
      <c r="H11" s="6" t="str">
        <f>Intro!$B$4</f>
        <v>ecoinvent-3.10-cutoff</v>
      </c>
      <c r="I11" s="6">
        <v>0</v>
      </c>
      <c r="J11" t="s">
        <v>716</v>
      </c>
    </row>
    <row r="12" spans="1:11" x14ac:dyDescent="0.3">
      <c r="A12" s="6" t="s">
        <v>178</v>
      </c>
      <c r="B12" s="6" t="s">
        <v>179</v>
      </c>
      <c r="C12" s="6" t="s">
        <v>24</v>
      </c>
      <c r="D12" s="15">
        <f>71.343</f>
        <v>71.343000000000004</v>
      </c>
      <c r="E12" s="6" t="s">
        <v>30</v>
      </c>
      <c r="F12" s="6" t="s">
        <v>15</v>
      </c>
      <c r="H12" s="6" t="str">
        <f>Intro!$B$4</f>
        <v>ecoinvent-3.10-cutoff</v>
      </c>
      <c r="I12" s="6">
        <v>0</v>
      </c>
      <c r="J12" t="s">
        <v>716</v>
      </c>
      <c r="K12" s="6" t="s">
        <v>260</v>
      </c>
    </row>
    <row r="13" spans="1:11" x14ac:dyDescent="0.3">
      <c r="A13" s="6" t="s">
        <v>133</v>
      </c>
      <c r="B13" s="6" t="s">
        <v>134</v>
      </c>
      <c r="C13" s="6" t="s">
        <v>24</v>
      </c>
      <c r="D13" s="15">
        <v>1.52</v>
      </c>
      <c r="E13" s="6" t="s">
        <v>8</v>
      </c>
      <c r="F13" s="6" t="s">
        <v>15</v>
      </c>
      <c r="H13" s="6" t="str">
        <f>Intro!$B$4</f>
        <v>ecoinvent-3.10-cutoff</v>
      </c>
      <c r="I13" s="6">
        <v>0</v>
      </c>
      <c r="J13" t="s">
        <v>716</v>
      </c>
    </row>
    <row r="14" spans="1:11" x14ac:dyDescent="0.3">
      <c r="A14" s="6" t="s">
        <v>165</v>
      </c>
      <c r="B14" s="6" t="s">
        <v>166</v>
      </c>
      <c r="C14" s="6" t="s">
        <v>24</v>
      </c>
      <c r="D14" s="15">
        <v>2.5000000000000001E-2</v>
      </c>
      <c r="E14" s="6" t="s">
        <v>8</v>
      </c>
      <c r="F14" s="6" t="s">
        <v>15</v>
      </c>
      <c r="H14" s="6" t="str">
        <f>Intro!$B$4</f>
        <v>ecoinvent-3.10-cutoff</v>
      </c>
      <c r="I14" s="6">
        <v>0</v>
      </c>
      <c r="J14" t="s">
        <v>716</v>
      </c>
    </row>
    <row r="15" spans="1:11" x14ac:dyDescent="0.3">
      <c r="A15" s="6" t="s">
        <v>123</v>
      </c>
      <c r="B15" s="6" t="s">
        <v>124</v>
      </c>
      <c r="C15" s="6" t="s">
        <v>24</v>
      </c>
      <c r="D15" s="15">
        <v>1.18</v>
      </c>
      <c r="E15" s="6" t="s">
        <v>8</v>
      </c>
      <c r="F15" s="6" t="s">
        <v>15</v>
      </c>
      <c r="H15" s="6" t="str">
        <f>Intro!$B$4</f>
        <v>ecoinvent-3.10-cutoff</v>
      </c>
      <c r="I15" s="6">
        <v>0</v>
      </c>
      <c r="J15" t="s">
        <v>716</v>
      </c>
    </row>
    <row r="16" spans="1:11" x14ac:dyDescent="0.3">
      <c r="A16" s="6" t="s">
        <v>214</v>
      </c>
      <c r="B16" s="6" t="s">
        <v>213</v>
      </c>
      <c r="C16" s="6" t="s">
        <v>24</v>
      </c>
      <c r="D16" s="15">
        <v>0.6</v>
      </c>
      <c r="E16" s="6" t="s">
        <v>8</v>
      </c>
      <c r="F16" s="6" t="s">
        <v>15</v>
      </c>
      <c r="H16" s="6" t="str">
        <f>Intro!$B$4</f>
        <v>ecoinvent-3.10-cutoff</v>
      </c>
      <c r="I16" s="6">
        <v>0</v>
      </c>
      <c r="J16" t="s">
        <v>716</v>
      </c>
    </row>
    <row r="17" spans="1:16" x14ac:dyDescent="0.3">
      <c r="A17" s="6" t="s">
        <v>49</v>
      </c>
      <c r="B17" s="6" t="s">
        <v>50</v>
      </c>
      <c r="C17" s="6" t="s">
        <v>24</v>
      </c>
      <c r="D17" s="15">
        <f>11.24*997/1000</f>
        <v>11.206280000000001</v>
      </c>
      <c r="E17" s="6" t="s">
        <v>8</v>
      </c>
      <c r="F17" s="6" t="s">
        <v>15</v>
      </c>
      <c r="H17" s="6" t="str">
        <f>Intro!$B$4</f>
        <v>ecoinvent-3.10-cutoff</v>
      </c>
      <c r="I17" s="6">
        <v>0</v>
      </c>
      <c r="J17" t="s">
        <v>716</v>
      </c>
    </row>
    <row r="18" spans="1:16" x14ac:dyDescent="0.3">
      <c r="A18" s="6" t="s">
        <v>150</v>
      </c>
      <c r="B18" s="6" t="s">
        <v>151</v>
      </c>
      <c r="C18" s="6" t="s">
        <v>18</v>
      </c>
      <c r="D18" s="14">
        <v>2.1009242972217799E-10</v>
      </c>
      <c r="E18" s="6" t="s">
        <v>7</v>
      </c>
      <c r="F18" s="6" t="s">
        <v>15</v>
      </c>
      <c r="H18" s="6" t="str">
        <f>Intro!$B$4</f>
        <v>ecoinvent-3.10-cutoff</v>
      </c>
      <c r="I18" s="6">
        <v>0</v>
      </c>
      <c r="J18" t="s">
        <v>716</v>
      </c>
      <c r="K18" t="s">
        <v>243</v>
      </c>
    </row>
    <row r="19" spans="1:16" x14ac:dyDescent="0.3">
      <c r="A19" s="6" t="s">
        <v>212</v>
      </c>
      <c r="B19" s="6" t="s">
        <v>211</v>
      </c>
      <c r="C19" s="6" t="s">
        <v>24</v>
      </c>
      <c r="D19" s="15">
        <v>-13.040000000000001</v>
      </c>
      <c r="E19" s="6" t="s">
        <v>8</v>
      </c>
      <c r="F19" s="6" t="s">
        <v>15</v>
      </c>
      <c r="H19" s="6" t="str">
        <f>Intro!$B$4</f>
        <v>ecoinvent-3.10-cutoff</v>
      </c>
      <c r="I19" s="6">
        <v>0</v>
      </c>
      <c r="J19" t="s">
        <v>716</v>
      </c>
      <c r="K19" t="s">
        <v>239</v>
      </c>
    </row>
    <row r="20" spans="1:16" x14ac:dyDescent="0.3">
      <c r="A20" s="6" t="s">
        <v>56</v>
      </c>
      <c r="B20" s="6" t="s">
        <v>57</v>
      </c>
      <c r="C20" s="6" t="s">
        <v>24</v>
      </c>
      <c r="D20" s="15">
        <f>(-D17/997)*0.78</f>
        <v>-8.767200000000001E-3</v>
      </c>
      <c r="E20" s="6" t="s">
        <v>43</v>
      </c>
      <c r="F20" s="6" t="s">
        <v>15</v>
      </c>
      <c r="H20" s="6" t="str">
        <f>Intro!$B$4</f>
        <v>ecoinvent-3.10-cutoff</v>
      </c>
      <c r="I20" s="6">
        <v>0</v>
      </c>
      <c r="J20" t="s">
        <v>716</v>
      </c>
      <c r="K20" t="s">
        <v>241</v>
      </c>
    </row>
    <row r="21" spans="1:16" x14ac:dyDescent="0.3">
      <c r="A21" s="6" t="s">
        <v>74</v>
      </c>
      <c r="D21" s="6">
        <f>(0.99+0.32)/1000</f>
        <v>1.31E-3</v>
      </c>
      <c r="E21" s="6" t="s">
        <v>8</v>
      </c>
      <c r="F21" s="6" t="s">
        <v>39</v>
      </c>
      <c r="G21" s="6" t="s">
        <v>180</v>
      </c>
      <c r="H21" s="6" t="str">
        <f>Intro!$B$5</f>
        <v>ecoinvent-3.10-biosphere</v>
      </c>
      <c r="I21" s="6">
        <v>0</v>
      </c>
      <c r="J21" t="s">
        <v>716</v>
      </c>
      <c r="K21" t="s">
        <v>240</v>
      </c>
    </row>
    <row r="22" spans="1:16" x14ac:dyDescent="0.3">
      <c r="A22" s="6" t="s">
        <v>128</v>
      </c>
      <c r="D22" s="14">
        <f>(0.07+0.02)/1000</f>
        <v>9.0000000000000006E-5</v>
      </c>
      <c r="E22" s="6" t="s">
        <v>8</v>
      </c>
      <c r="F22" s="6" t="s">
        <v>39</v>
      </c>
      <c r="G22" s="6" t="s">
        <v>180</v>
      </c>
      <c r="H22" s="6" t="str">
        <f>Intro!$B$5</f>
        <v>ecoinvent-3.10-biosphere</v>
      </c>
      <c r="I22" s="6">
        <v>0</v>
      </c>
      <c r="J22" t="s">
        <v>716</v>
      </c>
      <c r="K22" t="s">
        <v>240</v>
      </c>
    </row>
    <row r="23" spans="1:16" s="4" customFormat="1" x14ac:dyDescent="0.3">
      <c r="A23" s="8"/>
      <c r="B23" s="8"/>
      <c r="C23" s="8"/>
      <c r="D23" s="8"/>
      <c r="E23" s="8"/>
      <c r="F23" s="8"/>
      <c r="G23" s="8"/>
      <c r="H23" s="8"/>
      <c r="I23" s="8"/>
      <c r="J23" s="8"/>
    </row>
    <row r="24" spans="1:16" x14ac:dyDescent="0.3">
      <c r="A24" s="5" t="s">
        <v>1</v>
      </c>
      <c r="B24" s="5" t="s">
        <v>245</v>
      </c>
      <c r="C24" s="5"/>
      <c r="D24" s="5"/>
      <c r="E24" s="5"/>
      <c r="F24" s="5"/>
      <c r="G24" s="5"/>
      <c r="H24" s="5"/>
      <c r="I24" s="5"/>
      <c r="J24" s="5"/>
      <c r="K24" s="1"/>
      <c r="L24" s="1"/>
      <c r="M24" s="1"/>
      <c r="N24" s="1"/>
      <c r="O24" s="1"/>
      <c r="P24" s="1"/>
    </row>
    <row r="25" spans="1:16" x14ac:dyDescent="0.3">
      <c r="A25" s="5" t="s">
        <v>6</v>
      </c>
      <c r="B25" s="6" t="s">
        <v>101</v>
      </c>
    </row>
    <row r="26" spans="1:16" x14ac:dyDescent="0.3">
      <c r="A26" s="5" t="s">
        <v>3</v>
      </c>
      <c r="B26" s="6" t="s">
        <v>4</v>
      </c>
    </row>
    <row r="27" spans="1:16" x14ac:dyDescent="0.3">
      <c r="A27" s="5" t="s">
        <v>11</v>
      </c>
      <c r="B27" s="6">
        <v>1</v>
      </c>
    </row>
    <row r="28" spans="1:16" x14ac:dyDescent="0.3">
      <c r="A28" s="5" t="s">
        <v>7</v>
      </c>
      <c r="B28" s="6" t="s">
        <v>8</v>
      </c>
    </row>
    <row r="29" spans="1:16" x14ac:dyDescent="0.3">
      <c r="A29" s="5" t="s">
        <v>2</v>
      </c>
      <c r="B29" s="6" t="s">
        <v>717</v>
      </c>
    </row>
    <row r="30" spans="1:16" x14ac:dyDescent="0.3">
      <c r="A30" s="5" t="s">
        <v>9</v>
      </c>
    </row>
    <row r="31" spans="1:16" x14ac:dyDescent="0.3">
      <c r="A31" s="5" t="s">
        <v>10</v>
      </c>
      <c r="B31" s="5" t="s">
        <v>6</v>
      </c>
      <c r="C31" s="5" t="s">
        <v>3</v>
      </c>
      <c r="D31" s="5" t="s">
        <v>11</v>
      </c>
      <c r="E31" s="5" t="s">
        <v>7</v>
      </c>
      <c r="F31" s="5" t="s">
        <v>13</v>
      </c>
      <c r="G31" s="5" t="s">
        <v>12</v>
      </c>
      <c r="H31" s="5" t="s">
        <v>0</v>
      </c>
      <c r="I31" s="42" t="s">
        <v>656</v>
      </c>
      <c r="J31" s="42" t="s">
        <v>691</v>
      </c>
      <c r="K31" s="5" t="s">
        <v>2</v>
      </c>
      <c r="L31" s="1"/>
      <c r="M31" s="1"/>
      <c r="N31" s="1"/>
      <c r="O31" s="1"/>
      <c r="P31" s="1"/>
    </row>
    <row r="32" spans="1:16" x14ac:dyDescent="0.3">
      <c r="A32" s="6" t="s">
        <v>245</v>
      </c>
      <c r="B32" s="6" t="s">
        <v>101</v>
      </c>
      <c r="C32" s="6" t="s">
        <v>4</v>
      </c>
      <c r="D32" s="15">
        <v>1</v>
      </c>
      <c r="E32" s="6" t="s">
        <v>8</v>
      </c>
      <c r="F32" s="6" t="s">
        <v>14</v>
      </c>
      <c r="H32" s="6" t="str">
        <f>Intro!$B$3</f>
        <v>LIB raw materials</v>
      </c>
      <c r="J32"/>
    </row>
    <row r="33" spans="1:11" x14ac:dyDescent="0.3">
      <c r="A33" s="6" t="s">
        <v>191</v>
      </c>
      <c r="B33" s="6" t="s">
        <v>192</v>
      </c>
      <c r="C33" s="6" t="s">
        <v>193</v>
      </c>
      <c r="D33" s="15">
        <v>7.3</v>
      </c>
      <c r="E33" s="6" t="s">
        <v>8</v>
      </c>
      <c r="F33" s="6" t="s">
        <v>15</v>
      </c>
      <c r="H33" s="6" t="str">
        <f>Intro!$B$3</f>
        <v>LIB raw materials</v>
      </c>
      <c r="I33" s="6">
        <v>0</v>
      </c>
      <c r="J33" t="s">
        <v>716</v>
      </c>
    </row>
    <row r="34" spans="1:11" x14ac:dyDescent="0.3">
      <c r="A34" s="6" t="s">
        <v>27</v>
      </c>
      <c r="B34" s="6" t="s">
        <v>29</v>
      </c>
      <c r="C34" s="6" t="s">
        <v>4</v>
      </c>
      <c r="D34" s="15">
        <f>6480/3.6/1000</f>
        <v>1.8</v>
      </c>
      <c r="E34" s="6" t="s">
        <v>28</v>
      </c>
      <c r="F34" s="6" t="s">
        <v>15</v>
      </c>
      <c r="H34" s="6" t="str">
        <f>Intro!$B$4</f>
        <v>ecoinvent-3.10-cutoff</v>
      </c>
      <c r="I34" s="6">
        <v>0</v>
      </c>
      <c r="J34" t="s">
        <v>716</v>
      </c>
    </row>
    <row r="35" spans="1:11" x14ac:dyDescent="0.3">
      <c r="A35" s="6" t="s">
        <v>178</v>
      </c>
      <c r="B35" s="6" t="s">
        <v>179</v>
      </c>
      <c r="C35" s="6" t="s">
        <v>24</v>
      </c>
      <c r="D35" s="15">
        <f>135.89</f>
        <v>135.88999999999999</v>
      </c>
      <c r="E35" s="6" t="s">
        <v>30</v>
      </c>
      <c r="F35" s="6" t="s">
        <v>15</v>
      </c>
      <c r="H35" s="6" t="str">
        <f>Intro!$B$4</f>
        <v>ecoinvent-3.10-cutoff</v>
      </c>
      <c r="I35" s="6">
        <v>0</v>
      </c>
      <c r="J35" t="s">
        <v>716</v>
      </c>
      <c r="K35" s="6" t="s">
        <v>259</v>
      </c>
    </row>
    <row r="36" spans="1:11" x14ac:dyDescent="0.3">
      <c r="A36" s="6" t="s">
        <v>133</v>
      </c>
      <c r="B36" s="6" t="s">
        <v>134</v>
      </c>
      <c r="C36" s="6" t="s">
        <v>24</v>
      </c>
      <c r="D36" s="15">
        <v>1.71</v>
      </c>
      <c r="E36" s="6" t="s">
        <v>8</v>
      </c>
      <c r="F36" s="6" t="s">
        <v>15</v>
      </c>
      <c r="H36" s="6" t="str">
        <f>Intro!$B$4</f>
        <v>ecoinvent-3.10-cutoff</v>
      </c>
      <c r="I36" s="6">
        <v>0</v>
      </c>
      <c r="J36" t="s">
        <v>716</v>
      </c>
    </row>
    <row r="37" spans="1:11" x14ac:dyDescent="0.3">
      <c r="A37" s="6" t="s">
        <v>165</v>
      </c>
      <c r="B37" s="6" t="s">
        <v>166</v>
      </c>
      <c r="C37" s="6" t="s">
        <v>24</v>
      </c>
      <c r="D37" s="15">
        <v>2.0499999999999998</v>
      </c>
      <c r="E37" s="6" t="s">
        <v>8</v>
      </c>
      <c r="F37" s="6" t="s">
        <v>15</v>
      </c>
      <c r="H37" s="6" t="str">
        <f>Intro!$B$4</f>
        <v>ecoinvent-3.10-cutoff</v>
      </c>
      <c r="I37" s="6">
        <v>0</v>
      </c>
      <c r="J37" t="s">
        <v>716</v>
      </c>
    </row>
    <row r="38" spans="1:11" x14ac:dyDescent="0.3">
      <c r="A38" s="6" t="s">
        <v>123</v>
      </c>
      <c r="B38" s="6" t="s">
        <v>124</v>
      </c>
      <c r="C38" s="6" t="s">
        <v>24</v>
      </c>
      <c r="D38" s="15">
        <v>0.05</v>
      </c>
      <c r="E38" s="6" t="s">
        <v>8</v>
      </c>
      <c r="F38" s="6" t="s">
        <v>15</v>
      </c>
      <c r="H38" s="6" t="str">
        <f>Intro!$B$4</f>
        <v>ecoinvent-3.10-cutoff</v>
      </c>
      <c r="I38" s="6">
        <v>0</v>
      </c>
      <c r="J38" t="s">
        <v>716</v>
      </c>
    </row>
    <row r="39" spans="1:11" x14ac:dyDescent="0.3">
      <c r="A39" s="6" t="s">
        <v>214</v>
      </c>
      <c r="B39" s="6" t="s">
        <v>213</v>
      </c>
      <c r="C39" s="6" t="s">
        <v>24</v>
      </c>
      <c r="D39" s="15">
        <v>0.7</v>
      </c>
      <c r="E39" s="6" t="s">
        <v>8</v>
      </c>
      <c r="F39" s="6" t="s">
        <v>15</v>
      </c>
      <c r="H39" s="6" t="str">
        <f>Intro!$B$4</f>
        <v>ecoinvent-3.10-cutoff</v>
      </c>
      <c r="I39" s="6">
        <v>0</v>
      </c>
      <c r="J39" t="s">
        <v>716</v>
      </c>
    </row>
    <row r="40" spans="1:11" x14ac:dyDescent="0.3">
      <c r="A40" s="6" t="s">
        <v>49</v>
      </c>
      <c r="B40" s="6" t="s">
        <v>50</v>
      </c>
      <c r="C40" s="6" t="s">
        <v>24</v>
      </c>
      <c r="D40" s="26">
        <f>40*997/1000</f>
        <v>39.880000000000003</v>
      </c>
      <c r="E40" s="6" t="s">
        <v>8</v>
      </c>
      <c r="F40" s="6" t="s">
        <v>15</v>
      </c>
      <c r="H40" s="6" t="str">
        <f>Intro!$B$4</f>
        <v>ecoinvent-3.10-cutoff</v>
      </c>
      <c r="I40" s="6">
        <v>0</v>
      </c>
      <c r="J40" t="s">
        <v>716</v>
      </c>
    </row>
    <row r="41" spans="1:11" x14ac:dyDescent="0.3">
      <c r="A41" s="6" t="s">
        <v>150</v>
      </c>
      <c r="B41" s="6" t="s">
        <v>151</v>
      </c>
      <c r="C41" s="6" t="s">
        <v>18</v>
      </c>
      <c r="D41" s="14">
        <v>2.1009242972217799E-10</v>
      </c>
      <c r="E41" s="6" t="s">
        <v>7</v>
      </c>
      <c r="F41" s="6" t="s">
        <v>15</v>
      </c>
      <c r="H41" s="6" t="str">
        <f>Intro!$B$4</f>
        <v>ecoinvent-3.10-cutoff</v>
      </c>
      <c r="I41" s="6">
        <v>0</v>
      </c>
      <c r="J41" t="s">
        <v>716</v>
      </c>
      <c r="K41" t="s">
        <v>243</v>
      </c>
    </row>
    <row r="42" spans="1:11" x14ac:dyDescent="0.3">
      <c r="A42" s="6" t="s">
        <v>212</v>
      </c>
      <c r="B42" s="6" t="s">
        <v>211</v>
      </c>
      <c r="C42" s="6" t="s">
        <v>24</v>
      </c>
      <c r="D42" s="15">
        <f>-(12.89+0.15)</f>
        <v>-13.040000000000001</v>
      </c>
      <c r="E42" s="6" t="s">
        <v>8</v>
      </c>
      <c r="F42" s="6" t="s">
        <v>15</v>
      </c>
      <c r="H42" s="6" t="str">
        <f>Intro!$B$4</f>
        <v>ecoinvent-3.10-cutoff</v>
      </c>
      <c r="I42" s="6">
        <v>0</v>
      </c>
      <c r="J42" t="s">
        <v>716</v>
      </c>
      <c r="K42" t="s">
        <v>238</v>
      </c>
    </row>
    <row r="43" spans="1:11" x14ac:dyDescent="0.3">
      <c r="A43" s="6" t="s">
        <v>56</v>
      </c>
      <c r="B43" s="6" t="s">
        <v>57</v>
      </c>
      <c r="C43" s="6" t="s">
        <v>24</v>
      </c>
      <c r="D43" s="15">
        <f>(-D40/997)*0.78</f>
        <v>-3.1200000000000002E-2</v>
      </c>
      <c r="E43" s="6" t="s">
        <v>43</v>
      </c>
      <c r="F43" s="6" t="s">
        <v>15</v>
      </c>
      <c r="H43" s="6" t="str">
        <f>Intro!$B$4</f>
        <v>ecoinvent-3.10-cutoff</v>
      </c>
      <c r="I43" s="6">
        <v>0</v>
      </c>
      <c r="J43" t="s">
        <v>716</v>
      </c>
      <c r="K43" t="s">
        <v>242</v>
      </c>
    </row>
    <row r="44" spans="1:11" x14ac:dyDescent="0.3">
      <c r="A44" s="6" t="s">
        <v>74</v>
      </c>
      <c r="D44" s="6">
        <f>(0.99+0.32)/1000</f>
        <v>1.31E-3</v>
      </c>
      <c r="E44" s="6" t="s">
        <v>8</v>
      </c>
      <c r="F44" s="6" t="s">
        <v>39</v>
      </c>
      <c r="G44" s="6" t="s">
        <v>180</v>
      </c>
      <c r="H44" s="6" t="str">
        <f>Intro!$B$5</f>
        <v>ecoinvent-3.10-biosphere</v>
      </c>
      <c r="I44" s="6">
        <v>0</v>
      </c>
      <c r="J44" t="s">
        <v>716</v>
      </c>
      <c r="K44" s="6" t="s">
        <v>237</v>
      </c>
    </row>
    <row r="45" spans="1:11" x14ac:dyDescent="0.3">
      <c r="A45" s="6" t="s">
        <v>128</v>
      </c>
      <c r="D45" s="14">
        <f>(0.07+0.02)/1000</f>
        <v>9.0000000000000006E-5</v>
      </c>
      <c r="E45" s="6" t="s">
        <v>8</v>
      </c>
      <c r="F45" s="6" t="s">
        <v>39</v>
      </c>
      <c r="G45" s="6" t="s">
        <v>180</v>
      </c>
      <c r="H45" s="6" t="str">
        <f>Intro!$B$5</f>
        <v>ecoinvent-3.10-biosphere</v>
      </c>
      <c r="I45" s="6">
        <v>0</v>
      </c>
      <c r="J45" t="s">
        <v>716</v>
      </c>
      <c r="K45" s="6" t="s">
        <v>237</v>
      </c>
    </row>
    <row r="46" spans="1:11" s="4" customFormat="1" x14ac:dyDescent="0.3">
      <c r="A46" s="8"/>
      <c r="B46" s="8"/>
      <c r="C46" s="8"/>
      <c r="D46" s="8"/>
      <c r="E46" s="8"/>
      <c r="F46" s="8"/>
      <c r="G46" s="8"/>
      <c r="H46" s="8"/>
      <c r="I46" s="8"/>
      <c r="J46" s="8"/>
    </row>
    <row r="47" spans="1:11" s="1" customFormat="1" x14ac:dyDescent="0.3">
      <c r="A47" s="5" t="s">
        <v>1</v>
      </c>
      <c r="B47" s="5" t="s">
        <v>191</v>
      </c>
      <c r="C47" s="5"/>
      <c r="D47" s="5"/>
      <c r="E47" s="5"/>
      <c r="F47" s="5"/>
      <c r="G47" s="5"/>
      <c r="H47" s="5"/>
      <c r="I47" s="5"/>
      <c r="J47" s="5"/>
    </row>
    <row r="48" spans="1:11" x14ac:dyDescent="0.3">
      <c r="A48" s="5" t="s">
        <v>6</v>
      </c>
      <c r="B48" s="6" t="s">
        <v>192</v>
      </c>
    </row>
    <row r="49" spans="1:13" x14ac:dyDescent="0.3">
      <c r="A49" s="5" t="s">
        <v>3</v>
      </c>
      <c r="B49" s="6" t="s">
        <v>193</v>
      </c>
    </row>
    <row r="50" spans="1:13" x14ac:dyDescent="0.3">
      <c r="A50" s="5" t="s">
        <v>11</v>
      </c>
      <c r="B50" s="6">
        <v>1</v>
      </c>
    </row>
    <row r="51" spans="1:13" x14ac:dyDescent="0.3">
      <c r="A51" s="5" t="s">
        <v>7</v>
      </c>
      <c r="B51" s="6" t="s">
        <v>8</v>
      </c>
    </row>
    <row r="52" spans="1:13" x14ac:dyDescent="0.3">
      <c r="A52" s="5" t="s">
        <v>2</v>
      </c>
      <c r="B52" s="6" t="s">
        <v>715</v>
      </c>
    </row>
    <row r="53" spans="1:13" x14ac:dyDescent="0.3">
      <c r="A53" s="5" t="s">
        <v>9</v>
      </c>
    </row>
    <row r="54" spans="1:13" s="1" customFormat="1" x14ac:dyDescent="0.3">
      <c r="A54" s="5" t="s">
        <v>10</v>
      </c>
      <c r="B54" s="5" t="s">
        <v>6</v>
      </c>
      <c r="C54" s="5" t="s">
        <v>3</v>
      </c>
      <c r="D54" s="5" t="s">
        <v>11</v>
      </c>
      <c r="E54" s="5" t="s">
        <v>7</v>
      </c>
      <c r="F54" s="5" t="s">
        <v>13</v>
      </c>
      <c r="G54" s="5" t="s">
        <v>12</v>
      </c>
      <c r="H54" s="5" t="s">
        <v>0</v>
      </c>
      <c r="I54" s="42" t="s">
        <v>656</v>
      </c>
      <c r="J54" s="42" t="s">
        <v>691</v>
      </c>
      <c r="K54" s="5" t="s">
        <v>2</v>
      </c>
    </row>
    <row r="55" spans="1:13" x14ac:dyDescent="0.3">
      <c r="A55" s="6" t="s">
        <v>191</v>
      </c>
      <c r="B55" s="6" t="s">
        <v>192</v>
      </c>
      <c r="C55" s="6" t="s">
        <v>193</v>
      </c>
      <c r="D55" s="15">
        <v>1</v>
      </c>
      <c r="E55" s="6" t="s">
        <v>8</v>
      </c>
      <c r="F55" s="6" t="s">
        <v>14</v>
      </c>
      <c r="H55" s="6" t="str">
        <f>Intro!$B$3</f>
        <v>LIB raw materials</v>
      </c>
      <c r="J55"/>
    </row>
    <row r="56" spans="1:13" x14ac:dyDescent="0.3">
      <c r="A56" s="6" t="s">
        <v>210</v>
      </c>
      <c r="B56" s="6" t="s">
        <v>210</v>
      </c>
      <c r="C56" s="6" t="s">
        <v>18</v>
      </c>
      <c r="D56" s="15">
        <f>0.034*(6163.76/2250)</f>
        <v>9.3141262222222229E-2</v>
      </c>
      <c r="E56" s="6" t="s">
        <v>30</v>
      </c>
      <c r="F56" s="6" t="s">
        <v>15</v>
      </c>
      <c r="H56" s="6" t="str">
        <f>Intro!$B$4</f>
        <v>ecoinvent-3.10-cutoff</v>
      </c>
      <c r="I56" s="6">
        <v>0</v>
      </c>
      <c r="J56" t="s">
        <v>714</v>
      </c>
      <c r="K56" t="s">
        <v>244</v>
      </c>
    </row>
    <row r="57" spans="1:13" x14ac:dyDescent="0.3">
      <c r="A57" s="6" t="s">
        <v>31</v>
      </c>
      <c r="B57" s="6" t="s">
        <v>31</v>
      </c>
      <c r="C57" s="6" t="s">
        <v>18</v>
      </c>
      <c r="D57" s="15">
        <v>2.5499999999999998E-2</v>
      </c>
      <c r="E57" s="6" t="s">
        <v>30</v>
      </c>
      <c r="F57" s="6" t="s">
        <v>15</v>
      </c>
      <c r="H57" s="6" t="str">
        <f>Intro!$B$4</f>
        <v>ecoinvent-3.10-cutoff</v>
      </c>
      <c r="I57" s="6">
        <v>0</v>
      </c>
      <c r="J57" t="s">
        <v>714</v>
      </c>
    </row>
    <row r="58" spans="1:13" x14ac:dyDescent="0.3">
      <c r="A58" s="6" t="s">
        <v>216</v>
      </c>
      <c r="B58" s="6" t="s">
        <v>197</v>
      </c>
      <c r="C58" s="6" t="s">
        <v>24</v>
      </c>
      <c r="D58" s="14">
        <v>2.82E-3</v>
      </c>
      <c r="E58" s="6" t="s">
        <v>30</v>
      </c>
      <c r="F58" s="6" t="s">
        <v>15</v>
      </c>
      <c r="H58" s="6" t="str">
        <f>Intro!$B$4</f>
        <v>ecoinvent-3.10-cutoff</v>
      </c>
      <c r="I58" s="6">
        <v>0</v>
      </c>
      <c r="J58" t="s">
        <v>714</v>
      </c>
      <c r="K58" t="s">
        <v>261</v>
      </c>
    </row>
    <row r="59" spans="1:13" x14ac:dyDescent="0.3">
      <c r="A59" s="6" t="s">
        <v>178</v>
      </c>
      <c r="B59" s="6" t="s">
        <v>179</v>
      </c>
      <c r="C59" s="6" t="s">
        <v>24</v>
      </c>
      <c r="D59" s="14">
        <v>8.9800000000000005E-2</v>
      </c>
      <c r="E59" s="6" t="s">
        <v>30</v>
      </c>
      <c r="F59" s="6" t="s">
        <v>15</v>
      </c>
      <c r="H59" s="6" t="str">
        <f>Intro!$B$4</f>
        <v>ecoinvent-3.10-cutoff</v>
      </c>
      <c r="I59" s="6">
        <v>0</v>
      </c>
      <c r="J59" t="s">
        <v>714</v>
      </c>
      <c r="K59" t="s">
        <v>261</v>
      </c>
    </row>
    <row r="60" spans="1:13" x14ac:dyDescent="0.3">
      <c r="A60" s="6" t="s">
        <v>71</v>
      </c>
      <c r="B60" s="6" t="s">
        <v>72</v>
      </c>
      <c r="C60" s="6" t="s">
        <v>18</v>
      </c>
      <c r="D60" s="14">
        <v>2.7099999999999997E-4</v>
      </c>
      <c r="E60" s="6" t="s">
        <v>8</v>
      </c>
      <c r="F60" s="6" t="s">
        <v>15</v>
      </c>
      <c r="H60" s="6" t="str">
        <f>Intro!$B$4</f>
        <v>ecoinvent-3.10-cutoff</v>
      </c>
      <c r="I60" s="6">
        <v>0</v>
      </c>
      <c r="J60" t="s">
        <v>714</v>
      </c>
      <c r="K60" s="6" t="s">
        <v>207</v>
      </c>
      <c r="L60" s="6"/>
    </row>
    <row r="61" spans="1:13" x14ac:dyDescent="0.3">
      <c r="A61" s="6" t="s">
        <v>196</v>
      </c>
      <c r="B61" s="6" t="s">
        <v>195</v>
      </c>
      <c r="C61" s="6" t="s">
        <v>18</v>
      </c>
      <c r="D61" s="14">
        <v>2.7800000000000001E-8</v>
      </c>
      <c r="E61" s="6" t="s">
        <v>194</v>
      </c>
      <c r="F61" s="6" t="s">
        <v>15</v>
      </c>
      <c r="H61" s="6" t="str">
        <f>Intro!$B$4</f>
        <v>ecoinvent-3.10-cutoff</v>
      </c>
      <c r="I61" s="6">
        <v>0</v>
      </c>
      <c r="J61" t="s">
        <v>714</v>
      </c>
    </row>
    <row r="62" spans="1:13" x14ac:dyDescent="0.3">
      <c r="A62" s="6" t="s">
        <v>199</v>
      </c>
      <c r="B62" s="6" t="s">
        <v>198</v>
      </c>
      <c r="C62" s="6" t="s">
        <v>24</v>
      </c>
      <c r="D62" s="14">
        <v>2.31E-4</v>
      </c>
      <c r="E62" s="6" t="s">
        <v>8</v>
      </c>
      <c r="F62" s="6" t="s">
        <v>15</v>
      </c>
      <c r="H62" s="6" t="str">
        <f>Intro!$B$4</f>
        <v>ecoinvent-3.10-cutoff</v>
      </c>
      <c r="I62" s="6">
        <v>0</v>
      </c>
      <c r="J62" t="s">
        <v>714</v>
      </c>
    </row>
    <row r="63" spans="1:13" x14ac:dyDescent="0.3">
      <c r="A63" s="6" t="s">
        <v>201</v>
      </c>
      <c r="B63" s="6" t="s">
        <v>200</v>
      </c>
      <c r="C63" s="6" t="s">
        <v>18</v>
      </c>
      <c r="D63" s="14">
        <v>8.3299999999999998E-13</v>
      </c>
      <c r="E63" s="6" t="s">
        <v>7</v>
      </c>
      <c r="F63" s="6" t="s">
        <v>15</v>
      </c>
      <c r="H63" s="6" t="str">
        <f>Intro!$B$4</f>
        <v>ecoinvent-3.10-cutoff</v>
      </c>
      <c r="I63" s="6">
        <v>0</v>
      </c>
      <c r="J63" t="s">
        <v>714</v>
      </c>
      <c r="M63" s="6"/>
    </row>
    <row r="64" spans="1:13" x14ac:dyDescent="0.3">
      <c r="A64" s="6" t="s">
        <v>129</v>
      </c>
      <c r="B64" s="6" t="s">
        <v>68</v>
      </c>
      <c r="C64" s="6" t="s">
        <v>18</v>
      </c>
      <c r="D64" s="14">
        <v>-1.38884862559625</v>
      </c>
      <c r="E64" s="6" t="s">
        <v>8</v>
      </c>
      <c r="F64" s="6" t="s">
        <v>15</v>
      </c>
      <c r="H64" s="6" t="str">
        <f>Intro!$B$4</f>
        <v>ecoinvent-3.10-cutoff</v>
      </c>
      <c r="I64" s="6">
        <v>0</v>
      </c>
      <c r="J64" t="s">
        <v>714</v>
      </c>
    </row>
    <row r="65" spans="1:13" x14ac:dyDescent="0.3">
      <c r="A65" s="6" t="s">
        <v>203</v>
      </c>
      <c r="B65" s="6" t="s">
        <v>202</v>
      </c>
      <c r="C65" s="6" t="s">
        <v>18</v>
      </c>
      <c r="D65" s="14">
        <v>2.1299999999999999E-6</v>
      </c>
      <c r="E65" s="6" t="s">
        <v>95</v>
      </c>
      <c r="F65" s="6" t="s">
        <v>15</v>
      </c>
      <c r="H65" s="6" t="str">
        <f>Intro!$B$4</f>
        <v>ecoinvent-3.10-cutoff</v>
      </c>
      <c r="I65" s="6">
        <v>0</v>
      </c>
      <c r="J65" t="s">
        <v>714</v>
      </c>
    </row>
    <row r="66" spans="1:13" x14ac:dyDescent="0.3">
      <c r="A66" s="6" t="s">
        <v>127</v>
      </c>
      <c r="B66" s="6" t="s">
        <v>25</v>
      </c>
      <c r="C66" s="9" t="s">
        <v>18</v>
      </c>
      <c r="D66" s="16">
        <f>0.16+0.161</f>
        <v>0.32100000000000001</v>
      </c>
      <c r="E66" s="9" t="s">
        <v>17</v>
      </c>
      <c r="F66" s="9" t="s">
        <v>15</v>
      </c>
      <c r="H66" s="6" t="str">
        <f>Intro!$B$4</f>
        <v>ecoinvent-3.10-cutoff</v>
      </c>
      <c r="I66" s="6">
        <v>0</v>
      </c>
      <c r="J66" t="s">
        <v>714</v>
      </c>
      <c r="K66" t="s">
        <v>250</v>
      </c>
    </row>
    <row r="67" spans="1:13" x14ac:dyDescent="0.3">
      <c r="A67" s="6" t="s">
        <v>142</v>
      </c>
      <c r="B67" s="6" t="s">
        <v>143</v>
      </c>
      <c r="C67" s="9" t="s">
        <v>24</v>
      </c>
      <c r="D67" s="16">
        <v>0.40200000000000002</v>
      </c>
      <c r="E67" s="9" t="s">
        <v>17</v>
      </c>
      <c r="F67" s="9" t="s">
        <v>15</v>
      </c>
      <c r="H67" s="6" t="str">
        <f>Intro!$B$4</f>
        <v>ecoinvent-3.10-cutoff</v>
      </c>
      <c r="I67" s="6">
        <v>0</v>
      </c>
      <c r="J67" t="s">
        <v>714</v>
      </c>
      <c r="K67" t="s">
        <v>251</v>
      </c>
    </row>
    <row r="68" spans="1:13" x14ac:dyDescent="0.3">
      <c r="A68" s="6" t="s">
        <v>16</v>
      </c>
      <c r="B68" s="6" t="s">
        <v>19</v>
      </c>
      <c r="C68" s="9" t="s">
        <v>18</v>
      </c>
      <c r="D68" s="13">
        <v>7.24</v>
      </c>
      <c r="E68" s="9" t="s">
        <v>17</v>
      </c>
      <c r="F68" s="9" t="s">
        <v>15</v>
      </c>
      <c r="H68" s="6" t="str">
        <f>Intro!$B$4</f>
        <v>ecoinvent-3.10-cutoff</v>
      </c>
      <c r="I68" s="6">
        <v>0</v>
      </c>
      <c r="J68" t="s">
        <v>714</v>
      </c>
      <c r="K68" t="s">
        <v>249</v>
      </c>
    </row>
    <row r="69" spans="1:13" x14ac:dyDescent="0.3">
      <c r="A69" s="6" t="s">
        <v>174</v>
      </c>
      <c r="D69" s="14">
        <v>1.45E-4</v>
      </c>
      <c r="E69" s="6" t="s">
        <v>8</v>
      </c>
      <c r="F69" s="6" t="s">
        <v>39</v>
      </c>
      <c r="G69" s="6" t="s">
        <v>189</v>
      </c>
      <c r="H69" s="6" t="str">
        <f>Intro!$B$5</f>
        <v>ecoinvent-3.10-biosphere</v>
      </c>
      <c r="I69" s="6">
        <v>0</v>
      </c>
      <c r="J69" t="s">
        <v>714</v>
      </c>
      <c r="K69" s="6" t="s">
        <v>209</v>
      </c>
    </row>
    <row r="70" spans="1:13" x14ac:dyDescent="0.3">
      <c r="A70" s="6" t="s">
        <v>176</v>
      </c>
      <c r="D70" s="14">
        <v>1.4499999999999999E-3</v>
      </c>
      <c r="E70" s="6" t="s">
        <v>8</v>
      </c>
      <c r="F70" s="6" t="s">
        <v>39</v>
      </c>
      <c r="G70" s="6" t="s">
        <v>189</v>
      </c>
      <c r="H70" s="6" t="str">
        <f>Intro!$B$5</f>
        <v>ecoinvent-3.10-biosphere</v>
      </c>
      <c r="I70" s="6">
        <v>0</v>
      </c>
      <c r="J70" t="s">
        <v>714</v>
      </c>
      <c r="K70" s="6" t="s">
        <v>209</v>
      </c>
    </row>
    <row r="71" spans="1:13" x14ac:dyDescent="0.3">
      <c r="A71" s="6" t="s">
        <v>175</v>
      </c>
      <c r="D71" s="14">
        <v>1.31E-3</v>
      </c>
      <c r="E71" s="6" t="s">
        <v>8</v>
      </c>
      <c r="F71" s="6" t="s">
        <v>39</v>
      </c>
      <c r="G71" s="6" t="s">
        <v>189</v>
      </c>
      <c r="H71" s="6" t="str">
        <f>Intro!$B$5</f>
        <v>ecoinvent-3.10-biosphere</v>
      </c>
      <c r="I71" s="6">
        <v>0</v>
      </c>
      <c r="J71" t="s">
        <v>714</v>
      </c>
      <c r="K71" s="6" t="s">
        <v>209</v>
      </c>
    </row>
    <row r="72" spans="1:13" x14ac:dyDescent="0.3">
      <c r="A72" s="6" t="s">
        <v>204</v>
      </c>
      <c r="D72" s="14">
        <v>0.99003290717264403</v>
      </c>
      <c r="E72" s="6" t="s">
        <v>8</v>
      </c>
      <c r="F72" s="6" t="s">
        <v>39</v>
      </c>
      <c r="G72" s="6" t="s">
        <v>78</v>
      </c>
      <c r="H72" s="6" t="str">
        <f>Intro!$B$5</f>
        <v>ecoinvent-3.10-biosphere</v>
      </c>
      <c r="I72" s="6">
        <v>0</v>
      </c>
      <c r="J72" t="s">
        <v>714</v>
      </c>
      <c r="K72" s="6" t="s">
        <v>209</v>
      </c>
    </row>
    <row r="73" spans="1:13" s="29" customFormat="1" x14ac:dyDescent="0.3">
      <c r="A73" s="27" t="s">
        <v>91</v>
      </c>
      <c r="B73" s="27"/>
      <c r="C73" s="27"/>
      <c r="D73" s="28">
        <v>1.2E-4</v>
      </c>
      <c r="E73" s="27" t="s">
        <v>92</v>
      </c>
      <c r="F73" s="27" t="s">
        <v>39</v>
      </c>
      <c r="G73" s="27" t="s">
        <v>93</v>
      </c>
      <c r="H73" s="27" t="str">
        <f>Intro!$B$5</f>
        <v>ecoinvent-3.10-biosphere</v>
      </c>
      <c r="I73" s="6">
        <v>0</v>
      </c>
      <c r="J73" t="s">
        <v>714</v>
      </c>
      <c r="K73" s="27" t="s">
        <v>209</v>
      </c>
    </row>
    <row r="74" spans="1:13" s="29" customFormat="1" x14ac:dyDescent="0.3">
      <c r="A74" s="27" t="s">
        <v>105</v>
      </c>
      <c r="B74" s="27"/>
      <c r="C74" s="27"/>
      <c r="D74" s="28">
        <v>0.98506613074472904</v>
      </c>
      <c r="E74" s="27" t="s">
        <v>8</v>
      </c>
      <c r="F74" s="27" t="s">
        <v>39</v>
      </c>
      <c r="G74" s="27" t="s">
        <v>78</v>
      </c>
      <c r="H74" s="27" t="str">
        <f>Intro!$B$5</f>
        <v>ecoinvent-3.10-biosphere</v>
      </c>
      <c r="I74" s="6">
        <v>0</v>
      </c>
      <c r="J74" t="s">
        <v>714</v>
      </c>
      <c r="K74" s="27" t="s">
        <v>209</v>
      </c>
    </row>
    <row r="75" spans="1:13" s="29" customFormat="1" x14ac:dyDescent="0.3">
      <c r="A75" s="27" t="s">
        <v>205</v>
      </c>
      <c r="B75" s="27"/>
      <c r="C75" s="27"/>
      <c r="D75" s="28">
        <v>2.1299999999999999E-6</v>
      </c>
      <c r="E75" s="27" t="s">
        <v>95</v>
      </c>
      <c r="F75" s="27" t="s">
        <v>39</v>
      </c>
      <c r="G75" s="27" t="s">
        <v>93</v>
      </c>
      <c r="H75" s="27" t="str">
        <f>Intro!$B$5</f>
        <v>ecoinvent-3.10-biosphere</v>
      </c>
      <c r="I75" s="6">
        <v>0</v>
      </c>
      <c r="J75" t="s">
        <v>714</v>
      </c>
      <c r="K75" s="27" t="s">
        <v>209</v>
      </c>
    </row>
    <row r="76" spans="1:13" s="29" customFormat="1" x14ac:dyDescent="0.3">
      <c r="A76" s="27" t="s">
        <v>96</v>
      </c>
      <c r="B76" s="27"/>
      <c r="C76" s="27"/>
      <c r="D76" s="28">
        <v>2.1299999999999999E-6</v>
      </c>
      <c r="E76" s="27" t="s">
        <v>95</v>
      </c>
      <c r="F76" s="27" t="s">
        <v>39</v>
      </c>
      <c r="G76" s="27" t="s">
        <v>93</v>
      </c>
      <c r="H76" s="27" t="str">
        <f>Intro!$B$5</f>
        <v>ecoinvent-3.10-biosphere</v>
      </c>
      <c r="I76" s="6">
        <v>0</v>
      </c>
      <c r="J76" t="s">
        <v>714</v>
      </c>
      <c r="K76" s="27" t="s">
        <v>209</v>
      </c>
    </row>
    <row r="77" spans="1:13" s="29" customFormat="1" x14ac:dyDescent="0.3">
      <c r="A77" s="27" t="s">
        <v>171</v>
      </c>
      <c r="B77" s="27"/>
      <c r="C77" s="27"/>
      <c r="D77" s="28">
        <f>3/1000</f>
        <v>3.0000000000000001E-3</v>
      </c>
      <c r="E77" s="27" t="s">
        <v>43</v>
      </c>
      <c r="F77" s="27" t="s">
        <v>39</v>
      </c>
      <c r="G77" s="27" t="s">
        <v>153</v>
      </c>
      <c r="H77" s="27" t="str">
        <f>Intro!$B$5</f>
        <v>ecoinvent-3.10-biosphere</v>
      </c>
      <c r="I77" s="6">
        <v>0</v>
      </c>
      <c r="J77" t="s">
        <v>714</v>
      </c>
      <c r="K77" s="27" t="s">
        <v>208</v>
      </c>
    </row>
    <row r="78" spans="1:13" s="29" customFormat="1" x14ac:dyDescent="0.3">
      <c r="A78" s="27" t="s">
        <v>181</v>
      </c>
      <c r="B78" s="27"/>
      <c r="C78" s="27"/>
      <c r="D78" s="28">
        <v>4.0920999999999997E-5</v>
      </c>
      <c r="E78" s="27" t="s">
        <v>8</v>
      </c>
      <c r="F78" s="27" t="s">
        <v>39</v>
      </c>
      <c r="G78" s="27" t="s">
        <v>38</v>
      </c>
      <c r="H78" s="27" t="str">
        <f>Intro!$B$5</f>
        <v>ecoinvent-3.10-biosphere</v>
      </c>
      <c r="I78" s="6">
        <v>0</v>
      </c>
      <c r="J78" t="s">
        <v>714</v>
      </c>
      <c r="K78" s="27" t="s">
        <v>206</v>
      </c>
    </row>
    <row r="79" spans="1:13" s="29" customFormat="1" x14ac:dyDescent="0.3">
      <c r="A79" s="27" t="s">
        <v>188</v>
      </c>
      <c r="B79" s="27"/>
      <c r="C79" s="27"/>
      <c r="D79" s="28">
        <v>1.6402E-9</v>
      </c>
      <c r="E79" s="27" t="s">
        <v>8</v>
      </c>
      <c r="F79" s="27" t="s">
        <v>39</v>
      </c>
      <c r="G79" s="27" t="s">
        <v>38</v>
      </c>
      <c r="H79" s="27" t="str">
        <f>Intro!$B$5</f>
        <v>ecoinvent-3.10-biosphere</v>
      </c>
      <c r="I79" s="6">
        <v>0</v>
      </c>
      <c r="J79" t="s">
        <v>714</v>
      </c>
      <c r="K79" s="27" t="s">
        <v>206</v>
      </c>
    </row>
    <row r="80" spans="1:13" x14ac:dyDescent="0.3">
      <c r="A80" s="6" t="s">
        <v>74</v>
      </c>
      <c r="D80" s="14">
        <v>9.3342000000000002E-4</v>
      </c>
      <c r="E80" s="6" t="s">
        <v>8</v>
      </c>
      <c r="F80" s="6" t="s">
        <v>39</v>
      </c>
      <c r="G80" s="6" t="s">
        <v>38</v>
      </c>
      <c r="H80" s="6" t="str">
        <f>Intro!$B$5</f>
        <v>ecoinvent-3.10-biosphere</v>
      </c>
      <c r="I80" s="6">
        <v>0</v>
      </c>
      <c r="J80" t="s">
        <v>714</v>
      </c>
      <c r="K80" s="6" t="s">
        <v>206</v>
      </c>
      <c r="L80" s="6"/>
      <c r="M80" s="6"/>
    </row>
    <row r="81" spans="1:13" x14ac:dyDescent="0.3">
      <c r="A81" s="6" t="s">
        <v>174</v>
      </c>
      <c r="D81" s="14">
        <v>4.8492000000000007E-4</v>
      </c>
      <c r="E81" s="6" t="s">
        <v>8</v>
      </c>
      <c r="F81" s="6" t="s">
        <v>39</v>
      </c>
      <c r="G81" s="6" t="s">
        <v>38</v>
      </c>
      <c r="H81" s="6" t="str">
        <f>Intro!$B$5</f>
        <v>ecoinvent-3.10-biosphere</v>
      </c>
      <c r="I81" s="6">
        <v>0</v>
      </c>
      <c r="J81" t="s">
        <v>714</v>
      </c>
      <c r="K81" s="6" t="s">
        <v>206</v>
      </c>
      <c r="L81" s="6"/>
      <c r="M81" s="6"/>
    </row>
    <row r="82" spans="1:13" x14ac:dyDescent="0.3">
      <c r="A82" s="6" t="s">
        <v>176</v>
      </c>
      <c r="D82" s="14">
        <v>6.9299999999999992E-8</v>
      </c>
      <c r="E82" s="6" t="s">
        <v>8</v>
      </c>
      <c r="F82" s="6" t="s">
        <v>39</v>
      </c>
      <c r="G82" s="6" t="s">
        <v>38</v>
      </c>
      <c r="H82" s="6" t="str">
        <f>Intro!$B$5</f>
        <v>ecoinvent-3.10-biosphere</v>
      </c>
      <c r="I82" s="6">
        <v>0</v>
      </c>
      <c r="J82" t="s">
        <v>714</v>
      </c>
      <c r="K82" s="6" t="s">
        <v>206</v>
      </c>
      <c r="L82" s="6"/>
      <c r="M82" s="6"/>
    </row>
    <row r="83" spans="1:13" x14ac:dyDescent="0.3">
      <c r="A83" s="6" t="s">
        <v>175</v>
      </c>
      <c r="D83" s="14">
        <v>2.4989999999999998E-16</v>
      </c>
      <c r="E83" s="6" t="s">
        <v>8</v>
      </c>
      <c r="F83" s="6" t="s">
        <v>39</v>
      </c>
      <c r="G83" s="6" t="s">
        <v>38</v>
      </c>
      <c r="H83" s="6" t="str">
        <f>Intro!$B$5</f>
        <v>ecoinvent-3.10-biosphere</v>
      </c>
      <c r="I83" s="6">
        <v>0</v>
      </c>
      <c r="J83" t="s">
        <v>714</v>
      </c>
      <c r="K83" s="6" t="s">
        <v>206</v>
      </c>
      <c r="L83" s="6"/>
      <c r="M83" s="6"/>
    </row>
    <row r="95" spans="1:13" x14ac:dyDescent="0.3">
      <c r="D95" s="15"/>
    </row>
    <row r="109" spans="5:5" x14ac:dyDescent="0.3">
      <c r="E109" s="14"/>
    </row>
    <row r="113" spans="1:6" x14ac:dyDescent="0.3">
      <c r="D113" s="14"/>
    </row>
    <row r="114" spans="1:6" x14ac:dyDescent="0.3">
      <c r="D114" s="14"/>
      <c r="E114" s="14"/>
    </row>
    <row r="117" spans="1:6" x14ac:dyDescent="0.3">
      <c r="E117" s="14"/>
    </row>
    <row r="118" spans="1:6" x14ac:dyDescent="0.3">
      <c r="A118" s="14"/>
      <c r="D118" s="14"/>
      <c r="F118" s="14"/>
    </row>
    <row r="119" spans="1:6" x14ac:dyDescent="0.3">
      <c r="A119" s="14"/>
      <c r="F119" s="14"/>
    </row>
    <row r="120" spans="1:6" x14ac:dyDescent="0.3">
      <c r="A120" s="14"/>
      <c r="F120" s="14"/>
    </row>
    <row r="121" spans="1:6" x14ac:dyDescent="0.3">
      <c r="A121" s="14"/>
      <c r="F121" s="14"/>
    </row>
    <row r="122" spans="1:6" x14ac:dyDescent="0.3">
      <c r="A122" s="14"/>
      <c r="F122" s="14"/>
    </row>
    <row r="123" spans="1:6" x14ac:dyDescent="0.3">
      <c r="A123" s="14"/>
      <c r="F123" s="14"/>
    </row>
    <row r="124" spans="1:6" x14ac:dyDescent="0.3">
      <c r="A124" s="14"/>
      <c r="F124" s="14"/>
    </row>
    <row r="125" spans="1:6" x14ac:dyDescent="0.3">
      <c r="A125" s="14"/>
      <c r="F125" s="14"/>
    </row>
    <row r="126" spans="1:6" x14ac:dyDescent="0.3">
      <c r="A126" s="14"/>
      <c r="F126" s="14"/>
    </row>
    <row r="127" spans="1:6" x14ac:dyDescent="0.3">
      <c r="A127" s="14"/>
      <c r="F127" s="14"/>
    </row>
    <row r="128" spans="1:6" x14ac:dyDescent="0.3">
      <c r="A128" s="14"/>
      <c r="F128" s="14"/>
    </row>
    <row r="129" spans="1:6" x14ac:dyDescent="0.3">
      <c r="A129" s="14"/>
      <c r="F129" s="14"/>
    </row>
    <row r="130" spans="1:6" x14ac:dyDescent="0.3">
      <c r="A130" s="14"/>
      <c r="F130" s="14"/>
    </row>
    <row r="131" spans="1:6" x14ac:dyDescent="0.3">
      <c r="A131" s="14"/>
      <c r="F131" s="14"/>
    </row>
    <row r="132" spans="1:6" x14ac:dyDescent="0.3">
      <c r="A132" s="14"/>
      <c r="F132" s="14"/>
    </row>
    <row r="133" spans="1:6" x14ac:dyDescent="0.3">
      <c r="A133" s="14"/>
      <c r="F133" s="14"/>
    </row>
    <row r="134" spans="1:6" x14ac:dyDescent="0.3">
      <c r="A134" s="14"/>
      <c r="F134" s="14"/>
    </row>
    <row r="135" spans="1:6" x14ac:dyDescent="0.3">
      <c r="A135" s="14"/>
      <c r="F135" s="14"/>
    </row>
    <row r="136" spans="1:6" x14ac:dyDescent="0.3">
      <c r="A136" s="14"/>
      <c r="F136" s="14"/>
    </row>
    <row r="137" spans="1:6" x14ac:dyDescent="0.3">
      <c r="A137" s="14"/>
      <c r="F137" s="14"/>
    </row>
    <row r="138" spans="1:6" x14ac:dyDescent="0.3">
      <c r="A138" s="14"/>
      <c r="F138" s="14"/>
    </row>
    <row r="139" spans="1:6" x14ac:dyDescent="0.3">
      <c r="F139" s="14"/>
    </row>
    <row r="140" spans="1:6" x14ac:dyDescent="0.3">
      <c r="A140" s="14"/>
      <c r="F140" s="14"/>
    </row>
    <row r="141" spans="1:6" x14ac:dyDescent="0.3">
      <c r="A141" s="14"/>
      <c r="F141" s="14"/>
    </row>
    <row r="142" spans="1:6" x14ac:dyDescent="0.3">
      <c r="A142" s="14"/>
      <c r="F142" s="14"/>
    </row>
    <row r="143" spans="1:6" x14ac:dyDescent="0.3">
      <c r="A143" s="14"/>
      <c r="F143" s="14"/>
    </row>
    <row r="144" spans="1:6" x14ac:dyDescent="0.3">
      <c r="A144" s="14"/>
      <c r="F144" s="14"/>
    </row>
    <row r="145" spans="1:6" x14ac:dyDescent="0.3">
      <c r="F145" s="14"/>
    </row>
    <row r="146" spans="1:6" x14ac:dyDescent="0.3">
      <c r="A146" s="14"/>
      <c r="F146" s="14"/>
    </row>
    <row r="147" spans="1:6" x14ac:dyDescent="0.3">
      <c r="A147" s="14"/>
      <c r="F147" s="14"/>
    </row>
    <row r="148" spans="1:6" x14ac:dyDescent="0.3">
      <c r="A148" s="14"/>
      <c r="F148" s="14"/>
    </row>
    <row r="149" spans="1:6" x14ac:dyDescent="0.3">
      <c r="A149" s="14"/>
      <c r="F149" s="14"/>
    </row>
    <row r="150" spans="1:6" x14ac:dyDescent="0.3">
      <c r="A150" s="14"/>
      <c r="F150" s="14"/>
    </row>
    <row r="151" spans="1:6" x14ac:dyDescent="0.3">
      <c r="A151" s="14"/>
      <c r="F151" s="14"/>
    </row>
    <row r="152" spans="1:6" x14ac:dyDescent="0.3">
      <c r="A152" s="14"/>
      <c r="F152" s="14"/>
    </row>
    <row r="153" spans="1:6" x14ac:dyDescent="0.3">
      <c r="A153" s="14"/>
      <c r="F153" s="14"/>
    </row>
    <row r="154" spans="1:6" x14ac:dyDescent="0.3">
      <c r="A154" s="14"/>
      <c r="F154" s="14"/>
    </row>
    <row r="155" spans="1:6" x14ac:dyDescent="0.3">
      <c r="A155" s="14"/>
      <c r="F155" s="14"/>
    </row>
    <row r="156" spans="1:6" x14ac:dyDescent="0.3">
      <c r="A156" s="14"/>
      <c r="F156" s="14"/>
    </row>
    <row r="157" spans="1:6" x14ac:dyDescent="0.3">
      <c r="A157" s="14"/>
      <c r="F157" s="14"/>
    </row>
    <row r="158" spans="1:6" x14ac:dyDescent="0.3">
      <c r="A158" s="14"/>
      <c r="F158" s="14"/>
    </row>
    <row r="159" spans="1:6" x14ac:dyDescent="0.3">
      <c r="F159" s="14"/>
    </row>
    <row r="160" spans="1:6" x14ac:dyDescent="0.3">
      <c r="A160" s="14"/>
      <c r="F160" s="14"/>
    </row>
    <row r="161" spans="1:6" x14ac:dyDescent="0.3">
      <c r="A161" s="14"/>
      <c r="F161" s="14"/>
    </row>
    <row r="162" spans="1:6" x14ac:dyDescent="0.3">
      <c r="A162" s="14"/>
      <c r="F162" s="14"/>
    </row>
    <row r="163" spans="1:6" x14ac:dyDescent="0.3">
      <c r="A163" s="14"/>
      <c r="F163" s="14"/>
    </row>
    <row r="164" spans="1:6" x14ac:dyDescent="0.3">
      <c r="A164" s="14"/>
      <c r="F164" s="14"/>
    </row>
    <row r="165" spans="1:6" x14ac:dyDescent="0.3">
      <c r="A165" s="14"/>
      <c r="F165" s="14"/>
    </row>
    <row r="166" spans="1:6" x14ac:dyDescent="0.3">
      <c r="A166" s="14"/>
      <c r="F166" s="14"/>
    </row>
    <row r="167" spans="1:6" x14ac:dyDescent="0.3">
      <c r="A167" s="14"/>
      <c r="F167" s="14"/>
    </row>
    <row r="168" spans="1:6" x14ac:dyDescent="0.3">
      <c r="A168" s="14"/>
      <c r="F168" s="14"/>
    </row>
    <row r="169" spans="1:6" x14ac:dyDescent="0.3">
      <c r="A169" s="14"/>
      <c r="F169" s="14"/>
    </row>
    <row r="170" spans="1:6" x14ac:dyDescent="0.3">
      <c r="A170" s="14"/>
      <c r="F170" s="14"/>
    </row>
    <row r="171" spans="1:6" x14ac:dyDescent="0.3">
      <c r="A171" s="14"/>
      <c r="F171" s="14"/>
    </row>
    <row r="172" spans="1:6" x14ac:dyDescent="0.3">
      <c r="A172" s="14"/>
      <c r="F172" s="14"/>
    </row>
    <row r="173" spans="1:6" x14ac:dyDescent="0.3">
      <c r="A173" s="14"/>
      <c r="F173" s="14"/>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6F10-A44B-4159-997F-0A6BAB3CF087}">
  <dimension ref="A1:XFA86"/>
  <sheetViews>
    <sheetView topLeftCell="A28" zoomScale="85" zoomScaleNormal="85" workbookViewId="0">
      <selection activeCell="I43" sqref="I1:I1048576"/>
    </sheetView>
  </sheetViews>
  <sheetFormatPr defaultRowHeight="14.4" x14ac:dyDescent="0.3"/>
  <cols>
    <col min="1" max="1" width="49.33203125" style="6" bestFit="1" customWidth="1"/>
    <col min="2" max="2" width="25.88671875" style="6" customWidth="1"/>
    <col min="3" max="3" width="8.109375" style="6" bestFit="1" customWidth="1"/>
    <col min="4" max="4" width="12" style="6" bestFit="1" customWidth="1"/>
    <col min="5" max="5" width="17.6640625" style="6" bestFit="1" customWidth="1"/>
    <col min="6" max="6" width="13.44140625" style="6" bestFit="1" customWidth="1"/>
    <col min="7" max="7" width="25.5546875" style="6" bestFit="1" customWidth="1"/>
    <col min="8" max="8" width="20.6640625" style="6" bestFit="1" customWidth="1"/>
    <col min="9" max="9" width="15.6640625" style="6" customWidth="1"/>
    <col min="10" max="10" width="13.6640625" style="6" bestFit="1" customWidth="1"/>
  </cols>
  <sheetData>
    <row r="1" spans="1:1021 1027:2045 2051:3069 3075:4093 4099:5117 5123:6141 6147:7165 7171:8189 8195:9213 9219:10237 10243:11261 11267:12285 12291:13309 13315:14333 14339:15357 15363:16381" s="3" customFormat="1" x14ac:dyDescent="0.3">
      <c r="A1" s="10" t="s">
        <v>1</v>
      </c>
      <c r="B1" s="10" t="s">
        <v>472</v>
      </c>
      <c r="C1" s="10"/>
      <c r="D1" s="9"/>
      <c r="E1" s="9"/>
      <c r="F1" s="9"/>
      <c r="G1" s="9"/>
      <c r="H1" s="9"/>
      <c r="I1" s="9"/>
      <c r="J1" s="9"/>
      <c r="K1" s="17"/>
      <c r="L1" s="17"/>
      <c r="M1" s="17"/>
      <c r="S1" s="17"/>
      <c r="T1" s="17"/>
      <c r="U1" s="17"/>
      <c r="AA1" s="17"/>
      <c r="AB1" s="17"/>
      <c r="AC1" s="17"/>
      <c r="AI1" s="17"/>
      <c r="AJ1" s="17"/>
      <c r="AK1" s="17"/>
      <c r="AQ1" s="17"/>
      <c r="AR1" s="17"/>
      <c r="AS1" s="17"/>
      <c r="AY1" s="17"/>
      <c r="AZ1" s="17"/>
      <c r="BA1" s="17"/>
      <c r="BG1" s="17"/>
      <c r="BH1" s="17"/>
      <c r="BI1" s="17"/>
      <c r="BO1" s="17"/>
      <c r="BP1" s="17"/>
      <c r="BQ1" s="17"/>
      <c r="BW1" s="17"/>
      <c r="BX1" s="17"/>
      <c r="BY1" s="17"/>
      <c r="CE1" s="17"/>
      <c r="CF1" s="17"/>
      <c r="CG1" s="17"/>
      <c r="CM1" s="17"/>
      <c r="CN1" s="17"/>
      <c r="CO1" s="17"/>
      <c r="CU1" s="17"/>
      <c r="CV1" s="17"/>
      <c r="CW1" s="17"/>
      <c r="DC1" s="17"/>
      <c r="DD1" s="17"/>
      <c r="DE1" s="17"/>
      <c r="DK1" s="17"/>
      <c r="DL1" s="17"/>
      <c r="DM1" s="17"/>
      <c r="DS1" s="17"/>
      <c r="DT1" s="17"/>
      <c r="DU1" s="17"/>
      <c r="EA1" s="17"/>
      <c r="EB1" s="17"/>
      <c r="EC1" s="17"/>
      <c r="EI1" s="17"/>
      <c r="EJ1" s="17"/>
      <c r="EK1" s="17"/>
      <c r="EQ1" s="17"/>
      <c r="ER1" s="17"/>
      <c r="ES1" s="17"/>
      <c r="EY1" s="17"/>
      <c r="EZ1" s="17"/>
      <c r="FA1" s="17"/>
      <c r="FG1" s="17"/>
      <c r="FH1" s="17"/>
      <c r="FI1" s="17"/>
      <c r="FO1" s="17"/>
      <c r="FP1" s="17"/>
      <c r="FQ1" s="17"/>
      <c r="FW1" s="17"/>
      <c r="FX1" s="17"/>
      <c r="FY1" s="17"/>
      <c r="GE1" s="17"/>
      <c r="GF1" s="17"/>
      <c r="GG1" s="17"/>
      <c r="GM1" s="17"/>
      <c r="GN1" s="17"/>
      <c r="GO1" s="17"/>
      <c r="GU1" s="17"/>
      <c r="GV1" s="17"/>
      <c r="GW1" s="17"/>
      <c r="HC1" s="17"/>
      <c r="HD1" s="17"/>
      <c r="HE1" s="17"/>
      <c r="HK1" s="17"/>
      <c r="HL1" s="17"/>
      <c r="HM1" s="17"/>
      <c r="HS1" s="17"/>
      <c r="HT1" s="17"/>
      <c r="HU1" s="17"/>
      <c r="IA1" s="17"/>
      <c r="IB1" s="17"/>
      <c r="IC1" s="17"/>
      <c r="II1" s="17"/>
      <c r="IJ1" s="17"/>
      <c r="IK1" s="17"/>
      <c r="IQ1" s="17"/>
      <c r="IR1" s="17"/>
      <c r="IS1" s="17"/>
      <c r="IY1" s="17"/>
      <c r="IZ1" s="17"/>
      <c r="JA1" s="17"/>
      <c r="JG1" s="17"/>
      <c r="JH1" s="17"/>
      <c r="JI1" s="17"/>
      <c r="JO1" s="17"/>
      <c r="JP1" s="17"/>
      <c r="JQ1" s="17"/>
      <c r="JW1" s="17"/>
      <c r="JX1" s="17"/>
      <c r="JY1" s="17"/>
      <c r="KE1" s="17"/>
      <c r="KF1" s="17"/>
      <c r="KG1" s="17"/>
      <c r="KM1" s="17"/>
      <c r="KN1" s="17"/>
      <c r="KO1" s="17"/>
      <c r="KU1" s="17"/>
      <c r="KV1" s="17"/>
      <c r="KW1" s="17"/>
      <c r="LC1" s="17"/>
      <c r="LD1" s="17"/>
      <c r="LE1" s="17"/>
      <c r="LK1" s="17"/>
      <c r="LL1" s="17"/>
      <c r="LM1" s="17"/>
      <c r="LS1" s="17"/>
      <c r="LT1" s="17"/>
      <c r="LU1" s="17"/>
      <c r="MA1" s="17"/>
      <c r="MB1" s="17"/>
      <c r="MC1" s="17"/>
      <c r="MI1" s="17"/>
      <c r="MJ1" s="17"/>
      <c r="MK1" s="17"/>
      <c r="MQ1" s="17"/>
      <c r="MR1" s="17"/>
      <c r="MS1" s="17"/>
      <c r="MY1" s="17"/>
      <c r="MZ1" s="17"/>
      <c r="NA1" s="17"/>
      <c r="NG1" s="17"/>
      <c r="NH1" s="17"/>
      <c r="NI1" s="17"/>
      <c r="NO1" s="17"/>
      <c r="NP1" s="17"/>
      <c r="NQ1" s="17"/>
      <c r="NW1" s="17"/>
      <c r="NX1" s="17"/>
      <c r="NY1" s="17"/>
      <c r="OE1" s="17"/>
      <c r="OF1" s="17"/>
      <c r="OG1" s="17"/>
      <c r="OM1" s="17"/>
      <c r="ON1" s="17"/>
      <c r="OO1" s="17"/>
      <c r="OU1" s="17"/>
      <c r="OV1" s="17"/>
      <c r="OW1" s="17"/>
      <c r="PC1" s="17"/>
      <c r="PD1" s="17"/>
      <c r="PE1" s="17"/>
      <c r="PK1" s="17"/>
      <c r="PL1" s="17"/>
      <c r="PM1" s="17"/>
      <c r="PS1" s="17"/>
      <c r="PT1" s="17"/>
      <c r="PU1" s="17"/>
      <c r="QA1" s="17"/>
      <c r="QB1" s="17"/>
      <c r="QC1" s="17"/>
      <c r="QI1" s="17"/>
      <c r="QJ1" s="17"/>
      <c r="QK1" s="17"/>
      <c r="QQ1" s="17"/>
      <c r="QR1" s="17"/>
      <c r="QS1" s="17"/>
      <c r="QY1" s="17"/>
      <c r="QZ1" s="17"/>
      <c r="RA1" s="17"/>
      <c r="RG1" s="17"/>
      <c r="RH1" s="17"/>
      <c r="RI1" s="17"/>
      <c r="RO1" s="17"/>
      <c r="RP1" s="17"/>
      <c r="RQ1" s="17"/>
      <c r="RW1" s="17"/>
      <c r="RX1" s="17"/>
      <c r="RY1" s="17"/>
      <c r="SE1" s="17"/>
      <c r="SF1" s="17"/>
      <c r="SG1" s="17"/>
      <c r="SM1" s="17"/>
      <c r="SN1" s="17"/>
      <c r="SO1" s="17"/>
      <c r="SU1" s="17"/>
      <c r="SV1" s="17"/>
      <c r="SW1" s="17"/>
      <c r="TC1" s="17"/>
      <c r="TD1" s="17"/>
      <c r="TE1" s="17"/>
      <c r="TK1" s="17"/>
      <c r="TL1" s="17"/>
      <c r="TM1" s="17"/>
      <c r="TS1" s="17"/>
      <c r="TT1" s="17"/>
      <c r="TU1" s="17"/>
      <c r="UA1" s="17"/>
      <c r="UB1" s="17"/>
      <c r="UC1" s="17"/>
      <c r="UI1" s="17"/>
      <c r="UJ1" s="17"/>
      <c r="UK1" s="17"/>
      <c r="UQ1" s="17"/>
      <c r="UR1" s="17"/>
      <c r="US1" s="17"/>
      <c r="UY1" s="17"/>
      <c r="UZ1" s="17"/>
      <c r="VA1" s="17"/>
      <c r="VG1" s="17"/>
      <c r="VH1" s="17"/>
      <c r="VI1" s="17"/>
      <c r="VO1" s="17"/>
      <c r="VP1" s="17"/>
      <c r="VQ1" s="17"/>
      <c r="VW1" s="17"/>
      <c r="VX1" s="17"/>
      <c r="VY1" s="17"/>
      <c r="WE1" s="17"/>
      <c r="WF1" s="17"/>
      <c r="WG1" s="17"/>
      <c r="WM1" s="17"/>
      <c r="WN1" s="17"/>
      <c r="WO1" s="17"/>
      <c r="WU1" s="17"/>
      <c r="WV1" s="17"/>
      <c r="WW1" s="17"/>
      <c r="XC1" s="17"/>
      <c r="XD1" s="17"/>
      <c r="XE1" s="17"/>
      <c r="XK1" s="17"/>
      <c r="XL1" s="17"/>
      <c r="XM1" s="17"/>
      <c r="XS1" s="17"/>
      <c r="XT1" s="17"/>
      <c r="XU1" s="17"/>
      <c r="YA1" s="17"/>
      <c r="YB1" s="17"/>
      <c r="YC1" s="17"/>
      <c r="YI1" s="17"/>
      <c r="YJ1" s="17"/>
      <c r="YK1" s="17"/>
      <c r="YQ1" s="17"/>
      <c r="YR1" s="17"/>
      <c r="YS1" s="17"/>
      <c r="YY1" s="17"/>
      <c r="YZ1" s="17"/>
      <c r="ZA1" s="17"/>
      <c r="ZG1" s="17"/>
      <c r="ZH1" s="17"/>
      <c r="ZI1" s="17"/>
      <c r="ZO1" s="17"/>
      <c r="ZP1" s="17"/>
      <c r="ZQ1" s="17"/>
      <c r="ZW1" s="17"/>
      <c r="ZX1" s="17"/>
      <c r="ZY1" s="17"/>
      <c r="AAE1" s="17"/>
      <c r="AAF1" s="17"/>
      <c r="AAG1" s="17"/>
      <c r="AAM1" s="17"/>
      <c r="AAN1" s="17"/>
      <c r="AAO1" s="17"/>
      <c r="AAU1" s="17"/>
      <c r="AAV1" s="17"/>
      <c r="AAW1" s="17"/>
      <c r="ABC1" s="17"/>
      <c r="ABD1" s="17"/>
      <c r="ABE1" s="17"/>
      <c r="ABK1" s="17"/>
      <c r="ABL1" s="17"/>
      <c r="ABM1" s="17"/>
      <c r="ABS1" s="17"/>
      <c r="ABT1" s="17"/>
      <c r="ABU1" s="17"/>
      <c r="ACA1" s="17"/>
      <c r="ACB1" s="17"/>
      <c r="ACC1" s="17"/>
      <c r="ACI1" s="17"/>
      <c r="ACJ1" s="17"/>
      <c r="ACK1" s="17"/>
      <c r="ACQ1" s="17"/>
      <c r="ACR1" s="17"/>
      <c r="ACS1" s="17"/>
      <c r="ACY1" s="17"/>
      <c r="ACZ1" s="17"/>
      <c r="ADA1" s="17"/>
      <c r="ADG1" s="17"/>
      <c r="ADH1" s="17"/>
      <c r="ADI1" s="17"/>
      <c r="ADO1" s="17"/>
      <c r="ADP1" s="17"/>
      <c r="ADQ1" s="17"/>
      <c r="ADW1" s="17"/>
      <c r="ADX1" s="17"/>
      <c r="ADY1" s="17"/>
      <c r="AEE1" s="17"/>
      <c r="AEF1" s="17"/>
      <c r="AEG1" s="17"/>
      <c r="AEM1" s="17"/>
      <c r="AEN1" s="17"/>
      <c r="AEO1" s="17"/>
      <c r="AEU1" s="17"/>
      <c r="AEV1" s="17"/>
      <c r="AEW1" s="17"/>
      <c r="AFC1" s="17"/>
      <c r="AFD1" s="17"/>
      <c r="AFE1" s="17"/>
      <c r="AFK1" s="17"/>
      <c r="AFL1" s="17"/>
      <c r="AFM1" s="17"/>
      <c r="AFS1" s="17"/>
      <c r="AFT1" s="17"/>
      <c r="AFU1" s="17"/>
      <c r="AGA1" s="17"/>
      <c r="AGB1" s="17"/>
      <c r="AGC1" s="17"/>
      <c r="AGI1" s="17"/>
      <c r="AGJ1" s="17"/>
      <c r="AGK1" s="17"/>
      <c r="AGQ1" s="17"/>
      <c r="AGR1" s="17"/>
      <c r="AGS1" s="17"/>
      <c r="AGY1" s="17"/>
      <c r="AGZ1" s="17"/>
      <c r="AHA1" s="17"/>
      <c r="AHG1" s="17"/>
      <c r="AHH1" s="17"/>
      <c r="AHI1" s="17"/>
      <c r="AHO1" s="17"/>
      <c r="AHP1" s="17"/>
      <c r="AHQ1" s="17"/>
      <c r="AHW1" s="17"/>
      <c r="AHX1" s="17"/>
      <c r="AHY1" s="17"/>
      <c r="AIE1" s="17"/>
      <c r="AIF1" s="17"/>
      <c r="AIG1" s="17"/>
      <c r="AIM1" s="17"/>
      <c r="AIN1" s="17"/>
      <c r="AIO1" s="17"/>
      <c r="AIU1" s="17"/>
      <c r="AIV1" s="17"/>
      <c r="AIW1" s="17"/>
      <c r="AJC1" s="17"/>
      <c r="AJD1" s="17"/>
      <c r="AJE1" s="17"/>
      <c r="AJK1" s="17"/>
      <c r="AJL1" s="17"/>
      <c r="AJM1" s="17"/>
      <c r="AJS1" s="17"/>
      <c r="AJT1" s="17"/>
      <c r="AJU1" s="17"/>
      <c r="AKA1" s="17"/>
      <c r="AKB1" s="17"/>
      <c r="AKC1" s="17"/>
      <c r="AKI1" s="17"/>
      <c r="AKJ1" s="17"/>
      <c r="AKK1" s="17"/>
      <c r="AKQ1" s="17"/>
      <c r="AKR1" s="17"/>
      <c r="AKS1" s="17"/>
      <c r="AKY1" s="17"/>
      <c r="AKZ1" s="17"/>
      <c r="ALA1" s="17"/>
      <c r="ALG1" s="17"/>
      <c r="ALH1" s="17"/>
      <c r="ALI1" s="17"/>
      <c r="ALO1" s="17"/>
      <c r="ALP1" s="17"/>
      <c r="ALQ1" s="17"/>
      <c r="ALW1" s="17"/>
      <c r="ALX1" s="17"/>
      <c r="ALY1" s="17"/>
      <c r="AME1" s="17"/>
      <c r="AMF1" s="17"/>
      <c r="AMG1" s="17"/>
      <c r="AMM1" s="17"/>
      <c r="AMN1" s="17"/>
      <c r="AMO1" s="17"/>
      <c r="AMU1" s="17"/>
      <c r="AMV1" s="17"/>
      <c r="AMW1" s="17"/>
      <c r="ANC1" s="17"/>
      <c r="AND1" s="17"/>
      <c r="ANE1" s="17"/>
      <c r="ANK1" s="17"/>
      <c r="ANL1" s="17"/>
      <c r="ANM1" s="17"/>
      <c r="ANS1" s="17"/>
      <c r="ANT1" s="17"/>
      <c r="ANU1" s="17"/>
      <c r="AOA1" s="17"/>
      <c r="AOB1" s="17"/>
      <c r="AOC1" s="17"/>
      <c r="AOI1" s="17"/>
      <c r="AOJ1" s="17"/>
      <c r="AOK1" s="17"/>
      <c r="AOQ1" s="17"/>
      <c r="AOR1" s="17"/>
      <c r="AOS1" s="17"/>
      <c r="AOY1" s="17"/>
      <c r="AOZ1" s="17"/>
      <c r="APA1" s="17"/>
      <c r="APG1" s="17"/>
      <c r="APH1" s="17"/>
      <c r="API1" s="17"/>
      <c r="APO1" s="17"/>
      <c r="APP1" s="17"/>
      <c r="APQ1" s="17"/>
      <c r="APW1" s="17"/>
      <c r="APX1" s="17"/>
      <c r="APY1" s="17"/>
      <c r="AQE1" s="17"/>
      <c r="AQF1" s="17"/>
      <c r="AQG1" s="17"/>
      <c r="AQM1" s="17"/>
      <c r="AQN1" s="17"/>
      <c r="AQO1" s="17"/>
      <c r="AQU1" s="17"/>
      <c r="AQV1" s="17"/>
      <c r="AQW1" s="17"/>
      <c r="ARC1" s="17"/>
      <c r="ARD1" s="17"/>
      <c r="ARE1" s="17"/>
      <c r="ARK1" s="17"/>
      <c r="ARL1" s="17"/>
      <c r="ARM1" s="17"/>
      <c r="ARS1" s="17"/>
      <c r="ART1" s="17"/>
      <c r="ARU1" s="17"/>
      <c r="ASA1" s="17"/>
      <c r="ASB1" s="17"/>
      <c r="ASC1" s="17"/>
      <c r="ASI1" s="17"/>
      <c r="ASJ1" s="17"/>
      <c r="ASK1" s="17"/>
      <c r="ASQ1" s="17"/>
      <c r="ASR1" s="17"/>
      <c r="ASS1" s="17"/>
      <c r="ASY1" s="17"/>
      <c r="ASZ1" s="17"/>
      <c r="ATA1" s="17"/>
      <c r="ATG1" s="17"/>
      <c r="ATH1" s="17"/>
      <c r="ATI1" s="17"/>
      <c r="ATO1" s="17"/>
      <c r="ATP1" s="17"/>
      <c r="ATQ1" s="17"/>
      <c r="ATW1" s="17"/>
      <c r="ATX1" s="17"/>
      <c r="ATY1" s="17"/>
      <c r="AUE1" s="17"/>
      <c r="AUF1" s="17"/>
      <c r="AUG1" s="17"/>
      <c r="AUM1" s="17"/>
      <c r="AUN1" s="17"/>
      <c r="AUO1" s="17"/>
      <c r="AUU1" s="17"/>
      <c r="AUV1" s="17"/>
      <c r="AUW1" s="17"/>
      <c r="AVC1" s="17"/>
      <c r="AVD1" s="17"/>
      <c r="AVE1" s="17"/>
      <c r="AVK1" s="17"/>
      <c r="AVL1" s="17"/>
      <c r="AVM1" s="17"/>
      <c r="AVS1" s="17"/>
      <c r="AVT1" s="17"/>
      <c r="AVU1" s="17"/>
      <c r="AWA1" s="17"/>
      <c r="AWB1" s="17"/>
      <c r="AWC1" s="17"/>
      <c r="AWI1" s="17"/>
      <c r="AWJ1" s="17"/>
      <c r="AWK1" s="17"/>
      <c r="AWQ1" s="17"/>
      <c r="AWR1" s="17"/>
      <c r="AWS1" s="17"/>
      <c r="AWY1" s="17"/>
      <c r="AWZ1" s="17"/>
      <c r="AXA1" s="17"/>
      <c r="AXG1" s="17"/>
      <c r="AXH1" s="17"/>
      <c r="AXI1" s="17"/>
      <c r="AXO1" s="17"/>
      <c r="AXP1" s="17"/>
      <c r="AXQ1" s="17"/>
      <c r="AXW1" s="17"/>
      <c r="AXX1" s="17"/>
      <c r="AXY1" s="17"/>
      <c r="AYE1" s="17"/>
      <c r="AYF1" s="17"/>
      <c r="AYG1" s="17"/>
      <c r="AYM1" s="17"/>
      <c r="AYN1" s="17"/>
      <c r="AYO1" s="17"/>
      <c r="AYU1" s="17"/>
      <c r="AYV1" s="17"/>
      <c r="AYW1" s="17"/>
      <c r="AZC1" s="17"/>
      <c r="AZD1" s="17"/>
      <c r="AZE1" s="17"/>
      <c r="AZK1" s="17"/>
      <c r="AZL1" s="17"/>
      <c r="AZM1" s="17"/>
      <c r="AZS1" s="17"/>
      <c r="AZT1" s="17"/>
      <c r="AZU1" s="17"/>
      <c r="BAA1" s="17"/>
      <c r="BAB1" s="17"/>
      <c r="BAC1" s="17"/>
      <c r="BAI1" s="17"/>
      <c r="BAJ1" s="17"/>
      <c r="BAK1" s="17"/>
      <c r="BAQ1" s="17"/>
      <c r="BAR1" s="17"/>
      <c r="BAS1" s="17"/>
      <c r="BAY1" s="17"/>
      <c r="BAZ1" s="17"/>
      <c r="BBA1" s="17"/>
      <c r="BBG1" s="17"/>
      <c r="BBH1" s="17"/>
      <c r="BBI1" s="17"/>
      <c r="BBO1" s="17"/>
      <c r="BBP1" s="17"/>
      <c r="BBQ1" s="17"/>
      <c r="BBW1" s="17"/>
      <c r="BBX1" s="17"/>
      <c r="BBY1" s="17"/>
      <c r="BCE1" s="17"/>
      <c r="BCF1" s="17"/>
      <c r="BCG1" s="17"/>
      <c r="BCM1" s="17"/>
      <c r="BCN1" s="17"/>
      <c r="BCO1" s="17"/>
      <c r="BCU1" s="17"/>
      <c r="BCV1" s="17"/>
      <c r="BCW1" s="17"/>
      <c r="BDC1" s="17"/>
      <c r="BDD1" s="17"/>
      <c r="BDE1" s="17"/>
      <c r="BDK1" s="17"/>
      <c r="BDL1" s="17"/>
      <c r="BDM1" s="17"/>
      <c r="BDS1" s="17"/>
      <c r="BDT1" s="17"/>
      <c r="BDU1" s="17"/>
      <c r="BEA1" s="17"/>
      <c r="BEB1" s="17"/>
      <c r="BEC1" s="17"/>
      <c r="BEI1" s="17"/>
      <c r="BEJ1" s="17"/>
      <c r="BEK1" s="17"/>
      <c r="BEQ1" s="17"/>
      <c r="BER1" s="17"/>
      <c r="BES1" s="17"/>
      <c r="BEY1" s="17"/>
      <c r="BEZ1" s="17"/>
      <c r="BFA1" s="17"/>
      <c r="BFG1" s="17"/>
      <c r="BFH1" s="17"/>
      <c r="BFI1" s="17"/>
      <c r="BFO1" s="17"/>
      <c r="BFP1" s="17"/>
      <c r="BFQ1" s="17"/>
      <c r="BFW1" s="17"/>
      <c r="BFX1" s="17"/>
      <c r="BFY1" s="17"/>
      <c r="BGE1" s="17"/>
      <c r="BGF1" s="17"/>
      <c r="BGG1" s="17"/>
      <c r="BGM1" s="17"/>
      <c r="BGN1" s="17"/>
      <c r="BGO1" s="17"/>
      <c r="BGU1" s="17"/>
      <c r="BGV1" s="17"/>
      <c r="BGW1" s="17"/>
      <c r="BHC1" s="17"/>
      <c r="BHD1" s="17"/>
      <c r="BHE1" s="17"/>
      <c r="BHK1" s="17"/>
      <c r="BHL1" s="17"/>
      <c r="BHM1" s="17"/>
      <c r="BHS1" s="17"/>
      <c r="BHT1" s="17"/>
      <c r="BHU1" s="17"/>
      <c r="BIA1" s="17"/>
      <c r="BIB1" s="17"/>
      <c r="BIC1" s="17"/>
      <c r="BII1" s="17"/>
      <c r="BIJ1" s="17"/>
      <c r="BIK1" s="17"/>
      <c r="BIQ1" s="17"/>
      <c r="BIR1" s="17"/>
      <c r="BIS1" s="17"/>
      <c r="BIY1" s="17"/>
      <c r="BIZ1" s="17"/>
      <c r="BJA1" s="17"/>
      <c r="BJG1" s="17"/>
      <c r="BJH1" s="17"/>
      <c r="BJI1" s="17"/>
      <c r="BJO1" s="17"/>
      <c r="BJP1" s="17"/>
      <c r="BJQ1" s="17"/>
      <c r="BJW1" s="17"/>
      <c r="BJX1" s="17"/>
      <c r="BJY1" s="17"/>
      <c r="BKE1" s="17"/>
      <c r="BKF1" s="17"/>
      <c r="BKG1" s="17"/>
      <c r="BKM1" s="17"/>
      <c r="BKN1" s="17"/>
      <c r="BKO1" s="17"/>
      <c r="BKU1" s="17"/>
      <c r="BKV1" s="17"/>
      <c r="BKW1" s="17"/>
      <c r="BLC1" s="17"/>
      <c r="BLD1" s="17"/>
      <c r="BLE1" s="17"/>
      <c r="BLK1" s="17"/>
      <c r="BLL1" s="17"/>
      <c r="BLM1" s="17"/>
      <c r="BLS1" s="17"/>
      <c r="BLT1" s="17"/>
      <c r="BLU1" s="17"/>
      <c r="BMA1" s="17"/>
      <c r="BMB1" s="17"/>
      <c r="BMC1" s="17"/>
      <c r="BMI1" s="17"/>
      <c r="BMJ1" s="17"/>
      <c r="BMK1" s="17"/>
      <c r="BMQ1" s="17"/>
      <c r="BMR1" s="17"/>
      <c r="BMS1" s="17"/>
      <c r="BMY1" s="17"/>
      <c r="BMZ1" s="17"/>
      <c r="BNA1" s="17"/>
      <c r="BNG1" s="17"/>
      <c r="BNH1" s="17"/>
      <c r="BNI1" s="17"/>
      <c r="BNO1" s="17"/>
      <c r="BNP1" s="17"/>
      <c r="BNQ1" s="17"/>
      <c r="BNW1" s="17"/>
      <c r="BNX1" s="17"/>
      <c r="BNY1" s="17"/>
      <c r="BOE1" s="17"/>
      <c r="BOF1" s="17"/>
      <c r="BOG1" s="17"/>
      <c r="BOM1" s="17"/>
      <c r="BON1" s="17"/>
      <c r="BOO1" s="17"/>
      <c r="BOU1" s="17"/>
      <c r="BOV1" s="17"/>
      <c r="BOW1" s="17"/>
      <c r="BPC1" s="17"/>
      <c r="BPD1" s="17"/>
      <c r="BPE1" s="17"/>
      <c r="BPK1" s="17"/>
      <c r="BPL1" s="17"/>
      <c r="BPM1" s="17"/>
      <c r="BPS1" s="17"/>
      <c r="BPT1" s="17"/>
      <c r="BPU1" s="17"/>
      <c r="BQA1" s="17"/>
      <c r="BQB1" s="17"/>
      <c r="BQC1" s="17"/>
      <c r="BQI1" s="17"/>
      <c r="BQJ1" s="17"/>
      <c r="BQK1" s="17"/>
      <c r="BQQ1" s="17"/>
      <c r="BQR1" s="17"/>
      <c r="BQS1" s="17"/>
      <c r="BQY1" s="17"/>
      <c r="BQZ1" s="17"/>
      <c r="BRA1" s="17"/>
      <c r="BRG1" s="17"/>
      <c r="BRH1" s="17"/>
      <c r="BRI1" s="17"/>
      <c r="BRO1" s="17"/>
      <c r="BRP1" s="17"/>
      <c r="BRQ1" s="17"/>
      <c r="BRW1" s="17"/>
      <c r="BRX1" s="17"/>
      <c r="BRY1" s="17"/>
      <c r="BSE1" s="17"/>
      <c r="BSF1" s="17"/>
      <c r="BSG1" s="17"/>
      <c r="BSM1" s="17"/>
      <c r="BSN1" s="17"/>
      <c r="BSO1" s="17"/>
      <c r="BSU1" s="17"/>
      <c r="BSV1" s="17"/>
      <c r="BSW1" s="17"/>
      <c r="BTC1" s="17"/>
      <c r="BTD1" s="17"/>
      <c r="BTE1" s="17"/>
      <c r="BTK1" s="17"/>
      <c r="BTL1" s="17"/>
      <c r="BTM1" s="17"/>
      <c r="BTS1" s="17"/>
      <c r="BTT1" s="17"/>
      <c r="BTU1" s="17"/>
      <c r="BUA1" s="17"/>
      <c r="BUB1" s="17"/>
      <c r="BUC1" s="17"/>
      <c r="BUI1" s="17"/>
      <c r="BUJ1" s="17"/>
      <c r="BUK1" s="17"/>
      <c r="BUQ1" s="17"/>
      <c r="BUR1" s="17"/>
      <c r="BUS1" s="17"/>
      <c r="BUY1" s="17"/>
      <c r="BUZ1" s="17"/>
      <c r="BVA1" s="17"/>
      <c r="BVG1" s="17"/>
      <c r="BVH1" s="17"/>
      <c r="BVI1" s="17"/>
      <c r="BVO1" s="17"/>
      <c r="BVP1" s="17"/>
      <c r="BVQ1" s="17"/>
      <c r="BVW1" s="17"/>
      <c r="BVX1" s="17"/>
      <c r="BVY1" s="17"/>
      <c r="BWE1" s="17"/>
      <c r="BWF1" s="17"/>
      <c r="BWG1" s="17"/>
      <c r="BWM1" s="17"/>
      <c r="BWN1" s="17"/>
      <c r="BWO1" s="17"/>
      <c r="BWU1" s="17"/>
      <c r="BWV1" s="17"/>
      <c r="BWW1" s="17"/>
      <c r="BXC1" s="17"/>
      <c r="BXD1" s="17"/>
      <c r="BXE1" s="17"/>
      <c r="BXK1" s="17"/>
      <c r="BXL1" s="17"/>
      <c r="BXM1" s="17"/>
      <c r="BXS1" s="17"/>
      <c r="BXT1" s="17"/>
      <c r="BXU1" s="17"/>
      <c r="BYA1" s="17"/>
      <c r="BYB1" s="17"/>
      <c r="BYC1" s="17"/>
      <c r="BYI1" s="17"/>
      <c r="BYJ1" s="17"/>
      <c r="BYK1" s="17"/>
      <c r="BYQ1" s="17"/>
      <c r="BYR1" s="17"/>
      <c r="BYS1" s="17"/>
      <c r="BYY1" s="17"/>
      <c r="BYZ1" s="17"/>
      <c r="BZA1" s="17"/>
      <c r="BZG1" s="17"/>
      <c r="BZH1" s="17"/>
      <c r="BZI1" s="17"/>
      <c r="BZO1" s="17"/>
      <c r="BZP1" s="17"/>
      <c r="BZQ1" s="17"/>
      <c r="BZW1" s="17"/>
      <c r="BZX1" s="17"/>
      <c r="BZY1" s="17"/>
      <c r="CAE1" s="17"/>
      <c r="CAF1" s="17"/>
      <c r="CAG1" s="17"/>
      <c r="CAM1" s="17"/>
      <c r="CAN1" s="17"/>
      <c r="CAO1" s="17"/>
      <c r="CAU1" s="17"/>
      <c r="CAV1" s="17"/>
      <c r="CAW1" s="17"/>
      <c r="CBC1" s="17"/>
      <c r="CBD1" s="17"/>
      <c r="CBE1" s="17"/>
      <c r="CBK1" s="17"/>
      <c r="CBL1" s="17"/>
      <c r="CBM1" s="17"/>
      <c r="CBS1" s="17"/>
      <c r="CBT1" s="17"/>
      <c r="CBU1" s="17"/>
      <c r="CCA1" s="17"/>
      <c r="CCB1" s="17"/>
      <c r="CCC1" s="17"/>
      <c r="CCI1" s="17"/>
      <c r="CCJ1" s="17"/>
      <c r="CCK1" s="17"/>
      <c r="CCQ1" s="17"/>
      <c r="CCR1" s="17"/>
      <c r="CCS1" s="17"/>
      <c r="CCY1" s="17"/>
      <c r="CCZ1" s="17"/>
      <c r="CDA1" s="17"/>
      <c r="CDG1" s="17"/>
      <c r="CDH1" s="17"/>
      <c r="CDI1" s="17"/>
      <c r="CDO1" s="17"/>
      <c r="CDP1" s="17"/>
      <c r="CDQ1" s="17"/>
      <c r="CDW1" s="17"/>
      <c r="CDX1" s="17"/>
      <c r="CDY1" s="17"/>
      <c r="CEE1" s="17"/>
      <c r="CEF1" s="17"/>
      <c r="CEG1" s="17"/>
      <c r="CEM1" s="17"/>
      <c r="CEN1" s="17"/>
      <c r="CEO1" s="17"/>
      <c r="CEU1" s="17"/>
      <c r="CEV1" s="17"/>
      <c r="CEW1" s="17"/>
      <c r="CFC1" s="17"/>
      <c r="CFD1" s="17"/>
      <c r="CFE1" s="17"/>
      <c r="CFK1" s="17"/>
      <c r="CFL1" s="17"/>
      <c r="CFM1" s="17"/>
      <c r="CFS1" s="17"/>
      <c r="CFT1" s="17"/>
      <c r="CFU1" s="17"/>
      <c r="CGA1" s="17"/>
      <c r="CGB1" s="17"/>
      <c r="CGC1" s="17"/>
      <c r="CGI1" s="17"/>
      <c r="CGJ1" s="17"/>
      <c r="CGK1" s="17"/>
      <c r="CGQ1" s="17"/>
      <c r="CGR1" s="17"/>
      <c r="CGS1" s="17"/>
      <c r="CGY1" s="17"/>
      <c r="CGZ1" s="17"/>
      <c r="CHA1" s="17"/>
      <c r="CHG1" s="17"/>
      <c r="CHH1" s="17"/>
      <c r="CHI1" s="17"/>
      <c r="CHO1" s="17"/>
      <c r="CHP1" s="17"/>
      <c r="CHQ1" s="17"/>
      <c r="CHW1" s="17"/>
      <c r="CHX1" s="17"/>
      <c r="CHY1" s="17"/>
      <c r="CIE1" s="17"/>
      <c r="CIF1" s="17"/>
      <c r="CIG1" s="17"/>
      <c r="CIM1" s="17"/>
      <c r="CIN1" s="17"/>
      <c r="CIO1" s="17"/>
      <c r="CIU1" s="17"/>
      <c r="CIV1" s="17"/>
      <c r="CIW1" s="17"/>
      <c r="CJC1" s="17"/>
      <c r="CJD1" s="17"/>
      <c r="CJE1" s="17"/>
      <c r="CJK1" s="17"/>
      <c r="CJL1" s="17"/>
      <c r="CJM1" s="17"/>
      <c r="CJS1" s="17"/>
      <c r="CJT1" s="17"/>
      <c r="CJU1" s="17"/>
      <c r="CKA1" s="17"/>
      <c r="CKB1" s="17"/>
      <c r="CKC1" s="17"/>
      <c r="CKI1" s="17"/>
      <c r="CKJ1" s="17"/>
      <c r="CKK1" s="17"/>
      <c r="CKQ1" s="17"/>
      <c r="CKR1" s="17"/>
      <c r="CKS1" s="17"/>
      <c r="CKY1" s="17"/>
      <c r="CKZ1" s="17"/>
      <c r="CLA1" s="17"/>
      <c r="CLG1" s="17"/>
      <c r="CLH1" s="17"/>
      <c r="CLI1" s="17"/>
      <c r="CLO1" s="17"/>
      <c r="CLP1" s="17"/>
      <c r="CLQ1" s="17"/>
      <c r="CLW1" s="17"/>
      <c r="CLX1" s="17"/>
      <c r="CLY1" s="17"/>
      <c r="CME1" s="17"/>
      <c r="CMF1" s="17"/>
      <c r="CMG1" s="17"/>
      <c r="CMM1" s="17"/>
      <c r="CMN1" s="17"/>
      <c r="CMO1" s="17"/>
      <c r="CMU1" s="17"/>
      <c r="CMV1" s="17"/>
      <c r="CMW1" s="17"/>
      <c r="CNC1" s="17"/>
      <c r="CND1" s="17"/>
      <c r="CNE1" s="17"/>
      <c r="CNK1" s="17"/>
      <c r="CNL1" s="17"/>
      <c r="CNM1" s="17"/>
      <c r="CNS1" s="17"/>
      <c r="CNT1" s="17"/>
      <c r="CNU1" s="17"/>
      <c r="COA1" s="17"/>
      <c r="COB1" s="17"/>
      <c r="COC1" s="17"/>
      <c r="COI1" s="17"/>
      <c r="COJ1" s="17"/>
      <c r="COK1" s="17"/>
      <c r="COQ1" s="17"/>
      <c r="COR1" s="17"/>
      <c r="COS1" s="17"/>
      <c r="COY1" s="17"/>
      <c r="COZ1" s="17"/>
      <c r="CPA1" s="17"/>
      <c r="CPG1" s="17"/>
      <c r="CPH1" s="17"/>
      <c r="CPI1" s="17"/>
      <c r="CPO1" s="17"/>
      <c r="CPP1" s="17"/>
      <c r="CPQ1" s="17"/>
      <c r="CPW1" s="17"/>
      <c r="CPX1" s="17"/>
      <c r="CPY1" s="17"/>
      <c r="CQE1" s="17"/>
      <c r="CQF1" s="17"/>
      <c r="CQG1" s="17"/>
      <c r="CQM1" s="17"/>
      <c r="CQN1" s="17"/>
      <c r="CQO1" s="17"/>
      <c r="CQU1" s="17"/>
      <c r="CQV1" s="17"/>
      <c r="CQW1" s="17"/>
      <c r="CRC1" s="17"/>
      <c r="CRD1" s="17"/>
      <c r="CRE1" s="17"/>
      <c r="CRK1" s="17"/>
      <c r="CRL1" s="17"/>
      <c r="CRM1" s="17"/>
      <c r="CRS1" s="17"/>
      <c r="CRT1" s="17"/>
      <c r="CRU1" s="17"/>
      <c r="CSA1" s="17"/>
      <c r="CSB1" s="17"/>
      <c r="CSC1" s="17"/>
      <c r="CSI1" s="17"/>
      <c r="CSJ1" s="17"/>
      <c r="CSK1" s="17"/>
      <c r="CSQ1" s="17"/>
      <c r="CSR1" s="17"/>
      <c r="CSS1" s="17"/>
      <c r="CSY1" s="17"/>
      <c r="CSZ1" s="17"/>
      <c r="CTA1" s="17"/>
      <c r="CTG1" s="17"/>
      <c r="CTH1" s="17"/>
      <c r="CTI1" s="17"/>
      <c r="CTO1" s="17"/>
      <c r="CTP1" s="17"/>
      <c r="CTQ1" s="17"/>
      <c r="CTW1" s="17"/>
      <c r="CTX1" s="17"/>
      <c r="CTY1" s="17"/>
      <c r="CUE1" s="17"/>
      <c r="CUF1" s="17"/>
      <c r="CUG1" s="17"/>
      <c r="CUM1" s="17"/>
      <c r="CUN1" s="17"/>
      <c r="CUO1" s="17"/>
      <c r="CUU1" s="17"/>
      <c r="CUV1" s="17"/>
      <c r="CUW1" s="17"/>
      <c r="CVC1" s="17"/>
      <c r="CVD1" s="17"/>
      <c r="CVE1" s="17"/>
      <c r="CVK1" s="17"/>
      <c r="CVL1" s="17"/>
      <c r="CVM1" s="17"/>
      <c r="CVS1" s="17"/>
      <c r="CVT1" s="17"/>
      <c r="CVU1" s="17"/>
      <c r="CWA1" s="17"/>
      <c r="CWB1" s="17"/>
      <c r="CWC1" s="17"/>
      <c r="CWI1" s="17"/>
      <c r="CWJ1" s="17"/>
      <c r="CWK1" s="17"/>
      <c r="CWQ1" s="17"/>
      <c r="CWR1" s="17"/>
      <c r="CWS1" s="17"/>
      <c r="CWY1" s="17"/>
      <c r="CWZ1" s="17"/>
      <c r="CXA1" s="17"/>
      <c r="CXG1" s="17"/>
      <c r="CXH1" s="17"/>
      <c r="CXI1" s="17"/>
      <c r="CXO1" s="17"/>
      <c r="CXP1" s="17"/>
      <c r="CXQ1" s="17"/>
      <c r="CXW1" s="17"/>
      <c r="CXX1" s="17"/>
      <c r="CXY1" s="17"/>
      <c r="CYE1" s="17"/>
      <c r="CYF1" s="17"/>
      <c r="CYG1" s="17"/>
      <c r="CYM1" s="17"/>
      <c r="CYN1" s="17"/>
      <c r="CYO1" s="17"/>
      <c r="CYU1" s="17"/>
      <c r="CYV1" s="17"/>
      <c r="CYW1" s="17"/>
      <c r="CZC1" s="17"/>
      <c r="CZD1" s="17"/>
      <c r="CZE1" s="17"/>
      <c r="CZK1" s="17"/>
      <c r="CZL1" s="17"/>
      <c r="CZM1" s="17"/>
      <c r="CZS1" s="17"/>
      <c r="CZT1" s="17"/>
      <c r="CZU1" s="17"/>
      <c r="DAA1" s="17"/>
      <c r="DAB1" s="17"/>
      <c r="DAC1" s="17"/>
      <c r="DAI1" s="17"/>
      <c r="DAJ1" s="17"/>
      <c r="DAK1" s="17"/>
      <c r="DAQ1" s="17"/>
      <c r="DAR1" s="17"/>
      <c r="DAS1" s="17"/>
      <c r="DAY1" s="17"/>
      <c r="DAZ1" s="17"/>
      <c r="DBA1" s="17"/>
      <c r="DBG1" s="17"/>
      <c r="DBH1" s="17"/>
      <c r="DBI1" s="17"/>
      <c r="DBO1" s="17"/>
      <c r="DBP1" s="17"/>
      <c r="DBQ1" s="17"/>
      <c r="DBW1" s="17"/>
      <c r="DBX1" s="17"/>
      <c r="DBY1" s="17"/>
      <c r="DCE1" s="17"/>
      <c r="DCF1" s="17"/>
      <c r="DCG1" s="17"/>
      <c r="DCM1" s="17"/>
      <c r="DCN1" s="17"/>
      <c r="DCO1" s="17"/>
      <c r="DCU1" s="17"/>
      <c r="DCV1" s="17"/>
      <c r="DCW1" s="17"/>
      <c r="DDC1" s="17"/>
      <c r="DDD1" s="17"/>
      <c r="DDE1" s="17"/>
      <c r="DDK1" s="17"/>
      <c r="DDL1" s="17"/>
      <c r="DDM1" s="17"/>
      <c r="DDS1" s="17"/>
      <c r="DDT1" s="17"/>
      <c r="DDU1" s="17"/>
      <c r="DEA1" s="17"/>
      <c r="DEB1" s="17"/>
      <c r="DEC1" s="17"/>
      <c r="DEI1" s="17"/>
      <c r="DEJ1" s="17"/>
      <c r="DEK1" s="17"/>
      <c r="DEQ1" s="17"/>
      <c r="DER1" s="17"/>
      <c r="DES1" s="17"/>
      <c r="DEY1" s="17"/>
      <c r="DEZ1" s="17"/>
      <c r="DFA1" s="17"/>
      <c r="DFG1" s="17"/>
      <c r="DFH1" s="17"/>
      <c r="DFI1" s="17"/>
      <c r="DFO1" s="17"/>
      <c r="DFP1" s="17"/>
      <c r="DFQ1" s="17"/>
      <c r="DFW1" s="17"/>
      <c r="DFX1" s="17"/>
      <c r="DFY1" s="17"/>
      <c r="DGE1" s="17"/>
      <c r="DGF1" s="17"/>
      <c r="DGG1" s="17"/>
      <c r="DGM1" s="17"/>
      <c r="DGN1" s="17"/>
      <c r="DGO1" s="17"/>
      <c r="DGU1" s="17"/>
      <c r="DGV1" s="17"/>
      <c r="DGW1" s="17"/>
      <c r="DHC1" s="17"/>
      <c r="DHD1" s="17"/>
      <c r="DHE1" s="17"/>
      <c r="DHK1" s="17"/>
      <c r="DHL1" s="17"/>
      <c r="DHM1" s="17"/>
      <c r="DHS1" s="17"/>
      <c r="DHT1" s="17"/>
      <c r="DHU1" s="17"/>
      <c r="DIA1" s="17"/>
      <c r="DIB1" s="17"/>
      <c r="DIC1" s="17"/>
      <c r="DII1" s="17"/>
      <c r="DIJ1" s="17"/>
      <c r="DIK1" s="17"/>
      <c r="DIQ1" s="17"/>
      <c r="DIR1" s="17"/>
      <c r="DIS1" s="17"/>
      <c r="DIY1" s="17"/>
      <c r="DIZ1" s="17"/>
      <c r="DJA1" s="17"/>
      <c r="DJG1" s="17"/>
      <c r="DJH1" s="17"/>
      <c r="DJI1" s="17"/>
      <c r="DJO1" s="17"/>
      <c r="DJP1" s="17"/>
      <c r="DJQ1" s="17"/>
      <c r="DJW1" s="17"/>
      <c r="DJX1" s="17"/>
      <c r="DJY1" s="17"/>
      <c r="DKE1" s="17"/>
      <c r="DKF1" s="17"/>
      <c r="DKG1" s="17"/>
      <c r="DKM1" s="17"/>
      <c r="DKN1" s="17"/>
      <c r="DKO1" s="17"/>
      <c r="DKU1" s="17"/>
      <c r="DKV1" s="17"/>
      <c r="DKW1" s="17"/>
      <c r="DLC1" s="17"/>
      <c r="DLD1" s="17"/>
      <c r="DLE1" s="17"/>
      <c r="DLK1" s="17"/>
      <c r="DLL1" s="17"/>
      <c r="DLM1" s="17"/>
      <c r="DLS1" s="17"/>
      <c r="DLT1" s="17"/>
      <c r="DLU1" s="17"/>
      <c r="DMA1" s="17"/>
      <c r="DMB1" s="17"/>
      <c r="DMC1" s="17"/>
      <c r="DMI1" s="17"/>
      <c r="DMJ1" s="17"/>
      <c r="DMK1" s="17"/>
      <c r="DMQ1" s="17"/>
      <c r="DMR1" s="17"/>
      <c r="DMS1" s="17"/>
      <c r="DMY1" s="17"/>
      <c r="DMZ1" s="17"/>
      <c r="DNA1" s="17"/>
      <c r="DNG1" s="17"/>
      <c r="DNH1" s="17"/>
      <c r="DNI1" s="17"/>
      <c r="DNO1" s="17"/>
      <c r="DNP1" s="17"/>
      <c r="DNQ1" s="17"/>
      <c r="DNW1" s="17"/>
      <c r="DNX1" s="17"/>
      <c r="DNY1" s="17"/>
      <c r="DOE1" s="17"/>
      <c r="DOF1" s="17"/>
      <c r="DOG1" s="17"/>
      <c r="DOM1" s="17"/>
      <c r="DON1" s="17"/>
      <c r="DOO1" s="17"/>
      <c r="DOU1" s="17"/>
      <c r="DOV1" s="17"/>
      <c r="DOW1" s="17"/>
      <c r="DPC1" s="17"/>
      <c r="DPD1" s="17"/>
      <c r="DPE1" s="17"/>
      <c r="DPK1" s="17"/>
      <c r="DPL1" s="17"/>
      <c r="DPM1" s="17"/>
      <c r="DPS1" s="17"/>
      <c r="DPT1" s="17"/>
      <c r="DPU1" s="17"/>
      <c r="DQA1" s="17"/>
      <c r="DQB1" s="17"/>
      <c r="DQC1" s="17"/>
      <c r="DQI1" s="17"/>
      <c r="DQJ1" s="17"/>
      <c r="DQK1" s="17"/>
      <c r="DQQ1" s="17"/>
      <c r="DQR1" s="17"/>
      <c r="DQS1" s="17"/>
      <c r="DQY1" s="17"/>
      <c r="DQZ1" s="17"/>
      <c r="DRA1" s="17"/>
      <c r="DRG1" s="17"/>
      <c r="DRH1" s="17"/>
      <c r="DRI1" s="17"/>
      <c r="DRO1" s="17"/>
      <c r="DRP1" s="17"/>
      <c r="DRQ1" s="17"/>
      <c r="DRW1" s="17"/>
      <c r="DRX1" s="17"/>
      <c r="DRY1" s="17"/>
      <c r="DSE1" s="17"/>
      <c r="DSF1" s="17"/>
      <c r="DSG1" s="17"/>
      <c r="DSM1" s="17"/>
      <c r="DSN1" s="17"/>
      <c r="DSO1" s="17"/>
      <c r="DSU1" s="17"/>
      <c r="DSV1" s="17"/>
      <c r="DSW1" s="17"/>
      <c r="DTC1" s="17"/>
      <c r="DTD1" s="17"/>
      <c r="DTE1" s="17"/>
      <c r="DTK1" s="17"/>
      <c r="DTL1" s="17"/>
      <c r="DTM1" s="17"/>
      <c r="DTS1" s="17"/>
      <c r="DTT1" s="17"/>
      <c r="DTU1" s="17"/>
      <c r="DUA1" s="17"/>
      <c r="DUB1" s="17"/>
      <c r="DUC1" s="17"/>
      <c r="DUI1" s="17"/>
      <c r="DUJ1" s="17"/>
      <c r="DUK1" s="17"/>
      <c r="DUQ1" s="17"/>
      <c r="DUR1" s="17"/>
      <c r="DUS1" s="17"/>
      <c r="DUY1" s="17"/>
      <c r="DUZ1" s="17"/>
      <c r="DVA1" s="17"/>
      <c r="DVG1" s="17"/>
      <c r="DVH1" s="17"/>
      <c r="DVI1" s="17"/>
      <c r="DVO1" s="17"/>
      <c r="DVP1" s="17"/>
      <c r="DVQ1" s="17"/>
      <c r="DVW1" s="17"/>
      <c r="DVX1" s="17"/>
      <c r="DVY1" s="17"/>
      <c r="DWE1" s="17"/>
      <c r="DWF1" s="17"/>
      <c r="DWG1" s="17"/>
      <c r="DWM1" s="17"/>
      <c r="DWN1" s="17"/>
      <c r="DWO1" s="17"/>
      <c r="DWU1" s="17"/>
      <c r="DWV1" s="17"/>
      <c r="DWW1" s="17"/>
      <c r="DXC1" s="17"/>
      <c r="DXD1" s="17"/>
      <c r="DXE1" s="17"/>
      <c r="DXK1" s="17"/>
      <c r="DXL1" s="17"/>
      <c r="DXM1" s="17"/>
      <c r="DXS1" s="17"/>
      <c r="DXT1" s="17"/>
      <c r="DXU1" s="17"/>
      <c r="DYA1" s="17"/>
      <c r="DYB1" s="17"/>
      <c r="DYC1" s="17"/>
      <c r="DYI1" s="17"/>
      <c r="DYJ1" s="17"/>
      <c r="DYK1" s="17"/>
      <c r="DYQ1" s="17"/>
      <c r="DYR1" s="17"/>
      <c r="DYS1" s="17"/>
      <c r="DYY1" s="17"/>
      <c r="DYZ1" s="17"/>
      <c r="DZA1" s="17"/>
      <c r="DZG1" s="17"/>
      <c r="DZH1" s="17"/>
      <c r="DZI1" s="17"/>
      <c r="DZO1" s="17"/>
      <c r="DZP1" s="17"/>
      <c r="DZQ1" s="17"/>
      <c r="DZW1" s="17"/>
      <c r="DZX1" s="17"/>
      <c r="DZY1" s="17"/>
      <c r="EAE1" s="17"/>
      <c r="EAF1" s="17"/>
      <c r="EAG1" s="17"/>
      <c r="EAM1" s="17"/>
      <c r="EAN1" s="17"/>
      <c r="EAO1" s="17"/>
      <c r="EAU1" s="17"/>
      <c r="EAV1" s="17"/>
      <c r="EAW1" s="17"/>
      <c r="EBC1" s="17"/>
      <c r="EBD1" s="17"/>
      <c r="EBE1" s="17"/>
      <c r="EBK1" s="17"/>
      <c r="EBL1" s="17"/>
      <c r="EBM1" s="17"/>
      <c r="EBS1" s="17"/>
      <c r="EBT1" s="17"/>
      <c r="EBU1" s="17"/>
      <c r="ECA1" s="17"/>
      <c r="ECB1" s="17"/>
      <c r="ECC1" s="17"/>
      <c r="ECI1" s="17"/>
      <c r="ECJ1" s="17"/>
      <c r="ECK1" s="17"/>
      <c r="ECQ1" s="17"/>
      <c r="ECR1" s="17"/>
      <c r="ECS1" s="17"/>
      <c r="ECY1" s="17"/>
      <c r="ECZ1" s="17"/>
      <c r="EDA1" s="17"/>
      <c r="EDG1" s="17"/>
      <c r="EDH1" s="17"/>
      <c r="EDI1" s="17"/>
      <c r="EDO1" s="17"/>
      <c r="EDP1" s="17"/>
      <c r="EDQ1" s="17"/>
      <c r="EDW1" s="17"/>
      <c r="EDX1" s="17"/>
      <c r="EDY1" s="17"/>
      <c r="EEE1" s="17"/>
      <c r="EEF1" s="17"/>
      <c r="EEG1" s="17"/>
      <c r="EEM1" s="17"/>
      <c r="EEN1" s="17"/>
      <c r="EEO1" s="17"/>
      <c r="EEU1" s="17"/>
      <c r="EEV1" s="17"/>
      <c r="EEW1" s="17"/>
      <c r="EFC1" s="17"/>
      <c r="EFD1" s="17"/>
      <c r="EFE1" s="17"/>
      <c r="EFK1" s="17"/>
      <c r="EFL1" s="17"/>
      <c r="EFM1" s="17"/>
      <c r="EFS1" s="17"/>
      <c r="EFT1" s="17"/>
      <c r="EFU1" s="17"/>
      <c r="EGA1" s="17"/>
      <c r="EGB1" s="17"/>
      <c r="EGC1" s="17"/>
      <c r="EGI1" s="17"/>
      <c r="EGJ1" s="17"/>
      <c r="EGK1" s="17"/>
      <c r="EGQ1" s="17"/>
      <c r="EGR1" s="17"/>
      <c r="EGS1" s="17"/>
      <c r="EGY1" s="17"/>
      <c r="EGZ1" s="17"/>
      <c r="EHA1" s="17"/>
      <c r="EHG1" s="17"/>
      <c r="EHH1" s="17"/>
      <c r="EHI1" s="17"/>
      <c r="EHO1" s="17"/>
      <c r="EHP1" s="17"/>
      <c r="EHQ1" s="17"/>
      <c r="EHW1" s="17"/>
      <c r="EHX1" s="17"/>
      <c r="EHY1" s="17"/>
      <c r="EIE1" s="17"/>
      <c r="EIF1" s="17"/>
      <c r="EIG1" s="17"/>
      <c r="EIM1" s="17"/>
      <c r="EIN1" s="17"/>
      <c r="EIO1" s="17"/>
      <c r="EIU1" s="17"/>
      <c r="EIV1" s="17"/>
      <c r="EIW1" s="17"/>
      <c r="EJC1" s="17"/>
      <c r="EJD1" s="17"/>
      <c r="EJE1" s="17"/>
      <c r="EJK1" s="17"/>
      <c r="EJL1" s="17"/>
      <c r="EJM1" s="17"/>
      <c r="EJS1" s="17"/>
      <c r="EJT1" s="17"/>
      <c r="EJU1" s="17"/>
      <c r="EKA1" s="17"/>
      <c r="EKB1" s="17"/>
      <c r="EKC1" s="17"/>
      <c r="EKI1" s="17"/>
      <c r="EKJ1" s="17"/>
      <c r="EKK1" s="17"/>
      <c r="EKQ1" s="17"/>
      <c r="EKR1" s="17"/>
      <c r="EKS1" s="17"/>
      <c r="EKY1" s="17"/>
      <c r="EKZ1" s="17"/>
      <c r="ELA1" s="17"/>
      <c r="ELG1" s="17"/>
      <c r="ELH1" s="17"/>
      <c r="ELI1" s="17"/>
      <c r="ELO1" s="17"/>
      <c r="ELP1" s="17"/>
      <c r="ELQ1" s="17"/>
      <c r="ELW1" s="17"/>
      <c r="ELX1" s="17"/>
      <c r="ELY1" s="17"/>
      <c r="EME1" s="17"/>
      <c r="EMF1" s="17"/>
      <c r="EMG1" s="17"/>
      <c r="EMM1" s="17"/>
      <c r="EMN1" s="17"/>
      <c r="EMO1" s="17"/>
      <c r="EMU1" s="17"/>
      <c r="EMV1" s="17"/>
      <c r="EMW1" s="17"/>
      <c r="ENC1" s="17"/>
      <c r="END1" s="17"/>
      <c r="ENE1" s="17"/>
      <c r="ENK1" s="17"/>
      <c r="ENL1" s="17"/>
      <c r="ENM1" s="17"/>
      <c r="ENS1" s="17"/>
      <c r="ENT1" s="17"/>
      <c r="ENU1" s="17"/>
      <c r="EOA1" s="17"/>
      <c r="EOB1" s="17"/>
      <c r="EOC1" s="17"/>
      <c r="EOI1" s="17"/>
      <c r="EOJ1" s="17"/>
      <c r="EOK1" s="17"/>
      <c r="EOQ1" s="17"/>
      <c r="EOR1" s="17"/>
      <c r="EOS1" s="17"/>
      <c r="EOY1" s="17"/>
      <c r="EOZ1" s="17"/>
      <c r="EPA1" s="17"/>
      <c r="EPG1" s="17"/>
      <c r="EPH1" s="17"/>
      <c r="EPI1" s="17"/>
      <c r="EPO1" s="17"/>
      <c r="EPP1" s="17"/>
      <c r="EPQ1" s="17"/>
      <c r="EPW1" s="17"/>
      <c r="EPX1" s="17"/>
      <c r="EPY1" s="17"/>
      <c r="EQE1" s="17"/>
      <c r="EQF1" s="17"/>
      <c r="EQG1" s="17"/>
      <c r="EQM1" s="17"/>
      <c r="EQN1" s="17"/>
      <c r="EQO1" s="17"/>
      <c r="EQU1" s="17"/>
      <c r="EQV1" s="17"/>
      <c r="EQW1" s="17"/>
      <c r="ERC1" s="17"/>
      <c r="ERD1" s="17"/>
      <c r="ERE1" s="17"/>
      <c r="ERK1" s="17"/>
      <c r="ERL1" s="17"/>
      <c r="ERM1" s="17"/>
      <c r="ERS1" s="17"/>
      <c r="ERT1" s="17"/>
      <c r="ERU1" s="17"/>
      <c r="ESA1" s="17"/>
      <c r="ESB1" s="17"/>
      <c r="ESC1" s="17"/>
      <c r="ESI1" s="17"/>
      <c r="ESJ1" s="17"/>
      <c r="ESK1" s="17"/>
      <c r="ESQ1" s="17"/>
      <c r="ESR1" s="17"/>
      <c r="ESS1" s="17"/>
      <c r="ESY1" s="17"/>
      <c r="ESZ1" s="17"/>
      <c r="ETA1" s="17"/>
      <c r="ETG1" s="17"/>
      <c r="ETH1" s="17"/>
      <c r="ETI1" s="17"/>
      <c r="ETO1" s="17"/>
      <c r="ETP1" s="17"/>
      <c r="ETQ1" s="17"/>
      <c r="ETW1" s="17"/>
      <c r="ETX1" s="17"/>
      <c r="ETY1" s="17"/>
      <c r="EUE1" s="17"/>
      <c r="EUF1" s="17"/>
      <c r="EUG1" s="17"/>
      <c r="EUM1" s="17"/>
      <c r="EUN1" s="17"/>
      <c r="EUO1" s="17"/>
      <c r="EUU1" s="17"/>
      <c r="EUV1" s="17"/>
      <c r="EUW1" s="17"/>
      <c r="EVC1" s="17"/>
      <c r="EVD1" s="17"/>
      <c r="EVE1" s="17"/>
      <c r="EVK1" s="17"/>
      <c r="EVL1" s="17"/>
      <c r="EVM1" s="17"/>
      <c r="EVS1" s="17"/>
      <c r="EVT1" s="17"/>
      <c r="EVU1" s="17"/>
      <c r="EWA1" s="17"/>
      <c r="EWB1" s="17"/>
      <c r="EWC1" s="17"/>
      <c r="EWI1" s="17"/>
      <c r="EWJ1" s="17"/>
      <c r="EWK1" s="17"/>
      <c r="EWQ1" s="17"/>
      <c r="EWR1" s="17"/>
      <c r="EWS1" s="17"/>
      <c r="EWY1" s="17"/>
      <c r="EWZ1" s="17"/>
      <c r="EXA1" s="17"/>
      <c r="EXG1" s="17"/>
      <c r="EXH1" s="17"/>
      <c r="EXI1" s="17"/>
      <c r="EXO1" s="17"/>
      <c r="EXP1" s="17"/>
      <c r="EXQ1" s="17"/>
      <c r="EXW1" s="17"/>
      <c r="EXX1" s="17"/>
      <c r="EXY1" s="17"/>
      <c r="EYE1" s="17"/>
      <c r="EYF1" s="17"/>
      <c r="EYG1" s="17"/>
      <c r="EYM1" s="17"/>
      <c r="EYN1" s="17"/>
      <c r="EYO1" s="17"/>
      <c r="EYU1" s="17"/>
      <c r="EYV1" s="17"/>
      <c r="EYW1" s="17"/>
      <c r="EZC1" s="17"/>
      <c r="EZD1" s="17"/>
      <c r="EZE1" s="17"/>
      <c r="EZK1" s="17"/>
      <c r="EZL1" s="17"/>
      <c r="EZM1" s="17"/>
      <c r="EZS1" s="17"/>
      <c r="EZT1" s="17"/>
      <c r="EZU1" s="17"/>
      <c r="FAA1" s="17"/>
      <c r="FAB1" s="17"/>
      <c r="FAC1" s="17"/>
      <c r="FAI1" s="17"/>
      <c r="FAJ1" s="17"/>
      <c r="FAK1" s="17"/>
      <c r="FAQ1" s="17"/>
      <c r="FAR1" s="17"/>
      <c r="FAS1" s="17"/>
      <c r="FAY1" s="17"/>
      <c r="FAZ1" s="17"/>
      <c r="FBA1" s="17"/>
      <c r="FBG1" s="17"/>
      <c r="FBH1" s="17"/>
      <c r="FBI1" s="17"/>
      <c r="FBO1" s="17"/>
      <c r="FBP1" s="17"/>
      <c r="FBQ1" s="17"/>
      <c r="FBW1" s="17"/>
      <c r="FBX1" s="17"/>
      <c r="FBY1" s="17"/>
      <c r="FCE1" s="17"/>
      <c r="FCF1" s="17"/>
      <c r="FCG1" s="17"/>
      <c r="FCM1" s="17"/>
      <c r="FCN1" s="17"/>
      <c r="FCO1" s="17"/>
      <c r="FCU1" s="17"/>
      <c r="FCV1" s="17"/>
      <c r="FCW1" s="17"/>
      <c r="FDC1" s="17"/>
      <c r="FDD1" s="17"/>
      <c r="FDE1" s="17"/>
      <c r="FDK1" s="17"/>
      <c r="FDL1" s="17"/>
      <c r="FDM1" s="17"/>
      <c r="FDS1" s="17"/>
      <c r="FDT1" s="17"/>
      <c r="FDU1" s="17"/>
      <c r="FEA1" s="17"/>
      <c r="FEB1" s="17"/>
      <c r="FEC1" s="17"/>
      <c r="FEI1" s="17"/>
      <c r="FEJ1" s="17"/>
      <c r="FEK1" s="17"/>
      <c r="FEQ1" s="17"/>
      <c r="FER1" s="17"/>
      <c r="FES1" s="17"/>
      <c r="FEY1" s="17"/>
      <c r="FEZ1" s="17"/>
      <c r="FFA1" s="17"/>
      <c r="FFG1" s="17"/>
      <c r="FFH1" s="17"/>
      <c r="FFI1" s="17"/>
      <c r="FFO1" s="17"/>
      <c r="FFP1" s="17"/>
      <c r="FFQ1" s="17"/>
      <c r="FFW1" s="17"/>
      <c r="FFX1" s="17"/>
      <c r="FFY1" s="17"/>
      <c r="FGE1" s="17"/>
      <c r="FGF1" s="17"/>
      <c r="FGG1" s="17"/>
      <c r="FGM1" s="17"/>
      <c r="FGN1" s="17"/>
      <c r="FGO1" s="17"/>
      <c r="FGU1" s="17"/>
      <c r="FGV1" s="17"/>
      <c r="FGW1" s="17"/>
      <c r="FHC1" s="17"/>
      <c r="FHD1" s="17"/>
      <c r="FHE1" s="17"/>
      <c r="FHK1" s="17"/>
      <c r="FHL1" s="17"/>
      <c r="FHM1" s="17"/>
      <c r="FHS1" s="17"/>
      <c r="FHT1" s="17"/>
      <c r="FHU1" s="17"/>
      <c r="FIA1" s="17"/>
      <c r="FIB1" s="17"/>
      <c r="FIC1" s="17"/>
      <c r="FII1" s="17"/>
      <c r="FIJ1" s="17"/>
      <c r="FIK1" s="17"/>
      <c r="FIQ1" s="17"/>
      <c r="FIR1" s="17"/>
      <c r="FIS1" s="17"/>
      <c r="FIY1" s="17"/>
      <c r="FIZ1" s="17"/>
      <c r="FJA1" s="17"/>
      <c r="FJG1" s="17"/>
      <c r="FJH1" s="17"/>
      <c r="FJI1" s="17"/>
      <c r="FJO1" s="17"/>
      <c r="FJP1" s="17"/>
      <c r="FJQ1" s="17"/>
      <c r="FJW1" s="17"/>
      <c r="FJX1" s="17"/>
      <c r="FJY1" s="17"/>
      <c r="FKE1" s="17"/>
      <c r="FKF1" s="17"/>
      <c r="FKG1" s="17"/>
      <c r="FKM1" s="17"/>
      <c r="FKN1" s="17"/>
      <c r="FKO1" s="17"/>
      <c r="FKU1" s="17"/>
      <c r="FKV1" s="17"/>
      <c r="FKW1" s="17"/>
      <c r="FLC1" s="17"/>
      <c r="FLD1" s="17"/>
      <c r="FLE1" s="17"/>
      <c r="FLK1" s="17"/>
      <c r="FLL1" s="17"/>
      <c r="FLM1" s="17"/>
      <c r="FLS1" s="17"/>
      <c r="FLT1" s="17"/>
      <c r="FLU1" s="17"/>
      <c r="FMA1" s="17"/>
      <c r="FMB1" s="17"/>
      <c r="FMC1" s="17"/>
      <c r="FMI1" s="17"/>
      <c r="FMJ1" s="17"/>
      <c r="FMK1" s="17"/>
      <c r="FMQ1" s="17"/>
      <c r="FMR1" s="17"/>
      <c r="FMS1" s="17"/>
      <c r="FMY1" s="17"/>
      <c r="FMZ1" s="17"/>
      <c r="FNA1" s="17"/>
      <c r="FNG1" s="17"/>
      <c r="FNH1" s="17"/>
      <c r="FNI1" s="17"/>
      <c r="FNO1" s="17"/>
      <c r="FNP1" s="17"/>
      <c r="FNQ1" s="17"/>
      <c r="FNW1" s="17"/>
      <c r="FNX1" s="17"/>
      <c r="FNY1" s="17"/>
      <c r="FOE1" s="17"/>
      <c r="FOF1" s="17"/>
      <c r="FOG1" s="17"/>
      <c r="FOM1" s="17"/>
      <c r="FON1" s="17"/>
      <c r="FOO1" s="17"/>
      <c r="FOU1" s="17"/>
      <c r="FOV1" s="17"/>
      <c r="FOW1" s="17"/>
      <c r="FPC1" s="17"/>
      <c r="FPD1" s="17"/>
      <c r="FPE1" s="17"/>
      <c r="FPK1" s="17"/>
      <c r="FPL1" s="17"/>
      <c r="FPM1" s="17"/>
      <c r="FPS1" s="17"/>
      <c r="FPT1" s="17"/>
      <c r="FPU1" s="17"/>
      <c r="FQA1" s="17"/>
      <c r="FQB1" s="17"/>
      <c r="FQC1" s="17"/>
      <c r="FQI1" s="17"/>
      <c r="FQJ1" s="17"/>
      <c r="FQK1" s="17"/>
      <c r="FQQ1" s="17"/>
      <c r="FQR1" s="17"/>
      <c r="FQS1" s="17"/>
      <c r="FQY1" s="17"/>
      <c r="FQZ1" s="17"/>
      <c r="FRA1" s="17"/>
      <c r="FRG1" s="17"/>
      <c r="FRH1" s="17"/>
      <c r="FRI1" s="17"/>
      <c r="FRO1" s="17"/>
      <c r="FRP1" s="17"/>
      <c r="FRQ1" s="17"/>
      <c r="FRW1" s="17"/>
      <c r="FRX1" s="17"/>
      <c r="FRY1" s="17"/>
      <c r="FSE1" s="17"/>
      <c r="FSF1" s="17"/>
      <c r="FSG1" s="17"/>
      <c r="FSM1" s="17"/>
      <c r="FSN1" s="17"/>
      <c r="FSO1" s="17"/>
      <c r="FSU1" s="17"/>
      <c r="FSV1" s="17"/>
      <c r="FSW1" s="17"/>
      <c r="FTC1" s="17"/>
      <c r="FTD1" s="17"/>
      <c r="FTE1" s="17"/>
      <c r="FTK1" s="17"/>
      <c r="FTL1" s="17"/>
      <c r="FTM1" s="17"/>
      <c r="FTS1" s="17"/>
      <c r="FTT1" s="17"/>
      <c r="FTU1" s="17"/>
      <c r="FUA1" s="17"/>
      <c r="FUB1" s="17"/>
      <c r="FUC1" s="17"/>
      <c r="FUI1" s="17"/>
      <c r="FUJ1" s="17"/>
      <c r="FUK1" s="17"/>
      <c r="FUQ1" s="17"/>
      <c r="FUR1" s="17"/>
      <c r="FUS1" s="17"/>
      <c r="FUY1" s="17"/>
      <c r="FUZ1" s="17"/>
      <c r="FVA1" s="17"/>
      <c r="FVG1" s="17"/>
      <c r="FVH1" s="17"/>
      <c r="FVI1" s="17"/>
      <c r="FVO1" s="17"/>
      <c r="FVP1" s="17"/>
      <c r="FVQ1" s="17"/>
      <c r="FVW1" s="17"/>
      <c r="FVX1" s="17"/>
      <c r="FVY1" s="17"/>
      <c r="FWE1" s="17"/>
      <c r="FWF1" s="17"/>
      <c r="FWG1" s="17"/>
      <c r="FWM1" s="17"/>
      <c r="FWN1" s="17"/>
      <c r="FWO1" s="17"/>
      <c r="FWU1" s="17"/>
      <c r="FWV1" s="17"/>
      <c r="FWW1" s="17"/>
      <c r="FXC1" s="17"/>
      <c r="FXD1" s="17"/>
      <c r="FXE1" s="17"/>
      <c r="FXK1" s="17"/>
      <c r="FXL1" s="17"/>
      <c r="FXM1" s="17"/>
      <c r="FXS1" s="17"/>
      <c r="FXT1" s="17"/>
      <c r="FXU1" s="17"/>
      <c r="FYA1" s="17"/>
      <c r="FYB1" s="17"/>
      <c r="FYC1" s="17"/>
      <c r="FYI1" s="17"/>
      <c r="FYJ1" s="17"/>
      <c r="FYK1" s="17"/>
      <c r="FYQ1" s="17"/>
      <c r="FYR1" s="17"/>
      <c r="FYS1" s="17"/>
      <c r="FYY1" s="17"/>
      <c r="FYZ1" s="17"/>
      <c r="FZA1" s="17"/>
      <c r="FZG1" s="17"/>
      <c r="FZH1" s="17"/>
      <c r="FZI1" s="17"/>
      <c r="FZO1" s="17"/>
      <c r="FZP1" s="17"/>
      <c r="FZQ1" s="17"/>
      <c r="FZW1" s="17"/>
      <c r="FZX1" s="17"/>
      <c r="FZY1" s="17"/>
      <c r="GAE1" s="17"/>
      <c r="GAF1" s="17"/>
      <c r="GAG1" s="17"/>
      <c r="GAM1" s="17"/>
      <c r="GAN1" s="17"/>
      <c r="GAO1" s="17"/>
      <c r="GAU1" s="17"/>
      <c r="GAV1" s="17"/>
      <c r="GAW1" s="17"/>
      <c r="GBC1" s="17"/>
      <c r="GBD1" s="17"/>
      <c r="GBE1" s="17"/>
      <c r="GBK1" s="17"/>
      <c r="GBL1" s="17"/>
      <c r="GBM1" s="17"/>
      <c r="GBS1" s="17"/>
      <c r="GBT1" s="17"/>
      <c r="GBU1" s="17"/>
      <c r="GCA1" s="17"/>
      <c r="GCB1" s="17"/>
      <c r="GCC1" s="17"/>
      <c r="GCI1" s="17"/>
      <c r="GCJ1" s="17"/>
      <c r="GCK1" s="17"/>
      <c r="GCQ1" s="17"/>
      <c r="GCR1" s="17"/>
      <c r="GCS1" s="17"/>
      <c r="GCY1" s="17"/>
      <c r="GCZ1" s="17"/>
      <c r="GDA1" s="17"/>
      <c r="GDG1" s="17"/>
      <c r="GDH1" s="17"/>
      <c r="GDI1" s="17"/>
      <c r="GDO1" s="17"/>
      <c r="GDP1" s="17"/>
      <c r="GDQ1" s="17"/>
      <c r="GDW1" s="17"/>
      <c r="GDX1" s="17"/>
      <c r="GDY1" s="17"/>
      <c r="GEE1" s="17"/>
      <c r="GEF1" s="17"/>
      <c r="GEG1" s="17"/>
      <c r="GEM1" s="17"/>
      <c r="GEN1" s="17"/>
      <c r="GEO1" s="17"/>
      <c r="GEU1" s="17"/>
      <c r="GEV1" s="17"/>
      <c r="GEW1" s="17"/>
      <c r="GFC1" s="17"/>
      <c r="GFD1" s="17"/>
      <c r="GFE1" s="17"/>
      <c r="GFK1" s="17"/>
      <c r="GFL1" s="17"/>
      <c r="GFM1" s="17"/>
      <c r="GFS1" s="17"/>
      <c r="GFT1" s="17"/>
      <c r="GFU1" s="17"/>
      <c r="GGA1" s="17"/>
      <c r="GGB1" s="17"/>
      <c r="GGC1" s="17"/>
      <c r="GGI1" s="17"/>
      <c r="GGJ1" s="17"/>
      <c r="GGK1" s="17"/>
      <c r="GGQ1" s="17"/>
      <c r="GGR1" s="17"/>
      <c r="GGS1" s="17"/>
      <c r="GGY1" s="17"/>
      <c r="GGZ1" s="17"/>
      <c r="GHA1" s="17"/>
      <c r="GHG1" s="17"/>
      <c r="GHH1" s="17"/>
      <c r="GHI1" s="17"/>
      <c r="GHO1" s="17"/>
      <c r="GHP1" s="17"/>
      <c r="GHQ1" s="17"/>
      <c r="GHW1" s="17"/>
      <c r="GHX1" s="17"/>
      <c r="GHY1" s="17"/>
      <c r="GIE1" s="17"/>
      <c r="GIF1" s="17"/>
      <c r="GIG1" s="17"/>
      <c r="GIM1" s="17"/>
      <c r="GIN1" s="17"/>
      <c r="GIO1" s="17"/>
      <c r="GIU1" s="17"/>
      <c r="GIV1" s="17"/>
      <c r="GIW1" s="17"/>
      <c r="GJC1" s="17"/>
      <c r="GJD1" s="17"/>
      <c r="GJE1" s="17"/>
      <c r="GJK1" s="17"/>
      <c r="GJL1" s="17"/>
      <c r="GJM1" s="17"/>
      <c r="GJS1" s="17"/>
      <c r="GJT1" s="17"/>
      <c r="GJU1" s="17"/>
      <c r="GKA1" s="17"/>
      <c r="GKB1" s="17"/>
      <c r="GKC1" s="17"/>
      <c r="GKI1" s="17"/>
      <c r="GKJ1" s="17"/>
      <c r="GKK1" s="17"/>
      <c r="GKQ1" s="17"/>
      <c r="GKR1" s="17"/>
      <c r="GKS1" s="17"/>
      <c r="GKY1" s="17"/>
      <c r="GKZ1" s="17"/>
      <c r="GLA1" s="17"/>
      <c r="GLG1" s="17"/>
      <c r="GLH1" s="17"/>
      <c r="GLI1" s="17"/>
      <c r="GLO1" s="17"/>
      <c r="GLP1" s="17"/>
      <c r="GLQ1" s="17"/>
      <c r="GLW1" s="17"/>
      <c r="GLX1" s="17"/>
      <c r="GLY1" s="17"/>
      <c r="GME1" s="17"/>
      <c r="GMF1" s="17"/>
      <c r="GMG1" s="17"/>
      <c r="GMM1" s="17"/>
      <c r="GMN1" s="17"/>
      <c r="GMO1" s="17"/>
      <c r="GMU1" s="17"/>
      <c r="GMV1" s="17"/>
      <c r="GMW1" s="17"/>
      <c r="GNC1" s="17"/>
      <c r="GND1" s="17"/>
      <c r="GNE1" s="17"/>
      <c r="GNK1" s="17"/>
      <c r="GNL1" s="17"/>
      <c r="GNM1" s="17"/>
      <c r="GNS1" s="17"/>
      <c r="GNT1" s="17"/>
      <c r="GNU1" s="17"/>
      <c r="GOA1" s="17"/>
      <c r="GOB1" s="17"/>
      <c r="GOC1" s="17"/>
      <c r="GOI1" s="17"/>
      <c r="GOJ1" s="17"/>
      <c r="GOK1" s="17"/>
      <c r="GOQ1" s="17"/>
      <c r="GOR1" s="17"/>
      <c r="GOS1" s="17"/>
      <c r="GOY1" s="17"/>
      <c r="GOZ1" s="17"/>
      <c r="GPA1" s="17"/>
      <c r="GPG1" s="17"/>
      <c r="GPH1" s="17"/>
      <c r="GPI1" s="17"/>
      <c r="GPO1" s="17"/>
      <c r="GPP1" s="17"/>
      <c r="GPQ1" s="17"/>
      <c r="GPW1" s="17"/>
      <c r="GPX1" s="17"/>
      <c r="GPY1" s="17"/>
      <c r="GQE1" s="17"/>
      <c r="GQF1" s="17"/>
      <c r="GQG1" s="17"/>
      <c r="GQM1" s="17"/>
      <c r="GQN1" s="17"/>
      <c r="GQO1" s="17"/>
      <c r="GQU1" s="17"/>
      <c r="GQV1" s="17"/>
      <c r="GQW1" s="17"/>
      <c r="GRC1" s="17"/>
      <c r="GRD1" s="17"/>
      <c r="GRE1" s="17"/>
      <c r="GRK1" s="17"/>
      <c r="GRL1" s="17"/>
      <c r="GRM1" s="17"/>
      <c r="GRS1" s="17"/>
      <c r="GRT1" s="17"/>
      <c r="GRU1" s="17"/>
      <c r="GSA1" s="17"/>
      <c r="GSB1" s="17"/>
      <c r="GSC1" s="17"/>
      <c r="GSI1" s="17"/>
      <c r="GSJ1" s="17"/>
      <c r="GSK1" s="17"/>
      <c r="GSQ1" s="17"/>
      <c r="GSR1" s="17"/>
      <c r="GSS1" s="17"/>
      <c r="GSY1" s="17"/>
      <c r="GSZ1" s="17"/>
      <c r="GTA1" s="17"/>
      <c r="GTG1" s="17"/>
      <c r="GTH1" s="17"/>
      <c r="GTI1" s="17"/>
      <c r="GTO1" s="17"/>
      <c r="GTP1" s="17"/>
      <c r="GTQ1" s="17"/>
      <c r="GTW1" s="17"/>
      <c r="GTX1" s="17"/>
      <c r="GTY1" s="17"/>
      <c r="GUE1" s="17"/>
      <c r="GUF1" s="17"/>
      <c r="GUG1" s="17"/>
      <c r="GUM1" s="17"/>
      <c r="GUN1" s="17"/>
      <c r="GUO1" s="17"/>
      <c r="GUU1" s="17"/>
      <c r="GUV1" s="17"/>
      <c r="GUW1" s="17"/>
      <c r="GVC1" s="17"/>
      <c r="GVD1" s="17"/>
      <c r="GVE1" s="17"/>
      <c r="GVK1" s="17"/>
      <c r="GVL1" s="17"/>
      <c r="GVM1" s="17"/>
      <c r="GVS1" s="17"/>
      <c r="GVT1" s="17"/>
      <c r="GVU1" s="17"/>
      <c r="GWA1" s="17"/>
      <c r="GWB1" s="17"/>
      <c r="GWC1" s="17"/>
      <c r="GWI1" s="17"/>
      <c r="GWJ1" s="17"/>
      <c r="GWK1" s="17"/>
      <c r="GWQ1" s="17"/>
      <c r="GWR1" s="17"/>
      <c r="GWS1" s="17"/>
      <c r="GWY1" s="17"/>
      <c r="GWZ1" s="17"/>
      <c r="GXA1" s="17"/>
      <c r="GXG1" s="17"/>
      <c r="GXH1" s="17"/>
      <c r="GXI1" s="17"/>
      <c r="GXO1" s="17"/>
      <c r="GXP1" s="17"/>
      <c r="GXQ1" s="17"/>
      <c r="GXW1" s="17"/>
      <c r="GXX1" s="17"/>
      <c r="GXY1" s="17"/>
      <c r="GYE1" s="17"/>
      <c r="GYF1" s="17"/>
      <c r="GYG1" s="17"/>
      <c r="GYM1" s="17"/>
      <c r="GYN1" s="17"/>
      <c r="GYO1" s="17"/>
      <c r="GYU1" s="17"/>
      <c r="GYV1" s="17"/>
      <c r="GYW1" s="17"/>
      <c r="GZC1" s="17"/>
      <c r="GZD1" s="17"/>
      <c r="GZE1" s="17"/>
      <c r="GZK1" s="17"/>
      <c r="GZL1" s="17"/>
      <c r="GZM1" s="17"/>
      <c r="GZS1" s="17"/>
      <c r="GZT1" s="17"/>
      <c r="GZU1" s="17"/>
      <c r="HAA1" s="17"/>
      <c r="HAB1" s="17"/>
      <c r="HAC1" s="17"/>
      <c r="HAI1" s="17"/>
      <c r="HAJ1" s="17"/>
      <c r="HAK1" s="17"/>
      <c r="HAQ1" s="17"/>
      <c r="HAR1" s="17"/>
      <c r="HAS1" s="17"/>
      <c r="HAY1" s="17"/>
      <c r="HAZ1" s="17"/>
      <c r="HBA1" s="17"/>
      <c r="HBG1" s="17"/>
      <c r="HBH1" s="17"/>
      <c r="HBI1" s="17"/>
      <c r="HBO1" s="17"/>
      <c r="HBP1" s="17"/>
      <c r="HBQ1" s="17"/>
      <c r="HBW1" s="17"/>
      <c r="HBX1" s="17"/>
      <c r="HBY1" s="17"/>
      <c r="HCE1" s="17"/>
      <c r="HCF1" s="17"/>
      <c r="HCG1" s="17"/>
      <c r="HCM1" s="17"/>
      <c r="HCN1" s="17"/>
      <c r="HCO1" s="17"/>
      <c r="HCU1" s="17"/>
      <c r="HCV1" s="17"/>
      <c r="HCW1" s="17"/>
      <c r="HDC1" s="17"/>
      <c r="HDD1" s="17"/>
      <c r="HDE1" s="17"/>
      <c r="HDK1" s="17"/>
      <c r="HDL1" s="17"/>
      <c r="HDM1" s="17"/>
      <c r="HDS1" s="17"/>
      <c r="HDT1" s="17"/>
      <c r="HDU1" s="17"/>
      <c r="HEA1" s="17"/>
      <c r="HEB1" s="17"/>
      <c r="HEC1" s="17"/>
      <c r="HEI1" s="17"/>
      <c r="HEJ1" s="17"/>
      <c r="HEK1" s="17"/>
      <c r="HEQ1" s="17"/>
      <c r="HER1" s="17"/>
      <c r="HES1" s="17"/>
      <c r="HEY1" s="17"/>
      <c r="HEZ1" s="17"/>
      <c r="HFA1" s="17"/>
      <c r="HFG1" s="17"/>
      <c r="HFH1" s="17"/>
      <c r="HFI1" s="17"/>
      <c r="HFO1" s="17"/>
      <c r="HFP1" s="17"/>
      <c r="HFQ1" s="17"/>
      <c r="HFW1" s="17"/>
      <c r="HFX1" s="17"/>
      <c r="HFY1" s="17"/>
      <c r="HGE1" s="17"/>
      <c r="HGF1" s="17"/>
      <c r="HGG1" s="17"/>
      <c r="HGM1" s="17"/>
      <c r="HGN1" s="17"/>
      <c r="HGO1" s="17"/>
      <c r="HGU1" s="17"/>
      <c r="HGV1" s="17"/>
      <c r="HGW1" s="17"/>
      <c r="HHC1" s="17"/>
      <c r="HHD1" s="17"/>
      <c r="HHE1" s="17"/>
      <c r="HHK1" s="17"/>
      <c r="HHL1" s="17"/>
      <c r="HHM1" s="17"/>
      <c r="HHS1" s="17"/>
      <c r="HHT1" s="17"/>
      <c r="HHU1" s="17"/>
      <c r="HIA1" s="17"/>
      <c r="HIB1" s="17"/>
      <c r="HIC1" s="17"/>
      <c r="HII1" s="17"/>
      <c r="HIJ1" s="17"/>
      <c r="HIK1" s="17"/>
      <c r="HIQ1" s="17"/>
      <c r="HIR1" s="17"/>
      <c r="HIS1" s="17"/>
      <c r="HIY1" s="17"/>
      <c r="HIZ1" s="17"/>
      <c r="HJA1" s="17"/>
      <c r="HJG1" s="17"/>
      <c r="HJH1" s="17"/>
      <c r="HJI1" s="17"/>
      <c r="HJO1" s="17"/>
      <c r="HJP1" s="17"/>
      <c r="HJQ1" s="17"/>
      <c r="HJW1" s="17"/>
      <c r="HJX1" s="17"/>
      <c r="HJY1" s="17"/>
      <c r="HKE1" s="17"/>
      <c r="HKF1" s="17"/>
      <c r="HKG1" s="17"/>
      <c r="HKM1" s="17"/>
      <c r="HKN1" s="17"/>
      <c r="HKO1" s="17"/>
      <c r="HKU1" s="17"/>
      <c r="HKV1" s="17"/>
      <c r="HKW1" s="17"/>
      <c r="HLC1" s="17"/>
      <c r="HLD1" s="17"/>
      <c r="HLE1" s="17"/>
      <c r="HLK1" s="17"/>
      <c r="HLL1" s="17"/>
      <c r="HLM1" s="17"/>
      <c r="HLS1" s="17"/>
      <c r="HLT1" s="17"/>
      <c r="HLU1" s="17"/>
      <c r="HMA1" s="17"/>
      <c r="HMB1" s="17"/>
      <c r="HMC1" s="17"/>
      <c r="HMI1" s="17"/>
      <c r="HMJ1" s="17"/>
      <c r="HMK1" s="17"/>
      <c r="HMQ1" s="17"/>
      <c r="HMR1" s="17"/>
      <c r="HMS1" s="17"/>
      <c r="HMY1" s="17"/>
      <c r="HMZ1" s="17"/>
      <c r="HNA1" s="17"/>
      <c r="HNG1" s="17"/>
      <c r="HNH1" s="17"/>
      <c r="HNI1" s="17"/>
      <c r="HNO1" s="17"/>
      <c r="HNP1" s="17"/>
      <c r="HNQ1" s="17"/>
      <c r="HNW1" s="17"/>
      <c r="HNX1" s="17"/>
      <c r="HNY1" s="17"/>
      <c r="HOE1" s="17"/>
      <c r="HOF1" s="17"/>
      <c r="HOG1" s="17"/>
      <c r="HOM1" s="17"/>
      <c r="HON1" s="17"/>
      <c r="HOO1" s="17"/>
      <c r="HOU1" s="17"/>
      <c r="HOV1" s="17"/>
      <c r="HOW1" s="17"/>
      <c r="HPC1" s="17"/>
      <c r="HPD1" s="17"/>
      <c r="HPE1" s="17"/>
      <c r="HPK1" s="17"/>
      <c r="HPL1" s="17"/>
      <c r="HPM1" s="17"/>
      <c r="HPS1" s="17"/>
      <c r="HPT1" s="17"/>
      <c r="HPU1" s="17"/>
      <c r="HQA1" s="17"/>
      <c r="HQB1" s="17"/>
      <c r="HQC1" s="17"/>
      <c r="HQI1" s="17"/>
      <c r="HQJ1" s="17"/>
      <c r="HQK1" s="17"/>
      <c r="HQQ1" s="17"/>
      <c r="HQR1" s="17"/>
      <c r="HQS1" s="17"/>
      <c r="HQY1" s="17"/>
      <c r="HQZ1" s="17"/>
      <c r="HRA1" s="17"/>
      <c r="HRG1" s="17"/>
      <c r="HRH1" s="17"/>
      <c r="HRI1" s="17"/>
      <c r="HRO1" s="17"/>
      <c r="HRP1" s="17"/>
      <c r="HRQ1" s="17"/>
      <c r="HRW1" s="17"/>
      <c r="HRX1" s="17"/>
      <c r="HRY1" s="17"/>
      <c r="HSE1" s="17"/>
      <c r="HSF1" s="17"/>
      <c r="HSG1" s="17"/>
      <c r="HSM1" s="17"/>
      <c r="HSN1" s="17"/>
      <c r="HSO1" s="17"/>
      <c r="HSU1" s="17"/>
      <c r="HSV1" s="17"/>
      <c r="HSW1" s="17"/>
      <c r="HTC1" s="17"/>
      <c r="HTD1" s="17"/>
      <c r="HTE1" s="17"/>
      <c r="HTK1" s="17"/>
      <c r="HTL1" s="17"/>
      <c r="HTM1" s="17"/>
      <c r="HTS1" s="17"/>
      <c r="HTT1" s="17"/>
      <c r="HTU1" s="17"/>
      <c r="HUA1" s="17"/>
      <c r="HUB1" s="17"/>
      <c r="HUC1" s="17"/>
      <c r="HUI1" s="17"/>
      <c r="HUJ1" s="17"/>
      <c r="HUK1" s="17"/>
      <c r="HUQ1" s="17"/>
      <c r="HUR1" s="17"/>
      <c r="HUS1" s="17"/>
      <c r="HUY1" s="17"/>
      <c r="HUZ1" s="17"/>
      <c r="HVA1" s="17"/>
      <c r="HVG1" s="17"/>
      <c r="HVH1" s="17"/>
      <c r="HVI1" s="17"/>
      <c r="HVO1" s="17"/>
      <c r="HVP1" s="17"/>
      <c r="HVQ1" s="17"/>
      <c r="HVW1" s="17"/>
      <c r="HVX1" s="17"/>
      <c r="HVY1" s="17"/>
      <c r="HWE1" s="17"/>
      <c r="HWF1" s="17"/>
      <c r="HWG1" s="17"/>
      <c r="HWM1" s="17"/>
      <c r="HWN1" s="17"/>
      <c r="HWO1" s="17"/>
      <c r="HWU1" s="17"/>
      <c r="HWV1" s="17"/>
      <c r="HWW1" s="17"/>
      <c r="HXC1" s="17"/>
      <c r="HXD1" s="17"/>
      <c r="HXE1" s="17"/>
      <c r="HXK1" s="17"/>
      <c r="HXL1" s="17"/>
      <c r="HXM1" s="17"/>
      <c r="HXS1" s="17"/>
      <c r="HXT1" s="17"/>
      <c r="HXU1" s="17"/>
      <c r="HYA1" s="17"/>
      <c r="HYB1" s="17"/>
      <c r="HYC1" s="17"/>
      <c r="HYI1" s="17"/>
      <c r="HYJ1" s="17"/>
      <c r="HYK1" s="17"/>
      <c r="HYQ1" s="17"/>
      <c r="HYR1" s="17"/>
      <c r="HYS1" s="17"/>
      <c r="HYY1" s="17"/>
      <c r="HYZ1" s="17"/>
      <c r="HZA1" s="17"/>
      <c r="HZG1" s="17"/>
      <c r="HZH1" s="17"/>
      <c r="HZI1" s="17"/>
      <c r="HZO1" s="17"/>
      <c r="HZP1" s="17"/>
      <c r="HZQ1" s="17"/>
      <c r="HZW1" s="17"/>
      <c r="HZX1" s="17"/>
      <c r="HZY1" s="17"/>
      <c r="IAE1" s="17"/>
      <c r="IAF1" s="17"/>
      <c r="IAG1" s="17"/>
      <c r="IAM1" s="17"/>
      <c r="IAN1" s="17"/>
      <c r="IAO1" s="17"/>
      <c r="IAU1" s="17"/>
      <c r="IAV1" s="17"/>
      <c r="IAW1" s="17"/>
      <c r="IBC1" s="17"/>
      <c r="IBD1" s="17"/>
      <c r="IBE1" s="17"/>
      <c r="IBK1" s="17"/>
      <c r="IBL1" s="17"/>
      <c r="IBM1" s="17"/>
      <c r="IBS1" s="17"/>
      <c r="IBT1" s="17"/>
      <c r="IBU1" s="17"/>
      <c r="ICA1" s="17"/>
      <c r="ICB1" s="17"/>
      <c r="ICC1" s="17"/>
      <c r="ICI1" s="17"/>
      <c r="ICJ1" s="17"/>
      <c r="ICK1" s="17"/>
      <c r="ICQ1" s="17"/>
      <c r="ICR1" s="17"/>
      <c r="ICS1" s="17"/>
      <c r="ICY1" s="17"/>
      <c r="ICZ1" s="17"/>
      <c r="IDA1" s="17"/>
      <c r="IDG1" s="17"/>
      <c r="IDH1" s="17"/>
      <c r="IDI1" s="17"/>
      <c r="IDO1" s="17"/>
      <c r="IDP1" s="17"/>
      <c r="IDQ1" s="17"/>
      <c r="IDW1" s="17"/>
      <c r="IDX1" s="17"/>
      <c r="IDY1" s="17"/>
      <c r="IEE1" s="17"/>
      <c r="IEF1" s="17"/>
      <c r="IEG1" s="17"/>
      <c r="IEM1" s="17"/>
      <c r="IEN1" s="17"/>
      <c r="IEO1" s="17"/>
      <c r="IEU1" s="17"/>
      <c r="IEV1" s="17"/>
      <c r="IEW1" s="17"/>
      <c r="IFC1" s="17"/>
      <c r="IFD1" s="17"/>
      <c r="IFE1" s="17"/>
      <c r="IFK1" s="17"/>
      <c r="IFL1" s="17"/>
      <c r="IFM1" s="17"/>
      <c r="IFS1" s="17"/>
      <c r="IFT1" s="17"/>
      <c r="IFU1" s="17"/>
      <c r="IGA1" s="17"/>
      <c r="IGB1" s="17"/>
      <c r="IGC1" s="17"/>
      <c r="IGI1" s="17"/>
      <c r="IGJ1" s="17"/>
      <c r="IGK1" s="17"/>
      <c r="IGQ1" s="17"/>
      <c r="IGR1" s="17"/>
      <c r="IGS1" s="17"/>
      <c r="IGY1" s="17"/>
      <c r="IGZ1" s="17"/>
      <c r="IHA1" s="17"/>
      <c r="IHG1" s="17"/>
      <c r="IHH1" s="17"/>
      <c r="IHI1" s="17"/>
      <c r="IHO1" s="17"/>
      <c r="IHP1" s="17"/>
      <c r="IHQ1" s="17"/>
      <c r="IHW1" s="17"/>
      <c r="IHX1" s="17"/>
      <c r="IHY1" s="17"/>
      <c r="IIE1" s="17"/>
      <c r="IIF1" s="17"/>
      <c r="IIG1" s="17"/>
      <c r="IIM1" s="17"/>
      <c r="IIN1" s="17"/>
      <c r="IIO1" s="17"/>
      <c r="IIU1" s="17"/>
      <c r="IIV1" s="17"/>
      <c r="IIW1" s="17"/>
      <c r="IJC1" s="17"/>
      <c r="IJD1" s="17"/>
      <c r="IJE1" s="17"/>
      <c r="IJK1" s="17"/>
      <c r="IJL1" s="17"/>
      <c r="IJM1" s="17"/>
      <c r="IJS1" s="17"/>
      <c r="IJT1" s="17"/>
      <c r="IJU1" s="17"/>
      <c r="IKA1" s="17"/>
      <c r="IKB1" s="17"/>
      <c r="IKC1" s="17"/>
      <c r="IKI1" s="17"/>
      <c r="IKJ1" s="17"/>
      <c r="IKK1" s="17"/>
      <c r="IKQ1" s="17"/>
      <c r="IKR1" s="17"/>
      <c r="IKS1" s="17"/>
      <c r="IKY1" s="17"/>
      <c r="IKZ1" s="17"/>
      <c r="ILA1" s="17"/>
      <c r="ILG1" s="17"/>
      <c r="ILH1" s="17"/>
      <c r="ILI1" s="17"/>
      <c r="ILO1" s="17"/>
      <c r="ILP1" s="17"/>
      <c r="ILQ1" s="17"/>
      <c r="ILW1" s="17"/>
      <c r="ILX1" s="17"/>
      <c r="ILY1" s="17"/>
      <c r="IME1" s="17"/>
      <c r="IMF1" s="17"/>
      <c r="IMG1" s="17"/>
      <c r="IMM1" s="17"/>
      <c r="IMN1" s="17"/>
      <c r="IMO1" s="17"/>
      <c r="IMU1" s="17"/>
      <c r="IMV1" s="17"/>
      <c r="IMW1" s="17"/>
      <c r="INC1" s="17"/>
      <c r="IND1" s="17"/>
      <c r="INE1" s="17"/>
      <c r="INK1" s="17"/>
      <c r="INL1" s="17"/>
      <c r="INM1" s="17"/>
      <c r="INS1" s="17"/>
      <c r="INT1" s="17"/>
      <c r="INU1" s="17"/>
      <c r="IOA1" s="17"/>
      <c r="IOB1" s="17"/>
      <c r="IOC1" s="17"/>
      <c r="IOI1" s="17"/>
      <c r="IOJ1" s="17"/>
      <c r="IOK1" s="17"/>
      <c r="IOQ1" s="17"/>
      <c r="IOR1" s="17"/>
      <c r="IOS1" s="17"/>
      <c r="IOY1" s="17"/>
      <c r="IOZ1" s="17"/>
      <c r="IPA1" s="17"/>
      <c r="IPG1" s="17"/>
      <c r="IPH1" s="17"/>
      <c r="IPI1" s="17"/>
      <c r="IPO1" s="17"/>
      <c r="IPP1" s="17"/>
      <c r="IPQ1" s="17"/>
      <c r="IPW1" s="17"/>
      <c r="IPX1" s="17"/>
      <c r="IPY1" s="17"/>
      <c r="IQE1" s="17"/>
      <c r="IQF1" s="17"/>
      <c r="IQG1" s="17"/>
      <c r="IQM1" s="17"/>
      <c r="IQN1" s="17"/>
      <c r="IQO1" s="17"/>
      <c r="IQU1" s="17"/>
      <c r="IQV1" s="17"/>
      <c r="IQW1" s="17"/>
      <c r="IRC1" s="17"/>
      <c r="IRD1" s="17"/>
      <c r="IRE1" s="17"/>
      <c r="IRK1" s="17"/>
      <c r="IRL1" s="17"/>
      <c r="IRM1" s="17"/>
      <c r="IRS1" s="17"/>
      <c r="IRT1" s="17"/>
      <c r="IRU1" s="17"/>
      <c r="ISA1" s="17"/>
      <c r="ISB1" s="17"/>
      <c r="ISC1" s="17"/>
      <c r="ISI1" s="17"/>
      <c r="ISJ1" s="17"/>
      <c r="ISK1" s="17"/>
      <c r="ISQ1" s="17"/>
      <c r="ISR1" s="17"/>
      <c r="ISS1" s="17"/>
      <c r="ISY1" s="17"/>
      <c r="ISZ1" s="17"/>
      <c r="ITA1" s="17"/>
      <c r="ITG1" s="17"/>
      <c r="ITH1" s="17"/>
      <c r="ITI1" s="17"/>
      <c r="ITO1" s="17"/>
      <c r="ITP1" s="17"/>
      <c r="ITQ1" s="17"/>
      <c r="ITW1" s="17"/>
      <c r="ITX1" s="17"/>
      <c r="ITY1" s="17"/>
      <c r="IUE1" s="17"/>
      <c r="IUF1" s="17"/>
      <c r="IUG1" s="17"/>
      <c r="IUM1" s="17"/>
      <c r="IUN1" s="17"/>
      <c r="IUO1" s="17"/>
      <c r="IUU1" s="17"/>
      <c r="IUV1" s="17"/>
      <c r="IUW1" s="17"/>
      <c r="IVC1" s="17"/>
      <c r="IVD1" s="17"/>
      <c r="IVE1" s="17"/>
      <c r="IVK1" s="17"/>
      <c r="IVL1" s="17"/>
      <c r="IVM1" s="17"/>
      <c r="IVS1" s="17"/>
      <c r="IVT1" s="17"/>
      <c r="IVU1" s="17"/>
      <c r="IWA1" s="17"/>
      <c r="IWB1" s="17"/>
      <c r="IWC1" s="17"/>
      <c r="IWI1" s="17"/>
      <c r="IWJ1" s="17"/>
      <c r="IWK1" s="17"/>
      <c r="IWQ1" s="17"/>
      <c r="IWR1" s="17"/>
      <c r="IWS1" s="17"/>
      <c r="IWY1" s="17"/>
      <c r="IWZ1" s="17"/>
      <c r="IXA1" s="17"/>
      <c r="IXG1" s="17"/>
      <c r="IXH1" s="17"/>
      <c r="IXI1" s="17"/>
      <c r="IXO1" s="17"/>
      <c r="IXP1" s="17"/>
      <c r="IXQ1" s="17"/>
      <c r="IXW1" s="17"/>
      <c r="IXX1" s="17"/>
      <c r="IXY1" s="17"/>
      <c r="IYE1" s="17"/>
      <c r="IYF1" s="17"/>
      <c r="IYG1" s="17"/>
      <c r="IYM1" s="17"/>
      <c r="IYN1" s="17"/>
      <c r="IYO1" s="17"/>
      <c r="IYU1" s="17"/>
      <c r="IYV1" s="17"/>
      <c r="IYW1" s="17"/>
      <c r="IZC1" s="17"/>
      <c r="IZD1" s="17"/>
      <c r="IZE1" s="17"/>
      <c r="IZK1" s="17"/>
      <c r="IZL1" s="17"/>
      <c r="IZM1" s="17"/>
      <c r="IZS1" s="17"/>
      <c r="IZT1" s="17"/>
      <c r="IZU1" s="17"/>
      <c r="JAA1" s="17"/>
      <c r="JAB1" s="17"/>
      <c r="JAC1" s="17"/>
      <c r="JAI1" s="17"/>
      <c r="JAJ1" s="17"/>
      <c r="JAK1" s="17"/>
      <c r="JAQ1" s="17"/>
      <c r="JAR1" s="17"/>
      <c r="JAS1" s="17"/>
      <c r="JAY1" s="17"/>
      <c r="JAZ1" s="17"/>
      <c r="JBA1" s="17"/>
      <c r="JBG1" s="17"/>
      <c r="JBH1" s="17"/>
      <c r="JBI1" s="17"/>
      <c r="JBO1" s="17"/>
      <c r="JBP1" s="17"/>
      <c r="JBQ1" s="17"/>
      <c r="JBW1" s="17"/>
      <c r="JBX1" s="17"/>
      <c r="JBY1" s="17"/>
      <c r="JCE1" s="17"/>
      <c r="JCF1" s="17"/>
      <c r="JCG1" s="17"/>
      <c r="JCM1" s="17"/>
      <c r="JCN1" s="17"/>
      <c r="JCO1" s="17"/>
      <c r="JCU1" s="17"/>
      <c r="JCV1" s="17"/>
      <c r="JCW1" s="17"/>
      <c r="JDC1" s="17"/>
      <c r="JDD1" s="17"/>
      <c r="JDE1" s="17"/>
      <c r="JDK1" s="17"/>
      <c r="JDL1" s="17"/>
      <c r="JDM1" s="17"/>
      <c r="JDS1" s="17"/>
      <c r="JDT1" s="17"/>
      <c r="JDU1" s="17"/>
      <c r="JEA1" s="17"/>
      <c r="JEB1" s="17"/>
      <c r="JEC1" s="17"/>
      <c r="JEI1" s="17"/>
      <c r="JEJ1" s="17"/>
      <c r="JEK1" s="17"/>
      <c r="JEQ1" s="17"/>
      <c r="JER1" s="17"/>
      <c r="JES1" s="17"/>
      <c r="JEY1" s="17"/>
      <c r="JEZ1" s="17"/>
      <c r="JFA1" s="17"/>
      <c r="JFG1" s="17"/>
      <c r="JFH1" s="17"/>
      <c r="JFI1" s="17"/>
      <c r="JFO1" s="17"/>
      <c r="JFP1" s="17"/>
      <c r="JFQ1" s="17"/>
      <c r="JFW1" s="17"/>
      <c r="JFX1" s="17"/>
      <c r="JFY1" s="17"/>
      <c r="JGE1" s="17"/>
      <c r="JGF1" s="17"/>
      <c r="JGG1" s="17"/>
      <c r="JGM1" s="17"/>
      <c r="JGN1" s="17"/>
      <c r="JGO1" s="17"/>
      <c r="JGU1" s="17"/>
      <c r="JGV1" s="17"/>
      <c r="JGW1" s="17"/>
      <c r="JHC1" s="17"/>
      <c r="JHD1" s="17"/>
      <c r="JHE1" s="17"/>
      <c r="JHK1" s="17"/>
      <c r="JHL1" s="17"/>
      <c r="JHM1" s="17"/>
      <c r="JHS1" s="17"/>
      <c r="JHT1" s="17"/>
      <c r="JHU1" s="17"/>
      <c r="JIA1" s="17"/>
      <c r="JIB1" s="17"/>
      <c r="JIC1" s="17"/>
      <c r="JII1" s="17"/>
      <c r="JIJ1" s="17"/>
      <c r="JIK1" s="17"/>
      <c r="JIQ1" s="17"/>
      <c r="JIR1" s="17"/>
      <c r="JIS1" s="17"/>
      <c r="JIY1" s="17"/>
      <c r="JIZ1" s="17"/>
      <c r="JJA1" s="17"/>
      <c r="JJG1" s="17"/>
      <c r="JJH1" s="17"/>
      <c r="JJI1" s="17"/>
      <c r="JJO1" s="17"/>
      <c r="JJP1" s="17"/>
      <c r="JJQ1" s="17"/>
      <c r="JJW1" s="17"/>
      <c r="JJX1" s="17"/>
      <c r="JJY1" s="17"/>
      <c r="JKE1" s="17"/>
      <c r="JKF1" s="17"/>
      <c r="JKG1" s="17"/>
      <c r="JKM1" s="17"/>
      <c r="JKN1" s="17"/>
      <c r="JKO1" s="17"/>
      <c r="JKU1" s="17"/>
      <c r="JKV1" s="17"/>
      <c r="JKW1" s="17"/>
      <c r="JLC1" s="17"/>
      <c r="JLD1" s="17"/>
      <c r="JLE1" s="17"/>
      <c r="JLK1" s="17"/>
      <c r="JLL1" s="17"/>
      <c r="JLM1" s="17"/>
      <c r="JLS1" s="17"/>
      <c r="JLT1" s="17"/>
      <c r="JLU1" s="17"/>
      <c r="JMA1" s="17"/>
      <c r="JMB1" s="17"/>
      <c r="JMC1" s="17"/>
      <c r="JMI1" s="17"/>
      <c r="JMJ1" s="17"/>
      <c r="JMK1" s="17"/>
      <c r="JMQ1" s="17"/>
      <c r="JMR1" s="17"/>
      <c r="JMS1" s="17"/>
      <c r="JMY1" s="17"/>
      <c r="JMZ1" s="17"/>
      <c r="JNA1" s="17"/>
      <c r="JNG1" s="17"/>
      <c r="JNH1" s="17"/>
      <c r="JNI1" s="17"/>
      <c r="JNO1" s="17"/>
      <c r="JNP1" s="17"/>
      <c r="JNQ1" s="17"/>
      <c r="JNW1" s="17"/>
      <c r="JNX1" s="17"/>
      <c r="JNY1" s="17"/>
      <c r="JOE1" s="17"/>
      <c r="JOF1" s="17"/>
      <c r="JOG1" s="17"/>
      <c r="JOM1" s="17"/>
      <c r="JON1" s="17"/>
      <c r="JOO1" s="17"/>
      <c r="JOU1" s="17"/>
      <c r="JOV1" s="17"/>
      <c r="JOW1" s="17"/>
      <c r="JPC1" s="17"/>
      <c r="JPD1" s="17"/>
      <c r="JPE1" s="17"/>
      <c r="JPK1" s="17"/>
      <c r="JPL1" s="17"/>
      <c r="JPM1" s="17"/>
      <c r="JPS1" s="17"/>
      <c r="JPT1" s="17"/>
      <c r="JPU1" s="17"/>
      <c r="JQA1" s="17"/>
      <c r="JQB1" s="17"/>
      <c r="JQC1" s="17"/>
      <c r="JQI1" s="17"/>
      <c r="JQJ1" s="17"/>
      <c r="JQK1" s="17"/>
      <c r="JQQ1" s="17"/>
      <c r="JQR1" s="17"/>
      <c r="JQS1" s="17"/>
      <c r="JQY1" s="17"/>
      <c r="JQZ1" s="17"/>
      <c r="JRA1" s="17"/>
      <c r="JRG1" s="17"/>
      <c r="JRH1" s="17"/>
      <c r="JRI1" s="17"/>
      <c r="JRO1" s="17"/>
      <c r="JRP1" s="17"/>
      <c r="JRQ1" s="17"/>
      <c r="JRW1" s="17"/>
      <c r="JRX1" s="17"/>
      <c r="JRY1" s="17"/>
      <c r="JSE1" s="17"/>
      <c r="JSF1" s="17"/>
      <c r="JSG1" s="17"/>
      <c r="JSM1" s="17"/>
      <c r="JSN1" s="17"/>
      <c r="JSO1" s="17"/>
      <c r="JSU1" s="17"/>
      <c r="JSV1" s="17"/>
      <c r="JSW1" s="17"/>
      <c r="JTC1" s="17"/>
      <c r="JTD1" s="17"/>
      <c r="JTE1" s="17"/>
      <c r="JTK1" s="17"/>
      <c r="JTL1" s="17"/>
      <c r="JTM1" s="17"/>
      <c r="JTS1" s="17"/>
      <c r="JTT1" s="17"/>
      <c r="JTU1" s="17"/>
      <c r="JUA1" s="17"/>
      <c r="JUB1" s="17"/>
      <c r="JUC1" s="17"/>
      <c r="JUI1" s="17"/>
      <c r="JUJ1" s="17"/>
      <c r="JUK1" s="17"/>
      <c r="JUQ1" s="17"/>
      <c r="JUR1" s="17"/>
      <c r="JUS1" s="17"/>
      <c r="JUY1" s="17"/>
      <c r="JUZ1" s="17"/>
      <c r="JVA1" s="17"/>
      <c r="JVG1" s="17"/>
      <c r="JVH1" s="17"/>
      <c r="JVI1" s="17"/>
      <c r="JVO1" s="17"/>
      <c r="JVP1" s="17"/>
      <c r="JVQ1" s="17"/>
      <c r="JVW1" s="17"/>
      <c r="JVX1" s="17"/>
      <c r="JVY1" s="17"/>
      <c r="JWE1" s="17"/>
      <c r="JWF1" s="17"/>
      <c r="JWG1" s="17"/>
      <c r="JWM1" s="17"/>
      <c r="JWN1" s="17"/>
      <c r="JWO1" s="17"/>
      <c r="JWU1" s="17"/>
      <c r="JWV1" s="17"/>
      <c r="JWW1" s="17"/>
      <c r="JXC1" s="17"/>
      <c r="JXD1" s="17"/>
      <c r="JXE1" s="17"/>
      <c r="JXK1" s="17"/>
      <c r="JXL1" s="17"/>
      <c r="JXM1" s="17"/>
      <c r="JXS1" s="17"/>
      <c r="JXT1" s="17"/>
      <c r="JXU1" s="17"/>
      <c r="JYA1" s="17"/>
      <c r="JYB1" s="17"/>
      <c r="JYC1" s="17"/>
      <c r="JYI1" s="17"/>
      <c r="JYJ1" s="17"/>
      <c r="JYK1" s="17"/>
      <c r="JYQ1" s="17"/>
      <c r="JYR1" s="17"/>
      <c r="JYS1" s="17"/>
      <c r="JYY1" s="17"/>
      <c r="JYZ1" s="17"/>
      <c r="JZA1" s="17"/>
      <c r="JZG1" s="17"/>
      <c r="JZH1" s="17"/>
      <c r="JZI1" s="17"/>
      <c r="JZO1" s="17"/>
      <c r="JZP1" s="17"/>
      <c r="JZQ1" s="17"/>
      <c r="JZW1" s="17"/>
      <c r="JZX1" s="17"/>
      <c r="JZY1" s="17"/>
      <c r="KAE1" s="17"/>
      <c r="KAF1" s="17"/>
      <c r="KAG1" s="17"/>
      <c r="KAM1" s="17"/>
      <c r="KAN1" s="17"/>
      <c r="KAO1" s="17"/>
      <c r="KAU1" s="17"/>
      <c r="KAV1" s="17"/>
      <c r="KAW1" s="17"/>
      <c r="KBC1" s="17"/>
      <c r="KBD1" s="17"/>
      <c r="KBE1" s="17"/>
      <c r="KBK1" s="17"/>
      <c r="KBL1" s="17"/>
      <c r="KBM1" s="17"/>
      <c r="KBS1" s="17"/>
      <c r="KBT1" s="17"/>
      <c r="KBU1" s="17"/>
      <c r="KCA1" s="17"/>
      <c r="KCB1" s="17"/>
      <c r="KCC1" s="17"/>
      <c r="KCI1" s="17"/>
      <c r="KCJ1" s="17"/>
      <c r="KCK1" s="17"/>
      <c r="KCQ1" s="17"/>
      <c r="KCR1" s="17"/>
      <c r="KCS1" s="17"/>
      <c r="KCY1" s="17"/>
      <c r="KCZ1" s="17"/>
      <c r="KDA1" s="17"/>
      <c r="KDG1" s="17"/>
      <c r="KDH1" s="17"/>
      <c r="KDI1" s="17"/>
      <c r="KDO1" s="17"/>
      <c r="KDP1" s="17"/>
      <c r="KDQ1" s="17"/>
      <c r="KDW1" s="17"/>
      <c r="KDX1" s="17"/>
      <c r="KDY1" s="17"/>
      <c r="KEE1" s="17"/>
      <c r="KEF1" s="17"/>
      <c r="KEG1" s="17"/>
      <c r="KEM1" s="17"/>
      <c r="KEN1" s="17"/>
      <c r="KEO1" s="17"/>
      <c r="KEU1" s="17"/>
      <c r="KEV1" s="17"/>
      <c r="KEW1" s="17"/>
      <c r="KFC1" s="17"/>
      <c r="KFD1" s="17"/>
      <c r="KFE1" s="17"/>
      <c r="KFK1" s="17"/>
      <c r="KFL1" s="17"/>
      <c r="KFM1" s="17"/>
      <c r="KFS1" s="17"/>
      <c r="KFT1" s="17"/>
      <c r="KFU1" s="17"/>
      <c r="KGA1" s="17"/>
      <c r="KGB1" s="17"/>
      <c r="KGC1" s="17"/>
      <c r="KGI1" s="17"/>
      <c r="KGJ1" s="17"/>
      <c r="KGK1" s="17"/>
      <c r="KGQ1" s="17"/>
      <c r="KGR1" s="17"/>
      <c r="KGS1" s="17"/>
      <c r="KGY1" s="17"/>
      <c r="KGZ1" s="17"/>
      <c r="KHA1" s="17"/>
      <c r="KHG1" s="17"/>
      <c r="KHH1" s="17"/>
      <c r="KHI1" s="17"/>
      <c r="KHO1" s="17"/>
      <c r="KHP1" s="17"/>
      <c r="KHQ1" s="17"/>
      <c r="KHW1" s="17"/>
      <c r="KHX1" s="17"/>
      <c r="KHY1" s="17"/>
      <c r="KIE1" s="17"/>
      <c r="KIF1" s="17"/>
      <c r="KIG1" s="17"/>
      <c r="KIM1" s="17"/>
      <c r="KIN1" s="17"/>
      <c r="KIO1" s="17"/>
      <c r="KIU1" s="17"/>
      <c r="KIV1" s="17"/>
      <c r="KIW1" s="17"/>
      <c r="KJC1" s="17"/>
      <c r="KJD1" s="17"/>
      <c r="KJE1" s="17"/>
      <c r="KJK1" s="17"/>
      <c r="KJL1" s="17"/>
      <c r="KJM1" s="17"/>
      <c r="KJS1" s="17"/>
      <c r="KJT1" s="17"/>
      <c r="KJU1" s="17"/>
      <c r="KKA1" s="17"/>
      <c r="KKB1" s="17"/>
      <c r="KKC1" s="17"/>
      <c r="KKI1" s="17"/>
      <c r="KKJ1" s="17"/>
      <c r="KKK1" s="17"/>
      <c r="KKQ1" s="17"/>
      <c r="KKR1" s="17"/>
      <c r="KKS1" s="17"/>
      <c r="KKY1" s="17"/>
      <c r="KKZ1" s="17"/>
      <c r="KLA1" s="17"/>
      <c r="KLG1" s="17"/>
      <c r="KLH1" s="17"/>
      <c r="KLI1" s="17"/>
      <c r="KLO1" s="17"/>
      <c r="KLP1" s="17"/>
      <c r="KLQ1" s="17"/>
      <c r="KLW1" s="17"/>
      <c r="KLX1" s="17"/>
      <c r="KLY1" s="17"/>
      <c r="KME1" s="17"/>
      <c r="KMF1" s="17"/>
      <c r="KMG1" s="17"/>
      <c r="KMM1" s="17"/>
      <c r="KMN1" s="17"/>
      <c r="KMO1" s="17"/>
      <c r="KMU1" s="17"/>
      <c r="KMV1" s="17"/>
      <c r="KMW1" s="17"/>
      <c r="KNC1" s="17"/>
      <c r="KND1" s="17"/>
      <c r="KNE1" s="17"/>
      <c r="KNK1" s="17"/>
      <c r="KNL1" s="17"/>
      <c r="KNM1" s="17"/>
      <c r="KNS1" s="17"/>
      <c r="KNT1" s="17"/>
      <c r="KNU1" s="17"/>
      <c r="KOA1" s="17"/>
      <c r="KOB1" s="17"/>
      <c r="KOC1" s="17"/>
      <c r="KOI1" s="17"/>
      <c r="KOJ1" s="17"/>
      <c r="KOK1" s="17"/>
      <c r="KOQ1" s="17"/>
      <c r="KOR1" s="17"/>
      <c r="KOS1" s="17"/>
      <c r="KOY1" s="17"/>
      <c r="KOZ1" s="17"/>
      <c r="KPA1" s="17"/>
      <c r="KPG1" s="17"/>
      <c r="KPH1" s="17"/>
      <c r="KPI1" s="17"/>
      <c r="KPO1" s="17"/>
      <c r="KPP1" s="17"/>
      <c r="KPQ1" s="17"/>
      <c r="KPW1" s="17"/>
      <c r="KPX1" s="17"/>
      <c r="KPY1" s="17"/>
      <c r="KQE1" s="17"/>
      <c r="KQF1" s="17"/>
      <c r="KQG1" s="17"/>
      <c r="KQM1" s="17"/>
      <c r="KQN1" s="17"/>
      <c r="KQO1" s="17"/>
      <c r="KQU1" s="17"/>
      <c r="KQV1" s="17"/>
      <c r="KQW1" s="17"/>
      <c r="KRC1" s="17"/>
      <c r="KRD1" s="17"/>
      <c r="KRE1" s="17"/>
      <c r="KRK1" s="17"/>
      <c r="KRL1" s="17"/>
      <c r="KRM1" s="17"/>
      <c r="KRS1" s="17"/>
      <c r="KRT1" s="17"/>
      <c r="KRU1" s="17"/>
      <c r="KSA1" s="17"/>
      <c r="KSB1" s="17"/>
      <c r="KSC1" s="17"/>
      <c r="KSI1" s="17"/>
      <c r="KSJ1" s="17"/>
      <c r="KSK1" s="17"/>
      <c r="KSQ1" s="17"/>
      <c r="KSR1" s="17"/>
      <c r="KSS1" s="17"/>
      <c r="KSY1" s="17"/>
      <c r="KSZ1" s="17"/>
      <c r="KTA1" s="17"/>
      <c r="KTG1" s="17"/>
      <c r="KTH1" s="17"/>
      <c r="KTI1" s="17"/>
      <c r="KTO1" s="17"/>
      <c r="KTP1" s="17"/>
      <c r="KTQ1" s="17"/>
      <c r="KTW1" s="17"/>
      <c r="KTX1" s="17"/>
      <c r="KTY1" s="17"/>
      <c r="KUE1" s="17"/>
      <c r="KUF1" s="17"/>
      <c r="KUG1" s="17"/>
      <c r="KUM1" s="17"/>
      <c r="KUN1" s="17"/>
      <c r="KUO1" s="17"/>
      <c r="KUU1" s="17"/>
      <c r="KUV1" s="17"/>
      <c r="KUW1" s="17"/>
      <c r="KVC1" s="17"/>
      <c r="KVD1" s="17"/>
      <c r="KVE1" s="17"/>
      <c r="KVK1" s="17"/>
      <c r="KVL1" s="17"/>
      <c r="KVM1" s="17"/>
      <c r="KVS1" s="17"/>
      <c r="KVT1" s="17"/>
      <c r="KVU1" s="17"/>
      <c r="KWA1" s="17"/>
      <c r="KWB1" s="17"/>
      <c r="KWC1" s="17"/>
      <c r="KWI1" s="17"/>
      <c r="KWJ1" s="17"/>
      <c r="KWK1" s="17"/>
      <c r="KWQ1" s="17"/>
      <c r="KWR1" s="17"/>
      <c r="KWS1" s="17"/>
      <c r="KWY1" s="17"/>
      <c r="KWZ1" s="17"/>
      <c r="KXA1" s="17"/>
      <c r="KXG1" s="17"/>
      <c r="KXH1" s="17"/>
      <c r="KXI1" s="17"/>
      <c r="KXO1" s="17"/>
      <c r="KXP1" s="17"/>
      <c r="KXQ1" s="17"/>
      <c r="KXW1" s="17"/>
      <c r="KXX1" s="17"/>
      <c r="KXY1" s="17"/>
      <c r="KYE1" s="17"/>
      <c r="KYF1" s="17"/>
      <c r="KYG1" s="17"/>
      <c r="KYM1" s="17"/>
      <c r="KYN1" s="17"/>
      <c r="KYO1" s="17"/>
      <c r="KYU1" s="17"/>
      <c r="KYV1" s="17"/>
      <c r="KYW1" s="17"/>
      <c r="KZC1" s="17"/>
      <c r="KZD1" s="17"/>
      <c r="KZE1" s="17"/>
      <c r="KZK1" s="17"/>
      <c r="KZL1" s="17"/>
      <c r="KZM1" s="17"/>
      <c r="KZS1" s="17"/>
      <c r="KZT1" s="17"/>
      <c r="KZU1" s="17"/>
      <c r="LAA1" s="17"/>
      <c r="LAB1" s="17"/>
      <c r="LAC1" s="17"/>
      <c r="LAI1" s="17"/>
      <c r="LAJ1" s="17"/>
      <c r="LAK1" s="17"/>
      <c r="LAQ1" s="17"/>
      <c r="LAR1" s="17"/>
      <c r="LAS1" s="17"/>
      <c r="LAY1" s="17"/>
      <c r="LAZ1" s="17"/>
      <c r="LBA1" s="17"/>
      <c r="LBG1" s="17"/>
      <c r="LBH1" s="17"/>
      <c r="LBI1" s="17"/>
      <c r="LBO1" s="17"/>
      <c r="LBP1" s="17"/>
      <c r="LBQ1" s="17"/>
      <c r="LBW1" s="17"/>
      <c r="LBX1" s="17"/>
      <c r="LBY1" s="17"/>
      <c r="LCE1" s="17"/>
      <c r="LCF1" s="17"/>
      <c r="LCG1" s="17"/>
      <c r="LCM1" s="17"/>
      <c r="LCN1" s="17"/>
      <c r="LCO1" s="17"/>
      <c r="LCU1" s="17"/>
      <c r="LCV1" s="17"/>
      <c r="LCW1" s="17"/>
      <c r="LDC1" s="17"/>
      <c r="LDD1" s="17"/>
      <c r="LDE1" s="17"/>
      <c r="LDK1" s="17"/>
      <c r="LDL1" s="17"/>
      <c r="LDM1" s="17"/>
      <c r="LDS1" s="17"/>
      <c r="LDT1" s="17"/>
      <c r="LDU1" s="17"/>
      <c r="LEA1" s="17"/>
      <c r="LEB1" s="17"/>
      <c r="LEC1" s="17"/>
      <c r="LEI1" s="17"/>
      <c r="LEJ1" s="17"/>
      <c r="LEK1" s="17"/>
      <c r="LEQ1" s="17"/>
      <c r="LER1" s="17"/>
      <c r="LES1" s="17"/>
      <c r="LEY1" s="17"/>
      <c r="LEZ1" s="17"/>
      <c r="LFA1" s="17"/>
      <c r="LFG1" s="17"/>
      <c r="LFH1" s="17"/>
      <c r="LFI1" s="17"/>
      <c r="LFO1" s="17"/>
      <c r="LFP1" s="17"/>
      <c r="LFQ1" s="17"/>
      <c r="LFW1" s="17"/>
      <c r="LFX1" s="17"/>
      <c r="LFY1" s="17"/>
      <c r="LGE1" s="17"/>
      <c r="LGF1" s="17"/>
      <c r="LGG1" s="17"/>
      <c r="LGM1" s="17"/>
      <c r="LGN1" s="17"/>
      <c r="LGO1" s="17"/>
      <c r="LGU1" s="17"/>
      <c r="LGV1" s="17"/>
      <c r="LGW1" s="17"/>
      <c r="LHC1" s="17"/>
      <c r="LHD1" s="17"/>
      <c r="LHE1" s="17"/>
      <c r="LHK1" s="17"/>
      <c r="LHL1" s="17"/>
      <c r="LHM1" s="17"/>
      <c r="LHS1" s="17"/>
      <c r="LHT1" s="17"/>
      <c r="LHU1" s="17"/>
      <c r="LIA1" s="17"/>
      <c r="LIB1" s="17"/>
      <c r="LIC1" s="17"/>
      <c r="LII1" s="17"/>
      <c r="LIJ1" s="17"/>
      <c r="LIK1" s="17"/>
      <c r="LIQ1" s="17"/>
      <c r="LIR1" s="17"/>
      <c r="LIS1" s="17"/>
      <c r="LIY1" s="17"/>
      <c r="LIZ1" s="17"/>
      <c r="LJA1" s="17"/>
      <c r="LJG1" s="17"/>
      <c r="LJH1" s="17"/>
      <c r="LJI1" s="17"/>
      <c r="LJO1" s="17"/>
      <c r="LJP1" s="17"/>
      <c r="LJQ1" s="17"/>
      <c r="LJW1" s="17"/>
      <c r="LJX1" s="17"/>
      <c r="LJY1" s="17"/>
      <c r="LKE1" s="17"/>
      <c r="LKF1" s="17"/>
      <c r="LKG1" s="17"/>
      <c r="LKM1" s="17"/>
      <c r="LKN1" s="17"/>
      <c r="LKO1" s="17"/>
      <c r="LKU1" s="17"/>
      <c r="LKV1" s="17"/>
      <c r="LKW1" s="17"/>
      <c r="LLC1" s="17"/>
      <c r="LLD1" s="17"/>
      <c r="LLE1" s="17"/>
      <c r="LLK1" s="17"/>
      <c r="LLL1" s="17"/>
      <c r="LLM1" s="17"/>
      <c r="LLS1" s="17"/>
      <c r="LLT1" s="17"/>
      <c r="LLU1" s="17"/>
      <c r="LMA1" s="17"/>
      <c r="LMB1" s="17"/>
      <c r="LMC1" s="17"/>
      <c r="LMI1" s="17"/>
      <c r="LMJ1" s="17"/>
      <c r="LMK1" s="17"/>
      <c r="LMQ1" s="17"/>
      <c r="LMR1" s="17"/>
      <c r="LMS1" s="17"/>
      <c r="LMY1" s="17"/>
      <c r="LMZ1" s="17"/>
      <c r="LNA1" s="17"/>
      <c r="LNG1" s="17"/>
      <c r="LNH1" s="17"/>
      <c r="LNI1" s="17"/>
      <c r="LNO1" s="17"/>
      <c r="LNP1" s="17"/>
      <c r="LNQ1" s="17"/>
      <c r="LNW1" s="17"/>
      <c r="LNX1" s="17"/>
      <c r="LNY1" s="17"/>
      <c r="LOE1" s="17"/>
      <c r="LOF1" s="17"/>
      <c r="LOG1" s="17"/>
      <c r="LOM1" s="17"/>
      <c r="LON1" s="17"/>
      <c r="LOO1" s="17"/>
      <c r="LOU1" s="17"/>
      <c r="LOV1" s="17"/>
      <c r="LOW1" s="17"/>
      <c r="LPC1" s="17"/>
      <c r="LPD1" s="17"/>
      <c r="LPE1" s="17"/>
      <c r="LPK1" s="17"/>
      <c r="LPL1" s="17"/>
      <c r="LPM1" s="17"/>
      <c r="LPS1" s="17"/>
      <c r="LPT1" s="17"/>
      <c r="LPU1" s="17"/>
      <c r="LQA1" s="17"/>
      <c r="LQB1" s="17"/>
      <c r="LQC1" s="17"/>
      <c r="LQI1" s="17"/>
      <c r="LQJ1" s="17"/>
      <c r="LQK1" s="17"/>
      <c r="LQQ1" s="17"/>
      <c r="LQR1" s="17"/>
      <c r="LQS1" s="17"/>
      <c r="LQY1" s="17"/>
      <c r="LQZ1" s="17"/>
      <c r="LRA1" s="17"/>
      <c r="LRG1" s="17"/>
      <c r="LRH1" s="17"/>
      <c r="LRI1" s="17"/>
      <c r="LRO1" s="17"/>
      <c r="LRP1" s="17"/>
      <c r="LRQ1" s="17"/>
      <c r="LRW1" s="17"/>
      <c r="LRX1" s="17"/>
      <c r="LRY1" s="17"/>
      <c r="LSE1" s="17"/>
      <c r="LSF1" s="17"/>
      <c r="LSG1" s="17"/>
      <c r="LSM1" s="17"/>
      <c r="LSN1" s="17"/>
      <c r="LSO1" s="17"/>
      <c r="LSU1" s="17"/>
      <c r="LSV1" s="17"/>
      <c r="LSW1" s="17"/>
      <c r="LTC1" s="17"/>
      <c r="LTD1" s="17"/>
      <c r="LTE1" s="17"/>
      <c r="LTK1" s="17"/>
      <c r="LTL1" s="17"/>
      <c r="LTM1" s="17"/>
      <c r="LTS1" s="17"/>
      <c r="LTT1" s="17"/>
      <c r="LTU1" s="17"/>
      <c r="LUA1" s="17"/>
      <c r="LUB1" s="17"/>
      <c r="LUC1" s="17"/>
      <c r="LUI1" s="17"/>
      <c r="LUJ1" s="17"/>
      <c r="LUK1" s="17"/>
      <c r="LUQ1" s="17"/>
      <c r="LUR1" s="17"/>
      <c r="LUS1" s="17"/>
      <c r="LUY1" s="17"/>
      <c r="LUZ1" s="17"/>
      <c r="LVA1" s="17"/>
      <c r="LVG1" s="17"/>
      <c r="LVH1" s="17"/>
      <c r="LVI1" s="17"/>
      <c r="LVO1" s="17"/>
      <c r="LVP1" s="17"/>
      <c r="LVQ1" s="17"/>
      <c r="LVW1" s="17"/>
      <c r="LVX1" s="17"/>
      <c r="LVY1" s="17"/>
      <c r="LWE1" s="17"/>
      <c r="LWF1" s="17"/>
      <c r="LWG1" s="17"/>
      <c r="LWM1" s="17"/>
      <c r="LWN1" s="17"/>
      <c r="LWO1" s="17"/>
      <c r="LWU1" s="17"/>
      <c r="LWV1" s="17"/>
      <c r="LWW1" s="17"/>
      <c r="LXC1" s="17"/>
      <c r="LXD1" s="17"/>
      <c r="LXE1" s="17"/>
      <c r="LXK1" s="17"/>
      <c r="LXL1" s="17"/>
      <c r="LXM1" s="17"/>
      <c r="LXS1" s="17"/>
      <c r="LXT1" s="17"/>
      <c r="LXU1" s="17"/>
      <c r="LYA1" s="17"/>
      <c r="LYB1" s="17"/>
      <c r="LYC1" s="17"/>
      <c r="LYI1" s="17"/>
      <c r="LYJ1" s="17"/>
      <c r="LYK1" s="17"/>
      <c r="LYQ1" s="17"/>
      <c r="LYR1" s="17"/>
      <c r="LYS1" s="17"/>
      <c r="LYY1" s="17"/>
      <c r="LYZ1" s="17"/>
      <c r="LZA1" s="17"/>
      <c r="LZG1" s="17"/>
      <c r="LZH1" s="17"/>
      <c r="LZI1" s="17"/>
      <c r="LZO1" s="17"/>
      <c r="LZP1" s="17"/>
      <c r="LZQ1" s="17"/>
      <c r="LZW1" s="17"/>
      <c r="LZX1" s="17"/>
      <c r="LZY1" s="17"/>
      <c r="MAE1" s="17"/>
      <c r="MAF1" s="17"/>
      <c r="MAG1" s="17"/>
      <c r="MAM1" s="17"/>
      <c r="MAN1" s="17"/>
      <c r="MAO1" s="17"/>
      <c r="MAU1" s="17"/>
      <c r="MAV1" s="17"/>
      <c r="MAW1" s="17"/>
      <c r="MBC1" s="17"/>
      <c r="MBD1" s="17"/>
      <c r="MBE1" s="17"/>
      <c r="MBK1" s="17"/>
      <c r="MBL1" s="17"/>
      <c r="MBM1" s="17"/>
      <c r="MBS1" s="17"/>
      <c r="MBT1" s="17"/>
      <c r="MBU1" s="17"/>
      <c r="MCA1" s="17"/>
      <c r="MCB1" s="17"/>
      <c r="MCC1" s="17"/>
      <c r="MCI1" s="17"/>
      <c r="MCJ1" s="17"/>
      <c r="MCK1" s="17"/>
      <c r="MCQ1" s="17"/>
      <c r="MCR1" s="17"/>
      <c r="MCS1" s="17"/>
      <c r="MCY1" s="17"/>
      <c r="MCZ1" s="17"/>
      <c r="MDA1" s="17"/>
      <c r="MDG1" s="17"/>
      <c r="MDH1" s="17"/>
      <c r="MDI1" s="17"/>
      <c r="MDO1" s="17"/>
      <c r="MDP1" s="17"/>
      <c r="MDQ1" s="17"/>
      <c r="MDW1" s="17"/>
      <c r="MDX1" s="17"/>
      <c r="MDY1" s="17"/>
      <c r="MEE1" s="17"/>
      <c r="MEF1" s="17"/>
      <c r="MEG1" s="17"/>
      <c r="MEM1" s="17"/>
      <c r="MEN1" s="17"/>
      <c r="MEO1" s="17"/>
      <c r="MEU1" s="17"/>
      <c r="MEV1" s="17"/>
      <c r="MEW1" s="17"/>
      <c r="MFC1" s="17"/>
      <c r="MFD1" s="17"/>
      <c r="MFE1" s="17"/>
      <c r="MFK1" s="17"/>
      <c r="MFL1" s="17"/>
      <c r="MFM1" s="17"/>
      <c r="MFS1" s="17"/>
      <c r="MFT1" s="17"/>
      <c r="MFU1" s="17"/>
      <c r="MGA1" s="17"/>
      <c r="MGB1" s="17"/>
      <c r="MGC1" s="17"/>
      <c r="MGI1" s="17"/>
      <c r="MGJ1" s="17"/>
      <c r="MGK1" s="17"/>
      <c r="MGQ1" s="17"/>
      <c r="MGR1" s="17"/>
      <c r="MGS1" s="17"/>
      <c r="MGY1" s="17"/>
      <c r="MGZ1" s="17"/>
      <c r="MHA1" s="17"/>
      <c r="MHG1" s="17"/>
      <c r="MHH1" s="17"/>
      <c r="MHI1" s="17"/>
      <c r="MHO1" s="17"/>
      <c r="MHP1" s="17"/>
      <c r="MHQ1" s="17"/>
      <c r="MHW1" s="17"/>
      <c r="MHX1" s="17"/>
      <c r="MHY1" s="17"/>
      <c r="MIE1" s="17"/>
      <c r="MIF1" s="17"/>
      <c r="MIG1" s="17"/>
      <c r="MIM1" s="17"/>
      <c r="MIN1" s="17"/>
      <c r="MIO1" s="17"/>
      <c r="MIU1" s="17"/>
      <c r="MIV1" s="17"/>
      <c r="MIW1" s="17"/>
      <c r="MJC1" s="17"/>
      <c r="MJD1" s="17"/>
      <c r="MJE1" s="17"/>
      <c r="MJK1" s="17"/>
      <c r="MJL1" s="17"/>
      <c r="MJM1" s="17"/>
      <c r="MJS1" s="17"/>
      <c r="MJT1" s="17"/>
      <c r="MJU1" s="17"/>
      <c r="MKA1" s="17"/>
      <c r="MKB1" s="17"/>
      <c r="MKC1" s="17"/>
      <c r="MKI1" s="17"/>
      <c r="MKJ1" s="17"/>
      <c r="MKK1" s="17"/>
      <c r="MKQ1" s="17"/>
      <c r="MKR1" s="17"/>
      <c r="MKS1" s="17"/>
      <c r="MKY1" s="17"/>
      <c r="MKZ1" s="17"/>
      <c r="MLA1" s="17"/>
      <c r="MLG1" s="17"/>
      <c r="MLH1" s="17"/>
      <c r="MLI1" s="17"/>
      <c r="MLO1" s="17"/>
      <c r="MLP1" s="17"/>
      <c r="MLQ1" s="17"/>
      <c r="MLW1" s="17"/>
      <c r="MLX1" s="17"/>
      <c r="MLY1" s="17"/>
      <c r="MME1" s="17"/>
      <c r="MMF1" s="17"/>
      <c r="MMG1" s="17"/>
      <c r="MMM1" s="17"/>
      <c r="MMN1" s="17"/>
      <c r="MMO1" s="17"/>
      <c r="MMU1" s="17"/>
      <c r="MMV1" s="17"/>
      <c r="MMW1" s="17"/>
      <c r="MNC1" s="17"/>
      <c r="MND1" s="17"/>
      <c r="MNE1" s="17"/>
      <c r="MNK1" s="17"/>
      <c r="MNL1" s="17"/>
      <c r="MNM1" s="17"/>
      <c r="MNS1" s="17"/>
      <c r="MNT1" s="17"/>
      <c r="MNU1" s="17"/>
      <c r="MOA1" s="17"/>
      <c r="MOB1" s="17"/>
      <c r="MOC1" s="17"/>
      <c r="MOI1" s="17"/>
      <c r="MOJ1" s="17"/>
      <c r="MOK1" s="17"/>
      <c r="MOQ1" s="17"/>
      <c r="MOR1" s="17"/>
      <c r="MOS1" s="17"/>
      <c r="MOY1" s="17"/>
      <c r="MOZ1" s="17"/>
      <c r="MPA1" s="17"/>
      <c r="MPG1" s="17"/>
      <c r="MPH1" s="17"/>
      <c r="MPI1" s="17"/>
      <c r="MPO1" s="17"/>
      <c r="MPP1" s="17"/>
      <c r="MPQ1" s="17"/>
      <c r="MPW1" s="17"/>
      <c r="MPX1" s="17"/>
      <c r="MPY1" s="17"/>
      <c r="MQE1" s="17"/>
      <c r="MQF1" s="17"/>
      <c r="MQG1" s="17"/>
      <c r="MQM1" s="17"/>
      <c r="MQN1" s="17"/>
      <c r="MQO1" s="17"/>
      <c r="MQU1" s="17"/>
      <c r="MQV1" s="17"/>
      <c r="MQW1" s="17"/>
      <c r="MRC1" s="17"/>
      <c r="MRD1" s="17"/>
      <c r="MRE1" s="17"/>
      <c r="MRK1" s="17"/>
      <c r="MRL1" s="17"/>
      <c r="MRM1" s="17"/>
      <c r="MRS1" s="17"/>
      <c r="MRT1" s="17"/>
      <c r="MRU1" s="17"/>
      <c r="MSA1" s="17"/>
      <c r="MSB1" s="17"/>
      <c r="MSC1" s="17"/>
      <c r="MSI1" s="17"/>
      <c r="MSJ1" s="17"/>
      <c r="MSK1" s="17"/>
      <c r="MSQ1" s="17"/>
      <c r="MSR1" s="17"/>
      <c r="MSS1" s="17"/>
      <c r="MSY1" s="17"/>
      <c r="MSZ1" s="17"/>
      <c r="MTA1" s="17"/>
      <c r="MTG1" s="17"/>
      <c r="MTH1" s="17"/>
      <c r="MTI1" s="17"/>
      <c r="MTO1" s="17"/>
      <c r="MTP1" s="17"/>
      <c r="MTQ1" s="17"/>
      <c r="MTW1" s="17"/>
      <c r="MTX1" s="17"/>
      <c r="MTY1" s="17"/>
      <c r="MUE1" s="17"/>
      <c r="MUF1" s="17"/>
      <c r="MUG1" s="17"/>
      <c r="MUM1" s="17"/>
      <c r="MUN1" s="17"/>
      <c r="MUO1" s="17"/>
      <c r="MUU1" s="17"/>
      <c r="MUV1" s="17"/>
      <c r="MUW1" s="17"/>
      <c r="MVC1" s="17"/>
      <c r="MVD1" s="17"/>
      <c r="MVE1" s="17"/>
      <c r="MVK1" s="17"/>
      <c r="MVL1" s="17"/>
      <c r="MVM1" s="17"/>
      <c r="MVS1" s="17"/>
      <c r="MVT1" s="17"/>
      <c r="MVU1" s="17"/>
      <c r="MWA1" s="17"/>
      <c r="MWB1" s="17"/>
      <c r="MWC1" s="17"/>
      <c r="MWI1" s="17"/>
      <c r="MWJ1" s="17"/>
      <c r="MWK1" s="17"/>
      <c r="MWQ1" s="17"/>
      <c r="MWR1" s="17"/>
      <c r="MWS1" s="17"/>
      <c r="MWY1" s="17"/>
      <c r="MWZ1" s="17"/>
      <c r="MXA1" s="17"/>
      <c r="MXG1" s="17"/>
      <c r="MXH1" s="17"/>
      <c r="MXI1" s="17"/>
      <c r="MXO1" s="17"/>
      <c r="MXP1" s="17"/>
      <c r="MXQ1" s="17"/>
      <c r="MXW1" s="17"/>
      <c r="MXX1" s="17"/>
      <c r="MXY1" s="17"/>
      <c r="MYE1" s="17"/>
      <c r="MYF1" s="17"/>
      <c r="MYG1" s="17"/>
      <c r="MYM1" s="17"/>
      <c r="MYN1" s="17"/>
      <c r="MYO1" s="17"/>
      <c r="MYU1" s="17"/>
      <c r="MYV1" s="17"/>
      <c r="MYW1" s="17"/>
      <c r="MZC1" s="17"/>
      <c r="MZD1" s="17"/>
      <c r="MZE1" s="17"/>
      <c r="MZK1" s="17"/>
      <c r="MZL1" s="17"/>
      <c r="MZM1" s="17"/>
      <c r="MZS1" s="17"/>
      <c r="MZT1" s="17"/>
      <c r="MZU1" s="17"/>
      <c r="NAA1" s="17"/>
      <c r="NAB1" s="17"/>
      <c r="NAC1" s="17"/>
      <c r="NAI1" s="17"/>
      <c r="NAJ1" s="17"/>
      <c r="NAK1" s="17"/>
      <c r="NAQ1" s="17"/>
      <c r="NAR1" s="17"/>
      <c r="NAS1" s="17"/>
      <c r="NAY1" s="17"/>
      <c r="NAZ1" s="17"/>
      <c r="NBA1" s="17"/>
      <c r="NBG1" s="17"/>
      <c r="NBH1" s="17"/>
      <c r="NBI1" s="17"/>
      <c r="NBO1" s="17"/>
      <c r="NBP1" s="17"/>
      <c r="NBQ1" s="17"/>
      <c r="NBW1" s="17"/>
      <c r="NBX1" s="17"/>
      <c r="NBY1" s="17"/>
      <c r="NCE1" s="17"/>
      <c r="NCF1" s="17"/>
      <c r="NCG1" s="17"/>
      <c r="NCM1" s="17"/>
      <c r="NCN1" s="17"/>
      <c r="NCO1" s="17"/>
      <c r="NCU1" s="17"/>
      <c r="NCV1" s="17"/>
      <c r="NCW1" s="17"/>
      <c r="NDC1" s="17"/>
      <c r="NDD1" s="17"/>
      <c r="NDE1" s="17"/>
      <c r="NDK1" s="17"/>
      <c r="NDL1" s="17"/>
      <c r="NDM1" s="17"/>
      <c r="NDS1" s="17"/>
      <c r="NDT1" s="17"/>
      <c r="NDU1" s="17"/>
      <c r="NEA1" s="17"/>
      <c r="NEB1" s="17"/>
      <c r="NEC1" s="17"/>
      <c r="NEI1" s="17"/>
      <c r="NEJ1" s="17"/>
      <c r="NEK1" s="17"/>
      <c r="NEQ1" s="17"/>
      <c r="NER1" s="17"/>
      <c r="NES1" s="17"/>
      <c r="NEY1" s="17"/>
      <c r="NEZ1" s="17"/>
      <c r="NFA1" s="17"/>
      <c r="NFG1" s="17"/>
      <c r="NFH1" s="17"/>
      <c r="NFI1" s="17"/>
      <c r="NFO1" s="17"/>
      <c r="NFP1" s="17"/>
      <c r="NFQ1" s="17"/>
      <c r="NFW1" s="17"/>
      <c r="NFX1" s="17"/>
      <c r="NFY1" s="17"/>
      <c r="NGE1" s="17"/>
      <c r="NGF1" s="17"/>
      <c r="NGG1" s="17"/>
      <c r="NGM1" s="17"/>
      <c r="NGN1" s="17"/>
      <c r="NGO1" s="17"/>
      <c r="NGU1" s="17"/>
      <c r="NGV1" s="17"/>
      <c r="NGW1" s="17"/>
      <c r="NHC1" s="17"/>
      <c r="NHD1" s="17"/>
      <c r="NHE1" s="17"/>
      <c r="NHK1" s="17"/>
      <c r="NHL1" s="17"/>
      <c r="NHM1" s="17"/>
      <c r="NHS1" s="17"/>
      <c r="NHT1" s="17"/>
      <c r="NHU1" s="17"/>
      <c r="NIA1" s="17"/>
      <c r="NIB1" s="17"/>
      <c r="NIC1" s="17"/>
      <c r="NII1" s="17"/>
      <c r="NIJ1" s="17"/>
      <c r="NIK1" s="17"/>
      <c r="NIQ1" s="17"/>
      <c r="NIR1" s="17"/>
      <c r="NIS1" s="17"/>
      <c r="NIY1" s="17"/>
      <c r="NIZ1" s="17"/>
      <c r="NJA1" s="17"/>
      <c r="NJG1" s="17"/>
      <c r="NJH1" s="17"/>
      <c r="NJI1" s="17"/>
      <c r="NJO1" s="17"/>
      <c r="NJP1" s="17"/>
      <c r="NJQ1" s="17"/>
      <c r="NJW1" s="17"/>
      <c r="NJX1" s="17"/>
      <c r="NJY1" s="17"/>
      <c r="NKE1" s="17"/>
      <c r="NKF1" s="17"/>
      <c r="NKG1" s="17"/>
      <c r="NKM1" s="17"/>
      <c r="NKN1" s="17"/>
      <c r="NKO1" s="17"/>
      <c r="NKU1" s="17"/>
      <c r="NKV1" s="17"/>
      <c r="NKW1" s="17"/>
      <c r="NLC1" s="17"/>
      <c r="NLD1" s="17"/>
      <c r="NLE1" s="17"/>
      <c r="NLK1" s="17"/>
      <c r="NLL1" s="17"/>
      <c r="NLM1" s="17"/>
      <c r="NLS1" s="17"/>
      <c r="NLT1" s="17"/>
      <c r="NLU1" s="17"/>
      <c r="NMA1" s="17"/>
      <c r="NMB1" s="17"/>
      <c r="NMC1" s="17"/>
      <c r="NMI1" s="17"/>
      <c r="NMJ1" s="17"/>
      <c r="NMK1" s="17"/>
      <c r="NMQ1" s="17"/>
      <c r="NMR1" s="17"/>
      <c r="NMS1" s="17"/>
      <c r="NMY1" s="17"/>
      <c r="NMZ1" s="17"/>
      <c r="NNA1" s="17"/>
      <c r="NNG1" s="17"/>
      <c r="NNH1" s="17"/>
      <c r="NNI1" s="17"/>
      <c r="NNO1" s="17"/>
      <c r="NNP1" s="17"/>
      <c r="NNQ1" s="17"/>
      <c r="NNW1" s="17"/>
      <c r="NNX1" s="17"/>
      <c r="NNY1" s="17"/>
      <c r="NOE1" s="17"/>
      <c r="NOF1" s="17"/>
      <c r="NOG1" s="17"/>
      <c r="NOM1" s="17"/>
      <c r="NON1" s="17"/>
      <c r="NOO1" s="17"/>
      <c r="NOU1" s="17"/>
      <c r="NOV1" s="17"/>
      <c r="NOW1" s="17"/>
      <c r="NPC1" s="17"/>
      <c r="NPD1" s="17"/>
      <c r="NPE1" s="17"/>
      <c r="NPK1" s="17"/>
      <c r="NPL1" s="17"/>
      <c r="NPM1" s="17"/>
      <c r="NPS1" s="17"/>
      <c r="NPT1" s="17"/>
      <c r="NPU1" s="17"/>
      <c r="NQA1" s="17"/>
      <c r="NQB1" s="17"/>
      <c r="NQC1" s="17"/>
      <c r="NQI1" s="17"/>
      <c r="NQJ1" s="17"/>
      <c r="NQK1" s="17"/>
      <c r="NQQ1" s="17"/>
      <c r="NQR1" s="17"/>
      <c r="NQS1" s="17"/>
      <c r="NQY1" s="17"/>
      <c r="NQZ1" s="17"/>
      <c r="NRA1" s="17"/>
      <c r="NRG1" s="17"/>
      <c r="NRH1" s="17"/>
      <c r="NRI1" s="17"/>
      <c r="NRO1" s="17"/>
      <c r="NRP1" s="17"/>
      <c r="NRQ1" s="17"/>
      <c r="NRW1" s="17"/>
      <c r="NRX1" s="17"/>
      <c r="NRY1" s="17"/>
      <c r="NSE1" s="17"/>
      <c r="NSF1" s="17"/>
      <c r="NSG1" s="17"/>
      <c r="NSM1" s="17"/>
      <c r="NSN1" s="17"/>
      <c r="NSO1" s="17"/>
      <c r="NSU1" s="17"/>
      <c r="NSV1" s="17"/>
      <c r="NSW1" s="17"/>
      <c r="NTC1" s="17"/>
      <c r="NTD1" s="17"/>
      <c r="NTE1" s="17"/>
      <c r="NTK1" s="17"/>
      <c r="NTL1" s="17"/>
      <c r="NTM1" s="17"/>
      <c r="NTS1" s="17"/>
      <c r="NTT1" s="17"/>
      <c r="NTU1" s="17"/>
      <c r="NUA1" s="17"/>
      <c r="NUB1" s="17"/>
      <c r="NUC1" s="17"/>
      <c r="NUI1" s="17"/>
      <c r="NUJ1" s="17"/>
      <c r="NUK1" s="17"/>
      <c r="NUQ1" s="17"/>
      <c r="NUR1" s="17"/>
      <c r="NUS1" s="17"/>
      <c r="NUY1" s="17"/>
      <c r="NUZ1" s="17"/>
      <c r="NVA1" s="17"/>
      <c r="NVG1" s="17"/>
      <c r="NVH1" s="17"/>
      <c r="NVI1" s="17"/>
      <c r="NVO1" s="17"/>
      <c r="NVP1" s="17"/>
      <c r="NVQ1" s="17"/>
      <c r="NVW1" s="17"/>
      <c r="NVX1" s="17"/>
      <c r="NVY1" s="17"/>
      <c r="NWE1" s="17"/>
      <c r="NWF1" s="17"/>
      <c r="NWG1" s="17"/>
      <c r="NWM1" s="17"/>
      <c r="NWN1" s="17"/>
      <c r="NWO1" s="17"/>
      <c r="NWU1" s="17"/>
      <c r="NWV1" s="17"/>
      <c r="NWW1" s="17"/>
      <c r="NXC1" s="17"/>
      <c r="NXD1" s="17"/>
      <c r="NXE1" s="17"/>
      <c r="NXK1" s="17"/>
      <c r="NXL1" s="17"/>
      <c r="NXM1" s="17"/>
      <c r="NXS1" s="17"/>
      <c r="NXT1" s="17"/>
      <c r="NXU1" s="17"/>
      <c r="NYA1" s="17"/>
      <c r="NYB1" s="17"/>
      <c r="NYC1" s="17"/>
      <c r="NYI1" s="17"/>
      <c r="NYJ1" s="17"/>
      <c r="NYK1" s="17"/>
      <c r="NYQ1" s="17"/>
      <c r="NYR1" s="17"/>
      <c r="NYS1" s="17"/>
      <c r="NYY1" s="17"/>
      <c r="NYZ1" s="17"/>
      <c r="NZA1" s="17"/>
      <c r="NZG1" s="17"/>
      <c r="NZH1" s="17"/>
      <c r="NZI1" s="17"/>
      <c r="NZO1" s="17"/>
      <c r="NZP1" s="17"/>
      <c r="NZQ1" s="17"/>
      <c r="NZW1" s="17"/>
      <c r="NZX1" s="17"/>
      <c r="NZY1" s="17"/>
      <c r="OAE1" s="17"/>
      <c r="OAF1" s="17"/>
      <c r="OAG1" s="17"/>
      <c r="OAM1" s="17"/>
      <c r="OAN1" s="17"/>
      <c r="OAO1" s="17"/>
      <c r="OAU1" s="17"/>
      <c r="OAV1" s="17"/>
      <c r="OAW1" s="17"/>
      <c r="OBC1" s="17"/>
      <c r="OBD1" s="17"/>
      <c r="OBE1" s="17"/>
      <c r="OBK1" s="17"/>
      <c r="OBL1" s="17"/>
      <c r="OBM1" s="17"/>
      <c r="OBS1" s="17"/>
      <c r="OBT1" s="17"/>
      <c r="OBU1" s="17"/>
      <c r="OCA1" s="17"/>
      <c r="OCB1" s="17"/>
      <c r="OCC1" s="17"/>
      <c r="OCI1" s="17"/>
      <c r="OCJ1" s="17"/>
      <c r="OCK1" s="17"/>
      <c r="OCQ1" s="17"/>
      <c r="OCR1" s="17"/>
      <c r="OCS1" s="17"/>
      <c r="OCY1" s="17"/>
      <c r="OCZ1" s="17"/>
      <c r="ODA1" s="17"/>
      <c r="ODG1" s="17"/>
      <c r="ODH1" s="17"/>
      <c r="ODI1" s="17"/>
      <c r="ODO1" s="17"/>
      <c r="ODP1" s="17"/>
      <c r="ODQ1" s="17"/>
      <c r="ODW1" s="17"/>
      <c r="ODX1" s="17"/>
      <c r="ODY1" s="17"/>
      <c r="OEE1" s="17"/>
      <c r="OEF1" s="17"/>
      <c r="OEG1" s="17"/>
      <c r="OEM1" s="17"/>
      <c r="OEN1" s="17"/>
      <c r="OEO1" s="17"/>
      <c r="OEU1" s="17"/>
      <c r="OEV1" s="17"/>
      <c r="OEW1" s="17"/>
      <c r="OFC1" s="17"/>
      <c r="OFD1" s="17"/>
      <c r="OFE1" s="17"/>
      <c r="OFK1" s="17"/>
      <c r="OFL1" s="17"/>
      <c r="OFM1" s="17"/>
      <c r="OFS1" s="17"/>
      <c r="OFT1" s="17"/>
      <c r="OFU1" s="17"/>
      <c r="OGA1" s="17"/>
      <c r="OGB1" s="17"/>
      <c r="OGC1" s="17"/>
      <c r="OGI1" s="17"/>
      <c r="OGJ1" s="17"/>
      <c r="OGK1" s="17"/>
      <c r="OGQ1" s="17"/>
      <c r="OGR1" s="17"/>
      <c r="OGS1" s="17"/>
      <c r="OGY1" s="17"/>
      <c r="OGZ1" s="17"/>
      <c r="OHA1" s="17"/>
      <c r="OHG1" s="17"/>
      <c r="OHH1" s="17"/>
      <c r="OHI1" s="17"/>
      <c r="OHO1" s="17"/>
      <c r="OHP1" s="17"/>
      <c r="OHQ1" s="17"/>
      <c r="OHW1" s="17"/>
      <c r="OHX1" s="17"/>
      <c r="OHY1" s="17"/>
      <c r="OIE1" s="17"/>
      <c r="OIF1" s="17"/>
      <c r="OIG1" s="17"/>
      <c r="OIM1" s="17"/>
      <c r="OIN1" s="17"/>
      <c r="OIO1" s="17"/>
      <c r="OIU1" s="17"/>
      <c r="OIV1" s="17"/>
      <c r="OIW1" s="17"/>
      <c r="OJC1" s="17"/>
      <c r="OJD1" s="17"/>
      <c r="OJE1" s="17"/>
      <c r="OJK1" s="17"/>
      <c r="OJL1" s="17"/>
      <c r="OJM1" s="17"/>
      <c r="OJS1" s="17"/>
      <c r="OJT1" s="17"/>
      <c r="OJU1" s="17"/>
      <c r="OKA1" s="17"/>
      <c r="OKB1" s="17"/>
      <c r="OKC1" s="17"/>
      <c r="OKI1" s="17"/>
      <c r="OKJ1" s="17"/>
      <c r="OKK1" s="17"/>
      <c r="OKQ1" s="17"/>
      <c r="OKR1" s="17"/>
      <c r="OKS1" s="17"/>
      <c r="OKY1" s="17"/>
      <c r="OKZ1" s="17"/>
      <c r="OLA1" s="17"/>
      <c r="OLG1" s="17"/>
      <c r="OLH1" s="17"/>
      <c r="OLI1" s="17"/>
      <c r="OLO1" s="17"/>
      <c r="OLP1" s="17"/>
      <c r="OLQ1" s="17"/>
      <c r="OLW1" s="17"/>
      <c r="OLX1" s="17"/>
      <c r="OLY1" s="17"/>
      <c r="OME1" s="17"/>
      <c r="OMF1" s="17"/>
      <c r="OMG1" s="17"/>
      <c r="OMM1" s="17"/>
      <c r="OMN1" s="17"/>
      <c r="OMO1" s="17"/>
      <c r="OMU1" s="17"/>
      <c r="OMV1" s="17"/>
      <c r="OMW1" s="17"/>
      <c r="ONC1" s="17"/>
      <c r="OND1" s="17"/>
      <c r="ONE1" s="17"/>
      <c r="ONK1" s="17"/>
      <c r="ONL1" s="17"/>
      <c r="ONM1" s="17"/>
      <c r="ONS1" s="17"/>
      <c r="ONT1" s="17"/>
      <c r="ONU1" s="17"/>
      <c r="OOA1" s="17"/>
      <c r="OOB1" s="17"/>
      <c r="OOC1" s="17"/>
      <c r="OOI1" s="17"/>
      <c r="OOJ1" s="17"/>
      <c r="OOK1" s="17"/>
      <c r="OOQ1" s="17"/>
      <c r="OOR1" s="17"/>
      <c r="OOS1" s="17"/>
      <c r="OOY1" s="17"/>
      <c r="OOZ1" s="17"/>
      <c r="OPA1" s="17"/>
      <c r="OPG1" s="17"/>
      <c r="OPH1" s="17"/>
      <c r="OPI1" s="17"/>
      <c r="OPO1" s="17"/>
      <c r="OPP1" s="17"/>
      <c r="OPQ1" s="17"/>
      <c r="OPW1" s="17"/>
      <c r="OPX1" s="17"/>
      <c r="OPY1" s="17"/>
      <c r="OQE1" s="17"/>
      <c r="OQF1" s="17"/>
      <c r="OQG1" s="17"/>
      <c r="OQM1" s="17"/>
      <c r="OQN1" s="17"/>
      <c r="OQO1" s="17"/>
      <c r="OQU1" s="17"/>
      <c r="OQV1" s="17"/>
      <c r="OQW1" s="17"/>
      <c r="ORC1" s="17"/>
      <c r="ORD1" s="17"/>
      <c r="ORE1" s="17"/>
      <c r="ORK1" s="17"/>
      <c r="ORL1" s="17"/>
      <c r="ORM1" s="17"/>
      <c r="ORS1" s="17"/>
      <c r="ORT1" s="17"/>
      <c r="ORU1" s="17"/>
      <c r="OSA1" s="17"/>
      <c r="OSB1" s="17"/>
      <c r="OSC1" s="17"/>
      <c r="OSI1" s="17"/>
      <c r="OSJ1" s="17"/>
      <c r="OSK1" s="17"/>
      <c r="OSQ1" s="17"/>
      <c r="OSR1" s="17"/>
      <c r="OSS1" s="17"/>
      <c r="OSY1" s="17"/>
      <c r="OSZ1" s="17"/>
      <c r="OTA1" s="17"/>
      <c r="OTG1" s="17"/>
      <c r="OTH1" s="17"/>
      <c r="OTI1" s="17"/>
      <c r="OTO1" s="17"/>
      <c r="OTP1" s="17"/>
      <c r="OTQ1" s="17"/>
      <c r="OTW1" s="17"/>
      <c r="OTX1" s="17"/>
      <c r="OTY1" s="17"/>
      <c r="OUE1" s="17"/>
      <c r="OUF1" s="17"/>
      <c r="OUG1" s="17"/>
      <c r="OUM1" s="17"/>
      <c r="OUN1" s="17"/>
      <c r="OUO1" s="17"/>
      <c r="OUU1" s="17"/>
      <c r="OUV1" s="17"/>
      <c r="OUW1" s="17"/>
      <c r="OVC1" s="17"/>
      <c r="OVD1" s="17"/>
      <c r="OVE1" s="17"/>
      <c r="OVK1" s="17"/>
      <c r="OVL1" s="17"/>
      <c r="OVM1" s="17"/>
      <c r="OVS1" s="17"/>
      <c r="OVT1" s="17"/>
      <c r="OVU1" s="17"/>
      <c r="OWA1" s="17"/>
      <c r="OWB1" s="17"/>
      <c r="OWC1" s="17"/>
      <c r="OWI1" s="17"/>
      <c r="OWJ1" s="17"/>
      <c r="OWK1" s="17"/>
      <c r="OWQ1" s="17"/>
      <c r="OWR1" s="17"/>
      <c r="OWS1" s="17"/>
      <c r="OWY1" s="17"/>
      <c r="OWZ1" s="17"/>
      <c r="OXA1" s="17"/>
      <c r="OXG1" s="17"/>
      <c r="OXH1" s="17"/>
      <c r="OXI1" s="17"/>
      <c r="OXO1" s="17"/>
      <c r="OXP1" s="17"/>
      <c r="OXQ1" s="17"/>
      <c r="OXW1" s="17"/>
      <c r="OXX1" s="17"/>
      <c r="OXY1" s="17"/>
      <c r="OYE1" s="17"/>
      <c r="OYF1" s="17"/>
      <c r="OYG1" s="17"/>
      <c r="OYM1" s="17"/>
      <c r="OYN1" s="17"/>
      <c r="OYO1" s="17"/>
      <c r="OYU1" s="17"/>
      <c r="OYV1" s="17"/>
      <c r="OYW1" s="17"/>
      <c r="OZC1" s="17"/>
      <c r="OZD1" s="17"/>
      <c r="OZE1" s="17"/>
      <c r="OZK1" s="17"/>
      <c r="OZL1" s="17"/>
      <c r="OZM1" s="17"/>
      <c r="OZS1" s="17"/>
      <c r="OZT1" s="17"/>
      <c r="OZU1" s="17"/>
      <c r="PAA1" s="17"/>
      <c r="PAB1" s="17"/>
      <c r="PAC1" s="17"/>
      <c r="PAI1" s="17"/>
      <c r="PAJ1" s="17"/>
      <c r="PAK1" s="17"/>
      <c r="PAQ1" s="17"/>
      <c r="PAR1" s="17"/>
      <c r="PAS1" s="17"/>
      <c r="PAY1" s="17"/>
      <c r="PAZ1" s="17"/>
      <c r="PBA1" s="17"/>
      <c r="PBG1" s="17"/>
      <c r="PBH1" s="17"/>
      <c r="PBI1" s="17"/>
      <c r="PBO1" s="17"/>
      <c r="PBP1" s="17"/>
      <c r="PBQ1" s="17"/>
      <c r="PBW1" s="17"/>
      <c r="PBX1" s="17"/>
      <c r="PBY1" s="17"/>
      <c r="PCE1" s="17"/>
      <c r="PCF1" s="17"/>
      <c r="PCG1" s="17"/>
      <c r="PCM1" s="17"/>
      <c r="PCN1" s="17"/>
      <c r="PCO1" s="17"/>
      <c r="PCU1" s="17"/>
      <c r="PCV1" s="17"/>
      <c r="PCW1" s="17"/>
      <c r="PDC1" s="17"/>
      <c r="PDD1" s="17"/>
      <c r="PDE1" s="17"/>
      <c r="PDK1" s="17"/>
      <c r="PDL1" s="17"/>
      <c r="PDM1" s="17"/>
      <c r="PDS1" s="17"/>
      <c r="PDT1" s="17"/>
      <c r="PDU1" s="17"/>
      <c r="PEA1" s="17"/>
      <c r="PEB1" s="17"/>
      <c r="PEC1" s="17"/>
      <c r="PEI1" s="17"/>
      <c r="PEJ1" s="17"/>
      <c r="PEK1" s="17"/>
      <c r="PEQ1" s="17"/>
      <c r="PER1" s="17"/>
      <c r="PES1" s="17"/>
      <c r="PEY1" s="17"/>
      <c r="PEZ1" s="17"/>
      <c r="PFA1" s="17"/>
      <c r="PFG1" s="17"/>
      <c r="PFH1" s="17"/>
      <c r="PFI1" s="17"/>
      <c r="PFO1" s="17"/>
      <c r="PFP1" s="17"/>
      <c r="PFQ1" s="17"/>
      <c r="PFW1" s="17"/>
      <c r="PFX1" s="17"/>
      <c r="PFY1" s="17"/>
      <c r="PGE1" s="17"/>
      <c r="PGF1" s="17"/>
      <c r="PGG1" s="17"/>
      <c r="PGM1" s="17"/>
      <c r="PGN1" s="17"/>
      <c r="PGO1" s="17"/>
      <c r="PGU1" s="17"/>
      <c r="PGV1" s="17"/>
      <c r="PGW1" s="17"/>
      <c r="PHC1" s="17"/>
      <c r="PHD1" s="17"/>
      <c r="PHE1" s="17"/>
      <c r="PHK1" s="17"/>
      <c r="PHL1" s="17"/>
      <c r="PHM1" s="17"/>
      <c r="PHS1" s="17"/>
      <c r="PHT1" s="17"/>
      <c r="PHU1" s="17"/>
      <c r="PIA1" s="17"/>
      <c r="PIB1" s="17"/>
      <c r="PIC1" s="17"/>
      <c r="PII1" s="17"/>
      <c r="PIJ1" s="17"/>
      <c r="PIK1" s="17"/>
      <c r="PIQ1" s="17"/>
      <c r="PIR1" s="17"/>
      <c r="PIS1" s="17"/>
      <c r="PIY1" s="17"/>
      <c r="PIZ1" s="17"/>
      <c r="PJA1" s="17"/>
      <c r="PJG1" s="17"/>
      <c r="PJH1" s="17"/>
      <c r="PJI1" s="17"/>
      <c r="PJO1" s="17"/>
      <c r="PJP1" s="17"/>
      <c r="PJQ1" s="17"/>
      <c r="PJW1" s="17"/>
      <c r="PJX1" s="17"/>
      <c r="PJY1" s="17"/>
      <c r="PKE1" s="17"/>
      <c r="PKF1" s="17"/>
      <c r="PKG1" s="17"/>
      <c r="PKM1" s="17"/>
      <c r="PKN1" s="17"/>
      <c r="PKO1" s="17"/>
      <c r="PKU1" s="17"/>
      <c r="PKV1" s="17"/>
      <c r="PKW1" s="17"/>
      <c r="PLC1" s="17"/>
      <c r="PLD1" s="17"/>
      <c r="PLE1" s="17"/>
      <c r="PLK1" s="17"/>
      <c r="PLL1" s="17"/>
      <c r="PLM1" s="17"/>
      <c r="PLS1" s="17"/>
      <c r="PLT1" s="17"/>
      <c r="PLU1" s="17"/>
      <c r="PMA1" s="17"/>
      <c r="PMB1" s="17"/>
      <c r="PMC1" s="17"/>
      <c r="PMI1" s="17"/>
      <c r="PMJ1" s="17"/>
      <c r="PMK1" s="17"/>
      <c r="PMQ1" s="17"/>
      <c r="PMR1" s="17"/>
      <c r="PMS1" s="17"/>
      <c r="PMY1" s="17"/>
      <c r="PMZ1" s="17"/>
      <c r="PNA1" s="17"/>
      <c r="PNG1" s="17"/>
      <c r="PNH1" s="17"/>
      <c r="PNI1" s="17"/>
      <c r="PNO1" s="17"/>
      <c r="PNP1" s="17"/>
      <c r="PNQ1" s="17"/>
      <c r="PNW1" s="17"/>
      <c r="PNX1" s="17"/>
      <c r="PNY1" s="17"/>
      <c r="POE1" s="17"/>
      <c r="POF1" s="17"/>
      <c r="POG1" s="17"/>
      <c r="POM1" s="17"/>
      <c r="PON1" s="17"/>
      <c r="POO1" s="17"/>
      <c r="POU1" s="17"/>
      <c r="POV1" s="17"/>
      <c r="POW1" s="17"/>
      <c r="PPC1" s="17"/>
      <c r="PPD1" s="17"/>
      <c r="PPE1" s="17"/>
      <c r="PPK1" s="17"/>
      <c r="PPL1" s="17"/>
      <c r="PPM1" s="17"/>
      <c r="PPS1" s="17"/>
      <c r="PPT1" s="17"/>
      <c r="PPU1" s="17"/>
      <c r="PQA1" s="17"/>
      <c r="PQB1" s="17"/>
      <c r="PQC1" s="17"/>
      <c r="PQI1" s="17"/>
      <c r="PQJ1" s="17"/>
      <c r="PQK1" s="17"/>
      <c r="PQQ1" s="17"/>
      <c r="PQR1" s="17"/>
      <c r="PQS1" s="17"/>
      <c r="PQY1" s="17"/>
      <c r="PQZ1" s="17"/>
      <c r="PRA1" s="17"/>
      <c r="PRG1" s="17"/>
      <c r="PRH1" s="17"/>
      <c r="PRI1" s="17"/>
      <c r="PRO1" s="17"/>
      <c r="PRP1" s="17"/>
      <c r="PRQ1" s="17"/>
      <c r="PRW1" s="17"/>
      <c r="PRX1" s="17"/>
      <c r="PRY1" s="17"/>
      <c r="PSE1" s="17"/>
      <c r="PSF1" s="17"/>
      <c r="PSG1" s="17"/>
      <c r="PSM1" s="17"/>
      <c r="PSN1" s="17"/>
      <c r="PSO1" s="17"/>
      <c r="PSU1" s="17"/>
      <c r="PSV1" s="17"/>
      <c r="PSW1" s="17"/>
      <c r="PTC1" s="17"/>
      <c r="PTD1" s="17"/>
      <c r="PTE1" s="17"/>
      <c r="PTK1" s="17"/>
      <c r="PTL1" s="17"/>
      <c r="PTM1" s="17"/>
      <c r="PTS1" s="17"/>
      <c r="PTT1" s="17"/>
      <c r="PTU1" s="17"/>
      <c r="PUA1" s="17"/>
      <c r="PUB1" s="17"/>
      <c r="PUC1" s="17"/>
      <c r="PUI1" s="17"/>
      <c r="PUJ1" s="17"/>
      <c r="PUK1" s="17"/>
      <c r="PUQ1" s="17"/>
      <c r="PUR1" s="17"/>
      <c r="PUS1" s="17"/>
      <c r="PUY1" s="17"/>
      <c r="PUZ1" s="17"/>
      <c r="PVA1" s="17"/>
      <c r="PVG1" s="17"/>
      <c r="PVH1" s="17"/>
      <c r="PVI1" s="17"/>
      <c r="PVO1" s="17"/>
      <c r="PVP1" s="17"/>
      <c r="PVQ1" s="17"/>
      <c r="PVW1" s="17"/>
      <c r="PVX1" s="17"/>
      <c r="PVY1" s="17"/>
      <c r="PWE1" s="17"/>
      <c r="PWF1" s="17"/>
      <c r="PWG1" s="17"/>
      <c r="PWM1" s="17"/>
      <c r="PWN1" s="17"/>
      <c r="PWO1" s="17"/>
      <c r="PWU1" s="17"/>
      <c r="PWV1" s="17"/>
      <c r="PWW1" s="17"/>
      <c r="PXC1" s="17"/>
      <c r="PXD1" s="17"/>
      <c r="PXE1" s="17"/>
      <c r="PXK1" s="17"/>
      <c r="PXL1" s="17"/>
      <c r="PXM1" s="17"/>
      <c r="PXS1" s="17"/>
      <c r="PXT1" s="17"/>
      <c r="PXU1" s="17"/>
      <c r="PYA1" s="17"/>
      <c r="PYB1" s="17"/>
      <c r="PYC1" s="17"/>
      <c r="PYI1" s="17"/>
      <c r="PYJ1" s="17"/>
      <c r="PYK1" s="17"/>
      <c r="PYQ1" s="17"/>
      <c r="PYR1" s="17"/>
      <c r="PYS1" s="17"/>
      <c r="PYY1" s="17"/>
      <c r="PYZ1" s="17"/>
      <c r="PZA1" s="17"/>
      <c r="PZG1" s="17"/>
      <c r="PZH1" s="17"/>
      <c r="PZI1" s="17"/>
      <c r="PZO1" s="17"/>
      <c r="PZP1" s="17"/>
      <c r="PZQ1" s="17"/>
      <c r="PZW1" s="17"/>
      <c r="PZX1" s="17"/>
      <c r="PZY1" s="17"/>
      <c r="QAE1" s="17"/>
      <c r="QAF1" s="17"/>
      <c r="QAG1" s="17"/>
      <c r="QAM1" s="17"/>
      <c r="QAN1" s="17"/>
      <c r="QAO1" s="17"/>
      <c r="QAU1" s="17"/>
      <c r="QAV1" s="17"/>
      <c r="QAW1" s="17"/>
      <c r="QBC1" s="17"/>
      <c r="QBD1" s="17"/>
      <c r="QBE1" s="17"/>
      <c r="QBK1" s="17"/>
      <c r="QBL1" s="17"/>
      <c r="QBM1" s="17"/>
      <c r="QBS1" s="17"/>
      <c r="QBT1" s="17"/>
      <c r="QBU1" s="17"/>
      <c r="QCA1" s="17"/>
      <c r="QCB1" s="17"/>
      <c r="QCC1" s="17"/>
      <c r="QCI1" s="17"/>
      <c r="QCJ1" s="17"/>
      <c r="QCK1" s="17"/>
      <c r="QCQ1" s="17"/>
      <c r="QCR1" s="17"/>
      <c r="QCS1" s="17"/>
      <c r="QCY1" s="17"/>
      <c r="QCZ1" s="17"/>
      <c r="QDA1" s="17"/>
      <c r="QDG1" s="17"/>
      <c r="QDH1" s="17"/>
      <c r="QDI1" s="17"/>
      <c r="QDO1" s="17"/>
      <c r="QDP1" s="17"/>
      <c r="QDQ1" s="17"/>
      <c r="QDW1" s="17"/>
      <c r="QDX1" s="17"/>
      <c r="QDY1" s="17"/>
      <c r="QEE1" s="17"/>
      <c r="QEF1" s="17"/>
      <c r="QEG1" s="17"/>
      <c r="QEM1" s="17"/>
      <c r="QEN1" s="17"/>
      <c r="QEO1" s="17"/>
      <c r="QEU1" s="17"/>
      <c r="QEV1" s="17"/>
      <c r="QEW1" s="17"/>
      <c r="QFC1" s="17"/>
      <c r="QFD1" s="17"/>
      <c r="QFE1" s="17"/>
      <c r="QFK1" s="17"/>
      <c r="QFL1" s="17"/>
      <c r="QFM1" s="17"/>
      <c r="QFS1" s="17"/>
      <c r="QFT1" s="17"/>
      <c r="QFU1" s="17"/>
      <c r="QGA1" s="17"/>
      <c r="QGB1" s="17"/>
      <c r="QGC1" s="17"/>
      <c r="QGI1" s="17"/>
      <c r="QGJ1" s="17"/>
      <c r="QGK1" s="17"/>
      <c r="QGQ1" s="17"/>
      <c r="QGR1" s="17"/>
      <c r="QGS1" s="17"/>
      <c r="QGY1" s="17"/>
      <c r="QGZ1" s="17"/>
      <c r="QHA1" s="17"/>
      <c r="QHG1" s="17"/>
      <c r="QHH1" s="17"/>
      <c r="QHI1" s="17"/>
      <c r="QHO1" s="17"/>
      <c r="QHP1" s="17"/>
      <c r="QHQ1" s="17"/>
      <c r="QHW1" s="17"/>
      <c r="QHX1" s="17"/>
      <c r="QHY1" s="17"/>
      <c r="QIE1" s="17"/>
      <c r="QIF1" s="17"/>
      <c r="QIG1" s="17"/>
      <c r="QIM1" s="17"/>
      <c r="QIN1" s="17"/>
      <c r="QIO1" s="17"/>
      <c r="QIU1" s="17"/>
      <c r="QIV1" s="17"/>
      <c r="QIW1" s="17"/>
      <c r="QJC1" s="17"/>
      <c r="QJD1" s="17"/>
      <c r="QJE1" s="17"/>
      <c r="QJK1" s="17"/>
      <c r="QJL1" s="17"/>
      <c r="QJM1" s="17"/>
      <c r="QJS1" s="17"/>
      <c r="QJT1" s="17"/>
      <c r="QJU1" s="17"/>
      <c r="QKA1" s="17"/>
      <c r="QKB1" s="17"/>
      <c r="QKC1" s="17"/>
      <c r="QKI1" s="17"/>
      <c r="QKJ1" s="17"/>
      <c r="QKK1" s="17"/>
      <c r="QKQ1" s="17"/>
      <c r="QKR1" s="17"/>
      <c r="QKS1" s="17"/>
      <c r="QKY1" s="17"/>
      <c r="QKZ1" s="17"/>
      <c r="QLA1" s="17"/>
      <c r="QLG1" s="17"/>
      <c r="QLH1" s="17"/>
      <c r="QLI1" s="17"/>
      <c r="QLO1" s="17"/>
      <c r="QLP1" s="17"/>
      <c r="QLQ1" s="17"/>
      <c r="QLW1" s="17"/>
      <c r="QLX1" s="17"/>
      <c r="QLY1" s="17"/>
      <c r="QME1" s="17"/>
      <c r="QMF1" s="17"/>
      <c r="QMG1" s="17"/>
      <c r="QMM1" s="17"/>
      <c r="QMN1" s="17"/>
      <c r="QMO1" s="17"/>
      <c r="QMU1" s="17"/>
      <c r="QMV1" s="17"/>
      <c r="QMW1" s="17"/>
      <c r="QNC1" s="17"/>
      <c r="QND1" s="17"/>
      <c r="QNE1" s="17"/>
      <c r="QNK1" s="17"/>
      <c r="QNL1" s="17"/>
      <c r="QNM1" s="17"/>
      <c r="QNS1" s="17"/>
      <c r="QNT1" s="17"/>
      <c r="QNU1" s="17"/>
      <c r="QOA1" s="17"/>
      <c r="QOB1" s="17"/>
      <c r="QOC1" s="17"/>
      <c r="QOI1" s="17"/>
      <c r="QOJ1" s="17"/>
      <c r="QOK1" s="17"/>
      <c r="QOQ1" s="17"/>
      <c r="QOR1" s="17"/>
      <c r="QOS1" s="17"/>
      <c r="QOY1" s="17"/>
      <c r="QOZ1" s="17"/>
      <c r="QPA1" s="17"/>
      <c r="QPG1" s="17"/>
      <c r="QPH1" s="17"/>
      <c r="QPI1" s="17"/>
      <c r="QPO1" s="17"/>
      <c r="QPP1" s="17"/>
      <c r="QPQ1" s="17"/>
      <c r="QPW1" s="17"/>
      <c r="QPX1" s="17"/>
      <c r="QPY1" s="17"/>
      <c r="QQE1" s="17"/>
      <c r="QQF1" s="17"/>
      <c r="QQG1" s="17"/>
      <c r="QQM1" s="17"/>
      <c r="QQN1" s="17"/>
      <c r="QQO1" s="17"/>
      <c r="QQU1" s="17"/>
      <c r="QQV1" s="17"/>
      <c r="QQW1" s="17"/>
      <c r="QRC1" s="17"/>
      <c r="QRD1" s="17"/>
      <c r="QRE1" s="17"/>
      <c r="QRK1" s="17"/>
      <c r="QRL1" s="17"/>
      <c r="QRM1" s="17"/>
      <c r="QRS1" s="17"/>
      <c r="QRT1" s="17"/>
      <c r="QRU1" s="17"/>
      <c r="QSA1" s="17"/>
      <c r="QSB1" s="17"/>
      <c r="QSC1" s="17"/>
      <c r="QSI1" s="17"/>
      <c r="QSJ1" s="17"/>
      <c r="QSK1" s="17"/>
      <c r="QSQ1" s="17"/>
      <c r="QSR1" s="17"/>
      <c r="QSS1" s="17"/>
      <c r="QSY1" s="17"/>
      <c r="QSZ1" s="17"/>
      <c r="QTA1" s="17"/>
      <c r="QTG1" s="17"/>
      <c r="QTH1" s="17"/>
      <c r="QTI1" s="17"/>
      <c r="QTO1" s="17"/>
      <c r="QTP1" s="17"/>
      <c r="QTQ1" s="17"/>
      <c r="QTW1" s="17"/>
      <c r="QTX1" s="17"/>
      <c r="QTY1" s="17"/>
      <c r="QUE1" s="17"/>
      <c r="QUF1" s="17"/>
      <c r="QUG1" s="17"/>
      <c r="QUM1" s="17"/>
      <c r="QUN1" s="17"/>
      <c r="QUO1" s="17"/>
      <c r="QUU1" s="17"/>
      <c r="QUV1" s="17"/>
      <c r="QUW1" s="17"/>
      <c r="QVC1" s="17"/>
      <c r="QVD1" s="17"/>
      <c r="QVE1" s="17"/>
      <c r="QVK1" s="17"/>
      <c r="QVL1" s="17"/>
      <c r="QVM1" s="17"/>
      <c r="QVS1" s="17"/>
      <c r="QVT1" s="17"/>
      <c r="QVU1" s="17"/>
      <c r="QWA1" s="17"/>
      <c r="QWB1" s="17"/>
      <c r="QWC1" s="17"/>
      <c r="QWI1" s="17"/>
      <c r="QWJ1" s="17"/>
      <c r="QWK1" s="17"/>
      <c r="QWQ1" s="17"/>
      <c r="QWR1" s="17"/>
      <c r="QWS1" s="17"/>
      <c r="QWY1" s="17"/>
      <c r="QWZ1" s="17"/>
      <c r="QXA1" s="17"/>
      <c r="QXG1" s="17"/>
      <c r="QXH1" s="17"/>
      <c r="QXI1" s="17"/>
      <c r="QXO1" s="17"/>
      <c r="QXP1" s="17"/>
      <c r="QXQ1" s="17"/>
      <c r="QXW1" s="17"/>
      <c r="QXX1" s="17"/>
      <c r="QXY1" s="17"/>
      <c r="QYE1" s="17"/>
      <c r="QYF1" s="17"/>
      <c r="QYG1" s="17"/>
      <c r="QYM1" s="17"/>
      <c r="QYN1" s="17"/>
      <c r="QYO1" s="17"/>
      <c r="QYU1" s="17"/>
      <c r="QYV1" s="17"/>
      <c r="QYW1" s="17"/>
      <c r="QZC1" s="17"/>
      <c r="QZD1" s="17"/>
      <c r="QZE1" s="17"/>
      <c r="QZK1" s="17"/>
      <c r="QZL1" s="17"/>
      <c r="QZM1" s="17"/>
      <c r="QZS1" s="17"/>
      <c r="QZT1" s="17"/>
      <c r="QZU1" s="17"/>
      <c r="RAA1" s="17"/>
      <c r="RAB1" s="17"/>
      <c r="RAC1" s="17"/>
      <c r="RAI1" s="17"/>
      <c r="RAJ1" s="17"/>
      <c r="RAK1" s="17"/>
      <c r="RAQ1" s="17"/>
      <c r="RAR1" s="17"/>
      <c r="RAS1" s="17"/>
      <c r="RAY1" s="17"/>
      <c r="RAZ1" s="17"/>
      <c r="RBA1" s="17"/>
      <c r="RBG1" s="17"/>
      <c r="RBH1" s="17"/>
      <c r="RBI1" s="17"/>
      <c r="RBO1" s="17"/>
      <c r="RBP1" s="17"/>
      <c r="RBQ1" s="17"/>
      <c r="RBW1" s="17"/>
      <c r="RBX1" s="17"/>
      <c r="RBY1" s="17"/>
      <c r="RCE1" s="17"/>
      <c r="RCF1" s="17"/>
      <c r="RCG1" s="17"/>
      <c r="RCM1" s="17"/>
      <c r="RCN1" s="17"/>
      <c r="RCO1" s="17"/>
      <c r="RCU1" s="17"/>
      <c r="RCV1" s="17"/>
      <c r="RCW1" s="17"/>
      <c r="RDC1" s="17"/>
      <c r="RDD1" s="17"/>
      <c r="RDE1" s="17"/>
      <c r="RDK1" s="17"/>
      <c r="RDL1" s="17"/>
      <c r="RDM1" s="17"/>
      <c r="RDS1" s="17"/>
      <c r="RDT1" s="17"/>
      <c r="RDU1" s="17"/>
      <c r="REA1" s="17"/>
      <c r="REB1" s="17"/>
      <c r="REC1" s="17"/>
      <c r="REI1" s="17"/>
      <c r="REJ1" s="17"/>
      <c r="REK1" s="17"/>
      <c r="REQ1" s="17"/>
      <c r="RER1" s="17"/>
      <c r="RES1" s="17"/>
      <c r="REY1" s="17"/>
      <c r="REZ1" s="17"/>
      <c r="RFA1" s="17"/>
      <c r="RFG1" s="17"/>
      <c r="RFH1" s="17"/>
      <c r="RFI1" s="17"/>
      <c r="RFO1" s="17"/>
      <c r="RFP1" s="17"/>
      <c r="RFQ1" s="17"/>
      <c r="RFW1" s="17"/>
      <c r="RFX1" s="17"/>
      <c r="RFY1" s="17"/>
      <c r="RGE1" s="17"/>
      <c r="RGF1" s="17"/>
      <c r="RGG1" s="17"/>
      <c r="RGM1" s="17"/>
      <c r="RGN1" s="17"/>
      <c r="RGO1" s="17"/>
      <c r="RGU1" s="17"/>
      <c r="RGV1" s="17"/>
      <c r="RGW1" s="17"/>
      <c r="RHC1" s="17"/>
      <c r="RHD1" s="17"/>
      <c r="RHE1" s="17"/>
      <c r="RHK1" s="17"/>
      <c r="RHL1" s="17"/>
      <c r="RHM1" s="17"/>
      <c r="RHS1" s="17"/>
      <c r="RHT1" s="17"/>
      <c r="RHU1" s="17"/>
      <c r="RIA1" s="17"/>
      <c r="RIB1" s="17"/>
      <c r="RIC1" s="17"/>
      <c r="RII1" s="17"/>
      <c r="RIJ1" s="17"/>
      <c r="RIK1" s="17"/>
      <c r="RIQ1" s="17"/>
      <c r="RIR1" s="17"/>
      <c r="RIS1" s="17"/>
      <c r="RIY1" s="17"/>
      <c r="RIZ1" s="17"/>
      <c r="RJA1" s="17"/>
      <c r="RJG1" s="17"/>
      <c r="RJH1" s="17"/>
      <c r="RJI1" s="17"/>
      <c r="RJO1" s="17"/>
      <c r="RJP1" s="17"/>
      <c r="RJQ1" s="17"/>
      <c r="RJW1" s="17"/>
      <c r="RJX1" s="17"/>
      <c r="RJY1" s="17"/>
      <c r="RKE1" s="17"/>
      <c r="RKF1" s="17"/>
      <c r="RKG1" s="17"/>
      <c r="RKM1" s="17"/>
      <c r="RKN1" s="17"/>
      <c r="RKO1" s="17"/>
      <c r="RKU1" s="17"/>
      <c r="RKV1" s="17"/>
      <c r="RKW1" s="17"/>
      <c r="RLC1" s="17"/>
      <c r="RLD1" s="17"/>
      <c r="RLE1" s="17"/>
      <c r="RLK1" s="17"/>
      <c r="RLL1" s="17"/>
      <c r="RLM1" s="17"/>
      <c r="RLS1" s="17"/>
      <c r="RLT1" s="17"/>
      <c r="RLU1" s="17"/>
      <c r="RMA1" s="17"/>
      <c r="RMB1" s="17"/>
      <c r="RMC1" s="17"/>
      <c r="RMI1" s="17"/>
      <c r="RMJ1" s="17"/>
      <c r="RMK1" s="17"/>
      <c r="RMQ1" s="17"/>
      <c r="RMR1" s="17"/>
      <c r="RMS1" s="17"/>
      <c r="RMY1" s="17"/>
      <c r="RMZ1" s="17"/>
      <c r="RNA1" s="17"/>
      <c r="RNG1" s="17"/>
      <c r="RNH1" s="17"/>
      <c r="RNI1" s="17"/>
      <c r="RNO1" s="17"/>
      <c r="RNP1" s="17"/>
      <c r="RNQ1" s="17"/>
      <c r="RNW1" s="17"/>
      <c r="RNX1" s="17"/>
      <c r="RNY1" s="17"/>
      <c r="ROE1" s="17"/>
      <c r="ROF1" s="17"/>
      <c r="ROG1" s="17"/>
      <c r="ROM1" s="17"/>
      <c r="RON1" s="17"/>
      <c r="ROO1" s="17"/>
      <c r="ROU1" s="17"/>
      <c r="ROV1" s="17"/>
      <c r="ROW1" s="17"/>
      <c r="RPC1" s="17"/>
      <c r="RPD1" s="17"/>
      <c r="RPE1" s="17"/>
      <c r="RPK1" s="17"/>
      <c r="RPL1" s="17"/>
      <c r="RPM1" s="17"/>
      <c r="RPS1" s="17"/>
      <c r="RPT1" s="17"/>
      <c r="RPU1" s="17"/>
      <c r="RQA1" s="17"/>
      <c r="RQB1" s="17"/>
      <c r="RQC1" s="17"/>
      <c r="RQI1" s="17"/>
      <c r="RQJ1" s="17"/>
      <c r="RQK1" s="17"/>
      <c r="RQQ1" s="17"/>
      <c r="RQR1" s="17"/>
      <c r="RQS1" s="17"/>
      <c r="RQY1" s="17"/>
      <c r="RQZ1" s="17"/>
      <c r="RRA1" s="17"/>
      <c r="RRG1" s="17"/>
      <c r="RRH1" s="17"/>
      <c r="RRI1" s="17"/>
      <c r="RRO1" s="17"/>
      <c r="RRP1" s="17"/>
      <c r="RRQ1" s="17"/>
      <c r="RRW1" s="17"/>
      <c r="RRX1" s="17"/>
      <c r="RRY1" s="17"/>
      <c r="RSE1" s="17"/>
      <c r="RSF1" s="17"/>
      <c r="RSG1" s="17"/>
      <c r="RSM1" s="17"/>
      <c r="RSN1" s="17"/>
      <c r="RSO1" s="17"/>
      <c r="RSU1" s="17"/>
      <c r="RSV1" s="17"/>
      <c r="RSW1" s="17"/>
      <c r="RTC1" s="17"/>
      <c r="RTD1" s="17"/>
      <c r="RTE1" s="17"/>
      <c r="RTK1" s="17"/>
      <c r="RTL1" s="17"/>
      <c r="RTM1" s="17"/>
      <c r="RTS1" s="17"/>
      <c r="RTT1" s="17"/>
      <c r="RTU1" s="17"/>
      <c r="RUA1" s="17"/>
      <c r="RUB1" s="17"/>
      <c r="RUC1" s="17"/>
      <c r="RUI1" s="17"/>
      <c r="RUJ1" s="17"/>
      <c r="RUK1" s="17"/>
      <c r="RUQ1" s="17"/>
      <c r="RUR1" s="17"/>
      <c r="RUS1" s="17"/>
      <c r="RUY1" s="17"/>
      <c r="RUZ1" s="17"/>
      <c r="RVA1" s="17"/>
      <c r="RVG1" s="17"/>
      <c r="RVH1" s="17"/>
      <c r="RVI1" s="17"/>
      <c r="RVO1" s="17"/>
      <c r="RVP1" s="17"/>
      <c r="RVQ1" s="17"/>
      <c r="RVW1" s="17"/>
      <c r="RVX1" s="17"/>
      <c r="RVY1" s="17"/>
      <c r="RWE1" s="17"/>
      <c r="RWF1" s="17"/>
      <c r="RWG1" s="17"/>
      <c r="RWM1" s="17"/>
      <c r="RWN1" s="17"/>
      <c r="RWO1" s="17"/>
      <c r="RWU1" s="17"/>
      <c r="RWV1" s="17"/>
      <c r="RWW1" s="17"/>
      <c r="RXC1" s="17"/>
      <c r="RXD1" s="17"/>
      <c r="RXE1" s="17"/>
      <c r="RXK1" s="17"/>
      <c r="RXL1" s="17"/>
      <c r="RXM1" s="17"/>
      <c r="RXS1" s="17"/>
      <c r="RXT1" s="17"/>
      <c r="RXU1" s="17"/>
      <c r="RYA1" s="17"/>
      <c r="RYB1" s="17"/>
      <c r="RYC1" s="17"/>
      <c r="RYI1" s="17"/>
      <c r="RYJ1" s="17"/>
      <c r="RYK1" s="17"/>
      <c r="RYQ1" s="17"/>
      <c r="RYR1" s="17"/>
      <c r="RYS1" s="17"/>
      <c r="RYY1" s="17"/>
      <c r="RYZ1" s="17"/>
      <c r="RZA1" s="17"/>
      <c r="RZG1" s="17"/>
      <c r="RZH1" s="17"/>
      <c r="RZI1" s="17"/>
      <c r="RZO1" s="17"/>
      <c r="RZP1" s="17"/>
      <c r="RZQ1" s="17"/>
      <c r="RZW1" s="17"/>
      <c r="RZX1" s="17"/>
      <c r="RZY1" s="17"/>
      <c r="SAE1" s="17"/>
      <c r="SAF1" s="17"/>
      <c r="SAG1" s="17"/>
      <c r="SAM1" s="17"/>
      <c r="SAN1" s="17"/>
      <c r="SAO1" s="17"/>
      <c r="SAU1" s="17"/>
      <c r="SAV1" s="17"/>
      <c r="SAW1" s="17"/>
      <c r="SBC1" s="17"/>
      <c r="SBD1" s="17"/>
      <c r="SBE1" s="17"/>
      <c r="SBK1" s="17"/>
      <c r="SBL1" s="17"/>
      <c r="SBM1" s="17"/>
      <c r="SBS1" s="17"/>
      <c r="SBT1" s="17"/>
      <c r="SBU1" s="17"/>
      <c r="SCA1" s="17"/>
      <c r="SCB1" s="17"/>
      <c r="SCC1" s="17"/>
      <c r="SCI1" s="17"/>
      <c r="SCJ1" s="17"/>
      <c r="SCK1" s="17"/>
      <c r="SCQ1" s="17"/>
      <c r="SCR1" s="17"/>
      <c r="SCS1" s="17"/>
      <c r="SCY1" s="17"/>
      <c r="SCZ1" s="17"/>
      <c r="SDA1" s="17"/>
      <c r="SDG1" s="17"/>
      <c r="SDH1" s="17"/>
      <c r="SDI1" s="17"/>
      <c r="SDO1" s="17"/>
      <c r="SDP1" s="17"/>
      <c r="SDQ1" s="17"/>
      <c r="SDW1" s="17"/>
      <c r="SDX1" s="17"/>
      <c r="SDY1" s="17"/>
      <c r="SEE1" s="17"/>
      <c r="SEF1" s="17"/>
      <c r="SEG1" s="17"/>
      <c r="SEM1" s="17"/>
      <c r="SEN1" s="17"/>
      <c r="SEO1" s="17"/>
      <c r="SEU1" s="17"/>
      <c r="SEV1" s="17"/>
      <c r="SEW1" s="17"/>
      <c r="SFC1" s="17"/>
      <c r="SFD1" s="17"/>
      <c r="SFE1" s="17"/>
      <c r="SFK1" s="17"/>
      <c r="SFL1" s="17"/>
      <c r="SFM1" s="17"/>
      <c r="SFS1" s="17"/>
      <c r="SFT1" s="17"/>
      <c r="SFU1" s="17"/>
      <c r="SGA1" s="17"/>
      <c r="SGB1" s="17"/>
      <c r="SGC1" s="17"/>
      <c r="SGI1" s="17"/>
      <c r="SGJ1" s="17"/>
      <c r="SGK1" s="17"/>
      <c r="SGQ1" s="17"/>
      <c r="SGR1" s="17"/>
      <c r="SGS1" s="17"/>
      <c r="SGY1" s="17"/>
      <c r="SGZ1" s="17"/>
      <c r="SHA1" s="17"/>
      <c r="SHG1" s="17"/>
      <c r="SHH1" s="17"/>
      <c r="SHI1" s="17"/>
      <c r="SHO1" s="17"/>
      <c r="SHP1" s="17"/>
      <c r="SHQ1" s="17"/>
      <c r="SHW1" s="17"/>
      <c r="SHX1" s="17"/>
      <c r="SHY1" s="17"/>
      <c r="SIE1" s="17"/>
      <c r="SIF1" s="17"/>
      <c r="SIG1" s="17"/>
      <c r="SIM1" s="17"/>
      <c r="SIN1" s="17"/>
      <c r="SIO1" s="17"/>
      <c r="SIU1" s="17"/>
      <c r="SIV1" s="17"/>
      <c r="SIW1" s="17"/>
      <c r="SJC1" s="17"/>
      <c r="SJD1" s="17"/>
      <c r="SJE1" s="17"/>
      <c r="SJK1" s="17"/>
      <c r="SJL1" s="17"/>
      <c r="SJM1" s="17"/>
      <c r="SJS1" s="17"/>
      <c r="SJT1" s="17"/>
      <c r="SJU1" s="17"/>
      <c r="SKA1" s="17"/>
      <c r="SKB1" s="17"/>
      <c r="SKC1" s="17"/>
      <c r="SKI1" s="17"/>
      <c r="SKJ1" s="17"/>
      <c r="SKK1" s="17"/>
      <c r="SKQ1" s="17"/>
      <c r="SKR1" s="17"/>
      <c r="SKS1" s="17"/>
      <c r="SKY1" s="17"/>
      <c r="SKZ1" s="17"/>
      <c r="SLA1" s="17"/>
      <c r="SLG1" s="17"/>
      <c r="SLH1" s="17"/>
      <c r="SLI1" s="17"/>
      <c r="SLO1" s="17"/>
      <c r="SLP1" s="17"/>
      <c r="SLQ1" s="17"/>
      <c r="SLW1" s="17"/>
      <c r="SLX1" s="17"/>
      <c r="SLY1" s="17"/>
      <c r="SME1" s="17"/>
      <c r="SMF1" s="17"/>
      <c r="SMG1" s="17"/>
      <c r="SMM1" s="17"/>
      <c r="SMN1" s="17"/>
      <c r="SMO1" s="17"/>
      <c r="SMU1" s="17"/>
      <c r="SMV1" s="17"/>
      <c r="SMW1" s="17"/>
      <c r="SNC1" s="17"/>
      <c r="SND1" s="17"/>
      <c r="SNE1" s="17"/>
      <c r="SNK1" s="17"/>
      <c r="SNL1" s="17"/>
      <c r="SNM1" s="17"/>
      <c r="SNS1" s="17"/>
      <c r="SNT1" s="17"/>
      <c r="SNU1" s="17"/>
      <c r="SOA1" s="17"/>
      <c r="SOB1" s="17"/>
      <c r="SOC1" s="17"/>
      <c r="SOI1" s="17"/>
      <c r="SOJ1" s="17"/>
      <c r="SOK1" s="17"/>
      <c r="SOQ1" s="17"/>
      <c r="SOR1" s="17"/>
      <c r="SOS1" s="17"/>
      <c r="SOY1" s="17"/>
      <c r="SOZ1" s="17"/>
      <c r="SPA1" s="17"/>
      <c r="SPG1" s="17"/>
      <c r="SPH1" s="17"/>
      <c r="SPI1" s="17"/>
      <c r="SPO1" s="17"/>
      <c r="SPP1" s="17"/>
      <c r="SPQ1" s="17"/>
      <c r="SPW1" s="17"/>
      <c r="SPX1" s="17"/>
      <c r="SPY1" s="17"/>
      <c r="SQE1" s="17"/>
      <c r="SQF1" s="17"/>
      <c r="SQG1" s="17"/>
      <c r="SQM1" s="17"/>
      <c r="SQN1" s="17"/>
      <c r="SQO1" s="17"/>
      <c r="SQU1" s="17"/>
      <c r="SQV1" s="17"/>
      <c r="SQW1" s="17"/>
      <c r="SRC1" s="17"/>
      <c r="SRD1" s="17"/>
      <c r="SRE1" s="17"/>
      <c r="SRK1" s="17"/>
      <c r="SRL1" s="17"/>
      <c r="SRM1" s="17"/>
      <c r="SRS1" s="17"/>
      <c r="SRT1" s="17"/>
      <c r="SRU1" s="17"/>
      <c r="SSA1" s="17"/>
      <c r="SSB1" s="17"/>
      <c r="SSC1" s="17"/>
      <c r="SSI1" s="17"/>
      <c r="SSJ1" s="17"/>
      <c r="SSK1" s="17"/>
      <c r="SSQ1" s="17"/>
      <c r="SSR1" s="17"/>
      <c r="SSS1" s="17"/>
      <c r="SSY1" s="17"/>
      <c r="SSZ1" s="17"/>
      <c r="STA1" s="17"/>
      <c r="STG1" s="17"/>
      <c r="STH1" s="17"/>
      <c r="STI1" s="17"/>
      <c r="STO1" s="17"/>
      <c r="STP1" s="17"/>
      <c r="STQ1" s="17"/>
      <c r="STW1" s="17"/>
      <c r="STX1" s="17"/>
      <c r="STY1" s="17"/>
      <c r="SUE1" s="17"/>
      <c r="SUF1" s="17"/>
      <c r="SUG1" s="17"/>
      <c r="SUM1" s="17"/>
      <c r="SUN1" s="17"/>
      <c r="SUO1" s="17"/>
      <c r="SUU1" s="17"/>
      <c r="SUV1" s="17"/>
      <c r="SUW1" s="17"/>
      <c r="SVC1" s="17"/>
      <c r="SVD1" s="17"/>
      <c r="SVE1" s="17"/>
      <c r="SVK1" s="17"/>
      <c r="SVL1" s="17"/>
      <c r="SVM1" s="17"/>
      <c r="SVS1" s="17"/>
      <c r="SVT1" s="17"/>
      <c r="SVU1" s="17"/>
      <c r="SWA1" s="17"/>
      <c r="SWB1" s="17"/>
      <c r="SWC1" s="17"/>
      <c r="SWI1" s="17"/>
      <c r="SWJ1" s="17"/>
      <c r="SWK1" s="17"/>
      <c r="SWQ1" s="17"/>
      <c r="SWR1" s="17"/>
      <c r="SWS1" s="17"/>
      <c r="SWY1" s="17"/>
      <c r="SWZ1" s="17"/>
      <c r="SXA1" s="17"/>
      <c r="SXG1" s="17"/>
      <c r="SXH1" s="17"/>
      <c r="SXI1" s="17"/>
      <c r="SXO1" s="17"/>
      <c r="SXP1" s="17"/>
      <c r="SXQ1" s="17"/>
      <c r="SXW1" s="17"/>
      <c r="SXX1" s="17"/>
      <c r="SXY1" s="17"/>
      <c r="SYE1" s="17"/>
      <c r="SYF1" s="17"/>
      <c r="SYG1" s="17"/>
      <c r="SYM1" s="17"/>
      <c r="SYN1" s="17"/>
      <c r="SYO1" s="17"/>
      <c r="SYU1" s="17"/>
      <c r="SYV1" s="17"/>
      <c r="SYW1" s="17"/>
      <c r="SZC1" s="17"/>
      <c r="SZD1" s="17"/>
      <c r="SZE1" s="17"/>
      <c r="SZK1" s="17"/>
      <c r="SZL1" s="17"/>
      <c r="SZM1" s="17"/>
      <c r="SZS1" s="17"/>
      <c r="SZT1" s="17"/>
      <c r="SZU1" s="17"/>
      <c r="TAA1" s="17"/>
      <c r="TAB1" s="17"/>
      <c r="TAC1" s="17"/>
      <c r="TAI1" s="17"/>
      <c r="TAJ1" s="17"/>
      <c r="TAK1" s="17"/>
      <c r="TAQ1" s="17"/>
      <c r="TAR1" s="17"/>
      <c r="TAS1" s="17"/>
      <c r="TAY1" s="17"/>
      <c r="TAZ1" s="17"/>
      <c r="TBA1" s="17"/>
      <c r="TBG1" s="17"/>
      <c r="TBH1" s="17"/>
      <c r="TBI1" s="17"/>
      <c r="TBO1" s="17"/>
      <c r="TBP1" s="17"/>
      <c r="TBQ1" s="17"/>
      <c r="TBW1" s="17"/>
      <c r="TBX1" s="17"/>
      <c r="TBY1" s="17"/>
      <c r="TCE1" s="17"/>
      <c r="TCF1" s="17"/>
      <c r="TCG1" s="17"/>
      <c r="TCM1" s="17"/>
      <c r="TCN1" s="17"/>
      <c r="TCO1" s="17"/>
      <c r="TCU1" s="17"/>
      <c r="TCV1" s="17"/>
      <c r="TCW1" s="17"/>
      <c r="TDC1" s="17"/>
      <c r="TDD1" s="17"/>
      <c r="TDE1" s="17"/>
      <c r="TDK1" s="17"/>
      <c r="TDL1" s="17"/>
      <c r="TDM1" s="17"/>
      <c r="TDS1" s="17"/>
      <c r="TDT1" s="17"/>
      <c r="TDU1" s="17"/>
      <c r="TEA1" s="17"/>
      <c r="TEB1" s="17"/>
      <c r="TEC1" s="17"/>
      <c r="TEI1" s="17"/>
      <c r="TEJ1" s="17"/>
      <c r="TEK1" s="17"/>
      <c r="TEQ1" s="17"/>
      <c r="TER1" s="17"/>
      <c r="TES1" s="17"/>
      <c r="TEY1" s="17"/>
      <c r="TEZ1" s="17"/>
      <c r="TFA1" s="17"/>
      <c r="TFG1" s="17"/>
      <c r="TFH1" s="17"/>
      <c r="TFI1" s="17"/>
      <c r="TFO1" s="17"/>
      <c r="TFP1" s="17"/>
      <c r="TFQ1" s="17"/>
      <c r="TFW1" s="17"/>
      <c r="TFX1" s="17"/>
      <c r="TFY1" s="17"/>
      <c r="TGE1" s="17"/>
      <c r="TGF1" s="17"/>
      <c r="TGG1" s="17"/>
      <c r="TGM1" s="17"/>
      <c r="TGN1" s="17"/>
      <c r="TGO1" s="17"/>
      <c r="TGU1" s="17"/>
      <c r="TGV1" s="17"/>
      <c r="TGW1" s="17"/>
      <c r="THC1" s="17"/>
      <c r="THD1" s="17"/>
      <c r="THE1" s="17"/>
      <c r="THK1" s="17"/>
      <c r="THL1" s="17"/>
      <c r="THM1" s="17"/>
      <c r="THS1" s="17"/>
      <c r="THT1" s="17"/>
      <c r="THU1" s="17"/>
      <c r="TIA1" s="17"/>
      <c r="TIB1" s="17"/>
      <c r="TIC1" s="17"/>
      <c r="TII1" s="17"/>
      <c r="TIJ1" s="17"/>
      <c r="TIK1" s="17"/>
      <c r="TIQ1" s="17"/>
      <c r="TIR1" s="17"/>
      <c r="TIS1" s="17"/>
      <c r="TIY1" s="17"/>
      <c r="TIZ1" s="17"/>
      <c r="TJA1" s="17"/>
      <c r="TJG1" s="17"/>
      <c r="TJH1" s="17"/>
      <c r="TJI1" s="17"/>
      <c r="TJO1" s="17"/>
      <c r="TJP1" s="17"/>
      <c r="TJQ1" s="17"/>
      <c r="TJW1" s="17"/>
      <c r="TJX1" s="17"/>
      <c r="TJY1" s="17"/>
      <c r="TKE1" s="17"/>
      <c r="TKF1" s="17"/>
      <c r="TKG1" s="17"/>
      <c r="TKM1" s="17"/>
      <c r="TKN1" s="17"/>
      <c r="TKO1" s="17"/>
      <c r="TKU1" s="17"/>
      <c r="TKV1" s="17"/>
      <c r="TKW1" s="17"/>
      <c r="TLC1" s="17"/>
      <c r="TLD1" s="17"/>
      <c r="TLE1" s="17"/>
      <c r="TLK1" s="17"/>
      <c r="TLL1" s="17"/>
      <c r="TLM1" s="17"/>
      <c r="TLS1" s="17"/>
      <c r="TLT1" s="17"/>
      <c r="TLU1" s="17"/>
      <c r="TMA1" s="17"/>
      <c r="TMB1" s="17"/>
      <c r="TMC1" s="17"/>
      <c r="TMI1" s="17"/>
      <c r="TMJ1" s="17"/>
      <c r="TMK1" s="17"/>
      <c r="TMQ1" s="17"/>
      <c r="TMR1" s="17"/>
      <c r="TMS1" s="17"/>
      <c r="TMY1" s="17"/>
      <c r="TMZ1" s="17"/>
      <c r="TNA1" s="17"/>
      <c r="TNG1" s="17"/>
      <c r="TNH1" s="17"/>
      <c r="TNI1" s="17"/>
      <c r="TNO1" s="17"/>
      <c r="TNP1" s="17"/>
      <c r="TNQ1" s="17"/>
      <c r="TNW1" s="17"/>
      <c r="TNX1" s="17"/>
      <c r="TNY1" s="17"/>
      <c r="TOE1" s="17"/>
      <c r="TOF1" s="17"/>
      <c r="TOG1" s="17"/>
      <c r="TOM1" s="17"/>
      <c r="TON1" s="17"/>
      <c r="TOO1" s="17"/>
      <c r="TOU1" s="17"/>
      <c r="TOV1" s="17"/>
      <c r="TOW1" s="17"/>
      <c r="TPC1" s="17"/>
      <c r="TPD1" s="17"/>
      <c r="TPE1" s="17"/>
      <c r="TPK1" s="17"/>
      <c r="TPL1" s="17"/>
      <c r="TPM1" s="17"/>
      <c r="TPS1" s="17"/>
      <c r="TPT1" s="17"/>
      <c r="TPU1" s="17"/>
      <c r="TQA1" s="17"/>
      <c r="TQB1" s="17"/>
      <c r="TQC1" s="17"/>
      <c r="TQI1" s="17"/>
      <c r="TQJ1" s="17"/>
      <c r="TQK1" s="17"/>
      <c r="TQQ1" s="17"/>
      <c r="TQR1" s="17"/>
      <c r="TQS1" s="17"/>
      <c r="TQY1" s="17"/>
      <c r="TQZ1" s="17"/>
      <c r="TRA1" s="17"/>
      <c r="TRG1" s="17"/>
      <c r="TRH1" s="17"/>
      <c r="TRI1" s="17"/>
      <c r="TRO1" s="17"/>
      <c r="TRP1" s="17"/>
      <c r="TRQ1" s="17"/>
      <c r="TRW1" s="17"/>
      <c r="TRX1" s="17"/>
      <c r="TRY1" s="17"/>
      <c r="TSE1" s="17"/>
      <c r="TSF1" s="17"/>
      <c r="TSG1" s="17"/>
      <c r="TSM1" s="17"/>
      <c r="TSN1" s="17"/>
      <c r="TSO1" s="17"/>
      <c r="TSU1" s="17"/>
      <c r="TSV1" s="17"/>
      <c r="TSW1" s="17"/>
      <c r="TTC1" s="17"/>
      <c r="TTD1" s="17"/>
      <c r="TTE1" s="17"/>
      <c r="TTK1" s="17"/>
      <c r="TTL1" s="17"/>
      <c r="TTM1" s="17"/>
      <c r="TTS1" s="17"/>
      <c r="TTT1" s="17"/>
      <c r="TTU1" s="17"/>
      <c r="TUA1" s="17"/>
      <c r="TUB1" s="17"/>
      <c r="TUC1" s="17"/>
      <c r="TUI1" s="17"/>
      <c r="TUJ1" s="17"/>
      <c r="TUK1" s="17"/>
      <c r="TUQ1" s="17"/>
      <c r="TUR1" s="17"/>
      <c r="TUS1" s="17"/>
      <c r="TUY1" s="17"/>
      <c r="TUZ1" s="17"/>
      <c r="TVA1" s="17"/>
      <c r="TVG1" s="17"/>
      <c r="TVH1" s="17"/>
      <c r="TVI1" s="17"/>
      <c r="TVO1" s="17"/>
      <c r="TVP1" s="17"/>
      <c r="TVQ1" s="17"/>
      <c r="TVW1" s="17"/>
      <c r="TVX1" s="17"/>
      <c r="TVY1" s="17"/>
      <c r="TWE1" s="17"/>
      <c r="TWF1" s="17"/>
      <c r="TWG1" s="17"/>
      <c r="TWM1" s="17"/>
      <c r="TWN1" s="17"/>
      <c r="TWO1" s="17"/>
      <c r="TWU1" s="17"/>
      <c r="TWV1" s="17"/>
      <c r="TWW1" s="17"/>
      <c r="TXC1" s="17"/>
      <c r="TXD1" s="17"/>
      <c r="TXE1" s="17"/>
      <c r="TXK1" s="17"/>
      <c r="TXL1" s="17"/>
      <c r="TXM1" s="17"/>
      <c r="TXS1" s="17"/>
      <c r="TXT1" s="17"/>
      <c r="TXU1" s="17"/>
      <c r="TYA1" s="17"/>
      <c r="TYB1" s="17"/>
      <c r="TYC1" s="17"/>
      <c r="TYI1" s="17"/>
      <c r="TYJ1" s="17"/>
      <c r="TYK1" s="17"/>
      <c r="TYQ1" s="17"/>
      <c r="TYR1" s="17"/>
      <c r="TYS1" s="17"/>
      <c r="TYY1" s="17"/>
      <c r="TYZ1" s="17"/>
      <c r="TZA1" s="17"/>
      <c r="TZG1" s="17"/>
      <c r="TZH1" s="17"/>
      <c r="TZI1" s="17"/>
      <c r="TZO1" s="17"/>
      <c r="TZP1" s="17"/>
      <c r="TZQ1" s="17"/>
      <c r="TZW1" s="17"/>
      <c r="TZX1" s="17"/>
      <c r="TZY1" s="17"/>
      <c r="UAE1" s="17"/>
      <c r="UAF1" s="17"/>
      <c r="UAG1" s="17"/>
      <c r="UAM1" s="17"/>
      <c r="UAN1" s="17"/>
      <c r="UAO1" s="17"/>
      <c r="UAU1" s="17"/>
      <c r="UAV1" s="17"/>
      <c r="UAW1" s="17"/>
      <c r="UBC1" s="17"/>
      <c r="UBD1" s="17"/>
      <c r="UBE1" s="17"/>
      <c r="UBK1" s="17"/>
      <c r="UBL1" s="17"/>
      <c r="UBM1" s="17"/>
      <c r="UBS1" s="17"/>
      <c r="UBT1" s="17"/>
      <c r="UBU1" s="17"/>
      <c r="UCA1" s="17"/>
      <c r="UCB1" s="17"/>
      <c r="UCC1" s="17"/>
      <c r="UCI1" s="17"/>
      <c r="UCJ1" s="17"/>
      <c r="UCK1" s="17"/>
      <c r="UCQ1" s="17"/>
      <c r="UCR1" s="17"/>
      <c r="UCS1" s="17"/>
      <c r="UCY1" s="17"/>
      <c r="UCZ1" s="17"/>
      <c r="UDA1" s="17"/>
      <c r="UDG1" s="17"/>
      <c r="UDH1" s="17"/>
      <c r="UDI1" s="17"/>
      <c r="UDO1" s="17"/>
      <c r="UDP1" s="17"/>
      <c r="UDQ1" s="17"/>
      <c r="UDW1" s="17"/>
      <c r="UDX1" s="17"/>
      <c r="UDY1" s="17"/>
      <c r="UEE1" s="17"/>
      <c r="UEF1" s="17"/>
      <c r="UEG1" s="17"/>
      <c r="UEM1" s="17"/>
      <c r="UEN1" s="17"/>
      <c r="UEO1" s="17"/>
      <c r="UEU1" s="17"/>
      <c r="UEV1" s="17"/>
      <c r="UEW1" s="17"/>
      <c r="UFC1" s="17"/>
      <c r="UFD1" s="17"/>
      <c r="UFE1" s="17"/>
      <c r="UFK1" s="17"/>
      <c r="UFL1" s="17"/>
      <c r="UFM1" s="17"/>
      <c r="UFS1" s="17"/>
      <c r="UFT1" s="17"/>
      <c r="UFU1" s="17"/>
      <c r="UGA1" s="17"/>
      <c r="UGB1" s="17"/>
      <c r="UGC1" s="17"/>
      <c r="UGI1" s="17"/>
      <c r="UGJ1" s="17"/>
      <c r="UGK1" s="17"/>
      <c r="UGQ1" s="17"/>
      <c r="UGR1" s="17"/>
      <c r="UGS1" s="17"/>
      <c r="UGY1" s="17"/>
      <c r="UGZ1" s="17"/>
      <c r="UHA1" s="17"/>
      <c r="UHG1" s="17"/>
      <c r="UHH1" s="17"/>
      <c r="UHI1" s="17"/>
      <c r="UHO1" s="17"/>
      <c r="UHP1" s="17"/>
      <c r="UHQ1" s="17"/>
      <c r="UHW1" s="17"/>
      <c r="UHX1" s="17"/>
      <c r="UHY1" s="17"/>
      <c r="UIE1" s="17"/>
      <c r="UIF1" s="17"/>
      <c r="UIG1" s="17"/>
      <c r="UIM1" s="17"/>
      <c r="UIN1" s="17"/>
      <c r="UIO1" s="17"/>
      <c r="UIU1" s="17"/>
      <c r="UIV1" s="17"/>
      <c r="UIW1" s="17"/>
      <c r="UJC1" s="17"/>
      <c r="UJD1" s="17"/>
      <c r="UJE1" s="17"/>
      <c r="UJK1" s="17"/>
      <c r="UJL1" s="17"/>
      <c r="UJM1" s="17"/>
      <c r="UJS1" s="17"/>
      <c r="UJT1" s="17"/>
      <c r="UJU1" s="17"/>
      <c r="UKA1" s="17"/>
      <c r="UKB1" s="17"/>
      <c r="UKC1" s="17"/>
      <c r="UKI1" s="17"/>
      <c r="UKJ1" s="17"/>
      <c r="UKK1" s="17"/>
      <c r="UKQ1" s="17"/>
      <c r="UKR1" s="17"/>
      <c r="UKS1" s="17"/>
      <c r="UKY1" s="17"/>
      <c r="UKZ1" s="17"/>
      <c r="ULA1" s="17"/>
      <c r="ULG1" s="17"/>
      <c r="ULH1" s="17"/>
      <c r="ULI1" s="17"/>
      <c r="ULO1" s="17"/>
      <c r="ULP1" s="17"/>
      <c r="ULQ1" s="17"/>
      <c r="ULW1" s="17"/>
      <c r="ULX1" s="17"/>
      <c r="ULY1" s="17"/>
      <c r="UME1" s="17"/>
      <c r="UMF1" s="17"/>
      <c r="UMG1" s="17"/>
      <c r="UMM1" s="17"/>
      <c r="UMN1" s="17"/>
      <c r="UMO1" s="17"/>
      <c r="UMU1" s="17"/>
      <c r="UMV1" s="17"/>
      <c r="UMW1" s="17"/>
      <c r="UNC1" s="17"/>
      <c r="UND1" s="17"/>
      <c r="UNE1" s="17"/>
      <c r="UNK1" s="17"/>
      <c r="UNL1" s="17"/>
      <c r="UNM1" s="17"/>
      <c r="UNS1" s="17"/>
      <c r="UNT1" s="17"/>
      <c r="UNU1" s="17"/>
      <c r="UOA1" s="17"/>
      <c r="UOB1" s="17"/>
      <c r="UOC1" s="17"/>
      <c r="UOI1" s="17"/>
      <c r="UOJ1" s="17"/>
      <c r="UOK1" s="17"/>
      <c r="UOQ1" s="17"/>
      <c r="UOR1" s="17"/>
      <c r="UOS1" s="17"/>
      <c r="UOY1" s="17"/>
      <c r="UOZ1" s="17"/>
      <c r="UPA1" s="17"/>
      <c r="UPG1" s="17"/>
      <c r="UPH1" s="17"/>
      <c r="UPI1" s="17"/>
      <c r="UPO1" s="17"/>
      <c r="UPP1" s="17"/>
      <c r="UPQ1" s="17"/>
      <c r="UPW1" s="17"/>
      <c r="UPX1" s="17"/>
      <c r="UPY1" s="17"/>
      <c r="UQE1" s="17"/>
      <c r="UQF1" s="17"/>
      <c r="UQG1" s="17"/>
      <c r="UQM1" s="17"/>
      <c r="UQN1" s="17"/>
      <c r="UQO1" s="17"/>
      <c r="UQU1" s="17"/>
      <c r="UQV1" s="17"/>
      <c r="UQW1" s="17"/>
      <c r="URC1" s="17"/>
      <c r="URD1" s="17"/>
      <c r="URE1" s="17"/>
      <c r="URK1" s="17"/>
      <c r="URL1" s="17"/>
      <c r="URM1" s="17"/>
      <c r="URS1" s="17"/>
      <c r="URT1" s="17"/>
      <c r="URU1" s="17"/>
      <c r="USA1" s="17"/>
      <c r="USB1" s="17"/>
      <c r="USC1" s="17"/>
      <c r="USI1" s="17"/>
      <c r="USJ1" s="17"/>
      <c r="USK1" s="17"/>
      <c r="USQ1" s="17"/>
      <c r="USR1" s="17"/>
      <c r="USS1" s="17"/>
      <c r="USY1" s="17"/>
      <c r="USZ1" s="17"/>
      <c r="UTA1" s="17"/>
      <c r="UTG1" s="17"/>
      <c r="UTH1" s="17"/>
      <c r="UTI1" s="17"/>
      <c r="UTO1" s="17"/>
      <c r="UTP1" s="17"/>
      <c r="UTQ1" s="17"/>
      <c r="UTW1" s="17"/>
      <c r="UTX1" s="17"/>
      <c r="UTY1" s="17"/>
      <c r="UUE1" s="17"/>
      <c r="UUF1" s="17"/>
      <c r="UUG1" s="17"/>
      <c r="UUM1" s="17"/>
      <c r="UUN1" s="17"/>
      <c r="UUO1" s="17"/>
      <c r="UUU1" s="17"/>
      <c r="UUV1" s="17"/>
      <c r="UUW1" s="17"/>
      <c r="UVC1" s="17"/>
      <c r="UVD1" s="17"/>
      <c r="UVE1" s="17"/>
      <c r="UVK1" s="17"/>
      <c r="UVL1" s="17"/>
      <c r="UVM1" s="17"/>
      <c r="UVS1" s="17"/>
      <c r="UVT1" s="17"/>
      <c r="UVU1" s="17"/>
      <c r="UWA1" s="17"/>
      <c r="UWB1" s="17"/>
      <c r="UWC1" s="17"/>
      <c r="UWI1" s="17"/>
      <c r="UWJ1" s="17"/>
      <c r="UWK1" s="17"/>
      <c r="UWQ1" s="17"/>
      <c r="UWR1" s="17"/>
      <c r="UWS1" s="17"/>
      <c r="UWY1" s="17"/>
      <c r="UWZ1" s="17"/>
      <c r="UXA1" s="17"/>
      <c r="UXG1" s="17"/>
      <c r="UXH1" s="17"/>
      <c r="UXI1" s="17"/>
      <c r="UXO1" s="17"/>
      <c r="UXP1" s="17"/>
      <c r="UXQ1" s="17"/>
      <c r="UXW1" s="17"/>
      <c r="UXX1" s="17"/>
      <c r="UXY1" s="17"/>
      <c r="UYE1" s="17"/>
      <c r="UYF1" s="17"/>
      <c r="UYG1" s="17"/>
      <c r="UYM1" s="17"/>
      <c r="UYN1" s="17"/>
      <c r="UYO1" s="17"/>
      <c r="UYU1" s="17"/>
      <c r="UYV1" s="17"/>
      <c r="UYW1" s="17"/>
      <c r="UZC1" s="17"/>
      <c r="UZD1" s="17"/>
      <c r="UZE1" s="17"/>
      <c r="UZK1" s="17"/>
      <c r="UZL1" s="17"/>
      <c r="UZM1" s="17"/>
      <c r="UZS1" s="17"/>
      <c r="UZT1" s="17"/>
      <c r="UZU1" s="17"/>
      <c r="VAA1" s="17"/>
      <c r="VAB1" s="17"/>
      <c r="VAC1" s="17"/>
      <c r="VAI1" s="17"/>
      <c r="VAJ1" s="17"/>
      <c r="VAK1" s="17"/>
      <c r="VAQ1" s="17"/>
      <c r="VAR1" s="17"/>
      <c r="VAS1" s="17"/>
      <c r="VAY1" s="17"/>
      <c r="VAZ1" s="17"/>
      <c r="VBA1" s="17"/>
      <c r="VBG1" s="17"/>
      <c r="VBH1" s="17"/>
      <c r="VBI1" s="17"/>
      <c r="VBO1" s="17"/>
      <c r="VBP1" s="17"/>
      <c r="VBQ1" s="17"/>
      <c r="VBW1" s="17"/>
      <c r="VBX1" s="17"/>
      <c r="VBY1" s="17"/>
      <c r="VCE1" s="17"/>
      <c r="VCF1" s="17"/>
      <c r="VCG1" s="17"/>
      <c r="VCM1" s="17"/>
      <c r="VCN1" s="17"/>
      <c r="VCO1" s="17"/>
      <c r="VCU1" s="17"/>
      <c r="VCV1" s="17"/>
      <c r="VCW1" s="17"/>
      <c r="VDC1" s="17"/>
      <c r="VDD1" s="17"/>
      <c r="VDE1" s="17"/>
      <c r="VDK1" s="17"/>
      <c r="VDL1" s="17"/>
      <c r="VDM1" s="17"/>
      <c r="VDS1" s="17"/>
      <c r="VDT1" s="17"/>
      <c r="VDU1" s="17"/>
      <c r="VEA1" s="17"/>
      <c r="VEB1" s="17"/>
      <c r="VEC1" s="17"/>
      <c r="VEI1" s="17"/>
      <c r="VEJ1" s="17"/>
      <c r="VEK1" s="17"/>
      <c r="VEQ1" s="17"/>
      <c r="VER1" s="17"/>
      <c r="VES1" s="17"/>
      <c r="VEY1" s="17"/>
      <c r="VEZ1" s="17"/>
      <c r="VFA1" s="17"/>
      <c r="VFG1" s="17"/>
      <c r="VFH1" s="17"/>
      <c r="VFI1" s="17"/>
      <c r="VFO1" s="17"/>
      <c r="VFP1" s="17"/>
      <c r="VFQ1" s="17"/>
      <c r="VFW1" s="17"/>
      <c r="VFX1" s="17"/>
      <c r="VFY1" s="17"/>
      <c r="VGE1" s="17"/>
      <c r="VGF1" s="17"/>
      <c r="VGG1" s="17"/>
      <c r="VGM1" s="17"/>
      <c r="VGN1" s="17"/>
      <c r="VGO1" s="17"/>
      <c r="VGU1" s="17"/>
      <c r="VGV1" s="17"/>
      <c r="VGW1" s="17"/>
      <c r="VHC1" s="17"/>
      <c r="VHD1" s="17"/>
      <c r="VHE1" s="17"/>
      <c r="VHK1" s="17"/>
      <c r="VHL1" s="17"/>
      <c r="VHM1" s="17"/>
      <c r="VHS1" s="17"/>
      <c r="VHT1" s="17"/>
      <c r="VHU1" s="17"/>
      <c r="VIA1" s="17"/>
      <c r="VIB1" s="17"/>
      <c r="VIC1" s="17"/>
      <c r="VII1" s="17"/>
      <c r="VIJ1" s="17"/>
      <c r="VIK1" s="17"/>
      <c r="VIQ1" s="17"/>
      <c r="VIR1" s="17"/>
      <c r="VIS1" s="17"/>
      <c r="VIY1" s="17"/>
      <c r="VIZ1" s="17"/>
      <c r="VJA1" s="17"/>
      <c r="VJG1" s="17"/>
      <c r="VJH1" s="17"/>
      <c r="VJI1" s="17"/>
      <c r="VJO1" s="17"/>
      <c r="VJP1" s="17"/>
      <c r="VJQ1" s="17"/>
      <c r="VJW1" s="17"/>
      <c r="VJX1" s="17"/>
      <c r="VJY1" s="17"/>
      <c r="VKE1" s="17"/>
      <c r="VKF1" s="17"/>
      <c r="VKG1" s="17"/>
      <c r="VKM1" s="17"/>
      <c r="VKN1" s="17"/>
      <c r="VKO1" s="17"/>
      <c r="VKU1" s="17"/>
      <c r="VKV1" s="17"/>
      <c r="VKW1" s="17"/>
      <c r="VLC1" s="17"/>
      <c r="VLD1" s="17"/>
      <c r="VLE1" s="17"/>
      <c r="VLK1" s="17"/>
      <c r="VLL1" s="17"/>
      <c r="VLM1" s="17"/>
      <c r="VLS1" s="17"/>
      <c r="VLT1" s="17"/>
      <c r="VLU1" s="17"/>
      <c r="VMA1" s="17"/>
      <c r="VMB1" s="17"/>
      <c r="VMC1" s="17"/>
      <c r="VMI1" s="17"/>
      <c r="VMJ1" s="17"/>
      <c r="VMK1" s="17"/>
      <c r="VMQ1" s="17"/>
      <c r="VMR1" s="17"/>
      <c r="VMS1" s="17"/>
      <c r="VMY1" s="17"/>
      <c r="VMZ1" s="17"/>
      <c r="VNA1" s="17"/>
      <c r="VNG1" s="17"/>
      <c r="VNH1" s="17"/>
      <c r="VNI1" s="17"/>
      <c r="VNO1" s="17"/>
      <c r="VNP1" s="17"/>
      <c r="VNQ1" s="17"/>
      <c r="VNW1" s="17"/>
      <c r="VNX1" s="17"/>
      <c r="VNY1" s="17"/>
      <c r="VOE1" s="17"/>
      <c r="VOF1" s="17"/>
      <c r="VOG1" s="17"/>
      <c r="VOM1" s="17"/>
      <c r="VON1" s="17"/>
      <c r="VOO1" s="17"/>
      <c r="VOU1" s="17"/>
      <c r="VOV1" s="17"/>
      <c r="VOW1" s="17"/>
      <c r="VPC1" s="17"/>
      <c r="VPD1" s="17"/>
      <c r="VPE1" s="17"/>
      <c r="VPK1" s="17"/>
      <c r="VPL1" s="17"/>
      <c r="VPM1" s="17"/>
      <c r="VPS1" s="17"/>
      <c r="VPT1" s="17"/>
      <c r="VPU1" s="17"/>
      <c r="VQA1" s="17"/>
      <c r="VQB1" s="17"/>
      <c r="VQC1" s="17"/>
      <c r="VQI1" s="17"/>
      <c r="VQJ1" s="17"/>
      <c r="VQK1" s="17"/>
      <c r="VQQ1" s="17"/>
      <c r="VQR1" s="17"/>
      <c r="VQS1" s="17"/>
      <c r="VQY1" s="17"/>
      <c r="VQZ1" s="17"/>
      <c r="VRA1" s="17"/>
      <c r="VRG1" s="17"/>
      <c r="VRH1" s="17"/>
      <c r="VRI1" s="17"/>
      <c r="VRO1" s="17"/>
      <c r="VRP1" s="17"/>
      <c r="VRQ1" s="17"/>
      <c r="VRW1" s="17"/>
      <c r="VRX1" s="17"/>
      <c r="VRY1" s="17"/>
      <c r="VSE1" s="17"/>
      <c r="VSF1" s="17"/>
      <c r="VSG1" s="17"/>
      <c r="VSM1" s="17"/>
      <c r="VSN1" s="17"/>
      <c r="VSO1" s="17"/>
      <c r="VSU1" s="17"/>
      <c r="VSV1" s="17"/>
      <c r="VSW1" s="17"/>
      <c r="VTC1" s="17"/>
      <c r="VTD1" s="17"/>
      <c r="VTE1" s="17"/>
      <c r="VTK1" s="17"/>
      <c r="VTL1" s="17"/>
      <c r="VTM1" s="17"/>
      <c r="VTS1" s="17"/>
      <c r="VTT1" s="17"/>
      <c r="VTU1" s="17"/>
      <c r="VUA1" s="17"/>
      <c r="VUB1" s="17"/>
      <c r="VUC1" s="17"/>
      <c r="VUI1" s="17"/>
      <c r="VUJ1" s="17"/>
      <c r="VUK1" s="17"/>
      <c r="VUQ1" s="17"/>
      <c r="VUR1" s="17"/>
      <c r="VUS1" s="17"/>
      <c r="VUY1" s="17"/>
      <c r="VUZ1" s="17"/>
      <c r="VVA1" s="17"/>
      <c r="VVG1" s="17"/>
      <c r="VVH1" s="17"/>
      <c r="VVI1" s="17"/>
      <c r="VVO1" s="17"/>
      <c r="VVP1" s="17"/>
      <c r="VVQ1" s="17"/>
      <c r="VVW1" s="17"/>
      <c r="VVX1" s="17"/>
      <c r="VVY1" s="17"/>
      <c r="VWE1" s="17"/>
      <c r="VWF1" s="17"/>
      <c r="VWG1" s="17"/>
      <c r="VWM1" s="17"/>
      <c r="VWN1" s="17"/>
      <c r="VWO1" s="17"/>
      <c r="VWU1" s="17"/>
      <c r="VWV1" s="17"/>
      <c r="VWW1" s="17"/>
      <c r="VXC1" s="17"/>
      <c r="VXD1" s="17"/>
      <c r="VXE1" s="17"/>
      <c r="VXK1" s="17"/>
      <c r="VXL1" s="17"/>
      <c r="VXM1" s="17"/>
      <c r="VXS1" s="17"/>
      <c r="VXT1" s="17"/>
      <c r="VXU1" s="17"/>
      <c r="VYA1" s="17"/>
      <c r="VYB1" s="17"/>
      <c r="VYC1" s="17"/>
      <c r="VYI1" s="17"/>
      <c r="VYJ1" s="17"/>
      <c r="VYK1" s="17"/>
      <c r="VYQ1" s="17"/>
      <c r="VYR1" s="17"/>
      <c r="VYS1" s="17"/>
      <c r="VYY1" s="17"/>
      <c r="VYZ1" s="17"/>
      <c r="VZA1" s="17"/>
      <c r="VZG1" s="17"/>
      <c r="VZH1" s="17"/>
      <c r="VZI1" s="17"/>
      <c r="VZO1" s="17"/>
      <c r="VZP1" s="17"/>
      <c r="VZQ1" s="17"/>
      <c r="VZW1" s="17"/>
      <c r="VZX1" s="17"/>
      <c r="VZY1" s="17"/>
      <c r="WAE1" s="17"/>
      <c r="WAF1" s="17"/>
      <c r="WAG1" s="17"/>
      <c r="WAM1" s="17"/>
      <c r="WAN1" s="17"/>
      <c r="WAO1" s="17"/>
      <c r="WAU1" s="17"/>
      <c r="WAV1" s="17"/>
      <c r="WAW1" s="17"/>
      <c r="WBC1" s="17"/>
      <c r="WBD1" s="17"/>
      <c r="WBE1" s="17"/>
      <c r="WBK1" s="17"/>
      <c r="WBL1" s="17"/>
      <c r="WBM1" s="17"/>
      <c r="WBS1" s="17"/>
      <c r="WBT1" s="17"/>
      <c r="WBU1" s="17"/>
      <c r="WCA1" s="17"/>
      <c r="WCB1" s="17"/>
      <c r="WCC1" s="17"/>
      <c r="WCI1" s="17"/>
      <c r="WCJ1" s="17"/>
      <c r="WCK1" s="17"/>
      <c r="WCQ1" s="17"/>
      <c r="WCR1" s="17"/>
      <c r="WCS1" s="17"/>
      <c r="WCY1" s="17"/>
      <c r="WCZ1" s="17"/>
      <c r="WDA1" s="17"/>
      <c r="WDG1" s="17"/>
      <c r="WDH1" s="17"/>
      <c r="WDI1" s="17"/>
      <c r="WDO1" s="17"/>
      <c r="WDP1" s="17"/>
      <c r="WDQ1" s="17"/>
      <c r="WDW1" s="17"/>
      <c r="WDX1" s="17"/>
      <c r="WDY1" s="17"/>
      <c r="WEE1" s="17"/>
      <c r="WEF1" s="17"/>
      <c r="WEG1" s="17"/>
      <c r="WEM1" s="17"/>
      <c r="WEN1" s="17"/>
      <c r="WEO1" s="17"/>
      <c r="WEU1" s="17"/>
      <c r="WEV1" s="17"/>
      <c r="WEW1" s="17"/>
      <c r="WFC1" s="17"/>
      <c r="WFD1" s="17"/>
      <c r="WFE1" s="17"/>
      <c r="WFK1" s="17"/>
      <c r="WFL1" s="17"/>
      <c r="WFM1" s="17"/>
      <c r="WFS1" s="17"/>
      <c r="WFT1" s="17"/>
      <c r="WFU1" s="17"/>
      <c r="WGA1" s="17"/>
      <c r="WGB1" s="17"/>
      <c r="WGC1" s="17"/>
      <c r="WGI1" s="17"/>
      <c r="WGJ1" s="17"/>
      <c r="WGK1" s="17"/>
      <c r="WGQ1" s="17"/>
      <c r="WGR1" s="17"/>
      <c r="WGS1" s="17"/>
      <c r="WGY1" s="17"/>
      <c r="WGZ1" s="17"/>
      <c r="WHA1" s="17"/>
      <c r="WHG1" s="17"/>
      <c r="WHH1" s="17"/>
      <c r="WHI1" s="17"/>
      <c r="WHO1" s="17"/>
      <c r="WHP1" s="17"/>
      <c r="WHQ1" s="17"/>
      <c r="WHW1" s="17"/>
      <c r="WHX1" s="17"/>
      <c r="WHY1" s="17"/>
      <c r="WIE1" s="17"/>
      <c r="WIF1" s="17"/>
      <c r="WIG1" s="17"/>
      <c r="WIM1" s="17"/>
      <c r="WIN1" s="17"/>
      <c r="WIO1" s="17"/>
      <c r="WIU1" s="17"/>
      <c r="WIV1" s="17"/>
      <c r="WIW1" s="17"/>
      <c r="WJC1" s="17"/>
      <c r="WJD1" s="17"/>
      <c r="WJE1" s="17"/>
      <c r="WJK1" s="17"/>
      <c r="WJL1" s="17"/>
      <c r="WJM1" s="17"/>
      <c r="WJS1" s="17"/>
      <c r="WJT1" s="17"/>
      <c r="WJU1" s="17"/>
      <c r="WKA1" s="17"/>
      <c r="WKB1" s="17"/>
      <c r="WKC1" s="17"/>
      <c r="WKI1" s="17"/>
      <c r="WKJ1" s="17"/>
      <c r="WKK1" s="17"/>
      <c r="WKQ1" s="17"/>
      <c r="WKR1" s="17"/>
      <c r="WKS1" s="17"/>
      <c r="WKY1" s="17"/>
      <c r="WKZ1" s="17"/>
      <c r="WLA1" s="17"/>
      <c r="WLG1" s="17"/>
      <c r="WLH1" s="17"/>
      <c r="WLI1" s="17"/>
      <c r="WLO1" s="17"/>
      <c r="WLP1" s="17"/>
      <c r="WLQ1" s="17"/>
      <c r="WLW1" s="17"/>
      <c r="WLX1" s="17"/>
      <c r="WLY1" s="17"/>
      <c r="WME1" s="17"/>
      <c r="WMF1" s="17"/>
      <c r="WMG1" s="17"/>
      <c r="WMM1" s="17"/>
      <c r="WMN1" s="17"/>
      <c r="WMO1" s="17"/>
      <c r="WMU1" s="17"/>
      <c r="WMV1" s="17"/>
      <c r="WMW1" s="17"/>
      <c r="WNC1" s="17"/>
      <c r="WND1" s="17"/>
      <c r="WNE1" s="17"/>
      <c r="WNK1" s="17"/>
      <c r="WNL1" s="17"/>
      <c r="WNM1" s="17"/>
      <c r="WNS1" s="17"/>
      <c r="WNT1" s="17"/>
      <c r="WNU1" s="17"/>
      <c r="WOA1" s="17"/>
      <c r="WOB1" s="17"/>
      <c r="WOC1" s="17"/>
      <c r="WOI1" s="17"/>
      <c r="WOJ1" s="17"/>
      <c r="WOK1" s="17"/>
      <c r="WOQ1" s="17"/>
      <c r="WOR1" s="17"/>
      <c r="WOS1" s="17"/>
      <c r="WOY1" s="17"/>
      <c r="WOZ1" s="17"/>
      <c r="WPA1" s="17"/>
      <c r="WPG1" s="17"/>
      <c r="WPH1" s="17"/>
      <c r="WPI1" s="17"/>
      <c r="WPO1" s="17"/>
      <c r="WPP1" s="17"/>
      <c r="WPQ1" s="17"/>
      <c r="WPW1" s="17"/>
      <c r="WPX1" s="17"/>
      <c r="WPY1" s="17"/>
      <c r="WQE1" s="17"/>
      <c r="WQF1" s="17"/>
      <c r="WQG1" s="17"/>
      <c r="WQM1" s="17"/>
      <c r="WQN1" s="17"/>
      <c r="WQO1" s="17"/>
      <c r="WQU1" s="17"/>
      <c r="WQV1" s="17"/>
      <c r="WQW1" s="17"/>
      <c r="WRC1" s="17"/>
      <c r="WRD1" s="17"/>
      <c r="WRE1" s="17"/>
      <c r="WRK1" s="17"/>
      <c r="WRL1" s="17"/>
      <c r="WRM1" s="17"/>
      <c r="WRS1" s="17"/>
      <c r="WRT1" s="17"/>
      <c r="WRU1" s="17"/>
      <c r="WSA1" s="17"/>
      <c r="WSB1" s="17"/>
      <c r="WSC1" s="17"/>
      <c r="WSI1" s="17"/>
      <c r="WSJ1" s="17"/>
      <c r="WSK1" s="17"/>
      <c r="WSQ1" s="17"/>
      <c r="WSR1" s="17"/>
      <c r="WSS1" s="17"/>
      <c r="WSY1" s="17"/>
      <c r="WSZ1" s="17"/>
      <c r="WTA1" s="17"/>
      <c r="WTG1" s="17"/>
      <c r="WTH1" s="17"/>
      <c r="WTI1" s="17"/>
      <c r="WTO1" s="17"/>
      <c r="WTP1" s="17"/>
      <c r="WTQ1" s="17"/>
      <c r="WTW1" s="17"/>
      <c r="WTX1" s="17"/>
      <c r="WTY1" s="17"/>
      <c r="WUE1" s="17"/>
      <c r="WUF1" s="17"/>
      <c r="WUG1" s="17"/>
      <c r="WUM1" s="17"/>
      <c r="WUN1" s="17"/>
      <c r="WUO1" s="17"/>
      <c r="WUU1" s="17"/>
      <c r="WUV1" s="17"/>
      <c r="WUW1" s="17"/>
      <c r="WVC1" s="17"/>
      <c r="WVD1" s="17"/>
      <c r="WVE1" s="17"/>
      <c r="WVK1" s="17"/>
      <c r="WVL1" s="17"/>
      <c r="WVM1" s="17"/>
      <c r="WVS1" s="17"/>
      <c r="WVT1" s="17"/>
      <c r="WVU1" s="17"/>
      <c r="WWA1" s="17"/>
      <c r="WWB1" s="17"/>
      <c r="WWC1" s="17"/>
      <c r="WWI1" s="17"/>
      <c r="WWJ1" s="17"/>
      <c r="WWK1" s="17"/>
      <c r="WWQ1" s="17"/>
      <c r="WWR1" s="17"/>
      <c r="WWS1" s="17"/>
      <c r="WWY1" s="17"/>
      <c r="WWZ1" s="17"/>
      <c r="WXA1" s="17"/>
      <c r="WXG1" s="17"/>
      <c r="WXH1" s="17"/>
      <c r="WXI1" s="17"/>
      <c r="WXO1" s="17"/>
      <c r="WXP1" s="17"/>
      <c r="WXQ1" s="17"/>
      <c r="WXW1" s="17"/>
      <c r="WXX1" s="17"/>
      <c r="WXY1" s="17"/>
      <c r="WYE1" s="17"/>
      <c r="WYF1" s="17"/>
      <c r="WYG1" s="17"/>
      <c r="WYM1" s="17"/>
      <c r="WYN1" s="17"/>
      <c r="WYO1" s="17"/>
      <c r="WYU1" s="17"/>
      <c r="WYV1" s="17"/>
      <c r="WYW1" s="17"/>
      <c r="WZC1" s="17"/>
      <c r="WZD1" s="17"/>
      <c r="WZE1" s="17"/>
      <c r="WZK1" s="17"/>
      <c r="WZL1" s="17"/>
      <c r="WZM1" s="17"/>
      <c r="WZS1" s="17"/>
      <c r="WZT1" s="17"/>
      <c r="WZU1" s="17"/>
      <c r="XAA1" s="17"/>
      <c r="XAB1" s="17"/>
      <c r="XAC1" s="17"/>
      <c r="XAI1" s="17"/>
      <c r="XAJ1" s="17"/>
      <c r="XAK1" s="17"/>
      <c r="XAQ1" s="17"/>
      <c r="XAR1" s="17"/>
      <c r="XAS1" s="17"/>
      <c r="XAY1" s="17"/>
      <c r="XAZ1" s="17"/>
      <c r="XBA1" s="17"/>
      <c r="XBG1" s="17"/>
      <c r="XBH1" s="17"/>
      <c r="XBI1" s="17"/>
      <c r="XBO1" s="17"/>
      <c r="XBP1" s="17"/>
      <c r="XBQ1" s="17"/>
      <c r="XBW1" s="17"/>
      <c r="XBX1" s="17"/>
      <c r="XBY1" s="17"/>
      <c r="XCE1" s="17"/>
      <c r="XCF1" s="17"/>
      <c r="XCG1" s="17"/>
      <c r="XCM1" s="17"/>
      <c r="XCN1" s="17"/>
      <c r="XCO1" s="17"/>
      <c r="XCU1" s="17"/>
      <c r="XCV1" s="17"/>
      <c r="XCW1" s="17"/>
      <c r="XDC1" s="17"/>
      <c r="XDD1" s="17"/>
      <c r="XDE1" s="17"/>
      <c r="XDK1" s="17"/>
      <c r="XDL1" s="17"/>
      <c r="XDM1" s="17"/>
      <c r="XDS1" s="17"/>
      <c r="XDT1" s="17"/>
      <c r="XDU1" s="17"/>
      <c r="XEA1" s="17"/>
      <c r="XEB1" s="17"/>
      <c r="XEC1" s="17"/>
      <c r="XEI1" s="17"/>
      <c r="XEJ1" s="17"/>
      <c r="XEK1" s="17"/>
      <c r="XEQ1" s="17"/>
      <c r="XER1" s="17"/>
      <c r="XES1" s="17"/>
      <c r="XEY1" s="17"/>
      <c r="XEZ1" s="17"/>
      <c r="XFA1" s="17"/>
    </row>
    <row r="2" spans="1:1021 1027:2045 2051:3069 3075:4093 4099:5117 5123:6141 6147:7165 7171:8189 8195:9213 9219:10237 10243:11261 11267:12285 12291:13309 13315:14333 14339:15357 15363:16381" x14ac:dyDescent="0.3">
      <c r="A2" s="5" t="s">
        <v>6</v>
      </c>
      <c r="B2" s="6" t="s">
        <v>132</v>
      </c>
    </row>
    <row r="3" spans="1:1021 1027:2045 2051:3069 3075:4093 4099:5117 5123:6141 6147:7165 7171:8189 8195:9213 9219:10237 10243:11261 11267:12285 12291:13309 13315:14333 14339:15357 15363:16381" x14ac:dyDescent="0.3">
      <c r="A3" s="5" t="s">
        <v>3</v>
      </c>
      <c r="B3" s="6" t="s">
        <v>4</v>
      </c>
    </row>
    <row r="4" spans="1:1021 1027:2045 2051:3069 3075:4093 4099:5117 5123:6141 6147:7165 7171:8189 8195:9213 9219:10237 10243:11261 11267:12285 12291:13309 13315:14333 14339:15357 15363:16381" x14ac:dyDescent="0.3">
      <c r="A4" s="5" t="s">
        <v>5</v>
      </c>
      <c r="B4" s="6">
        <v>1</v>
      </c>
    </row>
    <row r="5" spans="1:1021 1027:2045 2051:3069 3075:4093 4099:5117 5123:6141 6147:7165 7171:8189 8195:9213 9219:10237 10243:11261 11267:12285 12291:13309 13315:14333 14339:15357 15363:16381" x14ac:dyDescent="0.3">
      <c r="A5" s="5" t="s">
        <v>7</v>
      </c>
      <c r="B5" s="6" t="s">
        <v>8</v>
      </c>
    </row>
    <row r="6" spans="1:1021 1027:2045 2051:3069 3075:4093 4099:5117 5123:6141 6147:7165 7171:8189 8195:9213 9219:10237 10243:11261 11267:12285 12291:13309 13315:14333 14339:15357 15363:16381" x14ac:dyDescent="0.3">
      <c r="A6" s="5" t="s">
        <v>2</v>
      </c>
      <c r="B6" s="6" t="s">
        <v>473</v>
      </c>
    </row>
    <row r="7" spans="1:1021 1027:2045 2051:3069 3075:4093 4099:5117 5123:6141 6147:7165 7171:8189 8195:9213 9219:10237 10243:11261 11267:12285 12291:13309 13315:14333 14339:15357 15363:16381" x14ac:dyDescent="0.3">
      <c r="A7" s="5" t="s">
        <v>9</v>
      </c>
    </row>
    <row r="8" spans="1:1021 1027:2045 2051:3069 3075:4093 4099:5117 5123:6141 6147:7165 7171:8189 8195:9213 9219:10237 10243:11261 11267:12285 12291:13309 13315:14333 14339:15357 15363:16381" s="1" customFormat="1" x14ac:dyDescent="0.3">
      <c r="A8" s="5" t="s">
        <v>10</v>
      </c>
      <c r="B8" s="5" t="s">
        <v>6</v>
      </c>
      <c r="C8" s="5" t="s">
        <v>3</v>
      </c>
      <c r="D8" s="5" t="s">
        <v>11</v>
      </c>
      <c r="E8" s="5" t="s">
        <v>7</v>
      </c>
      <c r="F8" s="5" t="s">
        <v>13</v>
      </c>
      <c r="G8" s="5" t="s">
        <v>12</v>
      </c>
      <c r="H8" s="5" t="s">
        <v>0</v>
      </c>
      <c r="I8" s="42" t="s">
        <v>656</v>
      </c>
      <c r="J8" s="42" t="s">
        <v>691</v>
      </c>
      <c r="K8" s="1" t="s">
        <v>2</v>
      </c>
    </row>
    <row r="9" spans="1:1021 1027:2045 2051:3069 3075:4093 4099:5117 5123:6141 6147:7165 7171:8189 8195:9213 9219:10237 10243:11261 11267:12285 12291:13309 13315:14333 14339:15357 15363:16381" x14ac:dyDescent="0.3">
      <c r="A9" s="6" t="s">
        <v>472</v>
      </c>
      <c r="B9" s="6" t="s">
        <v>132</v>
      </c>
      <c r="C9" s="6" t="s">
        <v>4</v>
      </c>
      <c r="D9" s="15">
        <v>1</v>
      </c>
      <c r="E9" s="6" t="s">
        <v>8</v>
      </c>
      <c r="F9" s="6" t="s">
        <v>14</v>
      </c>
      <c r="H9" s="6" t="str">
        <f>Intro!$B$3</f>
        <v>LIB raw materials</v>
      </c>
    </row>
    <row r="10" spans="1:1021 1027:2045 2051:3069 3075:4093 4099:5117 5123:6141 6147:7165 7171:8189 8195:9213 9219:10237 10243:11261 11267:12285 12291:13309 13315:14333 14339:15357 15363:16381" x14ac:dyDescent="0.3">
      <c r="A10" s="6" t="s">
        <v>471</v>
      </c>
      <c r="B10" s="6" t="s">
        <v>116</v>
      </c>
      <c r="C10" s="6" t="s">
        <v>113</v>
      </c>
      <c r="D10" s="15">
        <v>1.1000000000000001</v>
      </c>
      <c r="E10" s="6" t="s">
        <v>8</v>
      </c>
      <c r="F10" s="6" t="s">
        <v>15</v>
      </c>
      <c r="H10" s="6" t="str">
        <f>Intro!$B$3</f>
        <v>LIB raw materials</v>
      </c>
      <c r="I10" s="75">
        <v>0</v>
      </c>
      <c r="J10" s="77" t="s">
        <v>770</v>
      </c>
    </row>
    <row r="11" spans="1:1021 1027:2045 2051:3069 3075:4093 4099:5117 5123:6141 6147:7165 7171:8189 8195:9213 9219:10237 10243:11261 11267:12285 12291:13309 13315:14333 14339:15357 15363:16381" x14ac:dyDescent="0.3">
      <c r="A11" s="6" t="s">
        <v>27</v>
      </c>
      <c r="B11" s="6" t="s">
        <v>29</v>
      </c>
      <c r="C11" s="6" t="s">
        <v>4</v>
      </c>
      <c r="D11" s="15">
        <v>1.2</v>
      </c>
      <c r="E11" s="6" t="s">
        <v>28</v>
      </c>
      <c r="F11" s="6" t="s">
        <v>15</v>
      </c>
      <c r="H11" s="6" t="str">
        <f>Intro!$B$4</f>
        <v>ecoinvent-3.10-cutoff</v>
      </c>
      <c r="I11" s="75">
        <v>0</v>
      </c>
      <c r="J11" s="77" t="s">
        <v>770</v>
      </c>
    </row>
    <row r="12" spans="1:1021 1027:2045 2051:3069 3075:4093 4099:5117 5123:6141 6147:7165 7171:8189 8195:9213 9219:10237 10243:11261 11267:12285 12291:13309 13315:14333 14339:15357 15363:16381" x14ac:dyDescent="0.3">
      <c r="A12" t="s">
        <v>296</v>
      </c>
      <c r="B12" t="s">
        <v>80</v>
      </c>
      <c r="C12" t="s">
        <v>24</v>
      </c>
      <c r="D12" s="15">
        <v>1.2</v>
      </c>
      <c r="E12" t="s">
        <v>30</v>
      </c>
      <c r="F12" t="s">
        <v>15</v>
      </c>
      <c r="G12"/>
      <c r="H12" t="str">
        <f>Intro!$B$4</f>
        <v>ecoinvent-3.10-cutoff</v>
      </c>
      <c r="I12" s="75">
        <v>0</v>
      </c>
      <c r="J12" s="77" t="s">
        <v>770</v>
      </c>
      <c r="K12" s="29" t="s">
        <v>297</v>
      </c>
    </row>
    <row r="13" spans="1:1021 1027:2045 2051:3069 3075:4093 4099:5117 5123:6141 6147:7165 7171:8189 8195:9213 9219:10237 10243:11261 11267:12285 12291:13309 13315:14333 14339:15357 15363:16381" x14ac:dyDescent="0.3">
      <c r="A13" s="6" t="s">
        <v>256</v>
      </c>
      <c r="B13" s="6" t="s">
        <v>236</v>
      </c>
      <c r="C13" s="6" t="s">
        <v>4</v>
      </c>
      <c r="D13" s="15">
        <v>7.7</v>
      </c>
      <c r="E13" s="6" t="s">
        <v>30</v>
      </c>
      <c r="F13" s="6" t="s">
        <v>15</v>
      </c>
      <c r="H13" s="6" t="str">
        <f>Intro!$B$3</f>
        <v>LIB raw materials</v>
      </c>
      <c r="I13" s="75">
        <v>0</v>
      </c>
      <c r="J13" s="77" t="s">
        <v>770</v>
      </c>
    </row>
    <row r="14" spans="1:1021 1027:2045 2051:3069 3075:4093 4099:5117 5123:6141 6147:7165 7171:8189 8195:9213 9219:10237 10243:11261 11267:12285 12291:13309 13315:14333 14339:15357 15363:16381" x14ac:dyDescent="0.3">
      <c r="A14" s="6" t="s">
        <v>477</v>
      </c>
      <c r="B14" s="6" t="s">
        <v>137</v>
      </c>
      <c r="C14" s="6" t="s">
        <v>18</v>
      </c>
      <c r="D14" s="16">
        <v>0.03</v>
      </c>
      <c r="E14" s="6" t="s">
        <v>8</v>
      </c>
      <c r="F14" s="6" t="s">
        <v>15</v>
      </c>
      <c r="H14" s="6" t="str">
        <f>Intro!$B$4</f>
        <v>ecoinvent-3.10-cutoff</v>
      </c>
      <c r="I14" s="75">
        <v>0</v>
      </c>
      <c r="J14" s="77" t="s">
        <v>770</v>
      </c>
    </row>
    <row r="15" spans="1:1021 1027:2045 2051:3069 3075:4093 4099:5117 5123:6141 6147:7165 7171:8189 8195:9213 9219:10237 10243:11261 11267:12285 12291:13309 13315:14333 14339:15357 15363:16381" x14ac:dyDescent="0.3">
      <c r="A15" s="6" t="s">
        <v>138</v>
      </c>
      <c r="B15" s="6" t="s">
        <v>139</v>
      </c>
      <c r="C15" s="6" t="s">
        <v>24</v>
      </c>
      <c r="D15" s="16">
        <v>0.22</v>
      </c>
      <c r="E15" s="6" t="s">
        <v>8</v>
      </c>
      <c r="F15" s="6" t="s">
        <v>15</v>
      </c>
      <c r="H15" s="6" t="str">
        <f>Intro!$B$4</f>
        <v>ecoinvent-3.10-cutoff</v>
      </c>
      <c r="I15" s="75">
        <v>0</v>
      </c>
      <c r="J15" s="77" t="s">
        <v>770</v>
      </c>
    </row>
    <row r="16" spans="1:1021 1027:2045 2051:3069 3075:4093 4099:5117 5123:6141 6147:7165 7171:8189 8195:9213 9219:10237 10243:11261 11267:12285 12291:13309 13315:14333 14339:15357 15363:16381" x14ac:dyDescent="0.3">
      <c r="A16" s="6" t="s">
        <v>45</v>
      </c>
      <c r="B16" s="6" t="s">
        <v>46</v>
      </c>
      <c r="C16" s="6" t="s">
        <v>24</v>
      </c>
      <c r="D16" s="16">
        <v>1.8</v>
      </c>
      <c r="E16" s="6" t="s">
        <v>8</v>
      </c>
      <c r="F16" s="6" t="s">
        <v>15</v>
      </c>
      <c r="H16" s="6" t="str">
        <f>Intro!$B$4</f>
        <v>ecoinvent-3.10-cutoff</v>
      </c>
      <c r="I16" s="75">
        <v>0</v>
      </c>
      <c r="J16" s="77" t="s">
        <v>770</v>
      </c>
    </row>
    <row r="17" spans="1:1021 1027:2045 2051:3069 3075:4093 4099:5117 5123:6141 6147:7165 7171:8189 8195:9213 9219:10237 10243:11261 11267:12285 12291:13309 13315:14333 14339:15357 15363:16381" x14ac:dyDescent="0.3">
      <c r="A17" s="6" t="s">
        <v>85</v>
      </c>
      <c r="B17" s="6" t="s">
        <v>86</v>
      </c>
      <c r="C17" s="6" t="s">
        <v>24</v>
      </c>
      <c r="D17" s="16">
        <v>1.9E-2</v>
      </c>
      <c r="E17" s="6" t="s">
        <v>8</v>
      </c>
      <c r="F17" s="6" t="s">
        <v>15</v>
      </c>
      <c r="H17" s="6" t="str">
        <f>Intro!$B$4</f>
        <v>ecoinvent-3.10-cutoff</v>
      </c>
      <c r="I17" s="75">
        <v>0</v>
      </c>
      <c r="J17" s="77" t="s">
        <v>770</v>
      </c>
    </row>
    <row r="18" spans="1:1021 1027:2045 2051:3069 3075:4093 4099:5117 5123:6141 6147:7165 7171:8189 8195:9213 9219:10237 10243:11261 11267:12285 12291:13309 13315:14333 14339:15357 15363:16381" x14ac:dyDescent="0.3">
      <c r="A18" s="6" t="s">
        <v>51</v>
      </c>
      <c r="B18" s="6" t="s">
        <v>52</v>
      </c>
      <c r="C18" s="6" t="s">
        <v>24</v>
      </c>
      <c r="D18" s="16">
        <v>7.6E-3</v>
      </c>
      <c r="E18" s="6" t="s">
        <v>8</v>
      </c>
      <c r="F18" s="6" t="s">
        <v>15</v>
      </c>
      <c r="H18" s="6" t="str">
        <f>Intro!$B$4</f>
        <v>ecoinvent-3.10-cutoff</v>
      </c>
      <c r="I18" s="75">
        <v>0</v>
      </c>
      <c r="J18" s="77" t="s">
        <v>770</v>
      </c>
    </row>
    <row r="19" spans="1:1021 1027:2045 2051:3069 3075:4093 4099:5117 5123:6141 6147:7165 7171:8189 8195:9213 9219:10237 10243:11261 11267:12285 12291:13309 13315:14333 14339:15357 15363:16381" x14ac:dyDescent="0.3">
      <c r="A19" s="6" t="s">
        <v>135</v>
      </c>
      <c r="B19" s="6" t="s">
        <v>136</v>
      </c>
      <c r="C19" s="6" t="s">
        <v>24</v>
      </c>
      <c r="D19" s="16">
        <v>2.3E-2</v>
      </c>
      <c r="E19" s="6" t="s">
        <v>8</v>
      </c>
      <c r="F19" s="6" t="s">
        <v>15</v>
      </c>
      <c r="H19" s="6" t="str">
        <f>Intro!$B$4</f>
        <v>ecoinvent-3.10-cutoff</v>
      </c>
      <c r="I19" s="75">
        <v>0</v>
      </c>
      <c r="J19" s="77" t="s">
        <v>770</v>
      </c>
    </row>
    <row r="20" spans="1:1021 1027:2045 2051:3069 3075:4093 4099:5117 5123:6141 6147:7165 7171:8189 8195:9213 9219:10237 10243:11261 11267:12285 12291:13309 13315:14333 14339:15357 15363:16381" x14ac:dyDescent="0.3">
      <c r="A20" s="6" t="s">
        <v>140</v>
      </c>
      <c r="B20" s="6" t="s">
        <v>141</v>
      </c>
      <c r="C20" s="6" t="s">
        <v>18</v>
      </c>
      <c r="D20" s="16">
        <v>3.4000000000000002E-2</v>
      </c>
      <c r="E20" s="6" t="s">
        <v>8</v>
      </c>
      <c r="F20" s="6" t="s">
        <v>15</v>
      </c>
      <c r="H20" s="6" t="str">
        <f>Intro!$B$4</f>
        <v>ecoinvent-3.10-cutoff</v>
      </c>
      <c r="I20" s="75">
        <v>0</v>
      </c>
      <c r="J20" s="77" t="s">
        <v>770</v>
      </c>
    </row>
    <row r="21" spans="1:1021 1027:2045 2051:3069 3075:4093 4099:5117 5123:6141 6147:7165 7171:8189 8195:9213 9219:10237 10243:11261 11267:12285 12291:13309 13315:14333 14339:15357 15363:16381" x14ac:dyDescent="0.3">
      <c r="A21" s="6" t="s">
        <v>123</v>
      </c>
      <c r="B21" s="6" t="s">
        <v>124</v>
      </c>
      <c r="C21" s="6" t="s">
        <v>24</v>
      </c>
      <c r="D21" s="16">
        <v>3.3</v>
      </c>
      <c r="E21" s="6" t="s">
        <v>8</v>
      </c>
      <c r="F21" s="6" t="s">
        <v>15</v>
      </c>
      <c r="H21" s="6" t="str">
        <f>Intro!$B$4</f>
        <v>ecoinvent-3.10-cutoff</v>
      </c>
      <c r="I21" s="75">
        <v>0</v>
      </c>
      <c r="J21" s="77" t="s">
        <v>770</v>
      </c>
    </row>
    <row r="22" spans="1:1021 1027:2045 2051:3069 3075:4093 4099:5117 5123:6141 6147:7165 7171:8189 8195:9213 9219:10237 10243:11261 11267:12285 12291:13309 13315:14333 14339:15357 15363:16381" x14ac:dyDescent="0.3">
      <c r="A22" s="6" t="s">
        <v>133</v>
      </c>
      <c r="B22" s="6" t="s">
        <v>134</v>
      </c>
      <c r="C22" s="6" t="s">
        <v>24</v>
      </c>
      <c r="D22" s="16">
        <v>1</v>
      </c>
      <c r="E22" s="6" t="s">
        <v>8</v>
      </c>
      <c r="F22" s="6" t="s">
        <v>15</v>
      </c>
      <c r="H22" s="6" t="str">
        <f>Intro!$B$4</f>
        <v>ecoinvent-3.10-cutoff</v>
      </c>
      <c r="I22" s="75">
        <v>0</v>
      </c>
      <c r="J22" s="77" t="s">
        <v>770</v>
      </c>
    </row>
    <row r="23" spans="1:1021 1027:2045 2051:3069 3075:4093 4099:5117 5123:6141 6147:7165 7171:8189 8195:9213 9219:10237 10243:11261 11267:12285 12291:13309 13315:14333 14339:15357 15363:16381" x14ac:dyDescent="0.3">
      <c r="A23" s="6" t="s">
        <v>142</v>
      </c>
      <c r="B23" s="6" t="s">
        <v>143</v>
      </c>
      <c r="C23" s="6" t="s">
        <v>24</v>
      </c>
      <c r="D23" s="16">
        <v>3.2859232000000002E-2</v>
      </c>
      <c r="E23" s="6" t="s">
        <v>17</v>
      </c>
      <c r="F23" s="6" t="s">
        <v>15</v>
      </c>
      <c r="H23" s="6" t="str">
        <f>Intro!$B$4</f>
        <v>ecoinvent-3.10-cutoff</v>
      </c>
      <c r="I23" s="75">
        <v>0</v>
      </c>
      <c r="J23" s="77" t="s">
        <v>770</v>
      </c>
    </row>
    <row r="24" spans="1:1021 1027:2045 2051:3069 3075:4093 4099:5117 5123:6141 6147:7165 7171:8189 8195:9213 9219:10237 10243:11261 11267:12285 12291:13309 13315:14333 14339:15357 15363:16381" x14ac:dyDescent="0.3">
      <c r="A24" s="6" t="s">
        <v>144</v>
      </c>
      <c r="B24" s="6" t="s">
        <v>145</v>
      </c>
      <c r="C24" s="6" t="s">
        <v>24</v>
      </c>
      <c r="D24" s="16">
        <v>2.6585139999999998E-3</v>
      </c>
      <c r="E24" s="6" t="s">
        <v>17</v>
      </c>
      <c r="F24" s="6" t="s">
        <v>15</v>
      </c>
      <c r="H24" s="6" t="str">
        <f>Intro!$B$4</f>
        <v>ecoinvent-3.10-cutoff</v>
      </c>
      <c r="I24" s="75">
        <v>0</v>
      </c>
      <c r="J24" s="77" t="s">
        <v>770</v>
      </c>
    </row>
    <row r="25" spans="1:1021 1027:2045 2051:3069 3075:4093 4099:5117 5123:6141 6147:7165 7171:8189 8195:9213 9219:10237 10243:11261 11267:12285 12291:13309 13315:14333 14339:15357 15363:16381" x14ac:dyDescent="0.3">
      <c r="A25" s="6" t="s">
        <v>23</v>
      </c>
      <c r="B25" s="6" t="s">
        <v>25</v>
      </c>
      <c r="C25" s="6" t="s">
        <v>24</v>
      </c>
      <c r="D25" s="16">
        <v>2.2225175999999999E-2</v>
      </c>
      <c r="E25" s="6" t="s">
        <v>17</v>
      </c>
      <c r="F25" s="6" t="s">
        <v>15</v>
      </c>
      <c r="H25" s="6" t="str">
        <f>Intro!$B$4</f>
        <v>ecoinvent-3.10-cutoff</v>
      </c>
      <c r="I25" s="75">
        <v>0</v>
      </c>
      <c r="J25" s="77" t="s">
        <v>770</v>
      </c>
    </row>
    <row r="26" spans="1:1021 1027:2045 2051:3069 3075:4093 4099:5117 5123:6141 6147:7165 7171:8189 8195:9213 9219:10237 10243:11261 11267:12285 12291:13309 13315:14333 14339:15357 15363:16381" x14ac:dyDescent="0.3">
      <c r="A26" s="6" t="s">
        <v>146</v>
      </c>
      <c r="B26" s="6" t="s">
        <v>147</v>
      </c>
      <c r="C26" s="6" t="s">
        <v>18</v>
      </c>
      <c r="D26" s="16">
        <v>6.3697992999999994E-2</v>
      </c>
      <c r="E26" s="6" t="s">
        <v>17</v>
      </c>
      <c r="F26" s="6" t="s">
        <v>15</v>
      </c>
      <c r="H26" s="6" t="str">
        <f>Intro!$B$4</f>
        <v>ecoinvent-3.10-cutoff</v>
      </c>
      <c r="I26" s="75">
        <v>0</v>
      </c>
      <c r="J26" s="77" t="s">
        <v>770</v>
      </c>
    </row>
    <row r="27" spans="1:1021 1027:2045 2051:3069 3075:4093 4099:5117 5123:6141 6147:7165 7171:8189 8195:9213 9219:10237 10243:11261 11267:12285 12291:13309 13315:14333 14339:15357 15363:16381" x14ac:dyDescent="0.3">
      <c r="A27" s="6" t="s">
        <v>56</v>
      </c>
      <c r="B27" s="6" t="s">
        <v>57</v>
      </c>
      <c r="C27" s="6" t="s">
        <v>24</v>
      </c>
      <c r="D27" s="16">
        <v>-1.9E-2</v>
      </c>
      <c r="E27" s="6" t="s">
        <v>43</v>
      </c>
      <c r="F27" s="6" t="s">
        <v>15</v>
      </c>
      <c r="H27" s="6" t="str">
        <f>Intro!$B$4</f>
        <v>ecoinvent-3.10-cutoff</v>
      </c>
      <c r="I27" s="75">
        <v>0</v>
      </c>
      <c r="J27" s="77" t="s">
        <v>770</v>
      </c>
    </row>
    <row r="28" spans="1:1021 1027:2045 2051:3069 3075:4093 4099:5117 5123:6141 6147:7165 7171:8189 8195:9213 9219:10237 10243:11261 11267:12285 12291:13309 13315:14333 14339:15357 15363:16381" x14ac:dyDescent="0.3">
      <c r="A28" s="6" t="s">
        <v>150</v>
      </c>
      <c r="B28" s="6" t="s">
        <v>151</v>
      </c>
      <c r="C28" s="6" t="s">
        <v>18</v>
      </c>
      <c r="D28" s="14">
        <v>4.0000000000000001E-10</v>
      </c>
      <c r="E28" s="6" t="s">
        <v>7</v>
      </c>
      <c r="F28" s="6" t="s">
        <v>15</v>
      </c>
      <c r="H28" s="6" t="str">
        <f>Intro!$B$4</f>
        <v>ecoinvent-3.10-cutoff</v>
      </c>
      <c r="I28" s="75">
        <v>0</v>
      </c>
      <c r="J28" s="77" t="s">
        <v>770</v>
      </c>
    </row>
    <row r="29" spans="1:1021 1027:2045 2051:3069 3075:4093 4099:5117 5123:6141 6147:7165 7171:8189 8195:9213 9219:10237 10243:11261 11267:12285 12291:13309 13315:14333 14339:15357 15363:16381" x14ac:dyDescent="0.3">
      <c r="A29" s="6" t="s">
        <v>152</v>
      </c>
      <c r="D29" s="16">
        <v>1.9E-2</v>
      </c>
      <c r="E29" s="6" t="s">
        <v>43</v>
      </c>
      <c r="F29" s="6" t="s">
        <v>39</v>
      </c>
      <c r="G29" s="6" t="s">
        <v>153</v>
      </c>
      <c r="H29" s="6" t="str">
        <f>Intro!$B$5</f>
        <v>ecoinvent-3.10-biosphere</v>
      </c>
      <c r="I29" s="75">
        <v>0</v>
      </c>
      <c r="J29" s="77" t="s">
        <v>770</v>
      </c>
    </row>
    <row r="30" spans="1:1021 1027:2045 2051:3069 3075:4093 4099:5117 5123:6141 6147:7165 7171:8189 8195:9213 9219:10237 10243:11261 11267:12285 12291:13309 13315:14333 14339:15357 15363:16381" x14ac:dyDescent="0.3">
      <c r="A30" s="6" t="s">
        <v>54</v>
      </c>
      <c r="D30" s="16">
        <v>2.3245761180933701E-4</v>
      </c>
      <c r="E30" s="6" t="s">
        <v>43</v>
      </c>
      <c r="F30" s="6" t="s">
        <v>39</v>
      </c>
      <c r="G30" s="6" t="s">
        <v>154</v>
      </c>
      <c r="H30" s="6" t="str">
        <f>Intro!$B$5</f>
        <v>ecoinvent-3.10-biosphere</v>
      </c>
      <c r="I30" s="75">
        <v>0</v>
      </c>
      <c r="J30" s="77" t="s">
        <v>770</v>
      </c>
    </row>
    <row r="31" spans="1:1021 1027:2045 2051:3069 3075:4093 4099:5117 5123:6141 6147:7165 7171:8189 8195:9213 9219:10237 10243:11261 11267:12285 12291:13309 13315:14333 14339:15357 15363:16381" s="4" customFormat="1" x14ac:dyDescent="0.3">
      <c r="A31" s="8"/>
      <c r="B31" s="8"/>
      <c r="C31" s="8"/>
      <c r="D31" s="8"/>
      <c r="E31" s="8"/>
      <c r="F31" s="8"/>
      <c r="G31" s="8"/>
      <c r="H31" s="8"/>
      <c r="I31" s="8"/>
      <c r="J31" s="8"/>
    </row>
    <row r="32" spans="1:1021 1027:2045 2051:3069 3075:4093 4099:5117 5123:6141 6147:7165 7171:8189 8195:9213 9219:10237 10243:11261 11267:12285 12291:13309 13315:14333 14339:15357 15363:16381" s="3" customFormat="1" x14ac:dyDescent="0.3">
      <c r="A32" s="10" t="s">
        <v>1</v>
      </c>
      <c r="B32" s="10" t="s">
        <v>471</v>
      </c>
      <c r="C32" s="10"/>
      <c r="D32" s="9"/>
      <c r="E32" s="9"/>
      <c r="F32" s="9"/>
      <c r="G32" s="9"/>
      <c r="H32" s="9"/>
      <c r="I32" s="9"/>
      <c r="J32" s="9"/>
      <c r="K32" s="17"/>
      <c r="L32" s="17"/>
      <c r="M32" s="17"/>
      <c r="S32" s="17"/>
      <c r="T32" s="17"/>
      <c r="U32" s="17"/>
      <c r="AA32" s="17"/>
      <c r="AB32" s="17"/>
      <c r="AC32" s="17"/>
      <c r="AI32" s="17"/>
      <c r="AJ32" s="17"/>
      <c r="AK32" s="17"/>
      <c r="AQ32" s="17"/>
      <c r="AR32" s="17"/>
      <c r="AS32" s="17"/>
      <c r="AY32" s="17"/>
      <c r="AZ32" s="17"/>
      <c r="BA32" s="17"/>
      <c r="BG32" s="17"/>
      <c r="BH32" s="17"/>
      <c r="BI32" s="17"/>
      <c r="BO32" s="17"/>
      <c r="BP32" s="17"/>
      <c r="BQ32" s="17"/>
      <c r="BW32" s="17"/>
      <c r="BX32" s="17"/>
      <c r="BY32" s="17"/>
      <c r="CE32" s="17"/>
      <c r="CF32" s="17"/>
      <c r="CG32" s="17"/>
      <c r="CM32" s="17"/>
      <c r="CN32" s="17"/>
      <c r="CO32" s="17"/>
      <c r="CU32" s="17"/>
      <c r="CV32" s="17"/>
      <c r="CW32" s="17"/>
      <c r="DC32" s="17"/>
      <c r="DD32" s="17"/>
      <c r="DE32" s="17"/>
      <c r="DK32" s="17"/>
      <c r="DL32" s="17"/>
      <c r="DM32" s="17"/>
      <c r="DS32" s="17"/>
      <c r="DT32" s="17"/>
      <c r="DU32" s="17"/>
      <c r="EA32" s="17"/>
      <c r="EB32" s="17"/>
      <c r="EC32" s="17"/>
      <c r="EI32" s="17"/>
      <c r="EJ32" s="17"/>
      <c r="EK32" s="17"/>
      <c r="EQ32" s="17"/>
      <c r="ER32" s="17"/>
      <c r="ES32" s="17"/>
      <c r="EY32" s="17"/>
      <c r="EZ32" s="17"/>
      <c r="FA32" s="17"/>
      <c r="FG32" s="17"/>
      <c r="FH32" s="17"/>
      <c r="FI32" s="17"/>
      <c r="FO32" s="17"/>
      <c r="FP32" s="17"/>
      <c r="FQ32" s="17"/>
      <c r="FW32" s="17"/>
      <c r="FX32" s="17"/>
      <c r="FY32" s="17"/>
      <c r="GE32" s="17"/>
      <c r="GF32" s="17"/>
      <c r="GG32" s="17"/>
      <c r="GM32" s="17"/>
      <c r="GN32" s="17"/>
      <c r="GO32" s="17"/>
      <c r="GU32" s="17"/>
      <c r="GV32" s="17"/>
      <c r="GW32" s="17"/>
      <c r="HC32" s="17"/>
      <c r="HD32" s="17"/>
      <c r="HE32" s="17"/>
      <c r="HK32" s="17"/>
      <c r="HL32" s="17"/>
      <c r="HM32" s="17"/>
      <c r="HS32" s="17"/>
      <c r="HT32" s="17"/>
      <c r="HU32" s="17"/>
      <c r="IA32" s="17"/>
      <c r="IB32" s="17"/>
      <c r="IC32" s="17"/>
      <c r="II32" s="17"/>
      <c r="IJ32" s="17"/>
      <c r="IK32" s="17"/>
      <c r="IQ32" s="17"/>
      <c r="IR32" s="17"/>
      <c r="IS32" s="17"/>
      <c r="IY32" s="17"/>
      <c r="IZ32" s="17"/>
      <c r="JA32" s="17"/>
      <c r="JG32" s="17"/>
      <c r="JH32" s="17"/>
      <c r="JI32" s="17"/>
      <c r="JO32" s="17"/>
      <c r="JP32" s="17"/>
      <c r="JQ32" s="17"/>
      <c r="JW32" s="17"/>
      <c r="JX32" s="17"/>
      <c r="JY32" s="17"/>
      <c r="KE32" s="17"/>
      <c r="KF32" s="17"/>
      <c r="KG32" s="17"/>
      <c r="KM32" s="17"/>
      <c r="KN32" s="17"/>
      <c r="KO32" s="17"/>
      <c r="KU32" s="17"/>
      <c r="KV32" s="17"/>
      <c r="KW32" s="17"/>
      <c r="LC32" s="17"/>
      <c r="LD32" s="17"/>
      <c r="LE32" s="17"/>
      <c r="LK32" s="17"/>
      <c r="LL32" s="17"/>
      <c r="LM32" s="17"/>
      <c r="LS32" s="17"/>
      <c r="LT32" s="17"/>
      <c r="LU32" s="17"/>
      <c r="MA32" s="17"/>
      <c r="MB32" s="17"/>
      <c r="MC32" s="17"/>
      <c r="MI32" s="17"/>
      <c r="MJ32" s="17"/>
      <c r="MK32" s="17"/>
      <c r="MQ32" s="17"/>
      <c r="MR32" s="17"/>
      <c r="MS32" s="17"/>
      <c r="MY32" s="17"/>
      <c r="MZ32" s="17"/>
      <c r="NA32" s="17"/>
      <c r="NG32" s="17"/>
      <c r="NH32" s="17"/>
      <c r="NI32" s="17"/>
      <c r="NO32" s="17"/>
      <c r="NP32" s="17"/>
      <c r="NQ32" s="17"/>
      <c r="NW32" s="17"/>
      <c r="NX32" s="17"/>
      <c r="NY32" s="17"/>
      <c r="OE32" s="17"/>
      <c r="OF32" s="17"/>
      <c r="OG32" s="17"/>
      <c r="OM32" s="17"/>
      <c r="ON32" s="17"/>
      <c r="OO32" s="17"/>
      <c r="OU32" s="17"/>
      <c r="OV32" s="17"/>
      <c r="OW32" s="17"/>
      <c r="PC32" s="17"/>
      <c r="PD32" s="17"/>
      <c r="PE32" s="17"/>
      <c r="PK32" s="17"/>
      <c r="PL32" s="17"/>
      <c r="PM32" s="17"/>
      <c r="PS32" s="17"/>
      <c r="PT32" s="17"/>
      <c r="PU32" s="17"/>
      <c r="QA32" s="17"/>
      <c r="QB32" s="17"/>
      <c r="QC32" s="17"/>
      <c r="QI32" s="17"/>
      <c r="QJ32" s="17"/>
      <c r="QK32" s="17"/>
      <c r="QQ32" s="17"/>
      <c r="QR32" s="17"/>
      <c r="QS32" s="17"/>
      <c r="QY32" s="17"/>
      <c r="QZ32" s="17"/>
      <c r="RA32" s="17"/>
      <c r="RG32" s="17"/>
      <c r="RH32" s="17"/>
      <c r="RI32" s="17"/>
      <c r="RO32" s="17"/>
      <c r="RP32" s="17"/>
      <c r="RQ32" s="17"/>
      <c r="RW32" s="17"/>
      <c r="RX32" s="17"/>
      <c r="RY32" s="17"/>
      <c r="SE32" s="17"/>
      <c r="SF32" s="17"/>
      <c r="SG32" s="17"/>
      <c r="SM32" s="17"/>
      <c r="SN32" s="17"/>
      <c r="SO32" s="17"/>
      <c r="SU32" s="17"/>
      <c r="SV32" s="17"/>
      <c r="SW32" s="17"/>
      <c r="TC32" s="17"/>
      <c r="TD32" s="17"/>
      <c r="TE32" s="17"/>
      <c r="TK32" s="17"/>
      <c r="TL32" s="17"/>
      <c r="TM32" s="17"/>
      <c r="TS32" s="17"/>
      <c r="TT32" s="17"/>
      <c r="TU32" s="17"/>
      <c r="UA32" s="17"/>
      <c r="UB32" s="17"/>
      <c r="UC32" s="17"/>
      <c r="UI32" s="17"/>
      <c r="UJ32" s="17"/>
      <c r="UK32" s="17"/>
      <c r="UQ32" s="17"/>
      <c r="UR32" s="17"/>
      <c r="US32" s="17"/>
      <c r="UY32" s="17"/>
      <c r="UZ32" s="17"/>
      <c r="VA32" s="17"/>
      <c r="VG32" s="17"/>
      <c r="VH32" s="17"/>
      <c r="VI32" s="17"/>
      <c r="VO32" s="17"/>
      <c r="VP32" s="17"/>
      <c r="VQ32" s="17"/>
      <c r="VW32" s="17"/>
      <c r="VX32" s="17"/>
      <c r="VY32" s="17"/>
      <c r="WE32" s="17"/>
      <c r="WF32" s="17"/>
      <c r="WG32" s="17"/>
      <c r="WM32" s="17"/>
      <c r="WN32" s="17"/>
      <c r="WO32" s="17"/>
      <c r="WU32" s="17"/>
      <c r="WV32" s="17"/>
      <c r="WW32" s="17"/>
      <c r="XC32" s="17"/>
      <c r="XD32" s="17"/>
      <c r="XE32" s="17"/>
      <c r="XK32" s="17"/>
      <c r="XL32" s="17"/>
      <c r="XM32" s="17"/>
      <c r="XS32" s="17"/>
      <c r="XT32" s="17"/>
      <c r="XU32" s="17"/>
      <c r="YA32" s="17"/>
      <c r="YB32" s="17"/>
      <c r="YC32" s="17"/>
      <c r="YI32" s="17"/>
      <c r="YJ32" s="17"/>
      <c r="YK32" s="17"/>
      <c r="YQ32" s="17"/>
      <c r="YR32" s="17"/>
      <c r="YS32" s="17"/>
      <c r="YY32" s="17"/>
      <c r="YZ32" s="17"/>
      <c r="ZA32" s="17"/>
      <c r="ZG32" s="17"/>
      <c r="ZH32" s="17"/>
      <c r="ZI32" s="17"/>
      <c r="ZO32" s="17"/>
      <c r="ZP32" s="17"/>
      <c r="ZQ32" s="17"/>
      <c r="ZW32" s="17"/>
      <c r="ZX32" s="17"/>
      <c r="ZY32" s="17"/>
      <c r="AAE32" s="17"/>
      <c r="AAF32" s="17"/>
      <c r="AAG32" s="17"/>
      <c r="AAM32" s="17"/>
      <c r="AAN32" s="17"/>
      <c r="AAO32" s="17"/>
      <c r="AAU32" s="17"/>
      <c r="AAV32" s="17"/>
      <c r="AAW32" s="17"/>
      <c r="ABC32" s="17"/>
      <c r="ABD32" s="17"/>
      <c r="ABE32" s="17"/>
      <c r="ABK32" s="17"/>
      <c r="ABL32" s="17"/>
      <c r="ABM32" s="17"/>
      <c r="ABS32" s="17"/>
      <c r="ABT32" s="17"/>
      <c r="ABU32" s="17"/>
      <c r="ACA32" s="17"/>
      <c r="ACB32" s="17"/>
      <c r="ACC32" s="17"/>
      <c r="ACI32" s="17"/>
      <c r="ACJ32" s="17"/>
      <c r="ACK32" s="17"/>
      <c r="ACQ32" s="17"/>
      <c r="ACR32" s="17"/>
      <c r="ACS32" s="17"/>
      <c r="ACY32" s="17"/>
      <c r="ACZ32" s="17"/>
      <c r="ADA32" s="17"/>
      <c r="ADG32" s="17"/>
      <c r="ADH32" s="17"/>
      <c r="ADI32" s="17"/>
      <c r="ADO32" s="17"/>
      <c r="ADP32" s="17"/>
      <c r="ADQ32" s="17"/>
      <c r="ADW32" s="17"/>
      <c r="ADX32" s="17"/>
      <c r="ADY32" s="17"/>
      <c r="AEE32" s="17"/>
      <c r="AEF32" s="17"/>
      <c r="AEG32" s="17"/>
      <c r="AEM32" s="17"/>
      <c r="AEN32" s="17"/>
      <c r="AEO32" s="17"/>
      <c r="AEU32" s="17"/>
      <c r="AEV32" s="17"/>
      <c r="AEW32" s="17"/>
      <c r="AFC32" s="17"/>
      <c r="AFD32" s="17"/>
      <c r="AFE32" s="17"/>
      <c r="AFK32" s="17"/>
      <c r="AFL32" s="17"/>
      <c r="AFM32" s="17"/>
      <c r="AFS32" s="17"/>
      <c r="AFT32" s="17"/>
      <c r="AFU32" s="17"/>
      <c r="AGA32" s="17"/>
      <c r="AGB32" s="17"/>
      <c r="AGC32" s="17"/>
      <c r="AGI32" s="17"/>
      <c r="AGJ32" s="17"/>
      <c r="AGK32" s="17"/>
      <c r="AGQ32" s="17"/>
      <c r="AGR32" s="17"/>
      <c r="AGS32" s="17"/>
      <c r="AGY32" s="17"/>
      <c r="AGZ32" s="17"/>
      <c r="AHA32" s="17"/>
      <c r="AHG32" s="17"/>
      <c r="AHH32" s="17"/>
      <c r="AHI32" s="17"/>
      <c r="AHO32" s="17"/>
      <c r="AHP32" s="17"/>
      <c r="AHQ32" s="17"/>
      <c r="AHW32" s="17"/>
      <c r="AHX32" s="17"/>
      <c r="AHY32" s="17"/>
      <c r="AIE32" s="17"/>
      <c r="AIF32" s="17"/>
      <c r="AIG32" s="17"/>
      <c r="AIM32" s="17"/>
      <c r="AIN32" s="17"/>
      <c r="AIO32" s="17"/>
      <c r="AIU32" s="17"/>
      <c r="AIV32" s="17"/>
      <c r="AIW32" s="17"/>
      <c r="AJC32" s="17"/>
      <c r="AJD32" s="17"/>
      <c r="AJE32" s="17"/>
      <c r="AJK32" s="17"/>
      <c r="AJL32" s="17"/>
      <c r="AJM32" s="17"/>
      <c r="AJS32" s="17"/>
      <c r="AJT32" s="17"/>
      <c r="AJU32" s="17"/>
      <c r="AKA32" s="17"/>
      <c r="AKB32" s="17"/>
      <c r="AKC32" s="17"/>
      <c r="AKI32" s="17"/>
      <c r="AKJ32" s="17"/>
      <c r="AKK32" s="17"/>
      <c r="AKQ32" s="17"/>
      <c r="AKR32" s="17"/>
      <c r="AKS32" s="17"/>
      <c r="AKY32" s="17"/>
      <c r="AKZ32" s="17"/>
      <c r="ALA32" s="17"/>
      <c r="ALG32" s="17"/>
      <c r="ALH32" s="17"/>
      <c r="ALI32" s="17"/>
      <c r="ALO32" s="17"/>
      <c r="ALP32" s="17"/>
      <c r="ALQ32" s="17"/>
      <c r="ALW32" s="17"/>
      <c r="ALX32" s="17"/>
      <c r="ALY32" s="17"/>
      <c r="AME32" s="17"/>
      <c r="AMF32" s="17"/>
      <c r="AMG32" s="17"/>
      <c r="AMM32" s="17"/>
      <c r="AMN32" s="17"/>
      <c r="AMO32" s="17"/>
      <c r="AMU32" s="17"/>
      <c r="AMV32" s="17"/>
      <c r="AMW32" s="17"/>
      <c r="ANC32" s="17"/>
      <c r="AND32" s="17"/>
      <c r="ANE32" s="17"/>
      <c r="ANK32" s="17"/>
      <c r="ANL32" s="17"/>
      <c r="ANM32" s="17"/>
      <c r="ANS32" s="17"/>
      <c r="ANT32" s="17"/>
      <c r="ANU32" s="17"/>
      <c r="AOA32" s="17"/>
      <c r="AOB32" s="17"/>
      <c r="AOC32" s="17"/>
      <c r="AOI32" s="17"/>
      <c r="AOJ32" s="17"/>
      <c r="AOK32" s="17"/>
      <c r="AOQ32" s="17"/>
      <c r="AOR32" s="17"/>
      <c r="AOS32" s="17"/>
      <c r="AOY32" s="17"/>
      <c r="AOZ32" s="17"/>
      <c r="APA32" s="17"/>
      <c r="APG32" s="17"/>
      <c r="APH32" s="17"/>
      <c r="API32" s="17"/>
      <c r="APO32" s="17"/>
      <c r="APP32" s="17"/>
      <c r="APQ32" s="17"/>
      <c r="APW32" s="17"/>
      <c r="APX32" s="17"/>
      <c r="APY32" s="17"/>
      <c r="AQE32" s="17"/>
      <c r="AQF32" s="17"/>
      <c r="AQG32" s="17"/>
      <c r="AQM32" s="17"/>
      <c r="AQN32" s="17"/>
      <c r="AQO32" s="17"/>
      <c r="AQU32" s="17"/>
      <c r="AQV32" s="17"/>
      <c r="AQW32" s="17"/>
      <c r="ARC32" s="17"/>
      <c r="ARD32" s="17"/>
      <c r="ARE32" s="17"/>
      <c r="ARK32" s="17"/>
      <c r="ARL32" s="17"/>
      <c r="ARM32" s="17"/>
      <c r="ARS32" s="17"/>
      <c r="ART32" s="17"/>
      <c r="ARU32" s="17"/>
      <c r="ASA32" s="17"/>
      <c r="ASB32" s="17"/>
      <c r="ASC32" s="17"/>
      <c r="ASI32" s="17"/>
      <c r="ASJ32" s="17"/>
      <c r="ASK32" s="17"/>
      <c r="ASQ32" s="17"/>
      <c r="ASR32" s="17"/>
      <c r="ASS32" s="17"/>
      <c r="ASY32" s="17"/>
      <c r="ASZ32" s="17"/>
      <c r="ATA32" s="17"/>
      <c r="ATG32" s="17"/>
      <c r="ATH32" s="17"/>
      <c r="ATI32" s="17"/>
      <c r="ATO32" s="17"/>
      <c r="ATP32" s="17"/>
      <c r="ATQ32" s="17"/>
      <c r="ATW32" s="17"/>
      <c r="ATX32" s="17"/>
      <c r="ATY32" s="17"/>
      <c r="AUE32" s="17"/>
      <c r="AUF32" s="17"/>
      <c r="AUG32" s="17"/>
      <c r="AUM32" s="17"/>
      <c r="AUN32" s="17"/>
      <c r="AUO32" s="17"/>
      <c r="AUU32" s="17"/>
      <c r="AUV32" s="17"/>
      <c r="AUW32" s="17"/>
      <c r="AVC32" s="17"/>
      <c r="AVD32" s="17"/>
      <c r="AVE32" s="17"/>
      <c r="AVK32" s="17"/>
      <c r="AVL32" s="17"/>
      <c r="AVM32" s="17"/>
      <c r="AVS32" s="17"/>
      <c r="AVT32" s="17"/>
      <c r="AVU32" s="17"/>
      <c r="AWA32" s="17"/>
      <c r="AWB32" s="17"/>
      <c r="AWC32" s="17"/>
      <c r="AWI32" s="17"/>
      <c r="AWJ32" s="17"/>
      <c r="AWK32" s="17"/>
      <c r="AWQ32" s="17"/>
      <c r="AWR32" s="17"/>
      <c r="AWS32" s="17"/>
      <c r="AWY32" s="17"/>
      <c r="AWZ32" s="17"/>
      <c r="AXA32" s="17"/>
      <c r="AXG32" s="17"/>
      <c r="AXH32" s="17"/>
      <c r="AXI32" s="17"/>
      <c r="AXO32" s="17"/>
      <c r="AXP32" s="17"/>
      <c r="AXQ32" s="17"/>
      <c r="AXW32" s="17"/>
      <c r="AXX32" s="17"/>
      <c r="AXY32" s="17"/>
      <c r="AYE32" s="17"/>
      <c r="AYF32" s="17"/>
      <c r="AYG32" s="17"/>
      <c r="AYM32" s="17"/>
      <c r="AYN32" s="17"/>
      <c r="AYO32" s="17"/>
      <c r="AYU32" s="17"/>
      <c r="AYV32" s="17"/>
      <c r="AYW32" s="17"/>
      <c r="AZC32" s="17"/>
      <c r="AZD32" s="17"/>
      <c r="AZE32" s="17"/>
      <c r="AZK32" s="17"/>
      <c r="AZL32" s="17"/>
      <c r="AZM32" s="17"/>
      <c r="AZS32" s="17"/>
      <c r="AZT32" s="17"/>
      <c r="AZU32" s="17"/>
      <c r="BAA32" s="17"/>
      <c r="BAB32" s="17"/>
      <c r="BAC32" s="17"/>
      <c r="BAI32" s="17"/>
      <c r="BAJ32" s="17"/>
      <c r="BAK32" s="17"/>
      <c r="BAQ32" s="17"/>
      <c r="BAR32" s="17"/>
      <c r="BAS32" s="17"/>
      <c r="BAY32" s="17"/>
      <c r="BAZ32" s="17"/>
      <c r="BBA32" s="17"/>
      <c r="BBG32" s="17"/>
      <c r="BBH32" s="17"/>
      <c r="BBI32" s="17"/>
      <c r="BBO32" s="17"/>
      <c r="BBP32" s="17"/>
      <c r="BBQ32" s="17"/>
      <c r="BBW32" s="17"/>
      <c r="BBX32" s="17"/>
      <c r="BBY32" s="17"/>
      <c r="BCE32" s="17"/>
      <c r="BCF32" s="17"/>
      <c r="BCG32" s="17"/>
      <c r="BCM32" s="17"/>
      <c r="BCN32" s="17"/>
      <c r="BCO32" s="17"/>
      <c r="BCU32" s="17"/>
      <c r="BCV32" s="17"/>
      <c r="BCW32" s="17"/>
      <c r="BDC32" s="17"/>
      <c r="BDD32" s="17"/>
      <c r="BDE32" s="17"/>
      <c r="BDK32" s="17"/>
      <c r="BDL32" s="17"/>
      <c r="BDM32" s="17"/>
      <c r="BDS32" s="17"/>
      <c r="BDT32" s="17"/>
      <c r="BDU32" s="17"/>
      <c r="BEA32" s="17"/>
      <c r="BEB32" s="17"/>
      <c r="BEC32" s="17"/>
      <c r="BEI32" s="17"/>
      <c r="BEJ32" s="17"/>
      <c r="BEK32" s="17"/>
      <c r="BEQ32" s="17"/>
      <c r="BER32" s="17"/>
      <c r="BES32" s="17"/>
      <c r="BEY32" s="17"/>
      <c r="BEZ32" s="17"/>
      <c r="BFA32" s="17"/>
      <c r="BFG32" s="17"/>
      <c r="BFH32" s="17"/>
      <c r="BFI32" s="17"/>
      <c r="BFO32" s="17"/>
      <c r="BFP32" s="17"/>
      <c r="BFQ32" s="17"/>
      <c r="BFW32" s="17"/>
      <c r="BFX32" s="17"/>
      <c r="BFY32" s="17"/>
      <c r="BGE32" s="17"/>
      <c r="BGF32" s="17"/>
      <c r="BGG32" s="17"/>
      <c r="BGM32" s="17"/>
      <c r="BGN32" s="17"/>
      <c r="BGO32" s="17"/>
      <c r="BGU32" s="17"/>
      <c r="BGV32" s="17"/>
      <c r="BGW32" s="17"/>
      <c r="BHC32" s="17"/>
      <c r="BHD32" s="17"/>
      <c r="BHE32" s="17"/>
      <c r="BHK32" s="17"/>
      <c r="BHL32" s="17"/>
      <c r="BHM32" s="17"/>
      <c r="BHS32" s="17"/>
      <c r="BHT32" s="17"/>
      <c r="BHU32" s="17"/>
      <c r="BIA32" s="17"/>
      <c r="BIB32" s="17"/>
      <c r="BIC32" s="17"/>
      <c r="BII32" s="17"/>
      <c r="BIJ32" s="17"/>
      <c r="BIK32" s="17"/>
      <c r="BIQ32" s="17"/>
      <c r="BIR32" s="17"/>
      <c r="BIS32" s="17"/>
      <c r="BIY32" s="17"/>
      <c r="BIZ32" s="17"/>
      <c r="BJA32" s="17"/>
      <c r="BJG32" s="17"/>
      <c r="BJH32" s="17"/>
      <c r="BJI32" s="17"/>
      <c r="BJO32" s="17"/>
      <c r="BJP32" s="17"/>
      <c r="BJQ32" s="17"/>
      <c r="BJW32" s="17"/>
      <c r="BJX32" s="17"/>
      <c r="BJY32" s="17"/>
      <c r="BKE32" s="17"/>
      <c r="BKF32" s="17"/>
      <c r="BKG32" s="17"/>
      <c r="BKM32" s="17"/>
      <c r="BKN32" s="17"/>
      <c r="BKO32" s="17"/>
      <c r="BKU32" s="17"/>
      <c r="BKV32" s="17"/>
      <c r="BKW32" s="17"/>
      <c r="BLC32" s="17"/>
      <c r="BLD32" s="17"/>
      <c r="BLE32" s="17"/>
      <c r="BLK32" s="17"/>
      <c r="BLL32" s="17"/>
      <c r="BLM32" s="17"/>
      <c r="BLS32" s="17"/>
      <c r="BLT32" s="17"/>
      <c r="BLU32" s="17"/>
      <c r="BMA32" s="17"/>
      <c r="BMB32" s="17"/>
      <c r="BMC32" s="17"/>
      <c r="BMI32" s="17"/>
      <c r="BMJ32" s="17"/>
      <c r="BMK32" s="17"/>
      <c r="BMQ32" s="17"/>
      <c r="BMR32" s="17"/>
      <c r="BMS32" s="17"/>
      <c r="BMY32" s="17"/>
      <c r="BMZ32" s="17"/>
      <c r="BNA32" s="17"/>
      <c r="BNG32" s="17"/>
      <c r="BNH32" s="17"/>
      <c r="BNI32" s="17"/>
      <c r="BNO32" s="17"/>
      <c r="BNP32" s="17"/>
      <c r="BNQ32" s="17"/>
      <c r="BNW32" s="17"/>
      <c r="BNX32" s="17"/>
      <c r="BNY32" s="17"/>
      <c r="BOE32" s="17"/>
      <c r="BOF32" s="17"/>
      <c r="BOG32" s="17"/>
      <c r="BOM32" s="17"/>
      <c r="BON32" s="17"/>
      <c r="BOO32" s="17"/>
      <c r="BOU32" s="17"/>
      <c r="BOV32" s="17"/>
      <c r="BOW32" s="17"/>
      <c r="BPC32" s="17"/>
      <c r="BPD32" s="17"/>
      <c r="BPE32" s="17"/>
      <c r="BPK32" s="17"/>
      <c r="BPL32" s="17"/>
      <c r="BPM32" s="17"/>
      <c r="BPS32" s="17"/>
      <c r="BPT32" s="17"/>
      <c r="BPU32" s="17"/>
      <c r="BQA32" s="17"/>
      <c r="BQB32" s="17"/>
      <c r="BQC32" s="17"/>
      <c r="BQI32" s="17"/>
      <c r="BQJ32" s="17"/>
      <c r="BQK32" s="17"/>
      <c r="BQQ32" s="17"/>
      <c r="BQR32" s="17"/>
      <c r="BQS32" s="17"/>
      <c r="BQY32" s="17"/>
      <c r="BQZ32" s="17"/>
      <c r="BRA32" s="17"/>
      <c r="BRG32" s="17"/>
      <c r="BRH32" s="17"/>
      <c r="BRI32" s="17"/>
      <c r="BRO32" s="17"/>
      <c r="BRP32" s="17"/>
      <c r="BRQ32" s="17"/>
      <c r="BRW32" s="17"/>
      <c r="BRX32" s="17"/>
      <c r="BRY32" s="17"/>
      <c r="BSE32" s="17"/>
      <c r="BSF32" s="17"/>
      <c r="BSG32" s="17"/>
      <c r="BSM32" s="17"/>
      <c r="BSN32" s="17"/>
      <c r="BSO32" s="17"/>
      <c r="BSU32" s="17"/>
      <c r="BSV32" s="17"/>
      <c r="BSW32" s="17"/>
      <c r="BTC32" s="17"/>
      <c r="BTD32" s="17"/>
      <c r="BTE32" s="17"/>
      <c r="BTK32" s="17"/>
      <c r="BTL32" s="17"/>
      <c r="BTM32" s="17"/>
      <c r="BTS32" s="17"/>
      <c r="BTT32" s="17"/>
      <c r="BTU32" s="17"/>
      <c r="BUA32" s="17"/>
      <c r="BUB32" s="17"/>
      <c r="BUC32" s="17"/>
      <c r="BUI32" s="17"/>
      <c r="BUJ32" s="17"/>
      <c r="BUK32" s="17"/>
      <c r="BUQ32" s="17"/>
      <c r="BUR32" s="17"/>
      <c r="BUS32" s="17"/>
      <c r="BUY32" s="17"/>
      <c r="BUZ32" s="17"/>
      <c r="BVA32" s="17"/>
      <c r="BVG32" s="17"/>
      <c r="BVH32" s="17"/>
      <c r="BVI32" s="17"/>
      <c r="BVO32" s="17"/>
      <c r="BVP32" s="17"/>
      <c r="BVQ32" s="17"/>
      <c r="BVW32" s="17"/>
      <c r="BVX32" s="17"/>
      <c r="BVY32" s="17"/>
      <c r="BWE32" s="17"/>
      <c r="BWF32" s="17"/>
      <c r="BWG32" s="17"/>
      <c r="BWM32" s="17"/>
      <c r="BWN32" s="17"/>
      <c r="BWO32" s="17"/>
      <c r="BWU32" s="17"/>
      <c r="BWV32" s="17"/>
      <c r="BWW32" s="17"/>
      <c r="BXC32" s="17"/>
      <c r="BXD32" s="17"/>
      <c r="BXE32" s="17"/>
      <c r="BXK32" s="17"/>
      <c r="BXL32" s="17"/>
      <c r="BXM32" s="17"/>
      <c r="BXS32" s="17"/>
      <c r="BXT32" s="17"/>
      <c r="BXU32" s="17"/>
      <c r="BYA32" s="17"/>
      <c r="BYB32" s="17"/>
      <c r="BYC32" s="17"/>
      <c r="BYI32" s="17"/>
      <c r="BYJ32" s="17"/>
      <c r="BYK32" s="17"/>
      <c r="BYQ32" s="17"/>
      <c r="BYR32" s="17"/>
      <c r="BYS32" s="17"/>
      <c r="BYY32" s="17"/>
      <c r="BYZ32" s="17"/>
      <c r="BZA32" s="17"/>
      <c r="BZG32" s="17"/>
      <c r="BZH32" s="17"/>
      <c r="BZI32" s="17"/>
      <c r="BZO32" s="17"/>
      <c r="BZP32" s="17"/>
      <c r="BZQ32" s="17"/>
      <c r="BZW32" s="17"/>
      <c r="BZX32" s="17"/>
      <c r="BZY32" s="17"/>
      <c r="CAE32" s="17"/>
      <c r="CAF32" s="17"/>
      <c r="CAG32" s="17"/>
      <c r="CAM32" s="17"/>
      <c r="CAN32" s="17"/>
      <c r="CAO32" s="17"/>
      <c r="CAU32" s="17"/>
      <c r="CAV32" s="17"/>
      <c r="CAW32" s="17"/>
      <c r="CBC32" s="17"/>
      <c r="CBD32" s="17"/>
      <c r="CBE32" s="17"/>
      <c r="CBK32" s="17"/>
      <c r="CBL32" s="17"/>
      <c r="CBM32" s="17"/>
      <c r="CBS32" s="17"/>
      <c r="CBT32" s="17"/>
      <c r="CBU32" s="17"/>
      <c r="CCA32" s="17"/>
      <c r="CCB32" s="17"/>
      <c r="CCC32" s="17"/>
      <c r="CCI32" s="17"/>
      <c r="CCJ32" s="17"/>
      <c r="CCK32" s="17"/>
      <c r="CCQ32" s="17"/>
      <c r="CCR32" s="17"/>
      <c r="CCS32" s="17"/>
      <c r="CCY32" s="17"/>
      <c r="CCZ32" s="17"/>
      <c r="CDA32" s="17"/>
      <c r="CDG32" s="17"/>
      <c r="CDH32" s="17"/>
      <c r="CDI32" s="17"/>
      <c r="CDO32" s="17"/>
      <c r="CDP32" s="17"/>
      <c r="CDQ32" s="17"/>
      <c r="CDW32" s="17"/>
      <c r="CDX32" s="17"/>
      <c r="CDY32" s="17"/>
      <c r="CEE32" s="17"/>
      <c r="CEF32" s="17"/>
      <c r="CEG32" s="17"/>
      <c r="CEM32" s="17"/>
      <c r="CEN32" s="17"/>
      <c r="CEO32" s="17"/>
      <c r="CEU32" s="17"/>
      <c r="CEV32" s="17"/>
      <c r="CEW32" s="17"/>
      <c r="CFC32" s="17"/>
      <c r="CFD32" s="17"/>
      <c r="CFE32" s="17"/>
      <c r="CFK32" s="17"/>
      <c r="CFL32" s="17"/>
      <c r="CFM32" s="17"/>
      <c r="CFS32" s="17"/>
      <c r="CFT32" s="17"/>
      <c r="CFU32" s="17"/>
      <c r="CGA32" s="17"/>
      <c r="CGB32" s="17"/>
      <c r="CGC32" s="17"/>
      <c r="CGI32" s="17"/>
      <c r="CGJ32" s="17"/>
      <c r="CGK32" s="17"/>
      <c r="CGQ32" s="17"/>
      <c r="CGR32" s="17"/>
      <c r="CGS32" s="17"/>
      <c r="CGY32" s="17"/>
      <c r="CGZ32" s="17"/>
      <c r="CHA32" s="17"/>
      <c r="CHG32" s="17"/>
      <c r="CHH32" s="17"/>
      <c r="CHI32" s="17"/>
      <c r="CHO32" s="17"/>
      <c r="CHP32" s="17"/>
      <c r="CHQ32" s="17"/>
      <c r="CHW32" s="17"/>
      <c r="CHX32" s="17"/>
      <c r="CHY32" s="17"/>
      <c r="CIE32" s="17"/>
      <c r="CIF32" s="17"/>
      <c r="CIG32" s="17"/>
      <c r="CIM32" s="17"/>
      <c r="CIN32" s="17"/>
      <c r="CIO32" s="17"/>
      <c r="CIU32" s="17"/>
      <c r="CIV32" s="17"/>
      <c r="CIW32" s="17"/>
      <c r="CJC32" s="17"/>
      <c r="CJD32" s="17"/>
      <c r="CJE32" s="17"/>
      <c r="CJK32" s="17"/>
      <c r="CJL32" s="17"/>
      <c r="CJM32" s="17"/>
      <c r="CJS32" s="17"/>
      <c r="CJT32" s="17"/>
      <c r="CJU32" s="17"/>
      <c r="CKA32" s="17"/>
      <c r="CKB32" s="17"/>
      <c r="CKC32" s="17"/>
      <c r="CKI32" s="17"/>
      <c r="CKJ32" s="17"/>
      <c r="CKK32" s="17"/>
      <c r="CKQ32" s="17"/>
      <c r="CKR32" s="17"/>
      <c r="CKS32" s="17"/>
      <c r="CKY32" s="17"/>
      <c r="CKZ32" s="17"/>
      <c r="CLA32" s="17"/>
      <c r="CLG32" s="17"/>
      <c r="CLH32" s="17"/>
      <c r="CLI32" s="17"/>
      <c r="CLO32" s="17"/>
      <c r="CLP32" s="17"/>
      <c r="CLQ32" s="17"/>
      <c r="CLW32" s="17"/>
      <c r="CLX32" s="17"/>
      <c r="CLY32" s="17"/>
      <c r="CME32" s="17"/>
      <c r="CMF32" s="17"/>
      <c r="CMG32" s="17"/>
      <c r="CMM32" s="17"/>
      <c r="CMN32" s="17"/>
      <c r="CMO32" s="17"/>
      <c r="CMU32" s="17"/>
      <c r="CMV32" s="17"/>
      <c r="CMW32" s="17"/>
      <c r="CNC32" s="17"/>
      <c r="CND32" s="17"/>
      <c r="CNE32" s="17"/>
      <c r="CNK32" s="17"/>
      <c r="CNL32" s="17"/>
      <c r="CNM32" s="17"/>
      <c r="CNS32" s="17"/>
      <c r="CNT32" s="17"/>
      <c r="CNU32" s="17"/>
      <c r="COA32" s="17"/>
      <c r="COB32" s="17"/>
      <c r="COC32" s="17"/>
      <c r="COI32" s="17"/>
      <c r="COJ32" s="17"/>
      <c r="COK32" s="17"/>
      <c r="COQ32" s="17"/>
      <c r="COR32" s="17"/>
      <c r="COS32" s="17"/>
      <c r="COY32" s="17"/>
      <c r="COZ32" s="17"/>
      <c r="CPA32" s="17"/>
      <c r="CPG32" s="17"/>
      <c r="CPH32" s="17"/>
      <c r="CPI32" s="17"/>
      <c r="CPO32" s="17"/>
      <c r="CPP32" s="17"/>
      <c r="CPQ32" s="17"/>
      <c r="CPW32" s="17"/>
      <c r="CPX32" s="17"/>
      <c r="CPY32" s="17"/>
      <c r="CQE32" s="17"/>
      <c r="CQF32" s="17"/>
      <c r="CQG32" s="17"/>
      <c r="CQM32" s="17"/>
      <c r="CQN32" s="17"/>
      <c r="CQO32" s="17"/>
      <c r="CQU32" s="17"/>
      <c r="CQV32" s="17"/>
      <c r="CQW32" s="17"/>
      <c r="CRC32" s="17"/>
      <c r="CRD32" s="17"/>
      <c r="CRE32" s="17"/>
      <c r="CRK32" s="17"/>
      <c r="CRL32" s="17"/>
      <c r="CRM32" s="17"/>
      <c r="CRS32" s="17"/>
      <c r="CRT32" s="17"/>
      <c r="CRU32" s="17"/>
      <c r="CSA32" s="17"/>
      <c r="CSB32" s="17"/>
      <c r="CSC32" s="17"/>
      <c r="CSI32" s="17"/>
      <c r="CSJ32" s="17"/>
      <c r="CSK32" s="17"/>
      <c r="CSQ32" s="17"/>
      <c r="CSR32" s="17"/>
      <c r="CSS32" s="17"/>
      <c r="CSY32" s="17"/>
      <c r="CSZ32" s="17"/>
      <c r="CTA32" s="17"/>
      <c r="CTG32" s="17"/>
      <c r="CTH32" s="17"/>
      <c r="CTI32" s="17"/>
      <c r="CTO32" s="17"/>
      <c r="CTP32" s="17"/>
      <c r="CTQ32" s="17"/>
      <c r="CTW32" s="17"/>
      <c r="CTX32" s="17"/>
      <c r="CTY32" s="17"/>
      <c r="CUE32" s="17"/>
      <c r="CUF32" s="17"/>
      <c r="CUG32" s="17"/>
      <c r="CUM32" s="17"/>
      <c r="CUN32" s="17"/>
      <c r="CUO32" s="17"/>
      <c r="CUU32" s="17"/>
      <c r="CUV32" s="17"/>
      <c r="CUW32" s="17"/>
      <c r="CVC32" s="17"/>
      <c r="CVD32" s="17"/>
      <c r="CVE32" s="17"/>
      <c r="CVK32" s="17"/>
      <c r="CVL32" s="17"/>
      <c r="CVM32" s="17"/>
      <c r="CVS32" s="17"/>
      <c r="CVT32" s="17"/>
      <c r="CVU32" s="17"/>
      <c r="CWA32" s="17"/>
      <c r="CWB32" s="17"/>
      <c r="CWC32" s="17"/>
      <c r="CWI32" s="17"/>
      <c r="CWJ32" s="17"/>
      <c r="CWK32" s="17"/>
      <c r="CWQ32" s="17"/>
      <c r="CWR32" s="17"/>
      <c r="CWS32" s="17"/>
      <c r="CWY32" s="17"/>
      <c r="CWZ32" s="17"/>
      <c r="CXA32" s="17"/>
      <c r="CXG32" s="17"/>
      <c r="CXH32" s="17"/>
      <c r="CXI32" s="17"/>
      <c r="CXO32" s="17"/>
      <c r="CXP32" s="17"/>
      <c r="CXQ32" s="17"/>
      <c r="CXW32" s="17"/>
      <c r="CXX32" s="17"/>
      <c r="CXY32" s="17"/>
      <c r="CYE32" s="17"/>
      <c r="CYF32" s="17"/>
      <c r="CYG32" s="17"/>
      <c r="CYM32" s="17"/>
      <c r="CYN32" s="17"/>
      <c r="CYO32" s="17"/>
      <c r="CYU32" s="17"/>
      <c r="CYV32" s="17"/>
      <c r="CYW32" s="17"/>
      <c r="CZC32" s="17"/>
      <c r="CZD32" s="17"/>
      <c r="CZE32" s="17"/>
      <c r="CZK32" s="17"/>
      <c r="CZL32" s="17"/>
      <c r="CZM32" s="17"/>
      <c r="CZS32" s="17"/>
      <c r="CZT32" s="17"/>
      <c r="CZU32" s="17"/>
      <c r="DAA32" s="17"/>
      <c r="DAB32" s="17"/>
      <c r="DAC32" s="17"/>
      <c r="DAI32" s="17"/>
      <c r="DAJ32" s="17"/>
      <c r="DAK32" s="17"/>
      <c r="DAQ32" s="17"/>
      <c r="DAR32" s="17"/>
      <c r="DAS32" s="17"/>
      <c r="DAY32" s="17"/>
      <c r="DAZ32" s="17"/>
      <c r="DBA32" s="17"/>
      <c r="DBG32" s="17"/>
      <c r="DBH32" s="17"/>
      <c r="DBI32" s="17"/>
      <c r="DBO32" s="17"/>
      <c r="DBP32" s="17"/>
      <c r="DBQ32" s="17"/>
      <c r="DBW32" s="17"/>
      <c r="DBX32" s="17"/>
      <c r="DBY32" s="17"/>
      <c r="DCE32" s="17"/>
      <c r="DCF32" s="17"/>
      <c r="DCG32" s="17"/>
      <c r="DCM32" s="17"/>
      <c r="DCN32" s="17"/>
      <c r="DCO32" s="17"/>
      <c r="DCU32" s="17"/>
      <c r="DCV32" s="17"/>
      <c r="DCW32" s="17"/>
      <c r="DDC32" s="17"/>
      <c r="DDD32" s="17"/>
      <c r="DDE32" s="17"/>
      <c r="DDK32" s="17"/>
      <c r="DDL32" s="17"/>
      <c r="DDM32" s="17"/>
      <c r="DDS32" s="17"/>
      <c r="DDT32" s="17"/>
      <c r="DDU32" s="17"/>
      <c r="DEA32" s="17"/>
      <c r="DEB32" s="17"/>
      <c r="DEC32" s="17"/>
      <c r="DEI32" s="17"/>
      <c r="DEJ32" s="17"/>
      <c r="DEK32" s="17"/>
      <c r="DEQ32" s="17"/>
      <c r="DER32" s="17"/>
      <c r="DES32" s="17"/>
      <c r="DEY32" s="17"/>
      <c r="DEZ32" s="17"/>
      <c r="DFA32" s="17"/>
      <c r="DFG32" s="17"/>
      <c r="DFH32" s="17"/>
      <c r="DFI32" s="17"/>
      <c r="DFO32" s="17"/>
      <c r="DFP32" s="17"/>
      <c r="DFQ32" s="17"/>
      <c r="DFW32" s="17"/>
      <c r="DFX32" s="17"/>
      <c r="DFY32" s="17"/>
      <c r="DGE32" s="17"/>
      <c r="DGF32" s="17"/>
      <c r="DGG32" s="17"/>
      <c r="DGM32" s="17"/>
      <c r="DGN32" s="17"/>
      <c r="DGO32" s="17"/>
      <c r="DGU32" s="17"/>
      <c r="DGV32" s="17"/>
      <c r="DGW32" s="17"/>
      <c r="DHC32" s="17"/>
      <c r="DHD32" s="17"/>
      <c r="DHE32" s="17"/>
      <c r="DHK32" s="17"/>
      <c r="DHL32" s="17"/>
      <c r="DHM32" s="17"/>
      <c r="DHS32" s="17"/>
      <c r="DHT32" s="17"/>
      <c r="DHU32" s="17"/>
      <c r="DIA32" s="17"/>
      <c r="DIB32" s="17"/>
      <c r="DIC32" s="17"/>
      <c r="DII32" s="17"/>
      <c r="DIJ32" s="17"/>
      <c r="DIK32" s="17"/>
      <c r="DIQ32" s="17"/>
      <c r="DIR32" s="17"/>
      <c r="DIS32" s="17"/>
      <c r="DIY32" s="17"/>
      <c r="DIZ32" s="17"/>
      <c r="DJA32" s="17"/>
      <c r="DJG32" s="17"/>
      <c r="DJH32" s="17"/>
      <c r="DJI32" s="17"/>
      <c r="DJO32" s="17"/>
      <c r="DJP32" s="17"/>
      <c r="DJQ32" s="17"/>
      <c r="DJW32" s="17"/>
      <c r="DJX32" s="17"/>
      <c r="DJY32" s="17"/>
      <c r="DKE32" s="17"/>
      <c r="DKF32" s="17"/>
      <c r="DKG32" s="17"/>
      <c r="DKM32" s="17"/>
      <c r="DKN32" s="17"/>
      <c r="DKO32" s="17"/>
      <c r="DKU32" s="17"/>
      <c r="DKV32" s="17"/>
      <c r="DKW32" s="17"/>
      <c r="DLC32" s="17"/>
      <c r="DLD32" s="17"/>
      <c r="DLE32" s="17"/>
      <c r="DLK32" s="17"/>
      <c r="DLL32" s="17"/>
      <c r="DLM32" s="17"/>
      <c r="DLS32" s="17"/>
      <c r="DLT32" s="17"/>
      <c r="DLU32" s="17"/>
      <c r="DMA32" s="17"/>
      <c r="DMB32" s="17"/>
      <c r="DMC32" s="17"/>
      <c r="DMI32" s="17"/>
      <c r="DMJ32" s="17"/>
      <c r="DMK32" s="17"/>
      <c r="DMQ32" s="17"/>
      <c r="DMR32" s="17"/>
      <c r="DMS32" s="17"/>
      <c r="DMY32" s="17"/>
      <c r="DMZ32" s="17"/>
      <c r="DNA32" s="17"/>
      <c r="DNG32" s="17"/>
      <c r="DNH32" s="17"/>
      <c r="DNI32" s="17"/>
      <c r="DNO32" s="17"/>
      <c r="DNP32" s="17"/>
      <c r="DNQ32" s="17"/>
      <c r="DNW32" s="17"/>
      <c r="DNX32" s="17"/>
      <c r="DNY32" s="17"/>
      <c r="DOE32" s="17"/>
      <c r="DOF32" s="17"/>
      <c r="DOG32" s="17"/>
      <c r="DOM32" s="17"/>
      <c r="DON32" s="17"/>
      <c r="DOO32" s="17"/>
      <c r="DOU32" s="17"/>
      <c r="DOV32" s="17"/>
      <c r="DOW32" s="17"/>
      <c r="DPC32" s="17"/>
      <c r="DPD32" s="17"/>
      <c r="DPE32" s="17"/>
      <c r="DPK32" s="17"/>
      <c r="DPL32" s="17"/>
      <c r="DPM32" s="17"/>
      <c r="DPS32" s="17"/>
      <c r="DPT32" s="17"/>
      <c r="DPU32" s="17"/>
      <c r="DQA32" s="17"/>
      <c r="DQB32" s="17"/>
      <c r="DQC32" s="17"/>
      <c r="DQI32" s="17"/>
      <c r="DQJ32" s="17"/>
      <c r="DQK32" s="17"/>
      <c r="DQQ32" s="17"/>
      <c r="DQR32" s="17"/>
      <c r="DQS32" s="17"/>
      <c r="DQY32" s="17"/>
      <c r="DQZ32" s="17"/>
      <c r="DRA32" s="17"/>
      <c r="DRG32" s="17"/>
      <c r="DRH32" s="17"/>
      <c r="DRI32" s="17"/>
      <c r="DRO32" s="17"/>
      <c r="DRP32" s="17"/>
      <c r="DRQ32" s="17"/>
      <c r="DRW32" s="17"/>
      <c r="DRX32" s="17"/>
      <c r="DRY32" s="17"/>
      <c r="DSE32" s="17"/>
      <c r="DSF32" s="17"/>
      <c r="DSG32" s="17"/>
      <c r="DSM32" s="17"/>
      <c r="DSN32" s="17"/>
      <c r="DSO32" s="17"/>
      <c r="DSU32" s="17"/>
      <c r="DSV32" s="17"/>
      <c r="DSW32" s="17"/>
      <c r="DTC32" s="17"/>
      <c r="DTD32" s="17"/>
      <c r="DTE32" s="17"/>
      <c r="DTK32" s="17"/>
      <c r="DTL32" s="17"/>
      <c r="DTM32" s="17"/>
      <c r="DTS32" s="17"/>
      <c r="DTT32" s="17"/>
      <c r="DTU32" s="17"/>
      <c r="DUA32" s="17"/>
      <c r="DUB32" s="17"/>
      <c r="DUC32" s="17"/>
      <c r="DUI32" s="17"/>
      <c r="DUJ32" s="17"/>
      <c r="DUK32" s="17"/>
      <c r="DUQ32" s="17"/>
      <c r="DUR32" s="17"/>
      <c r="DUS32" s="17"/>
      <c r="DUY32" s="17"/>
      <c r="DUZ32" s="17"/>
      <c r="DVA32" s="17"/>
      <c r="DVG32" s="17"/>
      <c r="DVH32" s="17"/>
      <c r="DVI32" s="17"/>
      <c r="DVO32" s="17"/>
      <c r="DVP32" s="17"/>
      <c r="DVQ32" s="17"/>
      <c r="DVW32" s="17"/>
      <c r="DVX32" s="17"/>
      <c r="DVY32" s="17"/>
      <c r="DWE32" s="17"/>
      <c r="DWF32" s="17"/>
      <c r="DWG32" s="17"/>
      <c r="DWM32" s="17"/>
      <c r="DWN32" s="17"/>
      <c r="DWO32" s="17"/>
      <c r="DWU32" s="17"/>
      <c r="DWV32" s="17"/>
      <c r="DWW32" s="17"/>
      <c r="DXC32" s="17"/>
      <c r="DXD32" s="17"/>
      <c r="DXE32" s="17"/>
      <c r="DXK32" s="17"/>
      <c r="DXL32" s="17"/>
      <c r="DXM32" s="17"/>
      <c r="DXS32" s="17"/>
      <c r="DXT32" s="17"/>
      <c r="DXU32" s="17"/>
      <c r="DYA32" s="17"/>
      <c r="DYB32" s="17"/>
      <c r="DYC32" s="17"/>
      <c r="DYI32" s="17"/>
      <c r="DYJ32" s="17"/>
      <c r="DYK32" s="17"/>
      <c r="DYQ32" s="17"/>
      <c r="DYR32" s="17"/>
      <c r="DYS32" s="17"/>
      <c r="DYY32" s="17"/>
      <c r="DYZ32" s="17"/>
      <c r="DZA32" s="17"/>
      <c r="DZG32" s="17"/>
      <c r="DZH32" s="17"/>
      <c r="DZI32" s="17"/>
      <c r="DZO32" s="17"/>
      <c r="DZP32" s="17"/>
      <c r="DZQ32" s="17"/>
      <c r="DZW32" s="17"/>
      <c r="DZX32" s="17"/>
      <c r="DZY32" s="17"/>
      <c r="EAE32" s="17"/>
      <c r="EAF32" s="17"/>
      <c r="EAG32" s="17"/>
      <c r="EAM32" s="17"/>
      <c r="EAN32" s="17"/>
      <c r="EAO32" s="17"/>
      <c r="EAU32" s="17"/>
      <c r="EAV32" s="17"/>
      <c r="EAW32" s="17"/>
      <c r="EBC32" s="17"/>
      <c r="EBD32" s="17"/>
      <c r="EBE32" s="17"/>
      <c r="EBK32" s="17"/>
      <c r="EBL32" s="17"/>
      <c r="EBM32" s="17"/>
      <c r="EBS32" s="17"/>
      <c r="EBT32" s="17"/>
      <c r="EBU32" s="17"/>
      <c r="ECA32" s="17"/>
      <c r="ECB32" s="17"/>
      <c r="ECC32" s="17"/>
      <c r="ECI32" s="17"/>
      <c r="ECJ32" s="17"/>
      <c r="ECK32" s="17"/>
      <c r="ECQ32" s="17"/>
      <c r="ECR32" s="17"/>
      <c r="ECS32" s="17"/>
      <c r="ECY32" s="17"/>
      <c r="ECZ32" s="17"/>
      <c r="EDA32" s="17"/>
      <c r="EDG32" s="17"/>
      <c r="EDH32" s="17"/>
      <c r="EDI32" s="17"/>
      <c r="EDO32" s="17"/>
      <c r="EDP32" s="17"/>
      <c r="EDQ32" s="17"/>
      <c r="EDW32" s="17"/>
      <c r="EDX32" s="17"/>
      <c r="EDY32" s="17"/>
      <c r="EEE32" s="17"/>
      <c r="EEF32" s="17"/>
      <c r="EEG32" s="17"/>
      <c r="EEM32" s="17"/>
      <c r="EEN32" s="17"/>
      <c r="EEO32" s="17"/>
      <c r="EEU32" s="17"/>
      <c r="EEV32" s="17"/>
      <c r="EEW32" s="17"/>
      <c r="EFC32" s="17"/>
      <c r="EFD32" s="17"/>
      <c r="EFE32" s="17"/>
      <c r="EFK32" s="17"/>
      <c r="EFL32" s="17"/>
      <c r="EFM32" s="17"/>
      <c r="EFS32" s="17"/>
      <c r="EFT32" s="17"/>
      <c r="EFU32" s="17"/>
      <c r="EGA32" s="17"/>
      <c r="EGB32" s="17"/>
      <c r="EGC32" s="17"/>
      <c r="EGI32" s="17"/>
      <c r="EGJ32" s="17"/>
      <c r="EGK32" s="17"/>
      <c r="EGQ32" s="17"/>
      <c r="EGR32" s="17"/>
      <c r="EGS32" s="17"/>
      <c r="EGY32" s="17"/>
      <c r="EGZ32" s="17"/>
      <c r="EHA32" s="17"/>
      <c r="EHG32" s="17"/>
      <c r="EHH32" s="17"/>
      <c r="EHI32" s="17"/>
      <c r="EHO32" s="17"/>
      <c r="EHP32" s="17"/>
      <c r="EHQ32" s="17"/>
      <c r="EHW32" s="17"/>
      <c r="EHX32" s="17"/>
      <c r="EHY32" s="17"/>
      <c r="EIE32" s="17"/>
      <c r="EIF32" s="17"/>
      <c r="EIG32" s="17"/>
      <c r="EIM32" s="17"/>
      <c r="EIN32" s="17"/>
      <c r="EIO32" s="17"/>
      <c r="EIU32" s="17"/>
      <c r="EIV32" s="17"/>
      <c r="EIW32" s="17"/>
      <c r="EJC32" s="17"/>
      <c r="EJD32" s="17"/>
      <c r="EJE32" s="17"/>
      <c r="EJK32" s="17"/>
      <c r="EJL32" s="17"/>
      <c r="EJM32" s="17"/>
      <c r="EJS32" s="17"/>
      <c r="EJT32" s="17"/>
      <c r="EJU32" s="17"/>
      <c r="EKA32" s="17"/>
      <c r="EKB32" s="17"/>
      <c r="EKC32" s="17"/>
      <c r="EKI32" s="17"/>
      <c r="EKJ32" s="17"/>
      <c r="EKK32" s="17"/>
      <c r="EKQ32" s="17"/>
      <c r="EKR32" s="17"/>
      <c r="EKS32" s="17"/>
      <c r="EKY32" s="17"/>
      <c r="EKZ32" s="17"/>
      <c r="ELA32" s="17"/>
      <c r="ELG32" s="17"/>
      <c r="ELH32" s="17"/>
      <c r="ELI32" s="17"/>
      <c r="ELO32" s="17"/>
      <c r="ELP32" s="17"/>
      <c r="ELQ32" s="17"/>
      <c r="ELW32" s="17"/>
      <c r="ELX32" s="17"/>
      <c r="ELY32" s="17"/>
      <c r="EME32" s="17"/>
      <c r="EMF32" s="17"/>
      <c r="EMG32" s="17"/>
      <c r="EMM32" s="17"/>
      <c r="EMN32" s="17"/>
      <c r="EMO32" s="17"/>
      <c r="EMU32" s="17"/>
      <c r="EMV32" s="17"/>
      <c r="EMW32" s="17"/>
      <c r="ENC32" s="17"/>
      <c r="END32" s="17"/>
      <c r="ENE32" s="17"/>
      <c r="ENK32" s="17"/>
      <c r="ENL32" s="17"/>
      <c r="ENM32" s="17"/>
      <c r="ENS32" s="17"/>
      <c r="ENT32" s="17"/>
      <c r="ENU32" s="17"/>
      <c r="EOA32" s="17"/>
      <c r="EOB32" s="17"/>
      <c r="EOC32" s="17"/>
      <c r="EOI32" s="17"/>
      <c r="EOJ32" s="17"/>
      <c r="EOK32" s="17"/>
      <c r="EOQ32" s="17"/>
      <c r="EOR32" s="17"/>
      <c r="EOS32" s="17"/>
      <c r="EOY32" s="17"/>
      <c r="EOZ32" s="17"/>
      <c r="EPA32" s="17"/>
      <c r="EPG32" s="17"/>
      <c r="EPH32" s="17"/>
      <c r="EPI32" s="17"/>
      <c r="EPO32" s="17"/>
      <c r="EPP32" s="17"/>
      <c r="EPQ32" s="17"/>
      <c r="EPW32" s="17"/>
      <c r="EPX32" s="17"/>
      <c r="EPY32" s="17"/>
      <c r="EQE32" s="17"/>
      <c r="EQF32" s="17"/>
      <c r="EQG32" s="17"/>
      <c r="EQM32" s="17"/>
      <c r="EQN32" s="17"/>
      <c r="EQO32" s="17"/>
      <c r="EQU32" s="17"/>
      <c r="EQV32" s="17"/>
      <c r="EQW32" s="17"/>
      <c r="ERC32" s="17"/>
      <c r="ERD32" s="17"/>
      <c r="ERE32" s="17"/>
      <c r="ERK32" s="17"/>
      <c r="ERL32" s="17"/>
      <c r="ERM32" s="17"/>
      <c r="ERS32" s="17"/>
      <c r="ERT32" s="17"/>
      <c r="ERU32" s="17"/>
      <c r="ESA32" s="17"/>
      <c r="ESB32" s="17"/>
      <c r="ESC32" s="17"/>
      <c r="ESI32" s="17"/>
      <c r="ESJ32" s="17"/>
      <c r="ESK32" s="17"/>
      <c r="ESQ32" s="17"/>
      <c r="ESR32" s="17"/>
      <c r="ESS32" s="17"/>
      <c r="ESY32" s="17"/>
      <c r="ESZ32" s="17"/>
      <c r="ETA32" s="17"/>
      <c r="ETG32" s="17"/>
      <c r="ETH32" s="17"/>
      <c r="ETI32" s="17"/>
      <c r="ETO32" s="17"/>
      <c r="ETP32" s="17"/>
      <c r="ETQ32" s="17"/>
      <c r="ETW32" s="17"/>
      <c r="ETX32" s="17"/>
      <c r="ETY32" s="17"/>
      <c r="EUE32" s="17"/>
      <c r="EUF32" s="17"/>
      <c r="EUG32" s="17"/>
      <c r="EUM32" s="17"/>
      <c r="EUN32" s="17"/>
      <c r="EUO32" s="17"/>
      <c r="EUU32" s="17"/>
      <c r="EUV32" s="17"/>
      <c r="EUW32" s="17"/>
      <c r="EVC32" s="17"/>
      <c r="EVD32" s="17"/>
      <c r="EVE32" s="17"/>
      <c r="EVK32" s="17"/>
      <c r="EVL32" s="17"/>
      <c r="EVM32" s="17"/>
      <c r="EVS32" s="17"/>
      <c r="EVT32" s="17"/>
      <c r="EVU32" s="17"/>
      <c r="EWA32" s="17"/>
      <c r="EWB32" s="17"/>
      <c r="EWC32" s="17"/>
      <c r="EWI32" s="17"/>
      <c r="EWJ32" s="17"/>
      <c r="EWK32" s="17"/>
      <c r="EWQ32" s="17"/>
      <c r="EWR32" s="17"/>
      <c r="EWS32" s="17"/>
      <c r="EWY32" s="17"/>
      <c r="EWZ32" s="17"/>
      <c r="EXA32" s="17"/>
      <c r="EXG32" s="17"/>
      <c r="EXH32" s="17"/>
      <c r="EXI32" s="17"/>
      <c r="EXO32" s="17"/>
      <c r="EXP32" s="17"/>
      <c r="EXQ32" s="17"/>
      <c r="EXW32" s="17"/>
      <c r="EXX32" s="17"/>
      <c r="EXY32" s="17"/>
      <c r="EYE32" s="17"/>
      <c r="EYF32" s="17"/>
      <c r="EYG32" s="17"/>
      <c r="EYM32" s="17"/>
      <c r="EYN32" s="17"/>
      <c r="EYO32" s="17"/>
      <c r="EYU32" s="17"/>
      <c r="EYV32" s="17"/>
      <c r="EYW32" s="17"/>
      <c r="EZC32" s="17"/>
      <c r="EZD32" s="17"/>
      <c r="EZE32" s="17"/>
      <c r="EZK32" s="17"/>
      <c r="EZL32" s="17"/>
      <c r="EZM32" s="17"/>
      <c r="EZS32" s="17"/>
      <c r="EZT32" s="17"/>
      <c r="EZU32" s="17"/>
      <c r="FAA32" s="17"/>
      <c r="FAB32" s="17"/>
      <c r="FAC32" s="17"/>
      <c r="FAI32" s="17"/>
      <c r="FAJ32" s="17"/>
      <c r="FAK32" s="17"/>
      <c r="FAQ32" s="17"/>
      <c r="FAR32" s="17"/>
      <c r="FAS32" s="17"/>
      <c r="FAY32" s="17"/>
      <c r="FAZ32" s="17"/>
      <c r="FBA32" s="17"/>
      <c r="FBG32" s="17"/>
      <c r="FBH32" s="17"/>
      <c r="FBI32" s="17"/>
      <c r="FBO32" s="17"/>
      <c r="FBP32" s="17"/>
      <c r="FBQ32" s="17"/>
      <c r="FBW32" s="17"/>
      <c r="FBX32" s="17"/>
      <c r="FBY32" s="17"/>
      <c r="FCE32" s="17"/>
      <c r="FCF32" s="17"/>
      <c r="FCG32" s="17"/>
      <c r="FCM32" s="17"/>
      <c r="FCN32" s="17"/>
      <c r="FCO32" s="17"/>
      <c r="FCU32" s="17"/>
      <c r="FCV32" s="17"/>
      <c r="FCW32" s="17"/>
      <c r="FDC32" s="17"/>
      <c r="FDD32" s="17"/>
      <c r="FDE32" s="17"/>
      <c r="FDK32" s="17"/>
      <c r="FDL32" s="17"/>
      <c r="FDM32" s="17"/>
      <c r="FDS32" s="17"/>
      <c r="FDT32" s="17"/>
      <c r="FDU32" s="17"/>
      <c r="FEA32" s="17"/>
      <c r="FEB32" s="17"/>
      <c r="FEC32" s="17"/>
      <c r="FEI32" s="17"/>
      <c r="FEJ32" s="17"/>
      <c r="FEK32" s="17"/>
      <c r="FEQ32" s="17"/>
      <c r="FER32" s="17"/>
      <c r="FES32" s="17"/>
      <c r="FEY32" s="17"/>
      <c r="FEZ32" s="17"/>
      <c r="FFA32" s="17"/>
      <c r="FFG32" s="17"/>
      <c r="FFH32" s="17"/>
      <c r="FFI32" s="17"/>
      <c r="FFO32" s="17"/>
      <c r="FFP32" s="17"/>
      <c r="FFQ32" s="17"/>
      <c r="FFW32" s="17"/>
      <c r="FFX32" s="17"/>
      <c r="FFY32" s="17"/>
      <c r="FGE32" s="17"/>
      <c r="FGF32" s="17"/>
      <c r="FGG32" s="17"/>
      <c r="FGM32" s="17"/>
      <c r="FGN32" s="17"/>
      <c r="FGO32" s="17"/>
      <c r="FGU32" s="17"/>
      <c r="FGV32" s="17"/>
      <c r="FGW32" s="17"/>
      <c r="FHC32" s="17"/>
      <c r="FHD32" s="17"/>
      <c r="FHE32" s="17"/>
      <c r="FHK32" s="17"/>
      <c r="FHL32" s="17"/>
      <c r="FHM32" s="17"/>
      <c r="FHS32" s="17"/>
      <c r="FHT32" s="17"/>
      <c r="FHU32" s="17"/>
      <c r="FIA32" s="17"/>
      <c r="FIB32" s="17"/>
      <c r="FIC32" s="17"/>
      <c r="FII32" s="17"/>
      <c r="FIJ32" s="17"/>
      <c r="FIK32" s="17"/>
      <c r="FIQ32" s="17"/>
      <c r="FIR32" s="17"/>
      <c r="FIS32" s="17"/>
      <c r="FIY32" s="17"/>
      <c r="FIZ32" s="17"/>
      <c r="FJA32" s="17"/>
      <c r="FJG32" s="17"/>
      <c r="FJH32" s="17"/>
      <c r="FJI32" s="17"/>
      <c r="FJO32" s="17"/>
      <c r="FJP32" s="17"/>
      <c r="FJQ32" s="17"/>
      <c r="FJW32" s="17"/>
      <c r="FJX32" s="17"/>
      <c r="FJY32" s="17"/>
      <c r="FKE32" s="17"/>
      <c r="FKF32" s="17"/>
      <c r="FKG32" s="17"/>
      <c r="FKM32" s="17"/>
      <c r="FKN32" s="17"/>
      <c r="FKO32" s="17"/>
      <c r="FKU32" s="17"/>
      <c r="FKV32" s="17"/>
      <c r="FKW32" s="17"/>
      <c r="FLC32" s="17"/>
      <c r="FLD32" s="17"/>
      <c r="FLE32" s="17"/>
      <c r="FLK32" s="17"/>
      <c r="FLL32" s="17"/>
      <c r="FLM32" s="17"/>
      <c r="FLS32" s="17"/>
      <c r="FLT32" s="17"/>
      <c r="FLU32" s="17"/>
      <c r="FMA32" s="17"/>
      <c r="FMB32" s="17"/>
      <c r="FMC32" s="17"/>
      <c r="FMI32" s="17"/>
      <c r="FMJ32" s="17"/>
      <c r="FMK32" s="17"/>
      <c r="FMQ32" s="17"/>
      <c r="FMR32" s="17"/>
      <c r="FMS32" s="17"/>
      <c r="FMY32" s="17"/>
      <c r="FMZ32" s="17"/>
      <c r="FNA32" s="17"/>
      <c r="FNG32" s="17"/>
      <c r="FNH32" s="17"/>
      <c r="FNI32" s="17"/>
      <c r="FNO32" s="17"/>
      <c r="FNP32" s="17"/>
      <c r="FNQ32" s="17"/>
      <c r="FNW32" s="17"/>
      <c r="FNX32" s="17"/>
      <c r="FNY32" s="17"/>
      <c r="FOE32" s="17"/>
      <c r="FOF32" s="17"/>
      <c r="FOG32" s="17"/>
      <c r="FOM32" s="17"/>
      <c r="FON32" s="17"/>
      <c r="FOO32" s="17"/>
      <c r="FOU32" s="17"/>
      <c r="FOV32" s="17"/>
      <c r="FOW32" s="17"/>
      <c r="FPC32" s="17"/>
      <c r="FPD32" s="17"/>
      <c r="FPE32" s="17"/>
      <c r="FPK32" s="17"/>
      <c r="FPL32" s="17"/>
      <c r="FPM32" s="17"/>
      <c r="FPS32" s="17"/>
      <c r="FPT32" s="17"/>
      <c r="FPU32" s="17"/>
      <c r="FQA32" s="17"/>
      <c r="FQB32" s="17"/>
      <c r="FQC32" s="17"/>
      <c r="FQI32" s="17"/>
      <c r="FQJ32" s="17"/>
      <c r="FQK32" s="17"/>
      <c r="FQQ32" s="17"/>
      <c r="FQR32" s="17"/>
      <c r="FQS32" s="17"/>
      <c r="FQY32" s="17"/>
      <c r="FQZ32" s="17"/>
      <c r="FRA32" s="17"/>
      <c r="FRG32" s="17"/>
      <c r="FRH32" s="17"/>
      <c r="FRI32" s="17"/>
      <c r="FRO32" s="17"/>
      <c r="FRP32" s="17"/>
      <c r="FRQ32" s="17"/>
      <c r="FRW32" s="17"/>
      <c r="FRX32" s="17"/>
      <c r="FRY32" s="17"/>
      <c r="FSE32" s="17"/>
      <c r="FSF32" s="17"/>
      <c r="FSG32" s="17"/>
      <c r="FSM32" s="17"/>
      <c r="FSN32" s="17"/>
      <c r="FSO32" s="17"/>
      <c r="FSU32" s="17"/>
      <c r="FSV32" s="17"/>
      <c r="FSW32" s="17"/>
      <c r="FTC32" s="17"/>
      <c r="FTD32" s="17"/>
      <c r="FTE32" s="17"/>
      <c r="FTK32" s="17"/>
      <c r="FTL32" s="17"/>
      <c r="FTM32" s="17"/>
      <c r="FTS32" s="17"/>
      <c r="FTT32" s="17"/>
      <c r="FTU32" s="17"/>
      <c r="FUA32" s="17"/>
      <c r="FUB32" s="17"/>
      <c r="FUC32" s="17"/>
      <c r="FUI32" s="17"/>
      <c r="FUJ32" s="17"/>
      <c r="FUK32" s="17"/>
      <c r="FUQ32" s="17"/>
      <c r="FUR32" s="17"/>
      <c r="FUS32" s="17"/>
      <c r="FUY32" s="17"/>
      <c r="FUZ32" s="17"/>
      <c r="FVA32" s="17"/>
      <c r="FVG32" s="17"/>
      <c r="FVH32" s="17"/>
      <c r="FVI32" s="17"/>
      <c r="FVO32" s="17"/>
      <c r="FVP32" s="17"/>
      <c r="FVQ32" s="17"/>
      <c r="FVW32" s="17"/>
      <c r="FVX32" s="17"/>
      <c r="FVY32" s="17"/>
      <c r="FWE32" s="17"/>
      <c r="FWF32" s="17"/>
      <c r="FWG32" s="17"/>
      <c r="FWM32" s="17"/>
      <c r="FWN32" s="17"/>
      <c r="FWO32" s="17"/>
      <c r="FWU32" s="17"/>
      <c r="FWV32" s="17"/>
      <c r="FWW32" s="17"/>
      <c r="FXC32" s="17"/>
      <c r="FXD32" s="17"/>
      <c r="FXE32" s="17"/>
      <c r="FXK32" s="17"/>
      <c r="FXL32" s="17"/>
      <c r="FXM32" s="17"/>
      <c r="FXS32" s="17"/>
      <c r="FXT32" s="17"/>
      <c r="FXU32" s="17"/>
      <c r="FYA32" s="17"/>
      <c r="FYB32" s="17"/>
      <c r="FYC32" s="17"/>
      <c r="FYI32" s="17"/>
      <c r="FYJ32" s="17"/>
      <c r="FYK32" s="17"/>
      <c r="FYQ32" s="17"/>
      <c r="FYR32" s="17"/>
      <c r="FYS32" s="17"/>
      <c r="FYY32" s="17"/>
      <c r="FYZ32" s="17"/>
      <c r="FZA32" s="17"/>
      <c r="FZG32" s="17"/>
      <c r="FZH32" s="17"/>
      <c r="FZI32" s="17"/>
      <c r="FZO32" s="17"/>
      <c r="FZP32" s="17"/>
      <c r="FZQ32" s="17"/>
      <c r="FZW32" s="17"/>
      <c r="FZX32" s="17"/>
      <c r="FZY32" s="17"/>
      <c r="GAE32" s="17"/>
      <c r="GAF32" s="17"/>
      <c r="GAG32" s="17"/>
      <c r="GAM32" s="17"/>
      <c r="GAN32" s="17"/>
      <c r="GAO32" s="17"/>
      <c r="GAU32" s="17"/>
      <c r="GAV32" s="17"/>
      <c r="GAW32" s="17"/>
      <c r="GBC32" s="17"/>
      <c r="GBD32" s="17"/>
      <c r="GBE32" s="17"/>
      <c r="GBK32" s="17"/>
      <c r="GBL32" s="17"/>
      <c r="GBM32" s="17"/>
      <c r="GBS32" s="17"/>
      <c r="GBT32" s="17"/>
      <c r="GBU32" s="17"/>
      <c r="GCA32" s="17"/>
      <c r="GCB32" s="17"/>
      <c r="GCC32" s="17"/>
      <c r="GCI32" s="17"/>
      <c r="GCJ32" s="17"/>
      <c r="GCK32" s="17"/>
      <c r="GCQ32" s="17"/>
      <c r="GCR32" s="17"/>
      <c r="GCS32" s="17"/>
      <c r="GCY32" s="17"/>
      <c r="GCZ32" s="17"/>
      <c r="GDA32" s="17"/>
      <c r="GDG32" s="17"/>
      <c r="GDH32" s="17"/>
      <c r="GDI32" s="17"/>
      <c r="GDO32" s="17"/>
      <c r="GDP32" s="17"/>
      <c r="GDQ32" s="17"/>
      <c r="GDW32" s="17"/>
      <c r="GDX32" s="17"/>
      <c r="GDY32" s="17"/>
      <c r="GEE32" s="17"/>
      <c r="GEF32" s="17"/>
      <c r="GEG32" s="17"/>
      <c r="GEM32" s="17"/>
      <c r="GEN32" s="17"/>
      <c r="GEO32" s="17"/>
      <c r="GEU32" s="17"/>
      <c r="GEV32" s="17"/>
      <c r="GEW32" s="17"/>
      <c r="GFC32" s="17"/>
      <c r="GFD32" s="17"/>
      <c r="GFE32" s="17"/>
      <c r="GFK32" s="17"/>
      <c r="GFL32" s="17"/>
      <c r="GFM32" s="17"/>
      <c r="GFS32" s="17"/>
      <c r="GFT32" s="17"/>
      <c r="GFU32" s="17"/>
      <c r="GGA32" s="17"/>
      <c r="GGB32" s="17"/>
      <c r="GGC32" s="17"/>
      <c r="GGI32" s="17"/>
      <c r="GGJ32" s="17"/>
      <c r="GGK32" s="17"/>
      <c r="GGQ32" s="17"/>
      <c r="GGR32" s="17"/>
      <c r="GGS32" s="17"/>
      <c r="GGY32" s="17"/>
      <c r="GGZ32" s="17"/>
      <c r="GHA32" s="17"/>
      <c r="GHG32" s="17"/>
      <c r="GHH32" s="17"/>
      <c r="GHI32" s="17"/>
      <c r="GHO32" s="17"/>
      <c r="GHP32" s="17"/>
      <c r="GHQ32" s="17"/>
      <c r="GHW32" s="17"/>
      <c r="GHX32" s="17"/>
      <c r="GHY32" s="17"/>
      <c r="GIE32" s="17"/>
      <c r="GIF32" s="17"/>
      <c r="GIG32" s="17"/>
      <c r="GIM32" s="17"/>
      <c r="GIN32" s="17"/>
      <c r="GIO32" s="17"/>
      <c r="GIU32" s="17"/>
      <c r="GIV32" s="17"/>
      <c r="GIW32" s="17"/>
      <c r="GJC32" s="17"/>
      <c r="GJD32" s="17"/>
      <c r="GJE32" s="17"/>
      <c r="GJK32" s="17"/>
      <c r="GJL32" s="17"/>
      <c r="GJM32" s="17"/>
      <c r="GJS32" s="17"/>
      <c r="GJT32" s="17"/>
      <c r="GJU32" s="17"/>
      <c r="GKA32" s="17"/>
      <c r="GKB32" s="17"/>
      <c r="GKC32" s="17"/>
      <c r="GKI32" s="17"/>
      <c r="GKJ32" s="17"/>
      <c r="GKK32" s="17"/>
      <c r="GKQ32" s="17"/>
      <c r="GKR32" s="17"/>
      <c r="GKS32" s="17"/>
      <c r="GKY32" s="17"/>
      <c r="GKZ32" s="17"/>
      <c r="GLA32" s="17"/>
      <c r="GLG32" s="17"/>
      <c r="GLH32" s="17"/>
      <c r="GLI32" s="17"/>
      <c r="GLO32" s="17"/>
      <c r="GLP32" s="17"/>
      <c r="GLQ32" s="17"/>
      <c r="GLW32" s="17"/>
      <c r="GLX32" s="17"/>
      <c r="GLY32" s="17"/>
      <c r="GME32" s="17"/>
      <c r="GMF32" s="17"/>
      <c r="GMG32" s="17"/>
      <c r="GMM32" s="17"/>
      <c r="GMN32" s="17"/>
      <c r="GMO32" s="17"/>
      <c r="GMU32" s="17"/>
      <c r="GMV32" s="17"/>
      <c r="GMW32" s="17"/>
      <c r="GNC32" s="17"/>
      <c r="GND32" s="17"/>
      <c r="GNE32" s="17"/>
      <c r="GNK32" s="17"/>
      <c r="GNL32" s="17"/>
      <c r="GNM32" s="17"/>
      <c r="GNS32" s="17"/>
      <c r="GNT32" s="17"/>
      <c r="GNU32" s="17"/>
      <c r="GOA32" s="17"/>
      <c r="GOB32" s="17"/>
      <c r="GOC32" s="17"/>
      <c r="GOI32" s="17"/>
      <c r="GOJ32" s="17"/>
      <c r="GOK32" s="17"/>
      <c r="GOQ32" s="17"/>
      <c r="GOR32" s="17"/>
      <c r="GOS32" s="17"/>
      <c r="GOY32" s="17"/>
      <c r="GOZ32" s="17"/>
      <c r="GPA32" s="17"/>
      <c r="GPG32" s="17"/>
      <c r="GPH32" s="17"/>
      <c r="GPI32" s="17"/>
      <c r="GPO32" s="17"/>
      <c r="GPP32" s="17"/>
      <c r="GPQ32" s="17"/>
      <c r="GPW32" s="17"/>
      <c r="GPX32" s="17"/>
      <c r="GPY32" s="17"/>
      <c r="GQE32" s="17"/>
      <c r="GQF32" s="17"/>
      <c r="GQG32" s="17"/>
      <c r="GQM32" s="17"/>
      <c r="GQN32" s="17"/>
      <c r="GQO32" s="17"/>
      <c r="GQU32" s="17"/>
      <c r="GQV32" s="17"/>
      <c r="GQW32" s="17"/>
      <c r="GRC32" s="17"/>
      <c r="GRD32" s="17"/>
      <c r="GRE32" s="17"/>
      <c r="GRK32" s="17"/>
      <c r="GRL32" s="17"/>
      <c r="GRM32" s="17"/>
      <c r="GRS32" s="17"/>
      <c r="GRT32" s="17"/>
      <c r="GRU32" s="17"/>
      <c r="GSA32" s="17"/>
      <c r="GSB32" s="17"/>
      <c r="GSC32" s="17"/>
      <c r="GSI32" s="17"/>
      <c r="GSJ32" s="17"/>
      <c r="GSK32" s="17"/>
      <c r="GSQ32" s="17"/>
      <c r="GSR32" s="17"/>
      <c r="GSS32" s="17"/>
      <c r="GSY32" s="17"/>
      <c r="GSZ32" s="17"/>
      <c r="GTA32" s="17"/>
      <c r="GTG32" s="17"/>
      <c r="GTH32" s="17"/>
      <c r="GTI32" s="17"/>
      <c r="GTO32" s="17"/>
      <c r="GTP32" s="17"/>
      <c r="GTQ32" s="17"/>
      <c r="GTW32" s="17"/>
      <c r="GTX32" s="17"/>
      <c r="GTY32" s="17"/>
      <c r="GUE32" s="17"/>
      <c r="GUF32" s="17"/>
      <c r="GUG32" s="17"/>
      <c r="GUM32" s="17"/>
      <c r="GUN32" s="17"/>
      <c r="GUO32" s="17"/>
      <c r="GUU32" s="17"/>
      <c r="GUV32" s="17"/>
      <c r="GUW32" s="17"/>
      <c r="GVC32" s="17"/>
      <c r="GVD32" s="17"/>
      <c r="GVE32" s="17"/>
      <c r="GVK32" s="17"/>
      <c r="GVL32" s="17"/>
      <c r="GVM32" s="17"/>
      <c r="GVS32" s="17"/>
      <c r="GVT32" s="17"/>
      <c r="GVU32" s="17"/>
      <c r="GWA32" s="17"/>
      <c r="GWB32" s="17"/>
      <c r="GWC32" s="17"/>
      <c r="GWI32" s="17"/>
      <c r="GWJ32" s="17"/>
      <c r="GWK32" s="17"/>
      <c r="GWQ32" s="17"/>
      <c r="GWR32" s="17"/>
      <c r="GWS32" s="17"/>
      <c r="GWY32" s="17"/>
      <c r="GWZ32" s="17"/>
      <c r="GXA32" s="17"/>
      <c r="GXG32" s="17"/>
      <c r="GXH32" s="17"/>
      <c r="GXI32" s="17"/>
      <c r="GXO32" s="17"/>
      <c r="GXP32" s="17"/>
      <c r="GXQ32" s="17"/>
      <c r="GXW32" s="17"/>
      <c r="GXX32" s="17"/>
      <c r="GXY32" s="17"/>
      <c r="GYE32" s="17"/>
      <c r="GYF32" s="17"/>
      <c r="GYG32" s="17"/>
      <c r="GYM32" s="17"/>
      <c r="GYN32" s="17"/>
      <c r="GYO32" s="17"/>
      <c r="GYU32" s="17"/>
      <c r="GYV32" s="17"/>
      <c r="GYW32" s="17"/>
      <c r="GZC32" s="17"/>
      <c r="GZD32" s="17"/>
      <c r="GZE32" s="17"/>
      <c r="GZK32" s="17"/>
      <c r="GZL32" s="17"/>
      <c r="GZM32" s="17"/>
      <c r="GZS32" s="17"/>
      <c r="GZT32" s="17"/>
      <c r="GZU32" s="17"/>
      <c r="HAA32" s="17"/>
      <c r="HAB32" s="17"/>
      <c r="HAC32" s="17"/>
      <c r="HAI32" s="17"/>
      <c r="HAJ32" s="17"/>
      <c r="HAK32" s="17"/>
      <c r="HAQ32" s="17"/>
      <c r="HAR32" s="17"/>
      <c r="HAS32" s="17"/>
      <c r="HAY32" s="17"/>
      <c r="HAZ32" s="17"/>
      <c r="HBA32" s="17"/>
      <c r="HBG32" s="17"/>
      <c r="HBH32" s="17"/>
      <c r="HBI32" s="17"/>
      <c r="HBO32" s="17"/>
      <c r="HBP32" s="17"/>
      <c r="HBQ32" s="17"/>
      <c r="HBW32" s="17"/>
      <c r="HBX32" s="17"/>
      <c r="HBY32" s="17"/>
      <c r="HCE32" s="17"/>
      <c r="HCF32" s="17"/>
      <c r="HCG32" s="17"/>
      <c r="HCM32" s="17"/>
      <c r="HCN32" s="17"/>
      <c r="HCO32" s="17"/>
      <c r="HCU32" s="17"/>
      <c r="HCV32" s="17"/>
      <c r="HCW32" s="17"/>
      <c r="HDC32" s="17"/>
      <c r="HDD32" s="17"/>
      <c r="HDE32" s="17"/>
      <c r="HDK32" s="17"/>
      <c r="HDL32" s="17"/>
      <c r="HDM32" s="17"/>
      <c r="HDS32" s="17"/>
      <c r="HDT32" s="17"/>
      <c r="HDU32" s="17"/>
      <c r="HEA32" s="17"/>
      <c r="HEB32" s="17"/>
      <c r="HEC32" s="17"/>
      <c r="HEI32" s="17"/>
      <c r="HEJ32" s="17"/>
      <c r="HEK32" s="17"/>
      <c r="HEQ32" s="17"/>
      <c r="HER32" s="17"/>
      <c r="HES32" s="17"/>
      <c r="HEY32" s="17"/>
      <c r="HEZ32" s="17"/>
      <c r="HFA32" s="17"/>
      <c r="HFG32" s="17"/>
      <c r="HFH32" s="17"/>
      <c r="HFI32" s="17"/>
      <c r="HFO32" s="17"/>
      <c r="HFP32" s="17"/>
      <c r="HFQ32" s="17"/>
      <c r="HFW32" s="17"/>
      <c r="HFX32" s="17"/>
      <c r="HFY32" s="17"/>
      <c r="HGE32" s="17"/>
      <c r="HGF32" s="17"/>
      <c r="HGG32" s="17"/>
      <c r="HGM32" s="17"/>
      <c r="HGN32" s="17"/>
      <c r="HGO32" s="17"/>
      <c r="HGU32" s="17"/>
      <c r="HGV32" s="17"/>
      <c r="HGW32" s="17"/>
      <c r="HHC32" s="17"/>
      <c r="HHD32" s="17"/>
      <c r="HHE32" s="17"/>
      <c r="HHK32" s="17"/>
      <c r="HHL32" s="17"/>
      <c r="HHM32" s="17"/>
      <c r="HHS32" s="17"/>
      <c r="HHT32" s="17"/>
      <c r="HHU32" s="17"/>
      <c r="HIA32" s="17"/>
      <c r="HIB32" s="17"/>
      <c r="HIC32" s="17"/>
      <c r="HII32" s="17"/>
      <c r="HIJ32" s="17"/>
      <c r="HIK32" s="17"/>
      <c r="HIQ32" s="17"/>
      <c r="HIR32" s="17"/>
      <c r="HIS32" s="17"/>
      <c r="HIY32" s="17"/>
      <c r="HIZ32" s="17"/>
      <c r="HJA32" s="17"/>
      <c r="HJG32" s="17"/>
      <c r="HJH32" s="17"/>
      <c r="HJI32" s="17"/>
      <c r="HJO32" s="17"/>
      <c r="HJP32" s="17"/>
      <c r="HJQ32" s="17"/>
      <c r="HJW32" s="17"/>
      <c r="HJX32" s="17"/>
      <c r="HJY32" s="17"/>
      <c r="HKE32" s="17"/>
      <c r="HKF32" s="17"/>
      <c r="HKG32" s="17"/>
      <c r="HKM32" s="17"/>
      <c r="HKN32" s="17"/>
      <c r="HKO32" s="17"/>
      <c r="HKU32" s="17"/>
      <c r="HKV32" s="17"/>
      <c r="HKW32" s="17"/>
      <c r="HLC32" s="17"/>
      <c r="HLD32" s="17"/>
      <c r="HLE32" s="17"/>
      <c r="HLK32" s="17"/>
      <c r="HLL32" s="17"/>
      <c r="HLM32" s="17"/>
      <c r="HLS32" s="17"/>
      <c r="HLT32" s="17"/>
      <c r="HLU32" s="17"/>
      <c r="HMA32" s="17"/>
      <c r="HMB32" s="17"/>
      <c r="HMC32" s="17"/>
      <c r="HMI32" s="17"/>
      <c r="HMJ32" s="17"/>
      <c r="HMK32" s="17"/>
      <c r="HMQ32" s="17"/>
      <c r="HMR32" s="17"/>
      <c r="HMS32" s="17"/>
      <c r="HMY32" s="17"/>
      <c r="HMZ32" s="17"/>
      <c r="HNA32" s="17"/>
      <c r="HNG32" s="17"/>
      <c r="HNH32" s="17"/>
      <c r="HNI32" s="17"/>
      <c r="HNO32" s="17"/>
      <c r="HNP32" s="17"/>
      <c r="HNQ32" s="17"/>
      <c r="HNW32" s="17"/>
      <c r="HNX32" s="17"/>
      <c r="HNY32" s="17"/>
      <c r="HOE32" s="17"/>
      <c r="HOF32" s="17"/>
      <c r="HOG32" s="17"/>
      <c r="HOM32" s="17"/>
      <c r="HON32" s="17"/>
      <c r="HOO32" s="17"/>
      <c r="HOU32" s="17"/>
      <c r="HOV32" s="17"/>
      <c r="HOW32" s="17"/>
      <c r="HPC32" s="17"/>
      <c r="HPD32" s="17"/>
      <c r="HPE32" s="17"/>
      <c r="HPK32" s="17"/>
      <c r="HPL32" s="17"/>
      <c r="HPM32" s="17"/>
      <c r="HPS32" s="17"/>
      <c r="HPT32" s="17"/>
      <c r="HPU32" s="17"/>
      <c r="HQA32" s="17"/>
      <c r="HQB32" s="17"/>
      <c r="HQC32" s="17"/>
      <c r="HQI32" s="17"/>
      <c r="HQJ32" s="17"/>
      <c r="HQK32" s="17"/>
      <c r="HQQ32" s="17"/>
      <c r="HQR32" s="17"/>
      <c r="HQS32" s="17"/>
      <c r="HQY32" s="17"/>
      <c r="HQZ32" s="17"/>
      <c r="HRA32" s="17"/>
      <c r="HRG32" s="17"/>
      <c r="HRH32" s="17"/>
      <c r="HRI32" s="17"/>
      <c r="HRO32" s="17"/>
      <c r="HRP32" s="17"/>
      <c r="HRQ32" s="17"/>
      <c r="HRW32" s="17"/>
      <c r="HRX32" s="17"/>
      <c r="HRY32" s="17"/>
      <c r="HSE32" s="17"/>
      <c r="HSF32" s="17"/>
      <c r="HSG32" s="17"/>
      <c r="HSM32" s="17"/>
      <c r="HSN32" s="17"/>
      <c r="HSO32" s="17"/>
      <c r="HSU32" s="17"/>
      <c r="HSV32" s="17"/>
      <c r="HSW32" s="17"/>
      <c r="HTC32" s="17"/>
      <c r="HTD32" s="17"/>
      <c r="HTE32" s="17"/>
      <c r="HTK32" s="17"/>
      <c r="HTL32" s="17"/>
      <c r="HTM32" s="17"/>
      <c r="HTS32" s="17"/>
      <c r="HTT32" s="17"/>
      <c r="HTU32" s="17"/>
      <c r="HUA32" s="17"/>
      <c r="HUB32" s="17"/>
      <c r="HUC32" s="17"/>
      <c r="HUI32" s="17"/>
      <c r="HUJ32" s="17"/>
      <c r="HUK32" s="17"/>
      <c r="HUQ32" s="17"/>
      <c r="HUR32" s="17"/>
      <c r="HUS32" s="17"/>
      <c r="HUY32" s="17"/>
      <c r="HUZ32" s="17"/>
      <c r="HVA32" s="17"/>
      <c r="HVG32" s="17"/>
      <c r="HVH32" s="17"/>
      <c r="HVI32" s="17"/>
      <c r="HVO32" s="17"/>
      <c r="HVP32" s="17"/>
      <c r="HVQ32" s="17"/>
      <c r="HVW32" s="17"/>
      <c r="HVX32" s="17"/>
      <c r="HVY32" s="17"/>
      <c r="HWE32" s="17"/>
      <c r="HWF32" s="17"/>
      <c r="HWG32" s="17"/>
      <c r="HWM32" s="17"/>
      <c r="HWN32" s="17"/>
      <c r="HWO32" s="17"/>
      <c r="HWU32" s="17"/>
      <c r="HWV32" s="17"/>
      <c r="HWW32" s="17"/>
      <c r="HXC32" s="17"/>
      <c r="HXD32" s="17"/>
      <c r="HXE32" s="17"/>
      <c r="HXK32" s="17"/>
      <c r="HXL32" s="17"/>
      <c r="HXM32" s="17"/>
      <c r="HXS32" s="17"/>
      <c r="HXT32" s="17"/>
      <c r="HXU32" s="17"/>
      <c r="HYA32" s="17"/>
      <c r="HYB32" s="17"/>
      <c r="HYC32" s="17"/>
      <c r="HYI32" s="17"/>
      <c r="HYJ32" s="17"/>
      <c r="HYK32" s="17"/>
      <c r="HYQ32" s="17"/>
      <c r="HYR32" s="17"/>
      <c r="HYS32" s="17"/>
      <c r="HYY32" s="17"/>
      <c r="HYZ32" s="17"/>
      <c r="HZA32" s="17"/>
      <c r="HZG32" s="17"/>
      <c r="HZH32" s="17"/>
      <c r="HZI32" s="17"/>
      <c r="HZO32" s="17"/>
      <c r="HZP32" s="17"/>
      <c r="HZQ32" s="17"/>
      <c r="HZW32" s="17"/>
      <c r="HZX32" s="17"/>
      <c r="HZY32" s="17"/>
      <c r="IAE32" s="17"/>
      <c r="IAF32" s="17"/>
      <c r="IAG32" s="17"/>
      <c r="IAM32" s="17"/>
      <c r="IAN32" s="17"/>
      <c r="IAO32" s="17"/>
      <c r="IAU32" s="17"/>
      <c r="IAV32" s="17"/>
      <c r="IAW32" s="17"/>
      <c r="IBC32" s="17"/>
      <c r="IBD32" s="17"/>
      <c r="IBE32" s="17"/>
      <c r="IBK32" s="17"/>
      <c r="IBL32" s="17"/>
      <c r="IBM32" s="17"/>
      <c r="IBS32" s="17"/>
      <c r="IBT32" s="17"/>
      <c r="IBU32" s="17"/>
      <c r="ICA32" s="17"/>
      <c r="ICB32" s="17"/>
      <c r="ICC32" s="17"/>
      <c r="ICI32" s="17"/>
      <c r="ICJ32" s="17"/>
      <c r="ICK32" s="17"/>
      <c r="ICQ32" s="17"/>
      <c r="ICR32" s="17"/>
      <c r="ICS32" s="17"/>
      <c r="ICY32" s="17"/>
      <c r="ICZ32" s="17"/>
      <c r="IDA32" s="17"/>
      <c r="IDG32" s="17"/>
      <c r="IDH32" s="17"/>
      <c r="IDI32" s="17"/>
      <c r="IDO32" s="17"/>
      <c r="IDP32" s="17"/>
      <c r="IDQ32" s="17"/>
      <c r="IDW32" s="17"/>
      <c r="IDX32" s="17"/>
      <c r="IDY32" s="17"/>
      <c r="IEE32" s="17"/>
      <c r="IEF32" s="17"/>
      <c r="IEG32" s="17"/>
      <c r="IEM32" s="17"/>
      <c r="IEN32" s="17"/>
      <c r="IEO32" s="17"/>
      <c r="IEU32" s="17"/>
      <c r="IEV32" s="17"/>
      <c r="IEW32" s="17"/>
      <c r="IFC32" s="17"/>
      <c r="IFD32" s="17"/>
      <c r="IFE32" s="17"/>
      <c r="IFK32" s="17"/>
      <c r="IFL32" s="17"/>
      <c r="IFM32" s="17"/>
      <c r="IFS32" s="17"/>
      <c r="IFT32" s="17"/>
      <c r="IFU32" s="17"/>
      <c r="IGA32" s="17"/>
      <c r="IGB32" s="17"/>
      <c r="IGC32" s="17"/>
      <c r="IGI32" s="17"/>
      <c r="IGJ32" s="17"/>
      <c r="IGK32" s="17"/>
      <c r="IGQ32" s="17"/>
      <c r="IGR32" s="17"/>
      <c r="IGS32" s="17"/>
      <c r="IGY32" s="17"/>
      <c r="IGZ32" s="17"/>
      <c r="IHA32" s="17"/>
      <c r="IHG32" s="17"/>
      <c r="IHH32" s="17"/>
      <c r="IHI32" s="17"/>
      <c r="IHO32" s="17"/>
      <c r="IHP32" s="17"/>
      <c r="IHQ32" s="17"/>
      <c r="IHW32" s="17"/>
      <c r="IHX32" s="17"/>
      <c r="IHY32" s="17"/>
      <c r="IIE32" s="17"/>
      <c r="IIF32" s="17"/>
      <c r="IIG32" s="17"/>
      <c r="IIM32" s="17"/>
      <c r="IIN32" s="17"/>
      <c r="IIO32" s="17"/>
      <c r="IIU32" s="17"/>
      <c r="IIV32" s="17"/>
      <c r="IIW32" s="17"/>
      <c r="IJC32" s="17"/>
      <c r="IJD32" s="17"/>
      <c r="IJE32" s="17"/>
      <c r="IJK32" s="17"/>
      <c r="IJL32" s="17"/>
      <c r="IJM32" s="17"/>
      <c r="IJS32" s="17"/>
      <c r="IJT32" s="17"/>
      <c r="IJU32" s="17"/>
      <c r="IKA32" s="17"/>
      <c r="IKB32" s="17"/>
      <c r="IKC32" s="17"/>
      <c r="IKI32" s="17"/>
      <c r="IKJ32" s="17"/>
      <c r="IKK32" s="17"/>
      <c r="IKQ32" s="17"/>
      <c r="IKR32" s="17"/>
      <c r="IKS32" s="17"/>
      <c r="IKY32" s="17"/>
      <c r="IKZ32" s="17"/>
      <c r="ILA32" s="17"/>
      <c r="ILG32" s="17"/>
      <c r="ILH32" s="17"/>
      <c r="ILI32" s="17"/>
      <c r="ILO32" s="17"/>
      <c r="ILP32" s="17"/>
      <c r="ILQ32" s="17"/>
      <c r="ILW32" s="17"/>
      <c r="ILX32" s="17"/>
      <c r="ILY32" s="17"/>
      <c r="IME32" s="17"/>
      <c r="IMF32" s="17"/>
      <c r="IMG32" s="17"/>
      <c r="IMM32" s="17"/>
      <c r="IMN32" s="17"/>
      <c r="IMO32" s="17"/>
      <c r="IMU32" s="17"/>
      <c r="IMV32" s="17"/>
      <c r="IMW32" s="17"/>
      <c r="INC32" s="17"/>
      <c r="IND32" s="17"/>
      <c r="INE32" s="17"/>
      <c r="INK32" s="17"/>
      <c r="INL32" s="17"/>
      <c r="INM32" s="17"/>
      <c r="INS32" s="17"/>
      <c r="INT32" s="17"/>
      <c r="INU32" s="17"/>
      <c r="IOA32" s="17"/>
      <c r="IOB32" s="17"/>
      <c r="IOC32" s="17"/>
      <c r="IOI32" s="17"/>
      <c r="IOJ32" s="17"/>
      <c r="IOK32" s="17"/>
      <c r="IOQ32" s="17"/>
      <c r="IOR32" s="17"/>
      <c r="IOS32" s="17"/>
      <c r="IOY32" s="17"/>
      <c r="IOZ32" s="17"/>
      <c r="IPA32" s="17"/>
      <c r="IPG32" s="17"/>
      <c r="IPH32" s="17"/>
      <c r="IPI32" s="17"/>
      <c r="IPO32" s="17"/>
      <c r="IPP32" s="17"/>
      <c r="IPQ32" s="17"/>
      <c r="IPW32" s="17"/>
      <c r="IPX32" s="17"/>
      <c r="IPY32" s="17"/>
      <c r="IQE32" s="17"/>
      <c r="IQF32" s="17"/>
      <c r="IQG32" s="17"/>
      <c r="IQM32" s="17"/>
      <c r="IQN32" s="17"/>
      <c r="IQO32" s="17"/>
      <c r="IQU32" s="17"/>
      <c r="IQV32" s="17"/>
      <c r="IQW32" s="17"/>
      <c r="IRC32" s="17"/>
      <c r="IRD32" s="17"/>
      <c r="IRE32" s="17"/>
      <c r="IRK32" s="17"/>
      <c r="IRL32" s="17"/>
      <c r="IRM32" s="17"/>
      <c r="IRS32" s="17"/>
      <c r="IRT32" s="17"/>
      <c r="IRU32" s="17"/>
      <c r="ISA32" s="17"/>
      <c r="ISB32" s="17"/>
      <c r="ISC32" s="17"/>
      <c r="ISI32" s="17"/>
      <c r="ISJ32" s="17"/>
      <c r="ISK32" s="17"/>
      <c r="ISQ32" s="17"/>
      <c r="ISR32" s="17"/>
      <c r="ISS32" s="17"/>
      <c r="ISY32" s="17"/>
      <c r="ISZ32" s="17"/>
      <c r="ITA32" s="17"/>
      <c r="ITG32" s="17"/>
      <c r="ITH32" s="17"/>
      <c r="ITI32" s="17"/>
      <c r="ITO32" s="17"/>
      <c r="ITP32" s="17"/>
      <c r="ITQ32" s="17"/>
      <c r="ITW32" s="17"/>
      <c r="ITX32" s="17"/>
      <c r="ITY32" s="17"/>
      <c r="IUE32" s="17"/>
      <c r="IUF32" s="17"/>
      <c r="IUG32" s="17"/>
      <c r="IUM32" s="17"/>
      <c r="IUN32" s="17"/>
      <c r="IUO32" s="17"/>
      <c r="IUU32" s="17"/>
      <c r="IUV32" s="17"/>
      <c r="IUW32" s="17"/>
      <c r="IVC32" s="17"/>
      <c r="IVD32" s="17"/>
      <c r="IVE32" s="17"/>
      <c r="IVK32" s="17"/>
      <c r="IVL32" s="17"/>
      <c r="IVM32" s="17"/>
      <c r="IVS32" s="17"/>
      <c r="IVT32" s="17"/>
      <c r="IVU32" s="17"/>
      <c r="IWA32" s="17"/>
      <c r="IWB32" s="17"/>
      <c r="IWC32" s="17"/>
      <c r="IWI32" s="17"/>
      <c r="IWJ32" s="17"/>
      <c r="IWK32" s="17"/>
      <c r="IWQ32" s="17"/>
      <c r="IWR32" s="17"/>
      <c r="IWS32" s="17"/>
      <c r="IWY32" s="17"/>
      <c r="IWZ32" s="17"/>
      <c r="IXA32" s="17"/>
      <c r="IXG32" s="17"/>
      <c r="IXH32" s="17"/>
      <c r="IXI32" s="17"/>
      <c r="IXO32" s="17"/>
      <c r="IXP32" s="17"/>
      <c r="IXQ32" s="17"/>
      <c r="IXW32" s="17"/>
      <c r="IXX32" s="17"/>
      <c r="IXY32" s="17"/>
      <c r="IYE32" s="17"/>
      <c r="IYF32" s="17"/>
      <c r="IYG32" s="17"/>
      <c r="IYM32" s="17"/>
      <c r="IYN32" s="17"/>
      <c r="IYO32" s="17"/>
      <c r="IYU32" s="17"/>
      <c r="IYV32" s="17"/>
      <c r="IYW32" s="17"/>
      <c r="IZC32" s="17"/>
      <c r="IZD32" s="17"/>
      <c r="IZE32" s="17"/>
      <c r="IZK32" s="17"/>
      <c r="IZL32" s="17"/>
      <c r="IZM32" s="17"/>
      <c r="IZS32" s="17"/>
      <c r="IZT32" s="17"/>
      <c r="IZU32" s="17"/>
      <c r="JAA32" s="17"/>
      <c r="JAB32" s="17"/>
      <c r="JAC32" s="17"/>
      <c r="JAI32" s="17"/>
      <c r="JAJ32" s="17"/>
      <c r="JAK32" s="17"/>
      <c r="JAQ32" s="17"/>
      <c r="JAR32" s="17"/>
      <c r="JAS32" s="17"/>
      <c r="JAY32" s="17"/>
      <c r="JAZ32" s="17"/>
      <c r="JBA32" s="17"/>
      <c r="JBG32" s="17"/>
      <c r="JBH32" s="17"/>
      <c r="JBI32" s="17"/>
      <c r="JBO32" s="17"/>
      <c r="JBP32" s="17"/>
      <c r="JBQ32" s="17"/>
      <c r="JBW32" s="17"/>
      <c r="JBX32" s="17"/>
      <c r="JBY32" s="17"/>
      <c r="JCE32" s="17"/>
      <c r="JCF32" s="17"/>
      <c r="JCG32" s="17"/>
      <c r="JCM32" s="17"/>
      <c r="JCN32" s="17"/>
      <c r="JCO32" s="17"/>
      <c r="JCU32" s="17"/>
      <c r="JCV32" s="17"/>
      <c r="JCW32" s="17"/>
      <c r="JDC32" s="17"/>
      <c r="JDD32" s="17"/>
      <c r="JDE32" s="17"/>
      <c r="JDK32" s="17"/>
      <c r="JDL32" s="17"/>
      <c r="JDM32" s="17"/>
      <c r="JDS32" s="17"/>
      <c r="JDT32" s="17"/>
      <c r="JDU32" s="17"/>
      <c r="JEA32" s="17"/>
      <c r="JEB32" s="17"/>
      <c r="JEC32" s="17"/>
      <c r="JEI32" s="17"/>
      <c r="JEJ32" s="17"/>
      <c r="JEK32" s="17"/>
      <c r="JEQ32" s="17"/>
      <c r="JER32" s="17"/>
      <c r="JES32" s="17"/>
      <c r="JEY32" s="17"/>
      <c r="JEZ32" s="17"/>
      <c r="JFA32" s="17"/>
      <c r="JFG32" s="17"/>
      <c r="JFH32" s="17"/>
      <c r="JFI32" s="17"/>
      <c r="JFO32" s="17"/>
      <c r="JFP32" s="17"/>
      <c r="JFQ32" s="17"/>
      <c r="JFW32" s="17"/>
      <c r="JFX32" s="17"/>
      <c r="JFY32" s="17"/>
      <c r="JGE32" s="17"/>
      <c r="JGF32" s="17"/>
      <c r="JGG32" s="17"/>
      <c r="JGM32" s="17"/>
      <c r="JGN32" s="17"/>
      <c r="JGO32" s="17"/>
      <c r="JGU32" s="17"/>
      <c r="JGV32" s="17"/>
      <c r="JGW32" s="17"/>
      <c r="JHC32" s="17"/>
      <c r="JHD32" s="17"/>
      <c r="JHE32" s="17"/>
      <c r="JHK32" s="17"/>
      <c r="JHL32" s="17"/>
      <c r="JHM32" s="17"/>
      <c r="JHS32" s="17"/>
      <c r="JHT32" s="17"/>
      <c r="JHU32" s="17"/>
      <c r="JIA32" s="17"/>
      <c r="JIB32" s="17"/>
      <c r="JIC32" s="17"/>
      <c r="JII32" s="17"/>
      <c r="JIJ32" s="17"/>
      <c r="JIK32" s="17"/>
      <c r="JIQ32" s="17"/>
      <c r="JIR32" s="17"/>
      <c r="JIS32" s="17"/>
      <c r="JIY32" s="17"/>
      <c r="JIZ32" s="17"/>
      <c r="JJA32" s="17"/>
      <c r="JJG32" s="17"/>
      <c r="JJH32" s="17"/>
      <c r="JJI32" s="17"/>
      <c r="JJO32" s="17"/>
      <c r="JJP32" s="17"/>
      <c r="JJQ32" s="17"/>
      <c r="JJW32" s="17"/>
      <c r="JJX32" s="17"/>
      <c r="JJY32" s="17"/>
      <c r="JKE32" s="17"/>
      <c r="JKF32" s="17"/>
      <c r="JKG32" s="17"/>
      <c r="JKM32" s="17"/>
      <c r="JKN32" s="17"/>
      <c r="JKO32" s="17"/>
      <c r="JKU32" s="17"/>
      <c r="JKV32" s="17"/>
      <c r="JKW32" s="17"/>
      <c r="JLC32" s="17"/>
      <c r="JLD32" s="17"/>
      <c r="JLE32" s="17"/>
      <c r="JLK32" s="17"/>
      <c r="JLL32" s="17"/>
      <c r="JLM32" s="17"/>
      <c r="JLS32" s="17"/>
      <c r="JLT32" s="17"/>
      <c r="JLU32" s="17"/>
      <c r="JMA32" s="17"/>
      <c r="JMB32" s="17"/>
      <c r="JMC32" s="17"/>
      <c r="JMI32" s="17"/>
      <c r="JMJ32" s="17"/>
      <c r="JMK32" s="17"/>
      <c r="JMQ32" s="17"/>
      <c r="JMR32" s="17"/>
      <c r="JMS32" s="17"/>
      <c r="JMY32" s="17"/>
      <c r="JMZ32" s="17"/>
      <c r="JNA32" s="17"/>
      <c r="JNG32" s="17"/>
      <c r="JNH32" s="17"/>
      <c r="JNI32" s="17"/>
      <c r="JNO32" s="17"/>
      <c r="JNP32" s="17"/>
      <c r="JNQ32" s="17"/>
      <c r="JNW32" s="17"/>
      <c r="JNX32" s="17"/>
      <c r="JNY32" s="17"/>
      <c r="JOE32" s="17"/>
      <c r="JOF32" s="17"/>
      <c r="JOG32" s="17"/>
      <c r="JOM32" s="17"/>
      <c r="JON32" s="17"/>
      <c r="JOO32" s="17"/>
      <c r="JOU32" s="17"/>
      <c r="JOV32" s="17"/>
      <c r="JOW32" s="17"/>
      <c r="JPC32" s="17"/>
      <c r="JPD32" s="17"/>
      <c r="JPE32" s="17"/>
      <c r="JPK32" s="17"/>
      <c r="JPL32" s="17"/>
      <c r="JPM32" s="17"/>
      <c r="JPS32" s="17"/>
      <c r="JPT32" s="17"/>
      <c r="JPU32" s="17"/>
      <c r="JQA32" s="17"/>
      <c r="JQB32" s="17"/>
      <c r="JQC32" s="17"/>
      <c r="JQI32" s="17"/>
      <c r="JQJ32" s="17"/>
      <c r="JQK32" s="17"/>
      <c r="JQQ32" s="17"/>
      <c r="JQR32" s="17"/>
      <c r="JQS32" s="17"/>
      <c r="JQY32" s="17"/>
      <c r="JQZ32" s="17"/>
      <c r="JRA32" s="17"/>
      <c r="JRG32" s="17"/>
      <c r="JRH32" s="17"/>
      <c r="JRI32" s="17"/>
      <c r="JRO32" s="17"/>
      <c r="JRP32" s="17"/>
      <c r="JRQ32" s="17"/>
      <c r="JRW32" s="17"/>
      <c r="JRX32" s="17"/>
      <c r="JRY32" s="17"/>
      <c r="JSE32" s="17"/>
      <c r="JSF32" s="17"/>
      <c r="JSG32" s="17"/>
      <c r="JSM32" s="17"/>
      <c r="JSN32" s="17"/>
      <c r="JSO32" s="17"/>
      <c r="JSU32" s="17"/>
      <c r="JSV32" s="17"/>
      <c r="JSW32" s="17"/>
      <c r="JTC32" s="17"/>
      <c r="JTD32" s="17"/>
      <c r="JTE32" s="17"/>
      <c r="JTK32" s="17"/>
      <c r="JTL32" s="17"/>
      <c r="JTM32" s="17"/>
      <c r="JTS32" s="17"/>
      <c r="JTT32" s="17"/>
      <c r="JTU32" s="17"/>
      <c r="JUA32" s="17"/>
      <c r="JUB32" s="17"/>
      <c r="JUC32" s="17"/>
      <c r="JUI32" s="17"/>
      <c r="JUJ32" s="17"/>
      <c r="JUK32" s="17"/>
      <c r="JUQ32" s="17"/>
      <c r="JUR32" s="17"/>
      <c r="JUS32" s="17"/>
      <c r="JUY32" s="17"/>
      <c r="JUZ32" s="17"/>
      <c r="JVA32" s="17"/>
      <c r="JVG32" s="17"/>
      <c r="JVH32" s="17"/>
      <c r="JVI32" s="17"/>
      <c r="JVO32" s="17"/>
      <c r="JVP32" s="17"/>
      <c r="JVQ32" s="17"/>
      <c r="JVW32" s="17"/>
      <c r="JVX32" s="17"/>
      <c r="JVY32" s="17"/>
      <c r="JWE32" s="17"/>
      <c r="JWF32" s="17"/>
      <c r="JWG32" s="17"/>
      <c r="JWM32" s="17"/>
      <c r="JWN32" s="17"/>
      <c r="JWO32" s="17"/>
      <c r="JWU32" s="17"/>
      <c r="JWV32" s="17"/>
      <c r="JWW32" s="17"/>
      <c r="JXC32" s="17"/>
      <c r="JXD32" s="17"/>
      <c r="JXE32" s="17"/>
      <c r="JXK32" s="17"/>
      <c r="JXL32" s="17"/>
      <c r="JXM32" s="17"/>
      <c r="JXS32" s="17"/>
      <c r="JXT32" s="17"/>
      <c r="JXU32" s="17"/>
      <c r="JYA32" s="17"/>
      <c r="JYB32" s="17"/>
      <c r="JYC32" s="17"/>
      <c r="JYI32" s="17"/>
      <c r="JYJ32" s="17"/>
      <c r="JYK32" s="17"/>
      <c r="JYQ32" s="17"/>
      <c r="JYR32" s="17"/>
      <c r="JYS32" s="17"/>
      <c r="JYY32" s="17"/>
      <c r="JYZ32" s="17"/>
      <c r="JZA32" s="17"/>
      <c r="JZG32" s="17"/>
      <c r="JZH32" s="17"/>
      <c r="JZI32" s="17"/>
      <c r="JZO32" s="17"/>
      <c r="JZP32" s="17"/>
      <c r="JZQ32" s="17"/>
      <c r="JZW32" s="17"/>
      <c r="JZX32" s="17"/>
      <c r="JZY32" s="17"/>
      <c r="KAE32" s="17"/>
      <c r="KAF32" s="17"/>
      <c r="KAG32" s="17"/>
      <c r="KAM32" s="17"/>
      <c r="KAN32" s="17"/>
      <c r="KAO32" s="17"/>
      <c r="KAU32" s="17"/>
      <c r="KAV32" s="17"/>
      <c r="KAW32" s="17"/>
      <c r="KBC32" s="17"/>
      <c r="KBD32" s="17"/>
      <c r="KBE32" s="17"/>
      <c r="KBK32" s="17"/>
      <c r="KBL32" s="17"/>
      <c r="KBM32" s="17"/>
      <c r="KBS32" s="17"/>
      <c r="KBT32" s="17"/>
      <c r="KBU32" s="17"/>
      <c r="KCA32" s="17"/>
      <c r="KCB32" s="17"/>
      <c r="KCC32" s="17"/>
      <c r="KCI32" s="17"/>
      <c r="KCJ32" s="17"/>
      <c r="KCK32" s="17"/>
      <c r="KCQ32" s="17"/>
      <c r="KCR32" s="17"/>
      <c r="KCS32" s="17"/>
      <c r="KCY32" s="17"/>
      <c r="KCZ32" s="17"/>
      <c r="KDA32" s="17"/>
      <c r="KDG32" s="17"/>
      <c r="KDH32" s="17"/>
      <c r="KDI32" s="17"/>
      <c r="KDO32" s="17"/>
      <c r="KDP32" s="17"/>
      <c r="KDQ32" s="17"/>
      <c r="KDW32" s="17"/>
      <c r="KDX32" s="17"/>
      <c r="KDY32" s="17"/>
      <c r="KEE32" s="17"/>
      <c r="KEF32" s="17"/>
      <c r="KEG32" s="17"/>
      <c r="KEM32" s="17"/>
      <c r="KEN32" s="17"/>
      <c r="KEO32" s="17"/>
      <c r="KEU32" s="17"/>
      <c r="KEV32" s="17"/>
      <c r="KEW32" s="17"/>
      <c r="KFC32" s="17"/>
      <c r="KFD32" s="17"/>
      <c r="KFE32" s="17"/>
      <c r="KFK32" s="17"/>
      <c r="KFL32" s="17"/>
      <c r="KFM32" s="17"/>
      <c r="KFS32" s="17"/>
      <c r="KFT32" s="17"/>
      <c r="KFU32" s="17"/>
      <c r="KGA32" s="17"/>
      <c r="KGB32" s="17"/>
      <c r="KGC32" s="17"/>
      <c r="KGI32" s="17"/>
      <c r="KGJ32" s="17"/>
      <c r="KGK32" s="17"/>
      <c r="KGQ32" s="17"/>
      <c r="KGR32" s="17"/>
      <c r="KGS32" s="17"/>
      <c r="KGY32" s="17"/>
      <c r="KGZ32" s="17"/>
      <c r="KHA32" s="17"/>
      <c r="KHG32" s="17"/>
      <c r="KHH32" s="17"/>
      <c r="KHI32" s="17"/>
      <c r="KHO32" s="17"/>
      <c r="KHP32" s="17"/>
      <c r="KHQ32" s="17"/>
      <c r="KHW32" s="17"/>
      <c r="KHX32" s="17"/>
      <c r="KHY32" s="17"/>
      <c r="KIE32" s="17"/>
      <c r="KIF32" s="17"/>
      <c r="KIG32" s="17"/>
      <c r="KIM32" s="17"/>
      <c r="KIN32" s="17"/>
      <c r="KIO32" s="17"/>
      <c r="KIU32" s="17"/>
      <c r="KIV32" s="17"/>
      <c r="KIW32" s="17"/>
      <c r="KJC32" s="17"/>
      <c r="KJD32" s="17"/>
      <c r="KJE32" s="17"/>
      <c r="KJK32" s="17"/>
      <c r="KJL32" s="17"/>
      <c r="KJM32" s="17"/>
      <c r="KJS32" s="17"/>
      <c r="KJT32" s="17"/>
      <c r="KJU32" s="17"/>
      <c r="KKA32" s="17"/>
      <c r="KKB32" s="17"/>
      <c r="KKC32" s="17"/>
      <c r="KKI32" s="17"/>
      <c r="KKJ32" s="17"/>
      <c r="KKK32" s="17"/>
      <c r="KKQ32" s="17"/>
      <c r="KKR32" s="17"/>
      <c r="KKS32" s="17"/>
      <c r="KKY32" s="17"/>
      <c r="KKZ32" s="17"/>
      <c r="KLA32" s="17"/>
      <c r="KLG32" s="17"/>
      <c r="KLH32" s="17"/>
      <c r="KLI32" s="17"/>
      <c r="KLO32" s="17"/>
      <c r="KLP32" s="17"/>
      <c r="KLQ32" s="17"/>
      <c r="KLW32" s="17"/>
      <c r="KLX32" s="17"/>
      <c r="KLY32" s="17"/>
      <c r="KME32" s="17"/>
      <c r="KMF32" s="17"/>
      <c r="KMG32" s="17"/>
      <c r="KMM32" s="17"/>
      <c r="KMN32" s="17"/>
      <c r="KMO32" s="17"/>
      <c r="KMU32" s="17"/>
      <c r="KMV32" s="17"/>
      <c r="KMW32" s="17"/>
      <c r="KNC32" s="17"/>
      <c r="KND32" s="17"/>
      <c r="KNE32" s="17"/>
      <c r="KNK32" s="17"/>
      <c r="KNL32" s="17"/>
      <c r="KNM32" s="17"/>
      <c r="KNS32" s="17"/>
      <c r="KNT32" s="17"/>
      <c r="KNU32" s="17"/>
      <c r="KOA32" s="17"/>
      <c r="KOB32" s="17"/>
      <c r="KOC32" s="17"/>
      <c r="KOI32" s="17"/>
      <c r="KOJ32" s="17"/>
      <c r="KOK32" s="17"/>
      <c r="KOQ32" s="17"/>
      <c r="KOR32" s="17"/>
      <c r="KOS32" s="17"/>
      <c r="KOY32" s="17"/>
      <c r="KOZ32" s="17"/>
      <c r="KPA32" s="17"/>
      <c r="KPG32" s="17"/>
      <c r="KPH32" s="17"/>
      <c r="KPI32" s="17"/>
      <c r="KPO32" s="17"/>
      <c r="KPP32" s="17"/>
      <c r="KPQ32" s="17"/>
      <c r="KPW32" s="17"/>
      <c r="KPX32" s="17"/>
      <c r="KPY32" s="17"/>
      <c r="KQE32" s="17"/>
      <c r="KQF32" s="17"/>
      <c r="KQG32" s="17"/>
      <c r="KQM32" s="17"/>
      <c r="KQN32" s="17"/>
      <c r="KQO32" s="17"/>
      <c r="KQU32" s="17"/>
      <c r="KQV32" s="17"/>
      <c r="KQW32" s="17"/>
      <c r="KRC32" s="17"/>
      <c r="KRD32" s="17"/>
      <c r="KRE32" s="17"/>
      <c r="KRK32" s="17"/>
      <c r="KRL32" s="17"/>
      <c r="KRM32" s="17"/>
      <c r="KRS32" s="17"/>
      <c r="KRT32" s="17"/>
      <c r="KRU32" s="17"/>
      <c r="KSA32" s="17"/>
      <c r="KSB32" s="17"/>
      <c r="KSC32" s="17"/>
      <c r="KSI32" s="17"/>
      <c r="KSJ32" s="17"/>
      <c r="KSK32" s="17"/>
      <c r="KSQ32" s="17"/>
      <c r="KSR32" s="17"/>
      <c r="KSS32" s="17"/>
      <c r="KSY32" s="17"/>
      <c r="KSZ32" s="17"/>
      <c r="KTA32" s="17"/>
      <c r="KTG32" s="17"/>
      <c r="KTH32" s="17"/>
      <c r="KTI32" s="17"/>
      <c r="KTO32" s="17"/>
      <c r="KTP32" s="17"/>
      <c r="KTQ32" s="17"/>
      <c r="KTW32" s="17"/>
      <c r="KTX32" s="17"/>
      <c r="KTY32" s="17"/>
      <c r="KUE32" s="17"/>
      <c r="KUF32" s="17"/>
      <c r="KUG32" s="17"/>
      <c r="KUM32" s="17"/>
      <c r="KUN32" s="17"/>
      <c r="KUO32" s="17"/>
      <c r="KUU32" s="17"/>
      <c r="KUV32" s="17"/>
      <c r="KUW32" s="17"/>
      <c r="KVC32" s="17"/>
      <c r="KVD32" s="17"/>
      <c r="KVE32" s="17"/>
      <c r="KVK32" s="17"/>
      <c r="KVL32" s="17"/>
      <c r="KVM32" s="17"/>
      <c r="KVS32" s="17"/>
      <c r="KVT32" s="17"/>
      <c r="KVU32" s="17"/>
      <c r="KWA32" s="17"/>
      <c r="KWB32" s="17"/>
      <c r="KWC32" s="17"/>
      <c r="KWI32" s="17"/>
      <c r="KWJ32" s="17"/>
      <c r="KWK32" s="17"/>
      <c r="KWQ32" s="17"/>
      <c r="KWR32" s="17"/>
      <c r="KWS32" s="17"/>
      <c r="KWY32" s="17"/>
      <c r="KWZ32" s="17"/>
      <c r="KXA32" s="17"/>
      <c r="KXG32" s="17"/>
      <c r="KXH32" s="17"/>
      <c r="KXI32" s="17"/>
      <c r="KXO32" s="17"/>
      <c r="KXP32" s="17"/>
      <c r="KXQ32" s="17"/>
      <c r="KXW32" s="17"/>
      <c r="KXX32" s="17"/>
      <c r="KXY32" s="17"/>
      <c r="KYE32" s="17"/>
      <c r="KYF32" s="17"/>
      <c r="KYG32" s="17"/>
      <c r="KYM32" s="17"/>
      <c r="KYN32" s="17"/>
      <c r="KYO32" s="17"/>
      <c r="KYU32" s="17"/>
      <c r="KYV32" s="17"/>
      <c r="KYW32" s="17"/>
      <c r="KZC32" s="17"/>
      <c r="KZD32" s="17"/>
      <c r="KZE32" s="17"/>
      <c r="KZK32" s="17"/>
      <c r="KZL32" s="17"/>
      <c r="KZM32" s="17"/>
      <c r="KZS32" s="17"/>
      <c r="KZT32" s="17"/>
      <c r="KZU32" s="17"/>
      <c r="LAA32" s="17"/>
      <c r="LAB32" s="17"/>
      <c r="LAC32" s="17"/>
      <c r="LAI32" s="17"/>
      <c r="LAJ32" s="17"/>
      <c r="LAK32" s="17"/>
      <c r="LAQ32" s="17"/>
      <c r="LAR32" s="17"/>
      <c r="LAS32" s="17"/>
      <c r="LAY32" s="17"/>
      <c r="LAZ32" s="17"/>
      <c r="LBA32" s="17"/>
      <c r="LBG32" s="17"/>
      <c r="LBH32" s="17"/>
      <c r="LBI32" s="17"/>
      <c r="LBO32" s="17"/>
      <c r="LBP32" s="17"/>
      <c r="LBQ32" s="17"/>
      <c r="LBW32" s="17"/>
      <c r="LBX32" s="17"/>
      <c r="LBY32" s="17"/>
      <c r="LCE32" s="17"/>
      <c r="LCF32" s="17"/>
      <c r="LCG32" s="17"/>
      <c r="LCM32" s="17"/>
      <c r="LCN32" s="17"/>
      <c r="LCO32" s="17"/>
      <c r="LCU32" s="17"/>
      <c r="LCV32" s="17"/>
      <c r="LCW32" s="17"/>
      <c r="LDC32" s="17"/>
      <c r="LDD32" s="17"/>
      <c r="LDE32" s="17"/>
      <c r="LDK32" s="17"/>
      <c r="LDL32" s="17"/>
      <c r="LDM32" s="17"/>
      <c r="LDS32" s="17"/>
      <c r="LDT32" s="17"/>
      <c r="LDU32" s="17"/>
      <c r="LEA32" s="17"/>
      <c r="LEB32" s="17"/>
      <c r="LEC32" s="17"/>
      <c r="LEI32" s="17"/>
      <c r="LEJ32" s="17"/>
      <c r="LEK32" s="17"/>
      <c r="LEQ32" s="17"/>
      <c r="LER32" s="17"/>
      <c r="LES32" s="17"/>
      <c r="LEY32" s="17"/>
      <c r="LEZ32" s="17"/>
      <c r="LFA32" s="17"/>
      <c r="LFG32" s="17"/>
      <c r="LFH32" s="17"/>
      <c r="LFI32" s="17"/>
      <c r="LFO32" s="17"/>
      <c r="LFP32" s="17"/>
      <c r="LFQ32" s="17"/>
      <c r="LFW32" s="17"/>
      <c r="LFX32" s="17"/>
      <c r="LFY32" s="17"/>
      <c r="LGE32" s="17"/>
      <c r="LGF32" s="17"/>
      <c r="LGG32" s="17"/>
      <c r="LGM32" s="17"/>
      <c r="LGN32" s="17"/>
      <c r="LGO32" s="17"/>
      <c r="LGU32" s="17"/>
      <c r="LGV32" s="17"/>
      <c r="LGW32" s="17"/>
      <c r="LHC32" s="17"/>
      <c r="LHD32" s="17"/>
      <c r="LHE32" s="17"/>
      <c r="LHK32" s="17"/>
      <c r="LHL32" s="17"/>
      <c r="LHM32" s="17"/>
      <c r="LHS32" s="17"/>
      <c r="LHT32" s="17"/>
      <c r="LHU32" s="17"/>
      <c r="LIA32" s="17"/>
      <c r="LIB32" s="17"/>
      <c r="LIC32" s="17"/>
      <c r="LII32" s="17"/>
      <c r="LIJ32" s="17"/>
      <c r="LIK32" s="17"/>
      <c r="LIQ32" s="17"/>
      <c r="LIR32" s="17"/>
      <c r="LIS32" s="17"/>
      <c r="LIY32" s="17"/>
      <c r="LIZ32" s="17"/>
      <c r="LJA32" s="17"/>
      <c r="LJG32" s="17"/>
      <c r="LJH32" s="17"/>
      <c r="LJI32" s="17"/>
      <c r="LJO32" s="17"/>
      <c r="LJP32" s="17"/>
      <c r="LJQ32" s="17"/>
      <c r="LJW32" s="17"/>
      <c r="LJX32" s="17"/>
      <c r="LJY32" s="17"/>
      <c r="LKE32" s="17"/>
      <c r="LKF32" s="17"/>
      <c r="LKG32" s="17"/>
      <c r="LKM32" s="17"/>
      <c r="LKN32" s="17"/>
      <c r="LKO32" s="17"/>
      <c r="LKU32" s="17"/>
      <c r="LKV32" s="17"/>
      <c r="LKW32" s="17"/>
      <c r="LLC32" s="17"/>
      <c r="LLD32" s="17"/>
      <c r="LLE32" s="17"/>
      <c r="LLK32" s="17"/>
      <c r="LLL32" s="17"/>
      <c r="LLM32" s="17"/>
      <c r="LLS32" s="17"/>
      <c r="LLT32" s="17"/>
      <c r="LLU32" s="17"/>
      <c r="LMA32" s="17"/>
      <c r="LMB32" s="17"/>
      <c r="LMC32" s="17"/>
      <c r="LMI32" s="17"/>
      <c r="LMJ32" s="17"/>
      <c r="LMK32" s="17"/>
      <c r="LMQ32" s="17"/>
      <c r="LMR32" s="17"/>
      <c r="LMS32" s="17"/>
      <c r="LMY32" s="17"/>
      <c r="LMZ32" s="17"/>
      <c r="LNA32" s="17"/>
      <c r="LNG32" s="17"/>
      <c r="LNH32" s="17"/>
      <c r="LNI32" s="17"/>
      <c r="LNO32" s="17"/>
      <c r="LNP32" s="17"/>
      <c r="LNQ32" s="17"/>
      <c r="LNW32" s="17"/>
      <c r="LNX32" s="17"/>
      <c r="LNY32" s="17"/>
      <c r="LOE32" s="17"/>
      <c r="LOF32" s="17"/>
      <c r="LOG32" s="17"/>
      <c r="LOM32" s="17"/>
      <c r="LON32" s="17"/>
      <c r="LOO32" s="17"/>
      <c r="LOU32" s="17"/>
      <c r="LOV32" s="17"/>
      <c r="LOW32" s="17"/>
      <c r="LPC32" s="17"/>
      <c r="LPD32" s="17"/>
      <c r="LPE32" s="17"/>
      <c r="LPK32" s="17"/>
      <c r="LPL32" s="17"/>
      <c r="LPM32" s="17"/>
      <c r="LPS32" s="17"/>
      <c r="LPT32" s="17"/>
      <c r="LPU32" s="17"/>
      <c r="LQA32" s="17"/>
      <c r="LQB32" s="17"/>
      <c r="LQC32" s="17"/>
      <c r="LQI32" s="17"/>
      <c r="LQJ32" s="17"/>
      <c r="LQK32" s="17"/>
      <c r="LQQ32" s="17"/>
      <c r="LQR32" s="17"/>
      <c r="LQS32" s="17"/>
      <c r="LQY32" s="17"/>
      <c r="LQZ32" s="17"/>
      <c r="LRA32" s="17"/>
      <c r="LRG32" s="17"/>
      <c r="LRH32" s="17"/>
      <c r="LRI32" s="17"/>
      <c r="LRO32" s="17"/>
      <c r="LRP32" s="17"/>
      <c r="LRQ32" s="17"/>
      <c r="LRW32" s="17"/>
      <c r="LRX32" s="17"/>
      <c r="LRY32" s="17"/>
      <c r="LSE32" s="17"/>
      <c r="LSF32" s="17"/>
      <c r="LSG32" s="17"/>
      <c r="LSM32" s="17"/>
      <c r="LSN32" s="17"/>
      <c r="LSO32" s="17"/>
      <c r="LSU32" s="17"/>
      <c r="LSV32" s="17"/>
      <c r="LSW32" s="17"/>
      <c r="LTC32" s="17"/>
      <c r="LTD32" s="17"/>
      <c r="LTE32" s="17"/>
      <c r="LTK32" s="17"/>
      <c r="LTL32" s="17"/>
      <c r="LTM32" s="17"/>
      <c r="LTS32" s="17"/>
      <c r="LTT32" s="17"/>
      <c r="LTU32" s="17"/>
      <c r="LUA32" s="17"/>
      <c r="LUB32" s="17"/>
      <c r="LUC32" s="17"/>
      <c r="LUI32" s="17"/>
      <c r="LUJ32" s="17"/>
      <c r="LUK32" s="17"/>
      <c r="LUQ32" s="17"/>
      <c r="LUR32" s="17"/>
      <c r="LUS32" s="17"/>
      <c r="LUY32" s="17"/>
      <c r="LUZ32" s="17"/>
      <c r="LVA32" s="17"/>
      <c r="LVG32" s="17"/>
      <c r="LVH32" s="17"/>
      <c r="LVI32" s="17"/>
      <c r="LVO32" s="17"/>
      <c r="LVP32" s="17"/>
      <c r="LVQ32" s="17"/>
      <c r="LVW32" s="17"/>
      <c r="LVX32" s="17"/>
      <c r="LVY32" s="17"/>
      <c r="LWE32" s="17"/>
      <c r="LWF32" s="17"/>
      <c r="LWG32" s="17"/>
      <c r="LWM32" s="17"/>
      <c r="LWN32" s="17"/>
      <c r="LWO32" s="17"/>
      <c r="LWU32" s="17"/>
      <c r="LWV32" s="17"/>
      <c r="LWW32" s="17"/>
      <c r="LXC32" s="17"/>
      <c r="LXD32" s="17"/>
      <c r="LXE32" s="17"/>
      <c r="LXK32" s="17"/>
      <c r="LXL32" s="17"/>
      <c r="LXM32" s="17"/>
      <c r="LXS32" s="17"/>
      <c r="LXT32" s="17"/>
      <c r="LXU32" s="17"/>
      <c r="LYA32" s="17"/>
      <c r="LYB32" s="17"/>
      <c r="LYC32" s="17"/>
      <c r="LYI32" s="17"/>
      <c r="LYJ32" s="17"/>
      <c r="LYK32" s="17"/>
      <c r="LYQ32" s="17"/>
      <c r="LYR32" s="17"/>
      <c r="LYS32" s="17"/>
      <c r="LYY32" s="17"/>
      <c r="LYZ32" s="17"/>
      <c r="LZA32" s="17"/>
      <c r="LZG32" s="17"/>
      <c r="LZH32" s="17"/>
      <c r="LZI32" s="17"/>
      <c r="LZO32" s="17"/>
      <c r="LZP32" s="17"/>
      <c r="LZQ32" s="17"/>
      <c r="LZW32" s="17"/>
      <c r="LZX32" s="17"/>
      <c r="LZY32" s="17"/>
      <c r="MAE32" s="17"/>
      <c r="MAF32" s="17"/>
      <c r="MAG32" s="17"/>
      <c r="MAM32" s="17"/>
      <c r="MAN32" s="17"/>
      <c r="MAO32" s="17"/>
      <c r="MAU32" s="17"/>
      <c r="MAV32" s="17"/>
      <c r="MAW32" s="17"/>
      <c r="MBC32" s="17"/>
      <c r="MBD32" s="17"/>
      <c r="MBE32" s="17"/>
      <c r="MBK32" s="17"/>
      <c r="MBL32" s="17"/>
      <c r="MBM32" s="17"/>
      <c r="MBS32" s="17"/>
      <c r="MBT32" s="17"/>
      <c r="MBU32" s="17"/>
      <c r="MCA32" s="17"/>
      <c r="MCB32" s="17"/>
      <c r="MCC32" s="17"/>
      <c r="MCI32" s="17"/>
      <c r="MCJ32" s="17"/>
      <c r="MCK32" s="17"/>
      <c r="MCQ32" s="17"/>
      <c r="MCR32" s="17"/>
      <c r="MCS32" s="17"/>
      <c r="MCY32" s="17"/>
      <c r="MCZ32" s="17"/>
      <c r="MDA32" s="17"/>
      <c r="MDG32" s="17"/>
      <c r="MDH32" s="17"/>
      <c r="MDI32" s="17"/>
      <c r="MDO32" s="17"/>
      <c r="MDP32" s="17"/>
      <c r="MDQ32" s="17"/>
      <c r="MDW32" s="17"/>
      <c r="MDX32" s="17"/>
      <c r="MDY32" s="17"/>
      <c r="MEE32" s="17"/>
      <c r="MEF32" s="17"/>
      <c r="MEG32" s="17"/>
      <c r="MEM32" s="17"/>
      <c r="MEN32" s="17"/>
      <c r="MEO32" s="17"/>
      <c r="MEU32" s="17"/>
      <c r="MEV32" s="17"/>
      <c r="MEW32" s="17"/>
      <c r="MFC32" s="17"/>
      <c r="MFD32" s="17"/>
      <c r="MFE32" s="17"/>
      <c r="MFK32" s="17"/>
      <c r="MFL32" s="17"/>
      <c r="MFM32" s="17"/>
      <c r="MFS32" s="17"/>
      <c r="MFT32" s="17"/>
      <c r="MFU32" s="17"/>
      <c r="MGA32" s="17"/>
      <c r="MGB32" s="17"/>
      <c r="MGC32" s="17"/>
      <c r="MGI32" s="17"/>
      <c r="MGJ32" s="17"/>
      <c r="MGK32" s="17"/>
      <c r="MGQ32" s="17"/>
      <c r="MGR32" s="17"/>
      <c r="MGS32" s="17"/>
      <c r="MGY32" s="17"/>
      <c r="MGZ32" s="17"/>
      <c r="MHA32" s="17"/>
      <c r="MHG32" s="17"/>
      <c r="MHH32" s="17"/>
      <c r="MHI32" s="17"/>
      <c r="MHO32" s="17"/>
      <c r="MHP32" s="17"/>
      <c r="MHQ32" s="17"/>
      <c r="MHW32" s="17"/>
      <c r="MHX32" s="17"/>
      <c r="MHY32" s="17"/>
      <c r="MIE32" s="17"/>
      <c r="MIF32" s="17"/>
      <c r="MIG32" s="17"/>
      <c r="MIM32" s="17"/>
      <c r="MIN32" s="17"/>
      <c r="MIO32" s="17"/>
      <c r="MIU32" s="17"/>
      <c r="MIV32" s="17"/>
      <c r="MIW32" s="17"/>
      <c r="MJC32" s="17"/>
      <c r="MJD32" s="17"/>
      <c r="MJE32" s="17"/>
      <c r="MJK32" s="17"/>
      <c r="MJL32" s="17"/>
      <c r="MJM32" s="17"/>
      <c r="MJS32" s="17"/>
      <c r="MJT32" s="17"/>
      <c r="MJU32" s="17"/>
      <c r="MKA32" s="17"/>
      <c r="MKB32" s="17"/>
      <c r="MKC32" s="17"/>
      <c r="MKI32" s="17"/>
      <c r="MKJ32" s="17"/>
      <c r="MKK32" s="17"/>
      <c r="MKQ32" s="17"/>
      <c r="MKR32" s="17"/>
      <c r="MKS32" s="17"/>
      <c r="MKY32" s="17"/>
      <c r="MKZ32" s="17"/>
      <c r="MLA32" s="17"/>
      <c r="MLG32" s="17"/>
      <c r="MLH32" s="17"/>
      <c r="MLI32" s="17"/>
      <c r="MLO32" s="17"/>
      <c r="MLP32" s="17"/>
      <c r="MLQ32" s="17"/>
      <c r="MLW32" s="17"/>
      <c r="MLX32" s="17"/>
      <c r="MLY32" s="17"/>
      <c r="MME32" s="17"/>
      <c r="MMF32" s="17"/>
      <c r="MMG32" s="17"/>
      <c r="MMM32" s="17"/>
      <c r="MMN32" s="17"/>
      <c r="MMO32" s="17"/>
      <c r="MMU32" s="17"/>
      <c r="MMV32" s="17"/>
      <c r="MMW32" s="17"/>
      <c r="MNC32" s="17"/>
      <c r="MND32" s="17"/>
      <c r="MNE32" s="17"/>
      <c r="MNK32" s="17"/>
      <c r="MNL32" s="17"/>
      <c r="MNM32" s="17"/>
      <c r="MNS32" s="17"/>
      <c r="MNT32" s="17"/>
      <c r="MNU32" s="17"/>
      <c r="MOA32" s="17"/>
      <c r="MOB32" s="17"/>
      <c r="MOC32" s="17"/>
      <c r="MOI32" s="17"/>
      <c r="MOJ32" s="17"/>
      <c r="MOK32" s="17"/>
      <c r="MOQ32" s="17"/>
      <c r="MOR32" s="17"/>
      <c r="MOS32" s="17"/>
      <c r="MOY32" s="17"/>
      <c r="MOZ32" s="17"/>
      <c r="MPA32" s="17"/>
      <c r="MPG32" s="17"/>
      <c r="MPH32" s="17"/>
      <c r="MPI32" s="17"/>
      <c r="MPO32" s="17"/>
      <c r="MPP32" s="17"/>
      <c r="MPQ32" s="17"/>
      <c r="MPW32" s="17"/>
      <c r="MPX32" s="17"/>
      <c r="MPY32" s="17"/>
      <c r="MQE32" s="17"/>
      <c r="MQF32" s="17"/>
      <c r="MQG32" s="17"/>
      <c r="MQM32" s="17"/>
      <c r="MQN32" s="17"/>
      <c r="MQO32" s="17"/>
      <c r="MQU32" s="17"/>
      <c r="MQV32" s="17"/>
      <c r="MQW32" s="17"/>
      <c r="MRC32" s="17"/>
      <c r="MRD32" s="17"/>
      <c r="MRE32" s="17"/>
      <c r="MRK32" s="17"/>
      <c r="MRL32" s="17"/>
      <c r="MRM32" s="17"/>
      <c r="MRS32" s="17"/>
      <c r="MRT32" s="17"/>
      <c r="MRU32" s="17"/>
      <c r="MSA32" s="17"/>
      <c r="MSB32" s="17"/>
      <c r="MSC32" s="17"/>
      <c r="MSI32" s="17"/>
      <c r="MSJ32" s="17"/>
      <c r="MSK32" s="17"/>
      <c r="MSQ32" s="17"/>
      <c r="MSR32" s="17"/>
      <c r="MSS32" s="17"/>
      <c r="MSY32" s="17"/>
      <c r="MSZ32" s="17"/>
      <c r="MTA32" s="17"/>
      <c r="MTG32" s="17"/>
      <c r="MTH32" s="17"/>
      <c r="MTI32" s="17"/>
      <c r="MTO32" s="17"/>
      <c r="MTP32" s="17"/>
      <c r="MTQ32" s="17"/>
      <c r="MTW32" s="17"/>
      <c r="MTX32" s="17"/>
      <c r="MTY32" s="17"/>
      <c r="MUE32" s="17"/>
      <c r="MUF32" s="17"/>
      <c r="MUG32" s="17"/>
      <c r="MUM32" s="17"/>
      <c r="MUN32" s="17"/>
      <c r="MUO32" s="17"/>
      <c r="MUU32" s="17"/>
      <c r="MUV32" s="17"/>
      <c r="MUW32" s="17"/>
      <c r="MVC32" s="17"/>
      <c r="MVD32" s="17"/>
      <c r="MVE32" s="17"/>
      <c r="MVK32" s="17"/>
      <c r="MVL32" s="17"/>
      <c r="MVM32" s="17"/>
      <c r="MVS32" s="17"/>
      <c r="MVT32" s="17"/>
      <c r="MVU32" s="17"/>
      <c r="MWA32" s="17"/>
      <c r="MWB32" s="17"/>
      <c r="MWC32" s="17"/>
      <c r="MWI32" s="17"/>
      <c r="MWJ32" s="17"/>
      <c r="MWK32" s="17"/>
      <c r="MWQ32" s="17"/>
      <c r="MWR32" s="17"/>
      <c r="MWS32" s="17"/>
      <c r="MWY32" s="17"/>
      <c r="MWZ32" s="17"/>
      <c r="MXA32" s="17"/>
      <c r="MXG32" s="17"/>
      <c r="MXH32" s="17"/>
      <c r="MXI32" s="17"/>
      <c r="MXO32" s="17"/>
      <c r="MXP32" s="17"/>
      <c r="MXQ32" s="17"/>
      <c r="MXW32" s="17"/>
      <c r="MXX32" s="17"/>
      <c r="MXY32" s="17"/>
      <c r="MYE32" s="17"/>
      <c r="MYF32" s="17"/>
      <c r="MYG32" s="17"/>
      <c r="MYM32" s="17"/>
      <c r="MYN32" s="17"/>
      <c r="MYO32" s="17"/>
      <c r="MYU32" s="17"/>
      <c r="MYV32" s="17"/>
      <c r="MYW32" s="17"/>
      <c r="MZC32" s="17"/>
      <c r="MZD32" s="17"/>
      <c r="MZE32" s="17"/>
      <c r="MZK32" s="17"/>
      <c r="MZL32" s="17"/>
      <c r="MZM32" s="17"/>
      <c r="MZS32" s="17"/>
      <c r="MZT32" s="17"/>
      <c r="MZU32" s="17"/>
      <c r="NAA32" s="17"/>
      <c r="NAB32" s="17"/>
      <c r="NAC32" s="17"/>
      <c r="NAI32" s="17"/>
      <c r="NAJ32" s="17"/>
      <c r="NAK32" s="17"/>
      <c r="NAQ32" s="17"/>
      <c r="NAR32" s="17"/>
      <c r="NAS32" s="17"/>
      <c r="NAY32" s="17"/>
      <c r="NAZ32" s="17"/>
      <c r="NBA32" s="17"/>
      <c r="NBG32" s="17"/>
      <c r="NBH32" s="17"/>
      <c r="NBI32" s="17"/>
      <c r="NBO32" s="17"/>
      <c r="NBP32" s="17"/>
      <c r="NBQ32" s="17"/>
      <c r="NBW32" s="17"/>
      <c r="NBX32" s="17"/>
      <c r="NBY32" s="17"/>
      <c r="NCE32" s="17"/>
      <c r="NCF32" s="17"/>
      <c r="NCG32" s="17"/>
      <c r="NCM32" s="17"/>
      <c r="NCN32" s="17"/>
      <c r="NCO32" s="17"/>
      <c r="NCU32" s="17"/>
      <c r="NCV32" s="17"/>
      <c r="NCW32" s="17"/>
      <c r="NDC32" s="17"/>
      <c r="NDD32" s="17"/>
      <c r="NDE32" s="17"/>
      <c r="NDK32" s="17"/>
      <c r="NDL32" s="17"/>
      <c r="NDM32" s="17"/>
      <c r="NDS32" s="17"/>
      <c r="NDT32" s="17"/>
      <c r="NDU32" s="17"/>
      <c r="NEA32" s="17"/>
      <c r="NEB32" s="17"/>
      <c r="NEC32" s="17"/>
      <c r="NEI32" s="17"/>
      <c r="NEJ32" s="17"/>
      <c r="NEK32" s="17"/>
      <c r="NEQ32" s="17"/>
      <c r="NER32" s="17"/>
      <c r="NES32" s="17"/>
      <c r="NEY32" s="17"/>
      <c r="NEZ32" s="17"/>
      <c r="NFA32" s="17"/>
      <c r="NFG32" s="17"/>
      <c r="NFH32" s="17"/>
      <c r="NFI32" s="17"/>
      <c r="NFO32" s="17"/>
      <c r="NFP32" s="17"/>
      <c r="NFQ32" s="17"/>
      <c r="NFW32" s="17"/>
      <c r="NFX32" s="17"/>
      <c r="NFY32" s="17"/>
      <c r="NGE32" s="17"/>
      <c r="NGF32" s="17"/>
      <c r="NGG32" s="17"/>
      <c r="NGM32" s="17"/>
      <c r="NGN32" s="17"/>
      <c r="NGO32" s="17"/>
      <c r="NGU32" s="17"/>
      <c r="NGV32" s="17"/>
      <c r="NGW32" s="17"/>
      <c r="NHC32" s="17"/>
      <c r="NHD32" s="17"/>
      <c r="NHE32" s="17"/>
      <c r="NHK32" s="17"/>
      <c r="NHL32" s="17"/>
      <c r="NHM32" s="17"/>
      <c r="NHS32" s="17"/>
      <c r="NHT32" s="17"/>
      <c r="NHU32" s="17"/>
      <c r="NIA32" s="17"/>
      <c r="NIB32" s="17"/>
      <c r="NIC32" s="17"/>
      <c r="NII32" s="17"/>
      <c r="NIJ32" s="17"/>
      <c r="NIK32" s="17"/>
      <c r="NIQ32" s="17"/>
      <c r="NIR32" s="17"/>
      <c r="NIS32" s="17"/>
      <c r="NIY32" s="17"/>
      <c r="NIZ32" s="17"/>
      <c r="NJA32" s="17"/>
      <c r="NJG32" s="17"/>
      <c r="NJH32" s="17"/>
      <c r="NJI32" s="17"/>
      <c r="NJO32" s="17"/>
      <c r="NJP32" s="17"/>
      <c r="NJQ32" s="17"/>
      <c r="NJW32" s="17"/>
      <c r="NJX32" s="17"/>
      <c r="NJY32" s="17"/>
      <c r="NKE32" s="17"/>
      <c r="NKF32" s="17"/>
      <c r="NKG32" s="17"/>
      <c r="NKM32" s="17"/>
      <c r="NKN32" s="17"/>
      <c r="NKO32" s="17"/>
      <c r="NKU32" s="17"/>
      <c r="NKV32" s="17"/>
      <c r="NKW32" s="17"/>
      <c r="NLC32" s="17"/>
      <c r="NLD32" s="17"/>
      <c r="NLE32" s="17"/>
      <c r="NLK32" s="17"/>
      <c r="NLL32" s="17"/>
      <c r="NLM32" s="17"/>
      <c r="NLS32" s="17"/>
      <c r="NLT32" s="17"/>
      <c r="NLU32" s="17"/>
      <c r="NMA32" s="17"/>
      <c r="NMB32" s="17"/>
      <c r="NMC32" s="17"/>
      <c r="NMI32" s="17"/>
      <c r="NMJ32" s="17"/>
      <c r="NMK32" s="17"/>
      <c r="NMQ32" s="17"/>
      <c r="NMR32" s="17"/>
      <c r="NMS32" s="17"/>
      <c r="NMY32" s="17"/>
      <c r="NMZ32" s="17"/>
      <c r="NNA32" s="17"/>
      <c r="NNG32" s="17"/>
      <c r="NNH32" s="17"/>
      <c r="NNI32" s="17"/>
      <c r="NNO32" s="17"/>
      <c r="NNP32" s="17"/>
      <c r="NNQ32" s="17"/>
      <c r="NNW32" s="17"/>
      <c r="NNX32" s="17"/>
      <c r="NNY32" s="17"/>
      <c r="NOE32" s="17"/>
      <c r="NOF32" s="17"/>
      <c r="NOG32" s="17"/>
      <c r="NOM32" s="17"/>
      <c r="NON32" s="17"/>
      <c r="NOO32" s="17"/>
      <c r="NOU32" s="17"/>
      <c r="NOV32" s="17"/>
      <c r="NOW32" s="17"/>
      <c r="NPC32" s="17"/>
      <c r="NPD32" s="17"/>
      <c r="NPE32" s="17"/>
      <c r="NPK32" s="17"/>
      <c r="NPL32" s="17"/>
      <c r="NPM32" s="17"/>
      <c r="NPS32" s="17"/>
      <c r="NPT32" s="17"/>
      <c r="NPU32" s="17"/>
      <c r="NQA32" s="17"/>
      <c r="NQB32" s="17"/>
      <c r="NQC32" s="17"/>
      <c r="NQI32" s="17"/>
      <c r="NQJ32" s="17"/>
      <c r="NQK32" s="17"/>
      <c r="NQQ32" s="17"/>
      <c r="NQR32" s="17"/>
      <c r="NQS32" s="17"/>
      <c r="NQY32" s="17"/>
      <c r="NQZ32" s="17"/>
      <c r="NRA32" s="17"/>
      <c r="NRG32" s="17"/>
      <c r="NRH32" s="17"/>
      <c r="NRI32" s="17"/>
      <c r="NRO32" s="17"/>
      <c r="NRP32" s="17"/>
      <c r="NRQ32" s="17"/>
      <c r="NRW32" s="17"/>
      <c r="NRX32" s="17"/>
      <c r="NRY32" s="17"/>
      <c r="NSE32" s="17"/>
      <c r="NSF32" s="17"/>
      <c r="NSG32" s="17"/>
      <c r="NSM32" s="17"/>
      <c r="NSN32" s="17"/>
      <c r="NSO32" s="17"/>
      <c r="NSU32" s="17"/>
      <c r="NSV32" s="17"/>
      <c r="NSW32" s="17"/>
      <c r="NTC32" s="17"/>
      <c r="NTD32" s="17"/>
      <c r="NTE32" s="17"/>
      <c r="NTK32" s="17"/>
      <c r="NTL32" s="17"/>
      <c r="NTM32" s="17"/>
      <c r="NTS32" s="17"/>
      <c r="NTT32" s="17"/>
      <c r="NTU32" s="17"/>
      <c r="NUA32" s="17"/>
      <c r="NUB32" s="17"/>
      <c r="NUC32" s="17"/>
      <c r="NUI32" s="17"/>
      <c r="NUJ32" s="17"/>
      <c r="NUK32" s="17"/>
      <c r="NUQ32" s="17"/>
      <c r="NUR32" s="17"/>
      <c r="NUS32" s="17"/>
      <c r="NUY32" s="17"/>
      <c r="NUZ32" s="17"/>
      <c r="NVA32" s="17"/>
      <c r="NVG32" s="17"/>
      <c r="NVH32" s="17"/>
      <c r="NVI32" s="17"/>
      <c r="NVO32" s="17"/>
      <c r="NVP32" s="17"/>
      <c r="NVQ32" s="17"/>
      <c r="NVW32" s="17"/>
      <c r="NVX32" s="17"/>
      <c r="NVY32" s="17"/>
      <c r="NWE32" s="17"/>
      <c r="NWF32" s="17"/>
      <c r="NWG32" s="17"/>
      <c r="NWM32" s="17"/>
      <c r="NWN32" s="17"/>
      <c r="NWO32" s="17"/>
      <c r="NWU32" s="17"/>
      <c r="NWV32" s="17"/>
      <c r="NWW32" s="17"/>
      <c r="NXC32" s="17"/>
      <c r="NXD32" s="17"/>
      <c r="NXE32" s="17"/>
      <c r="NXK32" s="17"/>
      <c r="NXL32" s="17"/>
      <c r="NXM32" s="17"/>
      <c r="NXS32" s="17"/>
      <c r="NXT32" s="17"/>
      <c r="NXU32" s="17"/>
      <c r="NYA32" s="17"/>
      <c r="NYB32" s="17"/>
      <c r="NYC32" s="17"/>
      <c r="NYI32" s="17"/>
      <c r="NYJ32" s="17"/>
      <c r="NYK32" s="17"/>
      <c r="NYQ32" s="17"/>
      <c r="NYR32" s="17"/>
      <c r="NYS32" s="17"/>
      <c r="NYY32" s="17"/>
      <c r="NYZ32" s="17"/>
      <c r="NZA32" s="17"/>
      <c r="NZG32" s="17"/>
      <c r="NZH32" s="17"/>
      <c r="NZI32" s="17"/>
      <c r="NZO32" s="17"/>
      <c r="NZP32" s="17"/>
      <c r="NZQ32" s="17"/>
      <c r="NZW32" s="17"/>
      <c r="NZX32" s="17"/>
      <c r="NZY32" s="17"/>
      <c r="OAE32" s="17"/>
      <c r="OAF32" s="17"/>
      <c r="OAG32" s="17"/>
      <c r="OAM32" s="17"/>
      <c r="OAN32" s="17"/>
      <c r="OAO32" s="17"/>
      <c r="OAU32" s="17"/>
      <c r="OAV32" s="17"/>
      <c r="OAW32" s="17"/>
      <c r="OBC32" s="17"/>
      <c r="OBD32" s="17"/>
      <c r="OBE32" s="17"/>
      <c r="OBK32" s="17"/>
      <c r="OBL32" s="17"/>
      <c r="OBM32" s="17"/>
      <c r="OBS32" s="17"/>
      <c r="OBT32" s="17"/>
      <c r="OBU32" s="17"/>
      <c r="OCA32" s="17"/>
      <c r="OCB32" s="17"/>
      <c r="OCC32" s="17"/>
      <c r="OCI32" s="17"/>
      <c r="OCJ32" s="17"/>
      <c r="OCK32" s="17"/>
      <c r="OCQ32" s="17"/>
      <c r="OCR32" s="17"/>
      <c r="OCS32" s="17"/>
      <c r="OCY32" s="17"/>
      <c r="OCZ32" s="17"/>
      <c r="ODA32" s="17"/>
      <c r="ODG32" s="17"/>
      <c r="ODH32" s="17"/>
      <c r="ODI32" s="17"/>
      <c r="ODO32" s="17"/>
      <c r="ODP32" s="17"/>
      <c r="ODQ32" s="17"/>
      <c r="ODW32" s="17"/>
      <c r="ODX32" s="17"/>
      <c r="ODY32" s="17"/>
      <c r="OEE32" s="17"/>
      <c r="OEF32" s="17"/>
      <c r="OEG32" s="17"/>
      <c r="OEM32" s="17"/>
      <c r="OEN32" s="17"/>
      <c r="OEO32" s="17"/>
      <c r="OEU32" s="17"/>
      <c r="OEV32" s="17"/>
      <c r="OEW32" s="17"/>
      <c r="OFC32" s="17"/>
      <c r="OFD32" s="17"/>
      <c r="OFE32" s="17"/>
      <c r="OFK32" s="17"/>
      <c r="OFL32" s="17"/>
      <c r="OFM32" s="17"/>
      <c r="OFS32" s="17"/>
      <c r="OFT32" s="17"/>
      <c r="OFU32" s="17"/>
      <c r="OGA32" s="17"/>
      <c r="OGB32" s="17"/>
      <c r="OGC32" s="17"/>
      <c r="OGI32" s="17"/>
      <c r="OGJ32" s="17"/>
      <c r="OGK32" s="17"/>
      <c r="OGQ32" s="17"/>
      <c r="OGR32" s="17"/>
      <c r="OGS32" s="17"/>
      <c r="OGY32" s="17"/>
      <c r="OGZ32" s="17"/>
      <c r="OHA32" s="17"/>
      <c r="OHG32" s="17"/>
      <c r="OHH32" s="17"/>
      <c r="OHI32" s="17"/>
      <c r="OHO32" s="17"/>
      <c r="OHP32" s="17"/>
      <c r="OHQ32" s="17"/>
      <c r="OHW32" s="17"/>
      <c r="OHX32" s="17"/>
      <c r="OHY32" s="17"/>
      <c r="OIE32" s="17"/>
      <c r="OIF32" s="17"/>
      <c r="OIG32" s="17"/>
      <c r="OIM32" s="17"/>
      <c r="OIN32" s="17"/>
      <c r="OIO32" s="17"/>
      <c r="OIU32" s="17"/>
      <c r="OIV32" s="17"/>
      <c r="OIW32" s="17"/>
      <c r="OJC32" s="17"/>
      <c r="OJD32" s="17"/>
      <c r="OJE32" s="17"/>
      <c r="OJK32" s="17"/>
      <c r="OJL32" s="17"/>
      <c r="OJM32" s="17"/>
      <c r="OJS32" s="17"/>
      <c r="OJT32" s="17"/>
      <c r="OJU32" s="17"/>
      <c r="OKA32" s="17"/>
      <c r="OKB32" s="17"/>
      <c r="OKC32" s="17"/>
      <c r="OKI32" s="17"/>
      <c r="OKJ32" s="17"/>
      <c r="OKK32" s="17"/>
      <c r="OKQ32" s="17"/>
      <c r="OKR32" s="17"/>
      <c r="OKS32" s="17"/>
      <c r="OKY32" s="17"/>
      <c r="OKZ32" s="17"/>
      <c r="OLA32" s="17"/>
      <c r="OLG32" s="17"/>
      <c r="OLH32" s="17"/>
      <c r="OLI32" s="17"/>
      <c r="OLO32" s="17"/>
      <c r="OLP32" s="17"/>
      <c r="OLQ32" s="17"/>
      <c r="OLW32" s="17"/>
      <c r="OLX32" s="17"/>
      <c r="OLY32" s="17"/>
      <c r="OME32" s="17"/>
      <c r="OMF32" s="17"/>
      <c r="OMG32" s="17"/>
      <c r="OMM32" s="17"/>
      <c r="OMN32" s="17"/>
      <c r="OMO32" s="17"/>
      <c r="OMU32" s="17"/>
      <c r="OMV32" s="17"/>
      <c r="OMW32" s="17"/>
      <c r="ONC32" s="17"/>
      <c r="OND32" s="17"/>
      <c r="ONE32" s="17"/>
      <c r="ONK32" s="17"/>
      <c r="ONL32" s="17"/>
      <c r="ONM32" s="17"/>
      <c r="ONS32" s="17"/>
      <c r="ONT32" s="17"/>
      <c r="ONU32" s="17"/>
      <c r="OOA32" s="17"/>
      <c r="OOB32" s="17"/>
      <c r="OOC32" s="17"/>
      <c r="OOI32" s="17"/>
      <c r="OOJ32" s="17"/>
      <c r="OOK32" s="17"/>
      <c r="OOQ32" s="17"/>
      <c r="OOR32" s="17"/>
      <c r="OOS32" s="17"/>
      <c r="OOY32" s="17"/>
      <c r="OOZ32" s="17"/>
      <c r="OPA32" s="17"/>
      <c r="OPG32" s="17"/>
      <c r="OPH32" s="17"/>
      <c r="OPI32" s="17"/>
      <c r="OPO32" s="17"/>
      <c r="OPP32" s="17"/>
      <c r="OPQ32" s="17"/>
      <c r="OPW32" s="17"/>
      <c r="OPX32" s="17"/>
      <c r="OPY32" s="17"/>
      <c r="OQE32" s="17"/>
      <c r="OQF32" s="17"/>
      <c r="OQG32" s="17"/>
      <c r="OQM32" s="17"/>
      <c r="OQN32" s="17"/>
      <c r="OQO32" s="17"/>
      <c r="OQU32" s="17"/>
      <c r="OQV32" s="17"/>
      <c r="OQW32" s="17"/>
      <c r="ORC32" s="17"/>
      <c r="ORD32" s="17"/>
      <c r="ORE32" s="17"/>
      <c r="ORK32" s="17"/>
      <c r="ORL32" s="17"/>
      <c r="ORM32" s="17"/>
      <c r="ORS32" s="17"/>
      <c r="ORT32" s="17"/>
      <c r="ORU32" s="17"/>
      <c r="OSA32" s="17"/>
      <c r="OSB32" s="17"/>
      <c r="OSC32" s="17"/>
      <c r="OSI32" s="17"/>
      <c r="OSJ32" s="17"/>
      <c r="OSK32" s="17"/>
      <c r="OSQ32" s="17"/>
      <c r="OSR32" s="17"/>
      <c r="OSS32" s="17"/>
      <c r="OSY32" s="17"/>
      <c r="OSZ32" s="17"/>
      <c r="OTA32" s="17"/>
      <c r="OTG32" s="17"/>
      <c r="OTH32" s="17"/>
      <c r="OTI32" s="17"/>
      <c r="OTO32" s="17"/>
      <c r="OTP32" s="17"/>
      <c r="OTQ32" s="17"/>
      <c r="OTW32" s="17"/>
      <c r="OTX32" s="17"/>
      <c r="OTY32" s="17"/>
      <c r="OUE32" s="17"/>
      <c r="OUF32" s="17"/>
      <c r="OUG32" s="17"/>
      <c r="OUM32" s="17"/>
      <c r="OUN32" s="17"/>
      <c r="OUO32" s="17"/>
      <c r="OUU32" s="17"/>
      <c r="OUV32" s="17"/>
      <c r="OUW32" s="17"/>
      <c r="OVC32" s="17"/>
      <c r="OVD32" s="17"/>
      <c r="OVE32" s="17"/>
      <c r="OVK32" s="17"/>
      <c r="OVL32" s="17"/>
      <c r="OVM32" s="17"/>
      <c r="OVS32" s="17"/>
      <c r="OVT32" s="17"/>
      <c r="OVU32" s="17"/>
      <c r="OWA32" s="17"/>
      <c r="OWB32" s="17"/>
      <c r="OWC32" s="17"/>
      <c r="OWI32" s="17"/>
      <c r="OWJ32" s="17"/>
      <c r="OWK32" s="17"/>
      <c r="OWQ32" s="17"/>
      <c r="OWR32" s="17"/>
      <c r="OWS32" s="17"/>
      <c r="OWY32" s="17"/>
      <c r="OWZ32" s="17"/>
      <c r="OXA32" s="17"/>
      <c r="OXG32" s="17"/>
      <c r="OXH32" s="17"/>
      <c r="OXI32" s="17"/>
      <c r="OXO32" s="17"/>
      <c r="OXP32" s="17"/>
      <c r="OXQ32" s="17"/>
      <c r="OXW32" s="17"/>
      <c r="OXX32" s="17"/>
      <c r="OXY32" s="17"/>
      <c r="OYE32" s="17"/>
      <c r="OYF32" s="17"/>
      <c r="OYG32" s="17"/>
      <c r="OYM32" s="17"/>
      <c r="OYN32" s="17"/>
      <c r="OYO32" s="17"/>
      <c r="OYU32" s="17"/>
      <c r="OYV32" s="17"/>
      <c r="OYW32" s="17"/>
      <c r="OZC32" s="17"/>
      <c r="OZD32" s="17"/>
      <c r="OZE32" s="17"/>
      <c r="OZK32" s="17"/>
      <c r="OZL32" s="17"/>
      <c r="OZM32" s="17"/>
      <c r="OZS32" s="17"/>
      <c r="OZT32" s="17"/>
      <c r="OZU32" s="17"/>
      <c r="PAA32" s="17"/>
      <c r="PAB32" s="17"/>
      <c r="PAC32" s="17"/>
      <c r="PAI32" s="17"/>
      <c r="PAJ32" s="17"/>
      <c r="PAK32" s="17"/>
      <c r="PAQ32" s="17"/>
      <c r="PAR32" s="17"/>
      <c r="PAS32" s="17"/>
      <c r="PAY32" s="17"/>
      <c r="PAZ32" s="17"/>
      <c r="PBA32" s="17"/>
      <c r="PBG32" s="17"/>
      <c r="PBH32" s="17"/>
      <c r="PBI32" s="17"/>
      <c r="PBO32" s="17"/>
      <c r="PBP32" s="17"/>
      <c r="PBQ32" s="17"/>
      <c r="PBW32" s="17"/>
      <c r="PBX32" s="17"/>
      <c r="PBY32" s="17"/>
      <c r="PCE32" s="17"/>
      <c r="PCF32" s="17"/>
      <c r="PCG32" s="17"/>
      <c r="PCM32" s="17"/>
      <c r="PCN32" s="17"/>
      <c r="PCO32" s="17"/>
      <c r="PCU32" s="17"/>
      <c r="PCV32" s="17"/>
      <c r="PCW32" s="17"/>
      <c r="PDC32" s="17"/>
      <c r="PDD32" s="17"/>
      <c r="PDE32" s="17"/>
      <c r="PDK32" s="17"/>
      <c r="PDL32" s="17"/>
      <c r="PDM32" s="17"/>
      <c r="PDS32" s="17"/>
      <c r="PDT32" s="17"/>
      <c r="PDU32" s="17"/>
      <c r="PEA32" s="17"/>
      <c r="PEB32" s="17"/>
      <c r="PEC32" s="17"/>
      <c r="PEI32" s="17"/>
      <c r="PEJ32" s="17"/>
      <c r="PEK32" s="17"/>
      <c r="PEQ32" s="17"/>
      <c r="PER32" s="17"/>
      <c r="PES32" s="17"/>
      <c r="PEY32" s="17"/>
      <c r="PEZ32" s="17"/>
      <c r="PFA32" s="17"/>
      <c r="PFG32" s="17"/>
      <c r="PFH32" s="17"/>
      <c r="PFI32" s="17"/>
      <c r="PFO32" s="17"/>
      <c r="PFP32" s="17"/>
      <c r="PFQ32" s="17"/>
      <c r="PFW32" s="17"/>
      <c r="PFX32" s="17"/>
      <c r="PFY32" s="17"/>
      <c r="PGE32" s="17"/>
      <c r="PGF32" s="17"/>
      <c r="PGG32" s="17"/>
      <c r="PGM32" s="17"/>
      <c r="PGN32" s="17"/>
      <c r="PGO32" s="17"/>
      <c r="PGU32" s="17"/>
      <c r="PGV32" s="17"/>
      <c r="PGW32" s="17"/>
      <c r="PHC32" s="17"/>
      <c r="PHD32" s="17"/>
      <c r="PHE32" s="17"/>
      <c r="PHK32" s="17"/>
      <c r="PHL32" s="17"/>
      <c r="PHM32" s="17"/>
      <c r="PHS32" s="17"/>
      <c r="PHT32" s="17"/>
      <c r="PHU32" s="17"/>
      <c r="PIA32" s="17"/>
      <c r="PIB32" s="17"/>
      <c r="PIC32" s="17"/>
      <c r="PII32" s="17"/>
      <c r="PIJ32" s="17"/>
      <c r="PIK32" s="17"/>
      <c r="PIQ32" s="17"/>
      <c r="PIR32" s="17"/>
      <c r="PIS32" s="17"/>
      <c r="PIY32" s="17"/>
      <c r="PIZ32" s="17"/>
      <c r="PJA32" s="17"/>
      <c r="PJG32" s="17"/>
      <c r="PJH32" s="17"/>
      <c r="PJI32" s="17"/>
      <c r="PJO32" s="17"/>
      <c r="PJP32" s="17"/>
      <c r="PJQ32" s="17"/>
      <c r="PJW32" s="17"/>
      <c r="PJX32" s="17"/>
      <c r="PJY32" s="17"/>
      <c r="PKE32" s="17"/>
      <c r="PKF32" s="17"/>
      <c r="PKG32" s="17"/>
      <c r="PKM32" s="17"/>
      <c r="PKN32" s="17"/>
      <c r="PKO32" s="17"/>
      <c r="PKU32" s="17"/>
      <c r="PKV32" s="17"/>
      <c r="PKW32" s="17"/>
      <c r="PLC32" s="17"/>
      <c r="PLD32" s="17"/>
      <c r="PLE32" s="17"/>
      <c r="PLK32" s="17"/>
      <c r="PLL32" s="17"/>
      <c r="PLM32" s="17"/>
      <c r="PLS32" s="17"/>
      <c r="PLT32" s="17"/>
      <c r="PLU32" s="17"/>
      <c r="PMA32" s="17"/>
      <c r="PMB32" s="17"/>
      <c r="PMC32" s="17"/>
      <c r="PMI32" s="17"/>
      <c r="PMJ32" s="17"/>
      <c r="PMK32" s="17"/>
      <c r="PMQ32" s="17"/>
      <c r="PMR32" s="17"/>
      <c r="PMS32" s="17"/>
      <c r="PMY32" s="17"/>
      <c r="PMZ32" s="17"/>
      <c r="PNA32" s="17"/>
      <c r="PNG32" s="17"/>
      <c r="PNH32" s="17"/>
      <c r="PNI32" s="17"/>
      <c r="PNO32" s="17"/>
      <c r="PNP32" s="17"/>
      <c r="PNQ32" s="17"/>
      <c r="PNW32" s="17"/>
      <c r="PNX32" s="17"/>
      <c r="PNY32" s="17"/>
      <c r="POE32" s="17"/>
      <c r="POF32" s="17"/>
      <c r="POG32" s="17"/>
      <c r="POM32" s="17"/>
      <c r="PON32" s="17"/>
      <c r="POO32" s="17"/>
      <c r="POU32" s="17"/>
      <c r="POV32" s="17"/>
      <c r="POW32" s="17"/>
      <c r="PPC32" s="17"/>
      <c r="PPD32" s="17"/>
      <c r="PPE32" s="17"/>
      <c r="PPK32" s="17"/>
      <c r="PPL32" s="17"/>
      <c r="PPM32" s="17"/>
      <c r="PPS32" s="17"/>
      <c r="PPT32" s="17"/>
      <c r="PPU32" s="17"/>
      <c r="PQA32" s="17"/>
      <c r="PQB32" s="17"/>
      <c r="PQC32" s="17"/>
      <c r="PQI32" s="17"/>
      <c r="PQJ32" s="17"/>
      <c r="PQK32" s="17"/>
      <c r="PQQ32" s="17"/>
      <c r="PQR32" s="17"/>
      <c r="PQS32" s="17"/>
      <c r="PQY32" s="17"/>
      <c r="PQZ32" s="17"/>
      <c r="PRA32" s="17"/>
      <c r="PRG32" s="17"/>
      <c r="PRH32" s="17"/>
      <c r="PRI32" s="17"/>
      <c r="PRO32" s="17"/>
      <c r="PRP32" s="17"/>
      <c r="PRQ32" s="17"/>
      <c r="PRW32" s="17"/>
      <c r="PRX32" s="17"/>
      <c r="PRY32" s="17"/>
      <c r="PSE32" s="17"/>
      <c r="PSF32" s="17"/>
      <c r="PSG32" s="17"/>
      <c r="PSM32" s="17"/>
      <c r="PSN32" s="17"/>
      <c r="PSO32" s="17"/>
      <c r="PSU32" s="17"/>
      <c r="PSV32" s="17"/>
      <c r="PSW32" s="17"/>
      <c r="PTC32" s="17"/>
      <c r="PTD32" s="17"/>
      <c r="PTE32" s="17"/>
      <c r="PTK32" s="17"/>
      <c r="PTL32" s="17"/>
      <c r="PTM32" s="17"/>
      <c r="PTS32" s="17"/>
      <c r="PTT32" s="17"/>
      <c r="PTU32" s="17"/>
      <c r="PUA32" s="17"/>
      <c r="PUB32" s="17"/>
      <c r="PUC32" s="17"/>
      <c r="PUI32" s="17"/>
      <c r="PUJ32" s="17"/>
      <c r="PUK32" s="17"/>
      <c r="PUQ32" s="17"/>
      <c r="PUR32" s="17"/>
      <c r="PUS32" s="17"/>
      <c r="PUY32" s="17"/>
      <c r="PUZ32" s="17"/>
      <c r="PVA32" s="17"/>
      <c r="PVG32" s="17"/>
      <c r="PVH32" s="17"/>
      <c r="PVI32" s="17"/>
      <c r="PVO32" s="17"/>
      <c r="PVP32" s="17"/>
      <c r="PVQ32" s="17"/>
      <c r="PVW32" s="17"/>
      <c r="PVX32" s="17"/>
      <c r="PVY32" s="17"/>
      <c r="PWE32" s="17"/>
      <c r="PWF32" s="17"/>
      <c r="PWG32" s="17"/>
      <c r="PWM32" s="17"/>
      <c r="PWN32" s="17"/>
      <c r="PWO32" s="17"/>
      <c r="PWU32" s="17"/>
      <c r="PWV32" s="17"/>
      <c r="PWW32" s="17"/>
      <c r="PXC32" s="17"/>
      <c r="PXD32" s="17"/>
      <c r="PXE32" s="17"/>
      <c r="PXK32" s="17"/>
      <c r="PXL32" s="17"/>
      <c r="PXM32" s="17"/>
      <c r="PXS32" s="17"/>
      <c r="PXT32" s="17"/>
      <c r="PXU32" s="17"/>
      <c r="PYA32" s="17"/>
      <c r="PYB32" s="17"/>
      <c r="PYC32" s="17"/>
      <c r="PYI32" s="17"/>
      <c r="PYJ32" s="17"/>
      <c r="PYK32" s="17"/>
      <c r="PYQ32" s="17"/>
      <c r="PYR32" s="17"/>
      <c r="PYS32" s="17"/>
      <c r="PYY32" s="17"/>
      <c r="PYZ32" s="17"/>
      <c r="PZA32" s="17"/>
      <c r="PZG32" s="17"/>
      <c r="PZH32" s="17"/>
      <c r="PZI32" s="17"/>
      <c r="PZO32" s="17"/>
      <c r="PZP32" s="17"/>
      <c r="PZQ32" s="17"/>
      <c r="PZW32" s="17"/>
      <c r="PZX32" s="17"/>
      <c r="PZY32" s="17"/>
      <c r="QAE32" s="17"/>
      <c r="QAF32" s="17"/>
      <c r="QAG32" s="17"/>
      <c r="QAM32" s="17"/>
      <c r="QAN32" s="17"/>
      <c r="QAO32" s="17"/>
      <c r="QAU32" s="17"/>
      <c r="QAV32" s="17"/>
      <c r="QAW32" s="17"/>
      <c r="QBC32" s="17"/>
      <c r="QBD32" s="17"/>
      <c r="QBE32" s="17"/>
      <c r="QBK32" s="17"/>
      <c r="QBL32" s="17"/>
      <c r="QBM32" s="17"/>
      <c r="QBS32" s="17"/>
      <c r="QBT32" s="17"/>
      <c r="QBU32" s="17"/>
      <c r="QCA32" s="17"/>
      <c r="QCB32" s="17"/>
      <c r="QCC32" s="17"/>
      <c r="QCI32" s="17"/>
      <c r="QCJ32" s="17"/>
      <c r="QCK32" s="17"/>
      <c r="QCQ32" s="17"/>
      <c r="QCR32" s="17"/>
      <c r="QCS32" s="17"/>
      <c r="QCY32" s="17"/>
      <c r="QCZ32" s="17"/>
      <c r="QDA32" s="17"/>
      <c r="QDG32" s="17"/>
      <c r="QDH32" s="17"/>
      <c r="QDI32" s="17"/>
      <c r="QDO32" s="17"/>
      <c r="QDP32" s="17"/>
      <c r="QDQ32" s="17"/>
      <c r="QDW32" s="17"/>
      <c r="QDX32" s="17"/>
      <c r="QDY32" s="17"/>
      <c r="QEE32" s="17"/>
      <c r="QEF32" s="17"/>
      <c r="QEG32" s="17"/>
      <c r="QEM32" s="17"/>
      <c r="QEN32" s="17"/>
      <c r="QEO32" s="17"/>
      <c r="QEU32" s="17"/>
      <c r="QEV32" s="17"/>
      <c r="QEW32" s="17"/>
      <c r="QFC32" s="17"/>
      <c r="QFD32" s="17"/>
      <c r="QFE32" s="17"/>
      <c r="QFK32" s="17"/>
      <c r="QFL32" s="17"/>
      <c r="QFM32" s="17"/>
      <c r="QFS32" s="17"/>
      <c r="QFT32" s="17"/>
      <c r="QFU32" s="17"/>
      <c r="QGA32" s="17"/>
      <c r="QGB32" s="17"/>
      <c r="QGC32" s="17"/>
      <c r="QGI32" s="17"/>
      <c r="QGJ32" s="17"/>
      <c r="QGK32" s="17"/>
      <c r="QGQ32" s="17"/>
      <c r="QGR32" s="17"/>
      <c r="QGS32" s="17"/>
      <c r="QGY32" s="17"/>
      <c r="QGZ32" s="17"/>
      <c r="QHA32" s="17"/>
      <c r="QHG32" s="17"/>
      <c r="QHH32" s="17"/>
      <c r="QHI32" s="17"/>
      <c r="QHO32" s="17"/>
      <c r="QHP32" s="17"/>
      <c r="QHQ32" s="17"/>
      <c r="QHW32" s="17"/>
      <c r="QHX32" s="17"/>
      <c r="QHY32" s="17"/>
      <c r="QIE32" s="17"/>
      <c r="QIF32" s="17"/>
      <c r="QIG32" s="17"/>
      <c r="QIM32" s="17"/>
      <c r="QIN32" s="17"/>
      <c r="QIO32" s="17"/>
      <c r="QIU32" s="17"/>
      <c r="QIV32" s="17"/>
      <c r="QIW32" s="17"/>
      <c r="QJC32" s="17"/>
      <c r="QJD32" s="17"/>
      <c r="QJE32" s="17"/>
      <c r="QJK32" s="17"/>
      <c r="QJL32" s="17"/>
      <c r="QJM32" s="17"/>
      <c r="QJS32" s="17"/>
      <c r="QJT32" s="17"/>
      <c r="QJU32" s="17"/>
      <c r="QKA32" s="17"/>
      <c r="QKB32" s="17"/>
      <c r="QKC32" s="17"/>
      <c r="QKI32" s="17"/>
      <c r="QKJ32" s="17"/>
      <c r="QKK32" s="17"/>
      <c r="QKQ32" s="17"/>
      <c r="QKR32" s="17"/>
      <c r="QKS32" s="17"/>
      <c r="QKY32" s="17"/>
      <c r="QKZ32" s="17"/>
      <c r="QLA32" s="17"/>
      <c r="QLG32" s="17"/>
      <c r="QLH32" s="17"/>
      <c r="QLI32" s="17"/>
      <c r="QLO32" s="17"/>
      <c r="QLP32" s="17"/>
      <c r="QLQ32" s="17"/>
      <c r="QLW32" s="17"/>
      <c r="QLX32" s="17"/>
      <c r="QLY32" s="17"/>
      <c r="QME32" s="17"/>
      <c r="QMF32" s="17"/>
      <c r="QMG32" s="17"/>
      <c r="QMM32" s="17"/>
      <c r="QMN32" s="17"/>
      <c r="QMO32" s="17"/>
      <c r="QMU32" s="17"/>
      <c r="QMV32" s="17"/>
      <c r="QMW32" s="17"/>
      <c r="QNC32" s="17"/>
      <c r="QND32" s="17"/>
      <c r="QNE32" s="17"/>
      <c r="QNK32" s="17"/>
      <c r="QNL32" s="17"/>
      <c r="QNM32" s="17"/>
      <c r="QNS32" s="17"/>
      <c r="QNT32" s="17"/>
      <c r="QNU32" s="17"/>
      <c r="QOA32" s="17"/>
      <c r="QOB32" s="17"/>
      <c r="QOC32" s="17"/>
      <c r="QOI32" s="17"/>
      <c r="QOJ32" s="17"/>
      <c r="QOK32" s="17"/>
      <c r="QOQ32" s="17"/>
      <c r="QOR32" s="17"/>
      <c r="QOS32" s="17"/>
      <c r="QOY32" s="17"/>
      <c r="QOZ32" s="17"/>
      <c r="QPA32" s="17"/>
      <c r="QPG32" s="17"/>
      <c r="QPH32" s="17"/>
      <c r="QPI32" s="17"/>
      <c r="QPO32" s="17"/>
      <c r="QPP32" s="17"/>
      <c r="QPQ32" s="17"/>
      <c r="QPW32" s="17"/>
      <c r="QPX32" s="17"/>
      <c r="QPY32" s="17"/>
      <c r="QQE32" s="17"/>
      <c r="QQF32" s="17"/>
      <c r="QQG32" s="17"/>
      <c r="QQM32" s="17"/>
      <c r="QQN32" s="17"/>
      <c r="QQO32" s="17"/>
      <c r="QQU32" s="17"/>
      <c r="QQV32" s="17"/>
      <c r="QQW32" s="17"/>
      <c r="QRC32" s="17"/>
      <c r="QRD32" s="17"/>
      <c r="QRE32" s="17"/>
      <c r="QRK32" s="17"/>
      <c r="QRL32" s="17"/>
      <c r="QRM32" s="17"/>
      <c r="QRS32" s="17"/>
      <c r="QRT32" s="17"/>
      <c r="QRU32" s="17"/>
      <c r="QSA32" s="17"/>
      <c r="QSB32" s="17"/>
      <c r="QSC32" s="17"/>
      <c r="QSI32" s="17"/>
      <c r="QSJ32" s="17"/>
      <c r="QSK32" s="17"/>
      <c r="QSQ32" s="17"/>
      <c r="QSR32" s="17"/>
      <c r="QSS32" s="17"/>
      <c r="QSY32" s="17"/>
      <c r="QSZ32" s="17"/>
      <c r="QTA32" s="17"/>
      <c r="QTG32" s="17"/>
      <c r="QTH32" s="17"/>
      <c r="QTI32" s="17"/>
      <c r="QTO32" s="17"/>
      <c r="QTP32" s="17"/>
      <c r="QTQ32" s="17"/>
      <c r="QTW32" s="17"/>
      <c r="QTX32" s="17"/>
      <c r="QTY32" s="17"/>
      <c r="QUE32" s="17"/>
      <c r="QUF32" s="17"/>
      <c r="QUG32" s="17"/>
      <c r="QUM32" s="17"/>
      <c r="QUN32" s="17"/>
      <c r="QUO32" s="17"/>
      <c r="QUU32" s="17"/>
      <c r="QUV32" s="17"/>
      <c r="QUW32" s="17"/>
      <c r="QVC32" s="17"/>
      <c r="QVD32" s="17"/>
      <c r="QVE32" s="17"/>
      <c r="QVK32" s="17"/>
      <c r="QVL32" s="17"/>
      <c r="QVM32" s="17"/>
      <c r="QVS32" s="17"/>
      <c r="QVT32" s="17"/>
      <c r="QVU32" s="17"/>
      <c r="QWA32" s="17"/>
      <c r="QWB32" s="17"/>
      <c r="QWC32" s="17"/>
      <c r="QWI32" s="17"/>
      <c r="QWJ32" s="17"/>
      <c r="QWK32" s="17"/>
      <c r="QWQ32" s="17"/>
      <c r="QWR32" s="17"/>
      <c r="QWS32" s="17"/>
      <c r="QWY32" s="17"/>
      <c r="QWZ32" s="17"/>
      <c r="QXA32" s="17"/>
      <c r="QXG32" s="17"/>
      <c r="QXH32" s="17"/>
      <c r="QXI32" s="17"/>
      <c r="QXO32" s="17"/>
      <c r="QXP32" s="17"/>
      <c r="QXQ32" s="17"/>
      <c r="QXW32" s="17"/>
      <c r="QXX32" s="17"/>
      <c r="QXY32" s="17"/>
      <c r="QYE32" s="17"/>
      <c r="QYF32" s="17"/>
      <c r="QYG32" s="17"/>
      <c r="QYM32" s="17"/>
      <c r="QYN32" s="17"/>
      <c r="QYO32" s="17"/>
      <c r="QYU32" s="17"/>
      <c r="QYV32" s="17"/>
      <c r="QYW32" s="17"/>
      <c r="QZC32" s="17"/>
      <c r="QZD32" s="17"/>
      <c r="QZE32" s="17"/>
      <c r="QZK32" s="17"/>
      <c r="QZL32" s="17"/>
      <c r="QZM32" s="17"/>
      <c r="QZS32" s="17"/>
      <c r="QZT32" s="17"/>
      <c r="QZU32" s="17"/>
      <c r="RAA32" s="17"/>
      <c r="RAB32" s="17"/>
      <c r="RAC32" s="17"/>
      <c r="RAI32" s="17"/>
      <c r="RAJ32" s="17"/>
      <c r="RAK32" s="17"/>
      <c r="RAQ32" s="17"/>
      <c r="RAR32" s="17"/>
      <c r="RAS32" s="17"/>
      <c r="RAY32" s="17"/>
      <c r="RAZ32" s="17"/>
      <c r="RBA32" s="17"/>
      <c r="RBG32" s="17"/>
      <c r="RBH32" s="17"/>
      <c r="RBI32" s="17"/>
      <c r="RBO32" s="17"/>
      <c r="RBP32" s="17"/>
      <c r="RBQ32" s="17"/>
      <c r="RBW32" s="17"/>
      <c r="RBX32" s="17"/>
      <c r="RBY32" s="17"/>
      <c r="RCE32" s="17"/>
      <c r="RCF32" s="17"/>
      <c r="RCG32" s="17"/>
      <c r="RCM32" s="17"/>
      <c r="RCN32" s="17"/>
      <c r="RCO32" s="17"/>
      <c r="RCU32" s="17"/>
      <c r="RCV32" s="17"/>
      <c r="RCW32" s="17"/>
      <c r="RDC32" s="17"/>
      <c r="RDD32" s="17"/>
      <c r="RDE32" s="17"/>
      <c r="RDK32" s="17"/>
      <c r="RDL32" s="17"/>
      <c r="RDM32" s="17"/>
      <c r="RDS32" s="17"/>
      <c r="RDT32" s="17"/>
      <c r="RDU32" s="17"/>
      <c r="REA32" s="17"/>
      <c r="REB32" s="17"/>
      <c r="REC32" s="17"/>
      <c r="REI32" s="17"/>
      <c r="REJ32" s="17"/>
      <c r="REK32" s="17"/>
      <c r="REQ32" s="17"/>
      <c r="RER32" s="17"/>
      <c r="RES32" s="17"/>
      <c r="REY32" s="17"/>
      <c r="REZ32" s="17"/>
      <c r="RFA32" s="17"/>
      <c r="RFG32" s="17"/>
      <c r="RFH32" s="17"/>
      <c r="RFI32" s="17"/>
      <c r="RFO32" s="17"/>
      <c r="RFP32" s="17"/>
      <c r="RFQ32" s="17"/>
      <c r="RFW32" s="17"/>
      <c r="RFX32" s="17"/>
      <c r="RFY32" s="17"/>
      <c r="RGE32" s="17"/>
      <c r="RGF32" s="17"/>
      <c r="RGG32" s="17"/>
      <c r="RGM32" s="17"/>
      <c r="RGN32" s="17"/>
      <c r="RGO32" s="17"/>
      <c r="RGU32" s="17"/>
      <c r="RGV32" s="17"/>
      <c r="RGW32" s="17"/>
      <c r="RHC32" s="17"/>
      <c r="RHD32" s="17"/>
      <c r="RHE32" s="17"/>
      <c r="RHK32" s="17"/>
      <c r="RHL32" s="17"/>
      <c r="RHM32" s="17"/>
      <c r="RHS32" s="17"/>
      <c r="RHT32" s="17"/>
      <c r="RHU32" s="17"/>
      <c r="RIA32" s="17"/>
      <c r="RIB32" s="17"/>
      <c r="RIC32" s="17"/>
      <c r="RII32" s="17"/>
      <c r="RIJ32" s="17"/>
      <c r="RIK32" s="17"/>
      <c r="RIQ32" s="17"/>
      <c r="RIR32" s="17"/>
      <c r="RIS32" s="17"/>
      <c r="RIY32" s="17"/>
      <c r="RIZ32" s="17"/>
      <c r="RJA32" s="17"/>
      <c r="RJG32" s="17"/>
      <c r="RJH32" s="17"/>
      <c r="RJI32" s="17"/>
      <c r="RJO32" s="17"/>
      <c r="RJP32" s="17"/>
      <c r="RJQ32" s="17"/>
      <c r="RJW32" s="17"/>
      <c r="RJX32" s="17"/>
      <c r="RJY32" s="17"/>
      <c r="RKE32" s="17"/>
      <c r="RKF32" s="17"/>
      <c r="RKG32" s="17"/>
      <c r="RKM32" s="17"/>
      <c r="RKN32" s="17"/>
      <c r="RKO32" s="17"/>
      <c r="RKU32" s="17"/>
      <c r="RKV32" s="17"/>
      <c r="RKW32" s="17"/>
      <c r="RLC32" s="17"/>
      <c r="RLD32" s="17"/>
      <c r="RLE32" s="17"/>
      <c r="RLK32" s="17"/>
      <c r="RLL32" s="17"/>
      <c r="RLM32" s="17"/>
      <c r="RLS32" s="17"/>
      <c r="RLT32" s="17"/>
      <c r="RLU32" s="17"/>
      <c r="RMA32" s="17"/>
      <c r="RMB32" s="17"/>
      <c r="RMC32" s="17"/>
      <c r="RMI32" s="17"/>
      <c r="RMJ32" s="17"/>
      <c r="RMK32" s="17"/>
      <c r="RMQ32" s="17"/>
      <c r="RMR32" s="17"/>
      <c r="RMS32" s="17"/>
      <c r="RMY32" s="17"/>
      <c r="RMZ32" s="17"/>
      <c r="RNA32" s="17"/>
      <c r="RNG32" s="17"/>
      <c r="RNH32" s="17"/>
      <c r="RNI32" s="17"/>
      <c r="RNO32" s="17"/>
      <c r="RNP32" s="17"/>
      <c r="RNQ32" s="17"/>
      <c r="RNW32" s="17"/>
      <c r="RNX32" s="17"/>
      <c r="RNY32" s="17"/>
      <c r="ROE32" s="17"/>
      <c r="ROF32" s="17"/>
      <c r="ROG32" s="17"/>
      <c r="ROM32" s="17"/>
      <c r="RON32" s="17"/>
      <c r="ROO32" s="17"/>
      <c r="ROU32" s="17"/>
      <c r="ROV32" s="17"/>
      <c r="ROW32" s="17"/>
      <c r="RPC32" s="17"/>
      <c r="RPD32" s="17"/>
      <c r="RPE32" s="17"/>
      <c r="RPK32" s="17"/>
      <c r="RPL32" s="17"/>
      <c r="RPM32" s="17"/>
      <c r="RPS32" s="17"/>
      <c r="RPT32" s="17"/>
      <c r="RPU32" s="17"/>
      <c r="RQA32" s="17"/>
      <c r="RQB32" s="17"/>
      <c r="RQC32" s="17"/>
      <c r="RQI32" s="17"/>
      <c r="RQJ32" s="17"/>
      <c r="RQK32" s="17"/>
      <c r="RQQ32" s="17"/>
      <c r="RQR32" s="17"/>
      <c r="RQS32" s="17"/>
      <c r="RQY32" s="17"/>
      <c r="RQZ32" s="17"/>
      <c r="RRA32" s="17"/>
      <c r="RRG32" s="17"/>
      <c r="RRH32" s="17"/>
      <c r="RRI32" s="17"/>
      <c r="RRO32" s="17"/>
      <c r="RRP32" s="17"/>
      <c r="RRQ32" s="17"/>
      <c r="RRW32" s="17"/>
      <c r="RRX32" s="17"/>
      <c r="RRY32" s="17"/>
      <c r="RSE32" s="17"/>
      <c r="RSF32" s="17"/>
      <c r="RSG32" s="17"/>
      <c r="RSM32" s="17"/>
      <c r="RSN32" s="17"/>
      <c r="RSO32" s="17"/>
      <c r="RSU32" s="17"/>
      <c r="RSV32" s="17"/>
      <c r="RSW32" s="17"/>
      <c r="RTC32" s="17"/>
      <c r="RTD32" s="17"/>
      <c r="RTE32" s="17"/>
      <c r="RTK32" s="17"/>
      <c r="RTL32" s="17"/>
      <c r="RTM32" s="17"/>
      <c r="RTS32" s="17"/>
      <c r="RTT32" s="17"/>
      <c r="RTU32" s="17"/>
      <c r="RUA32" s="17"/>
      <c r="RUB32" s="17"/>
      <c r="RUC32" s="17"/>
      <c r="RUI32" s="17"/>
      <c r="RUJ32" s="17"/>
      <c r="RUK32" s="17"/>
      <c r="RUQ32" s="17"/>
      <c r="RUR32" s="17"/>
      <c r="RUS32" s="17"/>
      <c r="RUY32" s="17"/>
      <c r="RUZ32" s="17"/>
      <c r="RVA32" s="17"/>
      <c r="RVG32" s="17"/>
      <c r="RVH32" s="17"/>
      <c r="RVI32" s="17"/>
      <c r="RVO32" s="17"/>
      <c r="RVP32" s="17"/>
      <c r="RVQ32" s="17"/>
      <c r="RVW32" s="17"/>
      <c r="RVX32" s="17"/>
      <c r="RVY32" s="17"/>
      <c r="RWE32" s="17"/>
      <c r="RWF32" s="17"/>
      <c r="RWG32" s="17"/>
      <c r="RWM32" s="17"/>
      <c r="RWN32" s="17"/>
      <c r="RWO32" s="17"/>
      <c r="RWU32" s="17"/>
      <c r="RWV32" s="17"/>
      <c r="RWW32" s="17"/>
      <c r="RXC32" s="17"/>
      <c r="RXD32" s="17"/>
      <c r="RXE32" s="17"/>
      <c r="RXK32" s="17"/>
      <c r="RXL32" s="17"/>
      <c r="RXM32" s="17"/>
      <c r="RXS32" s="17"/>
      <c r="RXT32" s="17"/>
      <c r="RXU32" s="17"/>
      <c r="RYA32" s="17"/>
      <c r="RYB32" s="17"/>
      <c r="RYC32" s="17"/>
      <c r="RYI32" s="17"/>
      <c r="RYJ32" s="17"/>
      <c r="RYK32" s="17"/>
      <c r="RYQ32" s="17"/>
      <c r="RYR32" s="17"/>
      <c r="RYS32" s="17"/>
      <c r="RYY32" s="17"/>
      <c r="RYZ32" s="17"/>
      <c r="RZA32" s="17"/>
      <c r="RZG32" s="17"/>
      <c r="RZH32" s="17"/>
      <c r="RZI32" s="17"/>
      <c r="RZO32" s="17"/>
      <c r="RZP32" s="17"/>
      <c r="RZQ32" s="17"/>
      <c r="RZW32" s="17"/>
      <c r="RZX32" s="17"/>
      <c r="RZY32" s="17"/>
      <c r="SAE32" s="17"/>
      <c r="SAF32" s="17"/>
      <c r="SAG32" s="17"/>
      <c r="SAM32" s="17"/>
      <c r="SAN32" s="17"/>
      <c r="SAO32" s="17"/>
      <c r="SAU32" s="17"/>
      <c r="SAV32" s="17"/>
      <c r="SAW32" s="17"/>
      <c r="SBC32" s="17"/>
      <c r="SBD32" s="17"/>
      <c r="SBE32" s="17"/>
      <c r="SBK32" s="17"/>
      <c r="SBL32" s="17"/>
      <c r="SBM32" s="17"/>
      <c r="SBS32" s="17"/>
      <c r="SBT32" s="17"/>
      <c r="SBU32" s="17"/>
      <c r="SCA32" s="17"/>
      <c r="SCB32" s="17"/>
      <c r="SCC32" s="17"/>
      <c r="SCI32" s="17"/>
      <c r="SCJ32" s="17"/>
      <c r="SCK32" s="17"/>
      <c r="SCQ32" s="17"/>
      <c r="SCR32" s="17"/>
      <c r="SCS32" s="17"/>
      <c r="SCY32" s="17"/>
      <c r="SCZ32" s="17"/>
      <c r="SDA32" s="17"/>
      <c r="SDG32" s="17"/>
      <c r="SDH32" s="17"/>
      <c r="SDI32" s="17"/>
      <c r="SDO32" s="17"/>
      <c r="SDP32" s="17"/>
      <c r="SDQ32" s="17"/>
      <c r="SDW32" s="17"/>
      <c r="SDX32" s="17"/>
      <c r="SDY32" s="17"/>
      <c r="SEE32" s="17"/>
      <c r="SEF32" s="17"/>
      <c r="SEG32" s="17"/>
      <c r="SEM32" s="17"/>
      <c r="SEN32" s="17"/>
      <c r="SEO32" s="17"/>
      <c r="SEU32" s="17"/>
      <c r="SEV32" s="17"/>
      <c r="SEW32" s="17"/>
      <c r="SFC32" s="17"/>
      <c r="SFD32" s="17"/>
      <c r="SFE32" s="17"/>
      <c r="SFK32" s="17"/>
      <c r="SFL32" s="17"/>
      <c r="SFM32" s="17"/>
      <c r="SFS32" s="17"/>
      <c r="SFT32" s="17"/>
      <c r="SFU32" s="17"/>
      <c r="SGA32" s="17"/>
      <c r="SGB32" s="17"/>
      <c r="SGC32" s="17"/>
      <c r="SGI32" s="17"/>
      <c r="SGJ32" s="17"/>
      <c r="SGK32" s="17"/>
      <c r="SGQ32" s="17"/>
      <c r="SGR32" s="17"/>
      <c r="SGS32" s="17"/>
      <c r="SGY32" s="17"/>
      <c r="SGZ32" s="17"/>
      <c r="SHA32" s="17"/>
      <c r="SHG32" s="17"/>
      <c r="SHH32" s="17"/>
      <c r="SHI32" s="17"/>
      <c r="SHO32" s="17"/>
      <c r="SHP32" s="17"/>
      <c r="SHQ32" s="17"/>
      <c r="SHW32" s="17"/>
      <c r="SHX32" s="17"/>
      <c r="SHY32" s="17"/>
      <c r="SIE32" s="17"/>
      <c r="SIF32" s="17"/>
      <c r="SIG32" s="17"/>
      <c r="SIM32" s="17"/>
      <c r="SIN32" s="17"/>
      <c r="SIO32" s="17"/>
      <c r="SIU32" s="17"/>
      <c r="SIV32" s="17"/>
      <c r="SIW32" s="17"/>
      <c r="SJC32" s="17"/>
      <c r="SJD32" s="17"/>
      <c r="SJE32" s="17"/>
      <c r="SJK32" s="17"/>
      <c r="SJL32" s="17"/>
      <c r="SJM32" s="17"/>
      <c r="SJS32" s="17"/>
      <c r="SJT32" s="17"/>
      <c r="SJU32" s="17"/>
      <c r="SKA32" s="17"/>
      <c r="SKB32" s="17"/>
      <c r="SKC32" s="17"/>
      <c r="SKI32" s="17"/>
      <c r="SKJ32" s="17"/>
      <c r="SKK32" s="17"/>
      <c r="SKQ32" s="17"/>
      <c r="SKR32" s="17"/>
      <c r="SKS32" s="17"/>
      <c r="SKY32" s="17"/>
      <c r="SKZ32" s="17"/>
      <c r="SLA32" s="17"/>
      <c r="SLG32" s="17"/>
      <c r="SLH32" s="17"/>
      <c r="SLI32" s="17"/>
      <c r="SLO32" s="17"/>
      <c r="SLP32" s="17"/>
      <c r="SLQ32" s="17"/>
      <c r="SLW32" s="17"/>
      <c r="SLX32" s="17"/>
      <c r="SLY32" s="17"/>
      <c r="SME32" s="17"/>
      <c r="SMF32" s="17"/>
      <c r="SMG32" s="17"/>
      <c r="SMM32" s="17"/>
      <c r="SMN32" s="17"/>
      <c r="SMO32" s="17"/>
      <c r="SMU32" s="17"/>
      <c r="SMV32" s="17"/>
      <c r="SMW32" s="17"/>
      <c r="SNC32" s="17"/>
      <c r="SND32" s="17"/>
      <c r="SNE32" s="17"/>
      <c r="SNK32" s="17"/>
      <c r="SNL32" s="17"/>
      <c r="SNM32" s="17"/>
      <c r="SNS32" s="17"/>
      <c r="SNT32" s="17"/>
      <c r="SNU32" s="17"/>
      <c r="SOA32" s="17"/>
      <c r="SOB32" s="17"/>
      <c r="SOC32" s="17"/>
      <c r="SOI32" s="17"/>
      <c r="SOJ32" s="17"/>
      <c r="SOK32" s="17"/>
      <c r="SOQ32" s="17"/>
      <c r="SOR32" s="17"/>
      <c r="SOS32" s="17"/>
      <c r="SOY32" s="17"/>
      <c r="SOZ32" s="17"/>
      <c r="SPA32" s="17"/>
      <c r="SPG32" s="17"/>
      <c r="SPH32" s="17"/>
      <c r="SPI32" s="17"/>
      <c r="SPO32" s="17"/>
      <c r="SPP32" s="17"/>
      <c r="SPQ32" s="17"/>
      <c r="SPW32" s="17"/>
      <c r="SPX32" s="17"/>
      <c r="SPY32" s="17"/>
      <c r="SQE32" s="17"/>
      <c r="SQF32" s="17"/>
      <c r="SQG32" s="17"/>
      <c r="SQM32" s="17"/>
      <c r="SQN32" s="17"/>
      <c r="SQO32" s="17"/>
      <c r="SQU32" s="17"/>
      <c r="SQV32" s="17"/>
      <c r="SQW32" s="17"/>
      <c r="SRC32" s="17"/>
      <c r="SRD32" s="17"/>
      <c r="SRE32" s="17"/>
      <c r="SRK32" s="17"/>
      <c r="SRL32" s="17"/>
      <c r="SRM32" s="17"/>
      <c r="SRS32" s="17"/>
      <c r="SRT32" s="17"/>
      <c r="SRU32" s="17"/>
      <c r="SSA32" s="17"/>
      <c r="SSB32" s="17"/>
      <c r="SSC32" s="17"/>
      <c r="SSI32" s="17"/>
      <c r="SSJ32" s="17"/>
      <c r="SSK32" s="17"/>
      <c r="SSQ32" s="17"/>
      <c r="SSR32" s="17"/>
      <c r="SSS32" s="17"/>
      <c r="SSY32" s="17"/>
      <c r="SSZ32" s="17"/>
      <c r="STA32" s="17"/>
      <c r="STG32" s="17"/>
      <c r="STH32" s="17"/>
      <c r="STI32" s="17"/>
      <c r="STO32" s="17"/>
      <c r="STP32" s="17"/>
      <c r="STQ32" s="17"/>
      <c r="STW32" s="17"/>
      <c r="STX32" s="17"/>
      <c r="STY32" s="17"/>
      <c r="SUE32" s="17"/>
      <c r="SUF32" s="17"/>
      <c r="SUG32" s="17"/>
      <c r="SUM32" s="17"/>
      <c r="SUN32" s="17"/>
      <c r="SUO32" s="17"/>
      <c r="SUU32" s="17"/>
      <c r="SUV32" s="17"/>
      <c r="SUW32" s="17"/>
      <c r="SVC32" s="17"/>
      <c r="SVD32" s="17"/>
      <c r="SVE32" s="17"/>
      <c r="SVK32" s="17"/>
      <c r="SVL32" s="17"/>
      <c r="SVM32" s="17"/>
      <c r="SVS32" s="17"/>
      <c r="SVT32" s="17"/>
      <c r="SVU32" s="17"/>
      <c r="SWA32" s="17"/>
      <c r="SWB32" s="17"/>
      <c r="SWC32" s="17"/>
      <c r="SWI32" s="17"/>
      <c r="SWJ32" s="17"/>
      <c r="SWK32" s="17"/>
      <c r="SWQ32" s="17"/>
      <c r="SWR32" s="17"/>
      <c r="SWS32" s="17"/>
      <c r="SWY32" s="17"/>
      <c r="SWZ32" s="17"/>
      <c r="SXA32" s="17"/>
      <c r="SXG32" s="17"/>
      <c r="SXH32" s="17"/>
      <c r="SXI32" s="17"/>
      <c r="SXO32" s="17"/>
      <c r="SXP32" s="17"/>
      <c r="SXQ32" s="17"/>
      <c r="SXW32" s="17"/>
      <c r="SXX32" s="17"/>
      <c r="SXY32" s="17"/>
      <c r="SYE32" s="17"/>
      <c r="SYF32" s="17"/>
      <c r="SYG32" s="17"/>
      <c r="SYM32" s="17"/>
      <c r="SYN32" s="17"/>
      <c r="SYO32" s="17"/>
      <c r="SYU32" s="17"/>
      <c r="SYV32" s="17"/>
      <c r="SYW32" s="17"/>
      <c r="SZC32" s="17"/>
      <c r="SZD32" s="17"/>
      <c r="SZE32" s="17"/>
      <c r="SZK32" s="17"/>
      <c r="SZL32" s="17"/>
      <c r="SZM32" s="17"/>
      <c r="SZS32" s="17"/>
      <c r="SZT32" s="17"/>
      <c r="SZU32" s="17"/>
      <c r="TAA32" s="17"/>
      <c r="TAB32" s="17"/>
      <c r="TAC32" s="17"/>
      <c r="TAI32" s="17"/>
      <c r="TAJ32" s="17"/>
      <c r="TAK32" s="17"/>
      <c r="TAQ32" s="17"/>
      <c r="TAR32" s="17"/>
      <c r="TAS32" s="17"/>
      <c r="TAY32" s="17"/>
      <c r="TAZ32" s="17"/>
      <c r="TBA32" s="17"/>
      <c r="TBG32" s="17"/>
      <c r="TBH32" s="17"/>
      <c r="TBI32" s="17"/>
      <c r="TBO32" s="17"/>
      <c r="TBP32" s="17"/>
      <c r="TBQ32" s="17"/>
      <c r="TBW32" s="17"/>
      <c r="TBX32" s="17"/>
      <c r="TBY32" s="17"/>
      <c r="TCE32" s="17"/>
      <c r="TCF32" s="17"/>
      <c r="TCG32" s="17"/>
      <c r="TCM32" s="17"/>
      <c r="TCN32" s="17"/>
      <c r="TCO32" s="17"/>
      <c r="TCU32" s="17"/>
      <c r="TCV32" s="17"/>
      <c r="TCW32" s="17"/>
      <c r="TDC32" s="17"/>
      <c r="TDD32" s="17"/>
      <c r="TDE32" s="17"/>
      <c r="TDK32" s="17"/>
      <c r="TDL32" s="17"/>
      <c r="TDM32" s="17"/>
      <c r="TDS32" s="17"/>
      <c r="TDT32" s="17"/>
      <c r="TDU32" s="17"/>
      <c r="TEA32" s="17"/>
      <c r="TEB32" s="17"/>
      <c r="TEC32" s="17"/>
      <c r="TEI32" s="17"/>
      <c r="TEJ32" s="17"/>
      <c r="TEK32" s="17"/>
      <c r="TEQ32" s="17"/>
      <c r="TER32" s="17"/>
      <c r="TES32" s="17"/>
      <c r="TEY32" s="17"/>
      <c r="TEZ32" s="17"/>
      <c r="TFA32" s="17"/>
      <c r="TFG32" s="17"/>
      <c r="TFH32" s="17"/>
      <c r="TFI32" s="17"/>
      <c r="TFO32" s="17"/>
      <c r="TFP32" s="17"/>
      <c r="TFQ32" s="17"/>
      <c r="TFW32" s="17"/>
      <c r="TFX32" s="17"/>
      <c r="TFY32" s="17"/>
      <c r="TGE32" s="17"/>
      <c r="TGF32" s="17"/>
      <c r="TGG32" s="17"/>
      <c r="TGM32" s="17"/>
      <c r="TGN32" s="17"/>
      <c r="TGO32" s="17"/>
      <c r="TGU32" s="17"/>
      <c r="TGV32" s="17"/>
      <c r="TGW32" s="17"/>
      <c r="THC32" s="17"/>
      <c r="THD32" s="17"/>
      <c r="THE32" s="17"/>
      <c r="THK32" s="17"/>
      <c r="THL32" s="17"/>
      <c r="THM32" s="17"/>
      <c r="THS32" s="17"/>
      <c r="THT32" s="17"/>
      <c r="THU32" s="17"/>
      <c r="TIA32" s="17"/>
      <c r="TIB32" s="17"/>
      <c r="TIC32" s="17"/>
      <c r="TII32" s="17"/>
      <c r="TIJ32" s="17"/>
      <c r="TIK32" s="17"/>
      <c r="TIQ32" s="17"/>
      <c r="TIR32" s="17"/>
      <c r="TIS32" s="17"/>
      <c r="TIY32" s="17"/>
      <c r="TIZ32" s="17"/>
      <c r="TJA32" s="17"/>
      <c r="TJG32" s="17"/>
      <c r="TJH32" s="17"/>
      <c r="TJI32" s="17"/>
      <c r="TJO32" s="17"/>
      <c r="TJP32" s="17"/>
      <c r="TJQ32" s="17"/>
      <c r="TJW32" s="17"/>
      <c r="TJX32" s="17"/>
      <c r="TJY32" s="17"/>
      <c r="TKE32" s="17"/>
      <c r="TKF32" s="17"/>
      <c r="TKG32" s="17"/>
      <c r="TKM32" s="17"/>
      <c r="TKN32" s="17"/>
      <c r="TKO32" s="17"/>
      <c r="TKU32" s="17"/>
      <c r="TKV32" s="17"/>
      <c r="TKW32" s="17"/>
      <c r="TLC32" s="17"/>
      <c r="TLD32" s="17"/>
      <c r="TLE32" s="17"/>
      <c r="TLK32" s="17"/>
      <c r="TLL32" s="17"/>
      <c r="TLM32" s="17"/>
      <c r="TLS32" s="17"/>
      <c r="TLT32" s="17"/>
      <c r="TLU32" s="17"/>
      <c r="TMA32" s="17"/>
      <c r="TMB32" s="17"/>
      <c r="TMC32" s="17"/>
      <c r="TMI32" s="17"/>
      <c r="TMJ32" s="17"/>
      <c r="TMK32" s="17"/>
      <c r="TMQ32" s="17"/>
      <c r="TMR32" s="17"/>
      <c r="TMS32" s="17"/>
      <c r="TMY32" s="17"/>
      <c r="TMZ32" s="17"/>
      <c r="TNA32" s="17"/>
      <c r="TNG32" s="17"/>
      <c r="TNH32" s="17"/>
      <c r="TNI32" s="17"/>
      <c r="TNO32" s="17"/>
      <c r="TNP32" s="17"/>
      <c r="TNQ32" s="17"/>
      <c r="TNW32" s="17"/>
      <c r="TNX32" s="17"/>
      <c r="TNY32" s="17"/>
      <c r="TOE32" s="17"/>
      <c r="TOF32" s="17"/>
      <c r="TOG32" s="17"/>
      <c r="TOM32" s="17"/>
      <c r="TON32" s="17"/>
      <c r="TOO32" s="17"/>
      <c r="TOU32" s="17"/>
      <c r="TOV32" s="17"/>
      <c r="TOW32" s="17"/>
      <c r="TPC32" s="17"/>
      <c r="TPD32" s="17"/>
      <c r="TPE32" s="17"/>
      <c r="TPK32" s="17"/>
      <c r="TPL32" s="17"/>
      <c r="TPM32" s="17"/>
      <c r="TPS32" s="17"/>
      <c r="TPT32" s="17"/>
      <c r="TPU32" s="17"/>
      <c r="TQA32" s="17"/>
      <c r="TQB32" s="17"/>
      <c r="TQC32" s="17"/>
      <c r="TQI32" s="17"/>
      <c r="TQJ32" s="17"/>
      <c r="TQK32" s="17"/>
      <c r="TQQ32" s="17"/>
      <c r="TQR32" s="17"/>
      <c r="TQS32" s="17"/>
      <c r="TQY32" s="17"/>
      <c r="TQZ32" s="17"/>
      <c r="TRA32" s="17"/>
      <c r="TRG32" s="17"/>
      <c r="TRH32" s="17"/>
      <c r="TRI32" s="17"/>
      <c r="TRO32" s="17"/>
      <c r="TRP32" s="17"/>
      <c r="TRQ32" s="17"/>
      <c r="TRW32" s="17"/>
      <c r="TRX32" s="17"/>
      <c r="TRY32" s="17"/>
      <c r="TSE32" s="17"/>
      <c r="TSF32" s="17"/>
      <c r="TSG32" s="17"/>
      <c r="TSM32" s="17"/>
      <c r="TSN32" s="17"/>
      <c r="TSO32" s="17"/>
      <c r="TSU32" s="17"/>
      <c r="TSV32" s="17"/>
      <c r="TSW32" s="17"/>
      <c r="TTC32" s="17"/>
      <c r="TTD32" s="17"/>
      <c r="TTE32" s="17"/>
      <c r="TTK32" s="17"/>
      <c r="TTL32" s="17"/>
      <c r="TTM32" s="17"/>
      <c r="TTS32" s="17"/>
      <c r="TTT32" s="17"/>
      <c r="TTU32" s="17"/>
      <c r="TUA32" s="17"/>
      <c r="TUB32" s="17"/>
      <c r="TUC32" s="17"/>
      <c r="TUI32" s="17"/>
      <c r="TUJ32" s="17"/>
      <c r="TUK32" s="17"/>
      <c r="TUQ32" s="17"/>
      <c r="TUR32" s="17"/>
      <c r="TUS32" s="17"/>
      <c r="TUY32" s="17"/>
      <c r="TUZ32" s="17"/>
      <c r="TVA32" s="17"/>
      <c r="TVG32" s="17"/>
      <c r="TVH32" s="17"/>
      <c r="TVI32" s="17"/>
      <c r="TVO32" s="17"/>
      <c r="TVP32" s="17"/>
      <c r="TVQ32" s="17"/>
      <c r="TVW32" s="17"/>
      <c r="TVX32" s="17"/>
      <c r="TVY32" s="17"/>
      <c r="TWE32" s="17"/>
      <c r="TWF32" s="17"/>
      <c r="TWG32" s="17"/>
      <c r="TWM32" s="17"/>
      <c r="TWN32" s="17"/>
      <c r="TWO32" s="17"/>
      <c r="TWU32" s="17"/>
      <c r="TWV32" s="17"/>
      <c r="TWW32" s="17"/>
      <c r="TXC32" s="17"/>
      <c r="TXD32" s="17"/>
      <c r="TXE32" s="17"/>
      <c r="TXK32" s="17"/>
      <c r="TXL32" s="17"/>
      <c r="TXM32" s="17"/>
      <c r="TXS32" s="17"/>
      <c r="TXT32" s="17"/>
      <c r="TXU32" s="17"/>
      <c r="TYA32" s="17"/>
      <c r="TYB32" s="17"/>
      <c r="TYC32" s="17"/>
      <c r="TYI32" s="17"/>
      <c r="TYJ32" s="17"/>
      <c r="TYK32" s="17"/>
      <c r="TYQ32" s="17"/>
      <c r="TYR32" s="17"/>
      <c r="TYS32" s="17"/>
      <c r="TYY32" s="17"/>
      <c r="TYZ32" s="17"/>
      <c r="TZA32" s="17"/>
      <c r="TZG32" s="17"/>
      <c r="TZH32" s="17"/>
      <c r="TZI32" s="17"/>
      <c r="TZO32" s="17"/>
      <c r="TZP32" s="17"/>
      <c r="TZQ32" s="17"/>
      <c r="TZW32" s="17"/>
      <c r="TZX32" s="17"/>
      <c r="TZY32" s="17"/>
      <c r="UAE32" s="17"/>
      <c r="UAF32" s="17"/>
      <c r="UAG32" s="17"/>
      <c r="UAM32" s="17"/>
      <c r="UAN32" s="17"/>
      <c r="UAO32" s="17"/>
      <c r="UAU32" s="17"/>
      <c r="UAV32" s="17"/>
      <c r="UAW32" s="17"/>
      <c r="UBC32" s="17"/>
      <c r="UBD32" s="17"/>
      <c r="UBE32" s="17"/>
      <c r="UBK32" s="17"/>
      <c r="UBL32" s="17"/>
      <c r="UBM32" s="17"/>
      <c r="UBS32" s="17"/>
      <c r="UBT32" s="17"/>
      <c r="UBU32" s="17"/>
      <c r="UCA32" s="17"/>
      <c r="UCB32" s="17"/>
      <c r="UCC32" s="17"/>
      <c r="UCI32" s="17"/>
      <c r="UCJ32" s="17"/>
      <c r="UCK32" s="17"/>
      <c r="UCQ32" s="17"/>
      <c r="UCR32" s="17"/>
      <c r="UCS32" s="17"/>
      <c r="UCY32" s="17"/>
      <c r="UCZ32" s="17"/>
      <c r="UDA32" s="17"/>
      <c r="UDG32" s="17"/>
      <c r="UDH32" s="17"/>
      <c r="UDI32" s="17"/>
      <c r="UDO32" s="17"/>
      <c r="UDP32" s="17"/>
      <c r="UDQ32" s="17"/>
      <c r="UDW32" s="17"/>
      <c r="UDX32" s="17"/>
      <c r="UDY32" s="17"/>
      <c r="UEE32" s="17"/>
      <c r="UEF32" s="17"/>
      <c r="UEG32" s="17"/>
      <c r="UEM32" s="17"/>
      <c r="UEN32" s="17"/>
      <c r="UEO32" s="17"/>
      <c r="UEU32" s="17"/>
      <c r="UEV32" s="17"/>
      <c r="UEW32" s="17"/>
      <c r="UFC32" s="17"/>
      <c r="UFD32" s="17"/>
      <c r="UFE32" s="17"/>
      <c r="UFK32" s="17"/>
      <c r="UFL32" s="17"/>
      <c r="UFM32" s="17"/>
      <c r="UFS32" s="17"/>
      <c r="UFT32" s="17"/>
      <c r="UFU32" s="17"/>
      <c r="UGA32" s="17"/>
      <c r="UGB32" s="17"/>
      <c r="UGC32" s="17"/>
      <c r="UGI32" s="17"/>
      <c r="UGJ32" s="17"/>
      <c r="UGK32" s="17"/>
      <c r="UGQ32" s="17"/>
      <c r="UGR32" s="17"/>
      <c r="UGS32" s="17"/>
      <c r="UGY32" s="17"/>
      <c r="UGZ32" s="17"/>
      <c r="UHA32" s="17"/>
      <c r="UHG32" s="17"/>
      <c r="UHH32" s="17"/>
      <c r="UHI32" s="17"/>
      <c r="UHO32" s="17"/>
      <c r="UHP32" s="17"/>
      <c r="UHQ32" s="17"/>
      <c r="UHW32" s="17"/>
      <c r="UHX32" s="17"/>
      <c r="UHY32" s="17"/>
      <c r="UIE32" s="17"/>
      <c r="UIF32" s="17"/>
      <c r="UIG32" s="17"/>
      <c r="UIM32" s="17"/>
      <c r="UIN32" s="17"/>
      <c r="UIO32" s="17"/>
      <c r="UIU32" s="17"/>
      <c r="UIV32" s="17"/>
      <c r="UIW32" s="17"/>
      <c r="UJC32" s="17"/>
      <c r="UJD32" s="17"/>
      <c r="UJE32" s="17"/>
      <c r="UJK32" s="17"/>
      <c r="UJL32" s="17"/>
      <c r="UJM32" s="17"/>
      <c r="UJS32" s="17"/>
      <c r="UJT32" s="17"/>
      <c r="UJU32" s="17"/>
      <c r="UKA32" s="17"/>
      <c r="UKB32" s="17"/>
      <c r="UKC32" s="17"/>
      <c r="UKI32" s="17"/>
      <c r="UKJ32" s="17"/>
      <c r="UKK32" s="17"/>
      <c r="UKQ32" s="17"/>
      <c r="UKR32" s="17"/>
      <c r="UKS32" s="17"/>
      <c r="UKY32" s="17"/>
      <c r="UKZ32" s="17"/>
      <c r="ULA32" s="17"/>
      <c r="ULG32" s="17"/>
      <c r="ULH32" s="17"/>
      <c r="ULI32" s="17"/>
      <c r="ULO32" s="17"/>
      <c r="ULP32" s="17"/>
      <c r="ULQ32" s="17"/>
      <c r="ULW32" s="17"/>
      <c r="ULX32" s="17"/>
      <c r="ULY32" s="17"/>
      <c r="UME32" s="17"/>
      <c r="UMF32" s="17"/>
      <c r="UMG32" s="17"/>
      <c r="UMM32" s="17"/>
      <c r="UMN32" s="17"/>
      <c r="UMO32" s="17"/>
      <c r="UMU32" s="17"/>
      <c r="UMV32" s="17"/>
      <c r="UMW32" s="17"/>
      <c r="UNC32" s="17"/>
      <c r="UND32" s="17"/>
      <c r="UNE32" s="17"/>
      <c r="UNK32" s="17"/>
      <c r="UNL32" s="17"/>
      <c r="UNM32" s="17"/>
      <c r="UNS32" s="17"/>
      <c r="UNT32" s="17"/>
      <c r="UNU32" s="17"/>
      <c r="UOA32" s="17"/>
      <c r="UOB32" s="17"/>
      <c r="UOC32" s="17"/>
      <c r="UOI32" s="17"/>
      <c r="UOJ32" s="17"/>
      <c r="UOK32" s="17"/>
      <c r="UOQ32" s="17"/>
      <c r="UOR32" s="17"/>
      <c r="UOS32" s="17"/>
      <c r="UOY32" s="17"/>
      <c r="UOZ32" s="17"/>
      <c r="UPA32" s="17"/>
      <c r="UPG32" s="17"/>
      <c r="UPH32" s="17"/>
      <c r="UPI32" s="17"/>
      <c r="UPO32" s="17"/>
      <c r="UPP32" s="17"/>
      <c r="UPQ32" s="17"/>
      <c r="UPW32" s="17"/>
      <c r="UPX32" s="17"/>
      <c r="UPY32" s="17"/>
      <c r="UQE32" s="17"/>
      <c r="UQF32" s="17"/>
      <c r="UQG32" s="17"/>
      <c r="UQM32" s="17"/>
      <c r="UQN32" s="17"/>
      <c r="UQO32" s="17"/>
      <c r="UQU32" s="17"/>
      <c r="UQV32" s="17"/>
      <c r="UQW32" s="17"/>
      <c r="URC32" s="17"/>
      <c r="URD32" s="17"/>
      <c r="URE32" s="17"/>
      <c r="URK32" s="17"/>
      <c r="URL32" s="17"/>
      <c r="URM32" s="17"/>
      <c r="URS32" s="17"/>
      <c r="URT32" s="17"/>
      <c r="URU32" s="17"/>
      <c r="USA32" s="17"/>
      <c r="USB32" s="17"/>
      <c r="USC32" s="17"/>
      <c r="USI32" s="17"/>
      <c r="USJ32" s="17"/>
      <c r="USK32" s="17"/>
      <c r="USQ32" s="17"/>
      <c r="USR32" s="17"/>
      <c r="USS32" s="17"/>
      <c r="USY32" s="17"/>
      <c r="USZ32" s="17"/>
      <c r="UTA32" s="17"/>
      <c r="UTG32" s="17"/>
      <c r="UTH32" s="17"/>
      <c r="UTI32" s="17"/>
      <c r="UTO32" s="17"/>
      <c r="UTP32" s="17"/>
      <c r="UTQ32" s="17"/>
      <c r="UTW32" s="17"/>
      <c r="UTX32" s="17"/>
      <c r="UTY32" s="17"/>
      <c r="UUE32" s="17"/>
      <c r="UUF32" s="17"/>
      <c r="UUG32" s="17"/>
      <c r="UUM32" s="17"/>
      <c r="UUN32" s="17"/>
      <c r="UUO32" s="17"/>
      <c r="UUU32" s="17"/>
      <c r="UUV32" s="17"/>
      <c r="UUW32" s="17"/>
      <c r="UVC32" s="17"/>
      <c r="UVD32" s="17"/>
      <c r="UVE32" s="17"/>
      <c r="UVK32" s="17"/>
      <c r="UVL32" s="17"/>
      <c r="UVM32" s="17"/>
      <c r="UVS32" s="17"/>
      <c r="UVT32" s="17"/>
      <c r="UVU32" s="17"/>
      <c r="UWA32" s="17"/>
      <c r="UWB32" s="17"/>
      <c r="UWC32" s="17"/>
      <c r="UWI32" s="17"/>
      <c r="UWJ32" s="17"/>
      <c r="UWK32" s="17"/>
      <c r="UWQ32" s="17"/>
      <c r="UWR32" s="17"/>
      <c r="UWS32" s="17"/>
      <c r="UWY32" s="17"/>
      <c r="UWZ32" s="17"/>
      <c r="UXA32" s="17"/>
      <c r="UXG32" s="17"/>
      <c r="UXH32" s="17"/>
      <c r="UXI32" s="17"/>
      <c r="UXO32" s="17"/>
      <c r="UXP32" s="17"/>
      <c r="UXQ32" s="17"/>
      <c r="UXW32" s="17"/>
      <c r="UXX32" s="17"/>
      <c r="UXY32" s="17"/>
      <c r="UYE32" s="17"/>
      <c r="UYF32" s="17"/>
      <c r="UYG32" s="17"/>
      <c r="UYM32" s="17"/>
      <c r="UYN32" s="17"/>
      <c r="UYO32" s="17"/>
      <c r="UYU32" s="17"/>
      <c r="UYV32" s="17"/>
      <c r="UYW32" s="17"/>
      <c r="UZC32" s="17"/>
      <c r="UZD32" s="17"/>
      <c r="UZE32" s="17"/>
      <c r="UZK32" s="17"/>
      <c r="UZL32" s="17"/>
      <c r="UZM32" s="17"/>
      <c r="UZS32" s="17"/>
      <c r="UZT32" s="17"/>
      <c r="UZU32" s="17"/>
      <c r="VAA32" s="17"/>
      <c r="VAB32" s="17"/>
      <c r="VAC32" s="17"/>
      <c r="VAI32" s="17"/>
      <c r="VAJ32" s="17"/>
      <c r="VAK32" s="17"/>
      <c r="VAQ32" s="17"/>
      <c r="VAR32" s="17"/>
      <c r="VAS32" s="17"/>
      <c r="VAY32" s="17"/>
      <c r="VAZ32" s="17"/>
      <c r="VBA32" s="17"/>
      <c r="VBG32" s="17"/>
      <c r="VBH32" s="17"/>
      <c r="VBI32" s="17"/>
      <c r="VBO32" s="17"/>
      <c r="VBP32" s="17"/>
      <c r="VBQ32" s="17"/>
      <c r="VBW32" s="17"/>
      <c r="VBX32" s="17"/>
      <c r="VBY32" s="17"/>
      <c r="VCE32" s="17"/>
      <c r="VCF32" s="17"/>
      <c r="VCG32" s="17"/>
      <c r="VCM32" s="17"/>
      <c r="VCN32" s="17"/>
      <c r="VCO32" s="17"/>
      <c r="VCU32" s="17"/>
      <c r="VCV32" s="17"/>
      <c r="VCW32" s="17"/>
      <c r="VDC32" s="17"/>
      <c r="VDD32" s="17"/>
      <c r="VDE32" s="17"/>
      <c r="VDK32" s="17"/>
      <c r="VDL32" s="17"/>
      <c r="VDM32" s="17"/>
      <c r="VDS32" s="17"/>
      <c r="VDT32" s="17"/>
      <c r="VDU32" s="17"/>
      <c r="VEA32" s="17"/>
      <c r="VEB32" s="17"/>
      <c r="VEC32" s="17"/>
      <c r="VEI32" s="17"/>
      <c r="VEJ32" s="17"/>
      <c r="VEK32" s="17"/>
      <c r="VEQ32" s="17"/>
      <c r="VER32" s="17"/>
      <c r="VES32" s="17"/>
      <c r="VEY32" s="17"/>
      <c r="VEZ32" s="17"/>
      <c r="VFA32" s="17"/>
      <c r="VFG32" s="17"/>
      <c r="VFH32" s="17"/>
      <c r="VFI32" s="17"/>
      <c r="VFO32" s="17"/>
      <c r="VFP32" s="17"/>
      <c r="VFQ32" s="17"/>
      <c r="VFW32" s="17"/>
      <c r="VFX32" s="17"/>
      <c r="VFY32" s="17"/>
      <c r="VGE32" s="17"/>
      <c r="VGF32" s="17"/>
      <c r="VGG32" s="17"/>
      <c r="VGM32" s="17"/>
      <c r="VGN32" s="17"/>
      <c r="VGO32" s="17"/>
      <c r="VGU32" s="17"/>
      <c r="VGV32" s="17"/>
      <c r="VGW32" s="17"/>
      <c r="VHC32" s="17"/>
      <c r="VHD32" s="17"/>
      <c r="VHE32" s="17"/>
      <c r="VHK32" s="17"/>
      <c r="VHL32" s="17"/>
      <c r="VHM32" s="17"/>
      <c r="VHS32" s="17"/>
      <c r="VHT32" s="17"/>
      <c r="VHU32" s="17"/>
      <c r="VIA32" s="17"/>
      <c r="VIB32" s="17"/>
      <c r="VIC32" s="17"/>
      <c r="VII32" s="17"/>
      <c r="VIJ32" s="17"/>
      <c r="VIK32" s="17"/>
      <c r="VIQ32" s="17"/>
      <c r="VIR32" s="17"/>
      <c r="VIS32" s="17"/>
      <c r="VIY32" s="17"/>
      <c r="VIZ32" s="17"/>
      <c r="VJA32" s="17"/>
      <c r="VJG32" s="17"/>
      <c r="VJH32" s="17"/>
      <c r="VJI32" s="17"/>
      <c r="VJO32" s="17"/>
      <c r="VJP32" s="17"/>
      <c r="VJQ32" s="17"/>
      <c r="VJW32" s="17"/>
      <c r="VJX32" s="17"/>
      <c r="VJY32" s="17"/>
      <c r="VKE32" s="17"/>
      <c r="VKF32" s="17"/>
      <c r="VKG32" s="17"/>
      <c r="VKM32" s="17"/>
      <c r="VKN32" s="17"/>
      <c r="VKO32" s="17"/>
      <c r="VKU32" s="17"/>
      <c r="VKV32" s="17"/>
      <c r="VKW32" s="17"/>
      <c r="VLC32" s="17"/>
      <c r="VLD32" s="17"/>
      <c r="VLE32" s="17"/>
      <c r="VLK32" s="17"/>
      <c r="VLL32" s="17"/>
      <c r="VLM32" s="17"/>
      <c r="VLS32" s="17"/>
      <c r="VLT32" s="17"/>
      <c r="VLU32" s="17"/>
      <c r="VMA32" s="17"/>
      <c r="VMB32" s="17"/>
      <c r="VMC32" s="17"/>
      <c r="VMI32" s="17"/>
      <c r="VMJ32" s="17"/>
      <c r="VMK32" s="17"/>
      <c r="VMQ32" s="17"/>
      <c r="VMR32" s="17"/>
      <c r="VMS32" s="17"/>
      <c r="VMY32" s="17"/>
      <c r="VMZ32" s="17"/>
      <c r="VNA32" s="17"/>
      <c r="VNG32" s="17"/>
      <c r="VNH32" s="17"/>
      <c r="VNI32" s="17"/>
      <c r="VNO32" s="17"/>
      <c r="VNP32" s="17"/>
      <c r="VNQ32" s="17"/>
      <c r="VNW32" s="17"/>
      <c r="VNX32" s="17"/>
      <c r="VNY32" s="17"/>
      <c r="VOE32" s="17"/>
      <c r="VOF32" s="17"/>
      <c r="VOG32" s="17"/>
      <c r="VOM32" s="17"/>
      <c r="VON32" s="17"/>
      <c r="VOO32" s="17"/>
      <c r="VOU32" s="17"/>
      <c r="VOV32" s="17"/>
      <c r="VOW32" s="17"/>
      <c r="VPC32" s="17"/>
      <c r="VPD32" s="17"/>
      <c r="VPE32" s="17"/>
      <c r="VPK32" s="17"/>
      <c r="VPL32" s="17"/>
      <c r="VPM32" s="17"/>
      <c r="VPS32" s="17"/>
      <c r="VPT32" s="17"/>
      <c r="VPU32" s="17"/>
      <c r="VQA32" s="17"/>
      <c r="VQB32" s="17"/>
      <c r="VQC32" s="17"/>
      <c r="VQI32" s="17"/>
      <c r="VQJ32" s="17"/>
      <c r="VQK32" s="17"/>
      <c r="VQQ32" s="17"/>
      <c r="VQR32" s="17"/>
      <c r="VQS32" s="17"/>
      <c r="VQY32" s="17"/>
      <c r="VQZ32" s="17"/>
      <c r="VRA32" s="17"/>
      <c r="VRG32" s="17"/>
      <c r="VRH32" s="17"/>
      <c r="VRI32" s="17"/>
      <c r="VRO32" s="17"/>
      <c r="VRP32" s="17"/>
      <c r="VRQ32" s="17"/>
      <c r="VRW32" s="17"/>
      <c r="VRX32" s="17"/>
      <c r="VRY32" s="17"/>
      <c r="VSE32" s="17"/>
      <c r="VSF32" s="17"/>
      <c r="VSG32" s="17"/>
      <c r="VSM32" s="17"/>
      <c r="VSN32" s="17"/>
      <c r="VSO32" s="17"/>
      <c r="VSU32" s="17"/>
      <c r="VSV32" s="17"/>
      <c r="VSW32" s="17"/>
      <c r="VTC32" s="17"/>
      <c r="VTD32" s="17"/>
      <c r="VTE32" s="17"/>
      <c r="VTK32" s="17"/>
      <c r="VTL32" s="17"/>
      <c r="VTM32" s="17"/>
      <c r="VTS32" s="17"/>
      <c r="VTT32" s="17"/>
      <c r="VTU32" s="17"/>
      <c r="VUA32" s="17"/>
      <c r="VUB32" s="17"/>
      <c r="VUC32" s="17"/>
      <c r="VUI32" s="17"/>
      <c r="VUJ32" s="17"/>
      <c r="VUK32" s="17"/>
      <c r="VUQ32" s="17"/>
      <c r="VUR32" s="17"/>
      <c r="VUS32" s="17"/>
      <c r="VUY32" s="17"/>
      <c r="VUZ32" s="17"/>
      <c r="VVA32" s="17"/>
      <c r="VVG32" s="17"/>
      <c r="VVH32" s="17"/>
      <c r="VVI32" s="17"/>
      <c r="VVO32" s="17"/>
      <c r="VVP32" s="17"/>
      <c r="VVQ32" s="17"/>
      <c r="VVW32" s="17"/>
      <c r="VVX32" s="17"/>
      <c r="VVY32" s="17"/>
      <c r="VWE32" s="17"/>
      <c r="VWF32" s="17"/>
      <c r="VWG32" s="17"/>
      <c r="VWM32" s="17"/>
      <c r="VWN32" s="17"/>
      <c r="VWO32" s="17"/>
      <c r="VWU32" s="17"/>
      <c r="VWV32" s="17"/>
      <c r="VWW32" s="17"/>
      <c r="VXC32" s="17"/>
      <c r="VXD32" s="17"/>
      <c r="VXE32" s="17"/>
      <c r="VXK32" s="17"/>
      <c r="VXL32" s="17"/>
      <c r="VXM32" s="17"/>
      <c r="VXS32" s="17"/>
      <c r="VXT32" s="17"/>
      <c r="VXU32" s="17"/>
      <c r="VYA32" s="17"/>
      <c r="VYB32" s="17"/>
      <c r="VYC32" s="17"/>
      <c r="VYI32" s="17"/>
      <c r="VYJ32" s="17"/>
      <c r="VYK32" s="17"/>
      <c r="VYQ32" s="17"/>
      <c r="VYR32" s="17"/>
      <c r="VYS32" s="17"/>
      <c r="VYY32" s="17"/>
      <c r="VYZ32" s="17"/>
      <c r="VZA32" s="17"/>
      <c r="VZG32" s="17"/>
      <c r="VZH32" s="17"/>
      <c r="VZI32" s="17"/>
      <c r="VZO32" s="17"/>
      <c r="VZP32" s="17"/>
      <c r="VZQ32" s="17"/>
      <c r="VZW32" s="17"/>
      <c r="VZX32" s="17"/>
      <c r="VZY32" s="17"/>
      <c r="WAE32" s="17"/>
      <c r="WAF32" s="17"/>
      <c r="WAG32" s="17"/>
      <c r="WAM32" s="17"/>
      <c r="WAN32" s="17"/>
      <c r="WAO32" s="17"/>
      <c r="WAU32" s="17"/>
      <c r="WAV32" s="17"/>
      <c r="WAW32" s="17"/>
      <c r="WBC32" s="17"/>
      <c r="WBD32" s="17"/>
      <c r="WBE32" s="17"/>
      <c r="WBK32" s="17"/>
      <c r="WBL32" s="17"/>
      <c r="WBM32" s="17"/>
      <c r="WBS32" s="17"/>
      <c r="WBT32" s="17"/>
      <c r="WBU32" s="17"/>
      <c r="WCA32" s="17"/>
      <c r="WCB32" s="17"/>
      <c r="WCC32" s="17"/>
      <c r="WCI32" s="17"/>
      <c r="WCJ32" s="17"/>
      <c r="WCK32" s="17"/>
      <c r="WCQ32" s="17"/>
      <c r="WCR32" s="17"/>
      <c r="WCS32" s="17"/>
      <c r="WCY32" s="17"/>
      <c r="WCZ32" s="17"/>
      <c r="WDA32" s="17"/>
      <c r="WDG32" s="17"/>
      <c r="WDH32" s="17"/>
      <c r="WDI32" s="17"/>
      <c r="WDO32" s="17"/>
      <c r="WDP32" s="17"/>
      <c r="WDQ32" s="17"/>
      <c r="WDW32" s="17"/>
      <c r="WDX32" s="17"/>
      <c r="WDY32" s="17"/>
      <c r="WEE32" s="17"/>
      <c r="WEF32" s="17"/>
      <c r="WEG32" s="17"/>
      <c r="WEM32" s="17"/>
      <c r="WEN32" s="17"/>
      <c r="WEO32" s="17"/>
      <c r="WEU32" s="17"/>
      <c r="WEV32" s="17"/>
      <c r="WEW32" s="17"/>
      <c r="WFC32" s="17"/>
      <c r="WFD32" s="17"/>
      <c r="WFE32" s="17"/>
      <c r="WFK32" s="17"/>
      <c r="WFL32" s="17"/>
      <c r="WFM32" s="17"/>
      <c r="WFS32" s="17"/>
      <c r="WFT32" s="17"/>
      <c r="WFU32" s="17"/>
      <c r="WGA32" s="17"/>
      <c r="WGB32" s="17"/>
      <c r="WGC32" s="17"/>
      <c r="WGI32" s="17"/>
      <c r="WGJ32" s="17"/>
      <c r="WGK32" s="17"/>
      <c r="WGQ32" s="17"/>
      <c r="WGR32" s="17"/>
      <c r="WGS32" s="17"/>
      <c r="WGY32" s="17"/>
      <c r="WGZ32" s="17"/>
      <c r="WHA32" s="17"/>
      <c r="WHG32" s="17"/>
      <c r="WHH32" s="17"/>
      <c r="WHI32" s="17"/>
      <c r="WHO32" s="17"/>
      <c r="WHP32" s="17"/>
      <c r="WHQ32" s="17"/>
      <c r="WHW32" s="17"/>
      <c r="WHX32" s="17"/>
      <c r="WHY32" s="17"/>
      <c r="WIE32" s="17"/>
      <c r="WIF32" s="17"/>
      <c r="WIG32" s="17"/>
      <c r="WIM32" s="17"/>
      <c r="WIN32" s="17"/>
      <c r="WIO32" s="17"/>
      <c r="WIU32" s="17"/>
      <c r="WIV32" s="17"/>
      <c r="WIW32" s="17"/>
      <c r="WJC32" s="17"/>
      <c r="WJD32" s="17"/>
      <c r="WJE32" s="17"/>
      <c r="WJK32" s="17"/>
      <c r="WJL32" s="17"/>
      <c r="WJM32" s="17"/>
      <c r="WJS32" s="17"/>
      <c r="WJT32" s="17"/>
      <c r="WJU32" s="17"/>
      <c r="WKA32" s="17"/>
      <c r="WKB32" s="17"/>
      <c r="WKC32" s="17"/>
      <c r="WKI32" s="17"/>
      <c r="WKJ32" s="17"/>
      <c r="WKK32" s="17"/>
      <c r="WKQ32" s="17"/>
      <c r="WKR32" s="17"/>
      <c r="WKS32" s="17"/>
      <c r="WKY32" s="17"/>
      <c r="WKZ32" s="17"/>
      <c r="WLA32" s="17"/>
      <c r="WLG32" s="17"/>
      <c r="WLH32" s="17"/>
      <c r="WLI32" s="17"/>
      <c r="WLO32" s="17"/>
      <c r="WLP32" s="17"/>
      <c r="WLQ32" s="17"/>
      <c r="WLW32" s="17"/>
      <c r="WLX32" s="17"/>
      <c r="WLY32" s="17"/>
      <c r="WME32" s="17"/>
      <c r="WMF32" s="17"/>
      <c r="WMG32" s="17"/>
      <c r="WMM32" s="17"/>
      <c r="WMN32" s="17"/>
      <c r="WMO32" s="17"/>
      <c r="WMU32" s="17"/>
      <c r="WMV32" s="17"/>
      <c r="WMW32" s="17"/>
      <c r="WNC32" s="17"/>
      <c r="WND32" s="17"/>
      <c r="WNE32" s="17"/>
      <c r="WNK32" s="17"/>
      <c r="WNL32" s="17"/>
      <c r="WNM32" s="17"/>
      <c r="WNS32" s="17"/>
      <c r="WNT32" s="17"/>
      <c r="WNU32" s="17"/>
      <c r="WOA32" s="17"/>
      <c r="WOB32" s="17"/>
      <c r="WOC32" s="17"/>
      <c r="WOI32" s="17"/>
      <c r="WOJ32" s="17"/>
      <c r="WOK32" s="17"/>
      <c r="WOQ32" s="17"/>
      <c r="WOR32" s="17"/>
      <c r="WOS32" s="17"/>
      <c r="WOY32" s="17"/>
      <c r="WOZ32" s="17"/>
      <c r="WPA32" s="17"/>
      <c r="WPG32" s="17"/>
      <c r="WPH32" s="17"/>
      <c r="WPI32" s="17"/>
      <c r="WPO32" s="17"/>
      <c r="WPP32" s="17"/>
      <c r="WPQ32" s="17"/>
      <c r="WPW32" s="17"/>
      <c r="WPX32" s="17"/>
      <c r="WPY32" s="17"/>
      <c r="WQE32" s="17"/>
      <c r="WQF32" s="17"/>
      <c r="WQG32" s="17"/>
      <c r="WQM32" s="17"/>
      <c r="WQN32" s="17"/>
      <c r="WQO32" s="17"/>
      <c r="WQU32" s="17"/>
      <c r="WQV32" s="17"/>
      <c r="WQW32" s="17"/>
      <c r="WRC32" s="17"/>
      <c r="WRD32" s="17"/>
      <c r="WRE32" s="17"/>
      <c r="WRK32" s="17"/>
      <c r="WRL32" s="17"/>
      <c r="WRM32" s="17"/>
      <c r="WRS32" s="17"/>
      <c r="WRT32" s="17"/>
      <c r="WRU32" s="17"/>
      <c r="WSA32" s="17"/>
      <c r="WSB32" s="17"/>
      <c r="WSC32" s="17"/>
      <c r="WSI32" s="17"/>
      <c r="WSJ32" s="17"/>
      <c r="WSK32" s="17"/>
      <c r="WSQ32" s="17"/>
      <c r="WSR32" s="17"/>
      <c r="WSS32" s="17"/>
      <c r="WSY32" s="17"/>
      <c r="WSZ32" s="17"/>
      <c r="WTA32" s="17"/>
      <c r="WTG32" s="17"/>
      <c r="WTH32" s="17"/>
      <c r="WTI32" s="17"/>
      <c r="WTO32" s="17"/>
      <c r="WTP32" s="17"/>
      <c r="WTQ32" s="17"/>
      <c r="WTW32" s="17"/>
      <c r="WTX32" s="17"/>
      <c r="WTY32" s="17"/>
      <c r="WUE32" s="17"/>
      <c r="WUF32" s="17"/>
      <c r="WUG32" s="17"/>
      <c r="WUM32" s="17"/>
      <c r="WUN32" s="17"/>
      <c r="WUO32" s="17"/>
      <c r="WUU32" s="17"/>
      <c r="WUV32" s="17"/>
      <c r="WUW32" s="17"/>
      <c r="WVC32" s="17"/>
      <c r="WVD32" s="17"/>
      <c r="WVE32" s="17"/>
      <c r="WVK32" s="17"/>
      <c r="WVL32" s="17"/>
      <c r="WVM32" s="17"/>
      <c r="WVS32" s="17"/>
      <c r="WVT32" s="17"/>
      <c r="WVU32" s="17"/>
      <c r="WWA32" s="17"/>
      <c r="WWB32" s="17"/>
      <c r="WWC32" s="17"/>
      <c r="WWI32" s="17"/>
      <c r="WWJ32" s="17"/>
      <c r="WWK32" s="17"/>
      <c r="WWQ32" s="17"/>
      <c r="WWR32" s="17"/>
      <c r="WWS32" s="17"/>
      <c r="WWY32" s="17"/>
      <c r="WWZ32" s="17"/>
      <c r="WXA32" s="17"/>
      <c r="WXG32" s="17"/>
      <c r="WXH32" s="17"/>
      <c r="WXI32" s="17"/>
      <c r="WXO32" s="17"/>
      <c r="WXP32" s="17"/>
      <c r="WXQ32" s="17"/>
      <c r="WXW32" s="17"/>
      <c r="WXX32" s="17"/>
      <c r="WXY32" s="17"/>
      <c r="WYE32" s="17"/>
      <c r="WYF32" s="17"/>
      <c r="WYG32" s="17"/>
      <c r="WYM32" s="17"/>
      <c r="WYN32" s="17"/>
      <c r="WYO32" s="17"/>
      <c r="WYU32" s="17"/>
      <c r="WYV32" s="17"/>
      <c r="WYW32" s="17"/>
      <c r="WZC32" s="17"/>
      <c r="WZD32" s="17"/>
      <c r="WZE32" s="17"/>
      <c r="WZK32" s="17"/>
      <c r="WZL32" s="17"/>
      <c r="WZM32" s="17"/>
      <c r="WZS32" s="17"/>
      <c r="WZT32" s="17"/>
      <c r="WZU32" s="17"/>
      <c r="XAA32" s="17"/>
      <c r="XAB32" s="17"/>
      <c r="XAC32" s="17"/>
      <c r="XAI32" s="17"/>
      <c r="XAJ32" s="17"/>
      <c r="XAK32" s="17"/>
      <c r="XAQ32" s="17"/>
      <c r="XAR32" s="17"/>
      <c r="XAS32" s="17"/>
      <c r="XAY32" s="17"/>
      <c r="XAZ32" s="17"/>
      <c r="XBA32" s="17"/>
      <c r="XBG32" s="17"/>
      <c r="XBH32" s="17"/>
      <c r="XBI32" s="17"/>
      <c r="XBO32" s="17"/>
      <c r="XBP32" s="17"/>
      <c r="XBQ32" s="17"/>
      <c r="XBW32" s="17"/>
      <c r="XBX32" s="17"/>
      <c r="XBY32" s="17"/>
      <c r="XCE32" s="17"/>
      <c r="XCF32" s="17"/>
      <c r="XCG32" s="17"/>
      <c r="XCM32" s="17"/>
      <c r="XCN32" s="17"/>
      <c r="XCO32" s="17"/>
      <c r="XCU32" s="17"/>
      <c r="XCV32" s="17"/>
      <c r="XCW32" s="17"/>
      <c r="XDC32" s="17"/>
      <c r="XDD32" s="17"/>
      <c r="XDE32" s="17"/>
      <c r="XDK32" s="17"/>
      <c r="XDL32" s="17"/>
      <c r="XDM32" s="17"/>
      <c r="XDS32" s="17"/>
      <c r="XDT32" s="17"/>
      <c r="XDU32" s="17"/>
      <c r="XEA32" s="17"/>
      <c r="XEB32" s="17"/>
      <c r="XEC32" s="17"/>
      <c r="XEI32" s="17"/>
      <c r="XEJ32" s="17"/>
      <c r="XEK32" s="17"/>
      <c r="XEQ32" s="17"/>
      <c r="XER32" s="17"/>
      <c r="XES32" s="17"/>
      <c r="XEY32" s="17"/>
      <c r="XEZ32" s="17"/>
      <c r="XFA32" s="17"/>
    </row>
    <row r="33" spans="1:13" x14ac:dyDescent="0.3">
      <c r="A33" s="10" t="s">
        <v>6</v>
      </c>
      <c r="B33" s="9" t="s">
        <v>116</v>
      </c>
      <c r="C33" s="9"/>
      <c r="D33" s="9"/>
      <c r="E33" s="9"/>
      <c r="F33" s="9"/>
      <c r="G33" s="9"/>
      <c r="H33" s="9"/>
      <c r="I33" s="9"/>
      <c r="J33" s="9"/>
      <c r="K33" s="3"/>
      <c r="L33" s="3"/>
      <c r="M33" s="3"/>
    </row>
    <row r="34" spans="1:13" x14ac:dyDescent="0.3">
      <c r="A34" s="10" t="s">
        <v>3</v>
      </c>
      <c r="B34" s="9" t="s">
        <v>113</v>
      </c>
      <c r="C34" s="9"/>
      <c r="D34" s="9"/>
      <c r="E34" s="9"/>
      <c r="F34" s="9"/>
      <c r="G34" s="9"/>
      <c r="H34" s="9"/>
      <c r="I34" s="9"/>
      <c r="J34" s="9"/>
      <c r="K34" s="3"/>
      <c r="L34" s="3"/>
      <c r="M34" s="3"/>
    </row>
    <row r="35" spans="1:13" x14ac:dyDescent="0.3">
      <c r="A35" s="10" t="s">
        <v>5</v>
      </c>
      <c r="B35" s="9">
        <v>1</v>
      </c>
      <c r="C35" s="9"/>
      <c r="D35" s="9"/>
      <c r="E35" s="9"/>
      <c r="F35" s="9"/>
      <c r="G35" s="9"/>
      <c r="H35" s="9"/>
      <c r="I35" s="9"/>
      <c r="J35" s="9"/>
      <c r="K35" s="3"/>
      <c r="L35" s="3"/>
      <c r="M35" s="3"/>
    </row>
    <row r="36" spans="1:13" x14ac:dyDescent="0.3">
      <c r="A36" s="10" t="s">
        <v>7</v>
      </c>
      <c r="B36" s="9" t="s">
        <v>8</v>
      </c>
      <c r="C36" s="9"/>
      <c r="D36" s="9"/>
      <c r="E36" s="9"/>
      <c r="F36" s="9"/>
      <c r="G36" s="9"/>
      <c r="H36" s="9"/>
      <c r="I36" s="9"/>
      <c r="J36" s="9"/>
      <c r="K36" s="3"/>
      <c r="L36" s="3"/>
      <c r="M36" s="3"/>
    </row>
    <row r="37" spans="1:13" x14ac:dyDescent="0.3">
      <c r="A37" s="10" t="s">
        <v>2</v>
      </c>
      <c r="B37" s="9" t="s">
        <v>767</v>
      </c>
      <c r="C37" s="9"/>
      <c r="D37" s="9"/>
      <c r="E37" s="9"/>
      <c r="F37" s="9"/>
      <c r="G37" s="9"/>
      <c r="H37" s="9"/>
      <c r="I37" s="9"/>
      <c r="J37" s="9"/>
      <c r="K37" s="3"/>
      <c r="L37" s="3"/>
      <c r="M37" s="3"/>
    </row>
    <row r="38" spans="1:13" x14ac:dyDescent="0.3">
      <c r="A38" s="10" t="s">
        <v>9</v>
      </c>
      <c r="B38" s="9"/>
      <c r="C38" s="9"/>
      <c r="D38" s="9"/>
      <c r="E38" s="9"/>
      <c r="F38" s="9"/>
      <c r="G38" s="9"/>
      <c r="H38" s="9"/>
      <c r="I38" s="9"/>
      <c r="J38" s="9"/>
    </row>
    <row r="39" spans="1:13" x14ac:dyDescent="0.3">
      <c r="A39" s="10" t="s">
        <v>10</v>
      </c>
      <c r="B39" s="10" t="s">
        <v>6</v>
      </c>
      <c r="C39" s="10" t="s">
        <v>3</v>
      </c>
      <c r="D39" s="10" t="s">
        <v>11</v>
      </c>
      <c r="E39" s="10" t="s">
        <v>7</v>
      </c>
      <c r="F39" s="10" t="s">
        <v>13</v>
      </c>
      <c r="G39" s="10" t="s">
        <v>12</v>
      </c>
      <c r="H39" s="5" t="s">
        <v>0</v>
      </c>
      <c r="I39" s="42" t="s">
        <v>656</v>
      </c>
      <c r="J39" s="42" t="s">
        <v>691</v>
      </c>
      <c r="K39" s="1" t="s">
        <v>2</v>
      </c>
    </row>
    <row r="40" spans="1:13" x14ac:dyDescent="0.3">
      <c r="A40" s="9" t="s">
        <v>471</v>
      </c>
      <c r="B40" s="9" t="s">
        <v>116</v>
      </c>
      <c r="C40" s="9" t="s">
        <v>113</v>
      </c>
      <c r="D40" s="47">
        <v>1</v>
      </c>
      <c r="E40" s="9" t="s">
        <v>8</v>
      </c>
      <c r="F40" s="9" t="s">
        <v>14</v>
      </c>
      <c r="G40" s="9"/>
      <c r="H40" s="6" t="str">
        <f>Intro!$B$3</f>
        <v>LIB raw materials</v>
      </c>
    </row>
    <row r="41" spans="1:13" x14ac:dyDescent="0.3">
      <c r="A41" s="9" t="s">
        <v>469</v>
      </c>
      <c r="B41" s="9" t="s">
        <v>114</v>
      </c>
      <c r="C41" s="9" t="s">
        <v>113</v>
      </c>
      <c r="D41" s="47">
        <v>46</v>
      </c>
      <c r="E41" s="9" t="s">
        <v>8</v>
      </c>
      <c r="F41" s="9" t="s">
        <v>15</v>
      </c>
      <c r="G41" s="9"/>
      <c r="H41" s="6" t="str">
        <f>Intro!$B$3</f>
        <v>LIB raw materials</v>
      </c>
      <c r="I41" s="75">
        <v>0</v>
      </c>
      <c r="J41" s="75" t="s">
        <v>760</v>
      </c>
    </row>
    <row r="42" spans="1:13" x14ac:dyDescent="0.3">
      <c r="A42" s="6" t="s">
        <v>177</v>
      </c>
      <c r="B42" s="9" t="s">
        <v>29</v>
      </c>
      <c r="C42" s="9" t="s">
        <v>113</v>
      </c>
      <c r="D42" s="47">
        <v>4.0999999999999996</v>
      </c>
      <c r="E42" s="9" t="s">
        <v>28</v>
      </c>
      <c r="F42" s="9" t="s">
        <v>15</v>
      </c>
      <c r="H42" s="6" t="str">
        <f>Intro!$B$4</f>
        <v>ecoinvent-3.10-cutoff</v>
      </c>
      <c r="I42" s="75">
        <v>0</v>
      </c>
      <c r="J42" s="75" t="s">
        <v>760</v>
      </c>
    </row>
    <row r="43" spans="1:13" x14ac:dyDescent="0.3">
      <c r="A43" s="6" t="s">
        <v>117</v>
      </c>
      <c r="B43" s="6" t="s">
        <v>118</v>
      </c>
      <c r="C43" s="9" t="s">
        <v>24</v>
      </c>
      <c r="D43" s="47">
        <v>0.7</v>
      </c>
      <c r="E43" s="9" t="s">
        <v>8</v>
      </c>
      <c r="F43" s="9" t="s">
        <v>15</v>
      </c>
      <c r="H43" s="6" t="str">
        <f>Intro!$B$4</f>
        <v>ecoinvent-3.10-cutoff</v>
      </c>
      <c r="I43" s="6">
        <v>0</v>
      </c>
      <c r="J43" t="s">
        <v>754</v>
      </c>
    </row>
    <row r="44" spans="1:13" x14ac:dyDescent="0.3">
      <c r="A44" s="6" t="s">
        <v>119</v>
      </c>
      <c r="B44" s="6" t="s">
        <v>120</v>
      </c>
      <c r="C44" s="9" t="s">
        <v>24</v>
      </c>
      <c r="D44" s="47">
        <v>1.9</v>
      </c>
      <c r="E44" s="9" t="s">
        <v>8</v>
      </c>
      <c r="F44" s="9" t="s">
        <v>15</v>
      </c>
      <c r="H44" s="6" t="str">
        <f>Intro!$B$4</f>
        <v>ecoinvent-3.10-cutoff</v>
      </c>
      <c r="I44" s="6">
        <v>0</v>
      </c>
      <c r="J44" t="s">
        <v>754</v>
      </c>
    </row>
    <row r="45" spans="1:13" x14ac:dyDescent="0.3">
      <c r="A45" s="6" t="s">
        <v>121</v>
      </c>
      <c r="B45" s="6" t="s">
        <v>122</v>
      </c>
      <c r="C45" s="9" t="s">
        <v>18</v>
      </c>
      <c r="D45" s="47">
        <v>0.32</v>
      </c>
      <c r="E45" s="9" t="s">
        <v>8</v>
      </c>
      <c r="F45" s="9" t="s">
        <v>15</v>
      </c>
      <c r="H45" s="6" t="str">
        <f>Intro!$B$4</f>
        <v>ecoinvent-3.10-cutoff</v>
      </c>
      <c r="I45" s="6">
        <v>0</v>
      </c>
      <c r="J45" t="s">
        <v>754</v>
      </c>
    </row>
    <row r="46" spans="1:13" x14ac:dyDescent="0.3">
      <c r="A46" s="6" t="s">
        <v>123</v>
      </c>
      <c r="B46" s="6" t="s">
        <v>124</v>
      </c>
      <c r="C46" s="9" t="s">
        <v>24</v>
      </c>
      <c r="D46" s="47">
        <v>8.5000000000000006E-2</v>
      </c>
      <c r="E46" s="9" t="s">
        <v>8</v>
      </c>
      <c r="F46" s="9" t="s">
        <v>15</v>
      </c>
      <c r="H46" s="6" t="str">
        <f>Intro!$B$4</f>
        <v>ecoinvent-3.10-cutoff</v>
      </c>
      <c r="I46" s="6">
        <v>0</v>
      </c>
      <c r="J46" t="s">
        <v>754</v>
      </c>
    </row>
    <row r="47" spans="1:13" x14ac:dyDescent="0.3">
      <c r="A47" s="6" t="s">
        <v>125</v>
      </c>
      <c r="B47" s="6" t="s">
        <v>126</v>
      </c>
      <c r="C47" s="9" t="s">
        <v>18</v>
      </c>
      <c r="D47" s="47">
        <v>1.5</v>
      </c>
      <c r="E47" s="9" t="s">
        <v>8</v>
      </c>
      <c r="F47" s="9" t="s">
        <v>15</v>
      </c>
      <c r="H47" s="6" t="str">
        <f>Intro!$B$4</f>
        <v>ecoinvent-3.10-cutoff</v>
      </c>
      <c r="I47" s="75">
        <v>0</v>
      </c>
      <c r="J47" s="75" t="s">
        <v>760</v>
      </c>
    </row>
    <row r="48" spans="1:13" x14ac:dyDescent="0.3">
      <c r="A48" s="6" t="s">
        <v>127</v>
      </c>
      <c r="B48" s="6" t="s">
        <v>25</v>
      </c>
      <c r="C48" s="9" t="s">
        <v>18</v>
      </c>
      <c r="D48" s="47">
        <v>2.7</v>
      </c>
      <c r="E48" s="9" t="s">
        <v>17</v>
      </c>
      <c r="F48" s="9" t="s">
        <v>15</v>
      </c>
      <c r="H48" s="6" t="str">
        <f>Intro!$B$4</f>
        <v>ecoinvent-3.10-cutoff</v>
      </c>
      <c r="K48" t="s">
        <v>248</v>
      </c>
    </row>
    <row r="49" spans="1:1021 1027:2045 2051:3069 3075:4093 4099:5117 5123:6141 6147:7165 7171:8189 8195:9213 9219:10237 10243:11261 11267:12285 12291:13309 13315:14333 14339:15357 15363:16381" x14ac:dyDescent="0.3">
      <c r="A49" s="6" t="s">
        <v>16</v>
      </c>
      <c r="B49" s="6" t="s">
        <v>19</v>
      </c>
      <c r="C49" s="9" t="s">
        <v>18</v>
      </c>
      <c r="D49" s="47">
        <v>13</v>
      </c>
      <c r="E49" s="9" t="s">
        <v>17</v>
      </c>
      <c r="F49" s="9" t="s">
        <v>15</v>
      </c>
      <c r="H49" s="6" t="str">
        <f>Intro!$B$4</f>
        <v>ecoinvent-3.10-cutoff</v>
      </c>
      <c r="K49" t="s">
        <v>247</v>
      </c>
    </row>
    <row r="50" spans="1:1021 1027:2045 2051:3069 3075:4093 4099:5117 5123:6141 6147:7165 7171:8189 8195:9213 9219:10237 10243:11261 11267:12285 12291:13309 13315:14333 14339:15357 15363:16381" x14ac:dyDescent="0.3">
      <c r="A50" s="6" t="s">
        <v>129</v>
      </c>
      <c r="B50" s="6" t="s">
        <v>68</v>
      </c>
      <c r="C50" s="9" t="s">
        <v>18</v>
      </c>
      <c r="D50" s="47">
        <v>-22</v>
      </c>
      <c r="E50" s="9" t="s">
        <v>8</v>
      </c>
      <c r="F50" s="9" t="s">
        <v>15</v>
      </c>
      <c r="H50" s="6" t="str">
        <f>Intro!$B$4</f>
        <v>ecoinvent-3.10-cutoff</v>
      </c>
    </row>
    <row r="51" spans="1:1021 1027:2045 2051:3069 3075:4093 4099:5117 5123:6141 6147:7165 7171:8189 8195:9213 9219:10237 10243:11261 11267:12285 12291:13309 13315:14333 14339:15357 15363:16381" x14ac:dyDescent="0.3">
      <c r="A51" s="6" t="s">
        <v>130</v>
      </c>
      <c r="B51" s="6" t="s">
        <v>131</v>
      </c>
      <c r="C51" s="6" t="s">
        <v>24</v>
      </c>
      <c r="D51" s="47">
        <v>-22</v>
      </c>
      <c r="E51" s="6" t="s">
        <v>8</v>
      </c>
      <c r="F51" s="6" t="s">
        <v>15</v>
      </c>
      <c r="H51" s="6" t="str">
        <f>Intro!$B$4</f>
        <v>ecoinvent-3.10-cutoff</v>
      </c>
    </row>
    <row r="52" spans="1:1021 1027:2045 2051:3069 3075:4093 4099:5117 5123:6141 6147:7165 7171:8189 8195:9213 9219:10237 10243:11261 11267:12285 12291:13309 13315:14333 14339:15357 15363:16381" x14ac:dyDescent="0.3">
      <c r="A52" s="6" t="s">
        <v>83</v>
      </c>
      <c r="D52" s="47">
        <f>70/997</f>
        <v>7.0210631895687062E-2</v>
      </c>
      <c r="E52" s="9" t="s">
        <v>43</v>
      </c>
      <c r="F52" s="9" t="s">
        <v>39</v>
      </c>
      <c r="G52" s="9" t="s">
        <v>78</v>
      </c>
      <c r="H52" s="6" t="str">
        <f>Intro!$B$5</f>
        <v>ecoinvent-3.10-biosphere</v>
      </c>
      <c r="I52" s="6">
        <v>0</v>
      </c>
      <c r="J52" t="s">
        <v>754</v>
      </c>
    </row>
    <row r="53" spans="1:1021 1027:2045 2051:3069 3075:4093 4099:5117 5123:6141 6147:7165 7171:8189 8195:9213 9219:10237 10243:11261 11267:12285 12291:13309 13315:14333 14339:15357 15363:16381" x14ac:dyDescent="0.3">
      <c r="A53" s="6" t="s">
        <v>128</v>
      </c>
      <c r="D53" s="47">
        <v>1.4E-2</v>
      </c>
      <c r="E53" s="9" t="s">
        <v>8</v>
      </c>
      <c r="F53" s="9" t="s">
        <v>39</v>
      </c>
      <c r="G53" s="6" t="s">
        <v>38</v>
      </c>
      <c r="H53" s="6" t="str">
        <f>Intro!$B$5</f>
        <v>ecoinvent-3.10-biosphere</v>
      </c>
      <c r="I53" s="6">
        <v>0</v>
      </c>
      <c r="J53" t="s">
        <v>754</v>
      </c>
    </row>
    <row r="54" spans="1:1021 1027:2045 2051:3069 3075:4093 4099:5117 5123:6141 6147:7165 7171:8189 8195:9213 9219:10237 10243:11261 11267:12285 12291:13309 13315:14333 14339:15357 15363:16381" s="4" customFormat="1" x14ac:dyDescent="0.3">
      <c r="A54" s="8"/>
      <c r="B54" s="8"/>
      <c r="C54" s="8"/>
      <c r="D54" s="8"/>
      <c r="E54" s="8"/>
      <c r="F54" s="8"/>
      <c r="G54" s="8"/>
      <c r="H54" s="8"/>
      <c r="I54" s="8"/>
      <c r="J54" s="8"/>
    </row>
    <row r="55" spans="1:1021 1027:2045 2051:3069 3075:4093 4099:5117 5123:6141 6147:7165 7171:8189 8195:9213 9219:10237 10243:11261 11267:12285 12291:13309 13315:14333 14339:15357 15363:16381" s="3" customFormat="1" x14ac:dyDescent="0.3">
      <c r="A55" s="10" t="s">
        <v>1</v>
      </c>
      <c r="B55" s="10" t="s">
        <v>469</v>
      </c>
      <c r="C55" s="10"/>
      <c r="D55" s="9"/>
      <c r="E55" s="9"/>
      <c r="F55" s="9"/>
      <c r="G55" s="9"/>
      <c r="H55" s="9"/>
      <c r="I55" s="9"/>
      <c r="J55" s="9"/>
      <c r="K55" s="17"/>
      <c r="L55" s="17"/>
      <c r="M55" s="17"/>
      <c r="S55" s="17"/>
      <c r="T55" s="17"/>
      <c r="U55" s="17"/>
      <c r="AA55" s="17"/>
      <c r="AB55" s="17"/>
      <c r="AC55" s="17"/>
      <c r="AI55" s="17"/>
      <c r="AJ55" s="17"/>
      <c r="AK55" s="17"/>
      <c r="AQ55" s="17"/>
      <c r="AR55" s="17"/>
      <c r="AS55" s="17"/>
      <c r="AY55" s="17"/>
      <c r="AZ55" s="17"/>
      <c r="BA55" s="17"/>
      <c r="BG55" s="17"/>
      <c r="BH55" s="17"/>
      <c r="BI55" s="17"/>
      <c r="BO55" s="17"/>
      <c r="BP55" s="17"/>
      <c r="BQ55" s="17"/>
      <c r="BW55" s="17"/>
      <c r="BX55" s="17"/>
      <c r="BY55" s="17"/>
      <c r="CE55" s="17"/>
      <c r="CF55" s="17"/>
      <c r="CG55" s="17"/>
      <c r="CM55" s="17"/>
      <c r="CN55" s="17"/>
      <c r="CO55" s="17"/>
      <c r="CU55" s="17"/>
      <c r="CV55" s="17"/>
      <c r="CW55" s="17"/>
      <c r="DC55" s="17"/>
      <c r="DD55" s="17"/>
      <c r="DE55" s="17"/>
      <c r="DK55" s="17"/>
      <c r="DL55" s="17"/>
      <c r="DM55" s="17"/>
      <c r="DS55" s="17"/>
      <c r="DT55" s="17"/>
      <c r="DU55" s="17"/>
      <c r="EA55" s="17"/>
      <c r="EB55" s="17"/>
      <c r="EC55" s="17"/>
      <c r="EI55" s="17"/>
      <c r="EJ55" s="17"/>
      <c r="EK55" s="17"/>
      <c r="EQ55" s="17"/>
      <c r="ER55" s="17"/>
      <c r="ES55" s="17"/>
      <c r="EY55" s="17"/>
      <c r="EZ55" s="17"/>
      <c r="FA55" s="17"/>
      <c r="FG55" s="17"/>
      <c r="FH55" s="17"/>
      <c r="FI55" s="17"/>
      <c r="FO55" s="17"/>
      <c r="FP55" s="17"/>
      <c r="FQ55" s="17"/>
      <c r="FW55" s="17"/>
      <c r="FX55" s="17"/>
      <c r="FY55" s="17"/>
      <c r="GE55" s="17"/>
      <c r="GF55" s="17"/>
      <c r="GG55" s="17"/>
      <c r="GM55" s="17"/>
      <c r="GN55" s="17"/>
      <c r="GO55" s="17"/>
      <c r="GU55" s="17"/>
      <c r="GV55" s="17"/>
      <c r="GW55" s="17"/>
      <c r="HC55" s="17"/>
      <c r="HD55" s="17"/>
      <c r="HE55" s="17"/>
      <c r="HK55" s="17"/>
      <c r="HL55" s="17"/>
      <c r="HM55" s="17"/>
      <c r="HS55" s="17"/>
      <c r="HT55" s="17"/>
      <c r="HU55" s="17"/>
      <c r="IA55" s="17"/>
      <c r="IB55" s="17"/>
      <c r="IC55" s="17"/>
      <c r="II55" s="17"/>
      <c r="IJ55" s="17"/>
      <c r="IK55" s="17"/>
      <c r="IQ55" s="17"/>
      <c r="IR55" s="17"/>
      <c r="IS55" s="17"/>
      <c r="IY55" s="17"/>
      <c r="IZ55" s="17"/>
      <c r="JA55" s="17"/>
      <c r="JG55" s="17"/>
      <c r="JH55" s="17"/>
      <c r="JI55" s="17"/>
      <c r="JO55" s="17"/>
      <c r="JP55" s="17"/>
      <c r="JQ55" s="17"/>
      <c r="JW55" s="17"/>
      <c r="JX55" s="17"/>
      <c r="JY55" s="17"/>
      <c r="KE55" s="17"/>
      <c r="KF55" s="17"/>
      <c r="KG55" s="17"/>
      <c r="KM55" s="17"/>
      <c r="KN55" s="17"/>
      <c r="KO55" s="17"/>
      <c r="KU55" s="17"/>
      <c r="KV55" s="17"/>
      <c r="KW55" s="17"/>
      <c r="LC55" s="17"/>
      <c r="LD55" s="17"/>
      <c r="LE55" s="17"/>
      <c r="LK55" s="17"/>
      <c r="LL55" s="17"/>
      <c r="LM55" s="17"/>
      <c r="LS55" s="17"/>
      <c r="LT55" s="17"/>
      <c r="LU55" s="17"/>
      <c r="MA55" s="17"/>
      <c r="MB55" s="17"/>
      <c r="MC55" s="17"/>
      <c r="MI55" s="17"/>
      <c r="MJ55" s="17"/>
      <c r="MK55" s="17"/>
      <c r="MQ55" s="17"/>
      <c r="MR55" s="17"/>
      <c r="MS55" s="17"/>
      <c r="MY55" s="17"/>
      <c r="MZ55" s="17"/>
      <c r="NA55" s="17"/>
      <c r="NG55" s="17"/>
      <c r="NH55" s="17"/>
      <c r="NI55" s="17"/>
      <c r="NO55" s="17"/>
      <c r="NP55" s="17"/>
      <c r="NQ55" s="17"/>
      <c r="NW55" s="17"/>
      <c r="NX55" s="17"/>
      <c r="NY55" s="17"/>
      <c r="OE55" s="17"/>
      <c r="OF55" s="17"/>
      <c r="OG55" s="17"/>
      <c r="OM55" s="17"/>
      <c r="ON55" s="17"/>
      <c r="OO55" s="17"/>
      <c r="OU55" s="17"/>
      <c r="OV55" s="17"/>
      <c r="OW55" s="17"/>
      <c r="PC55" s="17"/>
      <c r="PD55" s="17"/>
      <c r="PE55" s="17"/>
      <c r="PK55" s="17"/>
      <c r="PL55" s="17"/>
      <c r="PM55" s="17"/>
      <c r="PS55" s="17"/>
      <c r="PT55" s="17"/>
      <c r="PU55" s="17"/>
      <c r="QA55" s="17"/>
      <c r="QB55" s="17"/>
      <c r="QC55" s="17"/>
      <c r="QI55" s="17"/>
      <c r="QJ55" s="17"/>
      <c r="QK55" s="17"/>
      <c r="QQ55" s="17"/>
      <c r="QR55" s="17"/>
      <c r="QS55" s="17"/>
      <c r="QY55" s="17"/>
      <c r="QZ55" s="17"/>
      <c r="RA55" s="17"/>
      <c r="RG55" s="17"/>
      <c r="RH55" s="17"/>
      <c r="RI55" s="17"/>
      <c r="RO55" s="17"/>
      <c r="RP55" s="17"/>
      <c r="RQ55" s="17"/>
      <c r="RW55" s="17"/>
      <c r="RX55" s="17"/>
      <c r="RY55" s="17"/>
      <c r="SE55" s="17"/>
      <c r="SF55" s="17"/>
      <c r="SG55" s="17"/>
      <c r="SM55" s="17"/>
      <c r="SN55" s="17"/>
      <c r="SO55" s="17"/>
      <c r="SU55" s="17"/>
      <c r="SV55" s="17"/>
      <c r="SW55" s="17"/>
      <c r="TC55" s="17"/>
      <c r="TD55" s="17"/>
      <c r="TE55" s="17"/>
      <c r="TK55" s="17"/>
      <c r="TL55" s="17"/>
      <c r="TM55" s="17"/>
      <c r="TS55" s="17"/>
      <c r="TT55" s="17"/>
      <c r="TU55" s="17"/>
      <c r="UA55" s="17"/>
      <c r="UB55" s="17"/>
      <c r="UC55" s="17"/>
      <c r="UI55" s="17"/>
      <c r="UJ55" s="17"/>
      <c r="UK55" s="17"/>
      <c r="UQ55" s="17"/>
      <c r="UR55" s="17"/>
      <c r="US55" s="17"/>
      <c r="UY55" s="17"/>
      <c r="UZ55" s="17"/>
      <c r="VA55" s="17"/>
      <c r="VG55" s="17"/>
      <c r="VH55" s="17"/>
      <c r="VI55" s="17"/>
      <c r="VO55" s="17"/>
      <c r="VP55" s="17"/>
      <c r="VQ55" s="17"/>
      <c r="VW55" s="17"/>
      <c r="VX55" s="17"/>
      <c r="VY55" s="17"/>
      <c r="WE55" s="17"/>
      <c r="WF55" s="17"/>
      <c r="WG55" s="17"/>
      <c r="WM55" s="17"/>
      <c r="WN55" s="17"/>
      <c r="WO55" s="17"/>
      <c r="WU55" s="17"/>
      <c r="WV55" s="17"/>
      <c r="WW55" s="17"/>
      <c r="XC55" s="17"/>
      <c r="XD55" s="17"/>
      <c r="XE55" s="17"/>
      <c r="XK55" s="17"/>
      <c r="XL55" s="17"/>
      <c r="XM55" s="17"/>
      <c r="XS55" s="17"/>
      <c r="XT55" s="17"/>
      <c r="XU55" s="17"/>
      <c r="YA55" s="17"/>
      <c r="YB55" s="17"/>
      <c r="YC55" s="17"/>
      <c r="YI55" s="17"/>
      <c r="YJ55" s="17"/>
      <c r="YK55" s="17"/>
      <c r="YQ55" s="17"/>
      <c r="YR55" s="17"/>
      <c r="YS55" s="17"/>
      <c r="YY55" s="17"/>
      <c r="YZ55" s="17"/>
      <c r="ZA55" s="17"/>
      <c r="ZG55" s="17"/>
      <c r="ZH55" s="17"/>
      <c r="ZI55" s="17"/>
      <c r="ZO55" s="17"/>
      <c r="ZP55" s="17"/>
      <c r="ZQ55" s="17"/>
      <c r="ZW55" s="17"/>
      <c r="ZX55" s="17"/>
      <c r="ZY55" s="17"/>
      <c r="AAE55" s="17"/>
      <c r="AAF55" s="17"/>
      <c r="AAG55" s="17"/>
      <c r="AAM55" s="17"/>
      <c r="AAN55" s="17"/>
      <c r="AAO55" s="17"/>
      <c r="AAU55" s="17"/>
      <c r="AAV55" s="17"/>
      <c r="AAW55" s="17"/>
      <c r="ABC55" s="17"/>
      <c r="ABD55" s="17"/>
      <c r="ABE55" s="17"/>
      <c r="ABK55" s="17"/>
      <c r="ABL55" s="17"/>
      <c r="ABM55" s="17"/>
      <c r="ABS55" s="17"/>
      <c r="ABT55" s="17"/>
      <c r="ABU55" s="17"/>
      <c r="ACA55" s="17"/>
      <c r="ACB55" s="17"/>
      <c r="ACC55" s="17"/>
      <c r="ACI55" s="17"/>
      <c r="ACJ55" s="17"/>
      <c r="ACK55" s="17"/>
      <c r="ACQ55" s="17"/>
      <c r="ACR55" s="17"/>
      <c r="ACS55" s="17"/>
      <c r="ACY55" s="17"/>
      <c r="ACZ55" s="17"/>
      <c r="ADA55" s="17"/>
      <c r="ADG55" s="17"/>
      <c r="ADH55" s="17"/>
      <c r="ADI55" s="17"/>
      <c r="ADO55" s="17"/>
      <c r="ADP55" s="17"/>
      <c r="ADQ55" s="17"/>
      <c r="ADW55" s="17"/>
      <c r="ADX55" s="17"/>
      <c r="ADY55" s="17"/>
      <c r="AEE55" s="17"/>
      <c r="AEF55" s="17"/>
      <c r="AEG55" s="17"/>
      <c r="AEM55" s="17"/>
      <c r="AEN55" s="17"/>
      <c r="AEO55" s="17"/>
      <c r="AEU55" s="17"/>
      <c r="AEV55" s="17"/>
      <c r="AEW55" s="17"/>
      <c r="AFC55" s="17"/>
      <c r="AFD55" s="17"/>
      <c r="AFE55" s="17"/>
      <c r="AFK55" s="17"/>
      <c r="AFL55" s="17"/>
      <c r="AFM55" s="17"/>
      <c r="AFS55" s="17"/>
      <c r="AFT55" s="17"/>
      <c r="AFU55" s="17"/>
      <c r="AGA55" s="17"/>
      <c r="AGB55" s="17"/>
      <c r="AGC55" s="17"/>
      <c r="AGI55" s="17"/>
      <c r="AGJ55" s="17"/>
      <c r="AGK55" s="17"/>
      <c r="AGQ55" s="17"/>
      <c r="AGR55" s="17"/>
      <c r="AGS55" s="17"/>
      <c r="AGY55" s="17"/>
      <c r="AGZ55" s="17"/>
      <c r="AHA55" s="17"/>
      <c r="AHG55" s="17"/>
      <c r="AHH55" s="17"/>
      <c r="AHI55" s="17"/>
      <c r="AHO55" s="17"/>
      <c r="AHP55" s="17"/>
      <c r="AHQ55" s="17"/>
      <c r="AHW55" s="17"/>
      <c r="AHX55" s="17"/>
      <c r="AHY55" s="17"/>
      <c r="AIE55" s="17"/>
      <c r="AIF55" s="17"/>
      <c r="AIG55" s="17"/>
      <c r="AIM55" s="17"/>
      <c r="AIN55" s="17"/>
      <c r="AIO55" s="17"/>
      <c r="AIU55" s="17"/>
      <c r="AIV55" s="17"/>
      <c r="AIW55" s="17"/>
      <c r="AJC55" s="17"/>
      <c r="AJD55" s="17"/>
      <c r="AJE55" s="17"/>
      <c r="AJK55" s="17"/>
      <c r="AJL55" s="17"/>
      <c r="AJM55" s="17"/>
      <c r="AJS55" s="17"/>
      <c r="AJT55" s="17"/>
      <c r="AJU55" s="17"/>
      <c r="AKA55" s="17"/>
      <c r="AKB55" s="17"/>
      <c r="AKC55" s="17"/>
      <c r="AKI55" s="17"/>
      <c r="AKJ55" s="17"/>
      <c r="AKK55" s="17"/>
      <c r="AKQ55" s="17"/>
      <c r="AKR55" s="17"/>
      <c r="AKS55" s="17"/>
      <c r="AKY55" s="17"/>
      <c r="AKZ55" s="17"/>
      <c r="ALA55" s="17"/>
      <c r="ALG55" s="17"/>
      <c r="ALH55" s="17"/>
      <c r="ALI55" s="17"/>
      <c r="ALO55" s="17"/>
      <c r="ALP55" s="17"/>
      <c r="ALQ55" s="17"/>
      <c r="ALW55" s="17"/>
      <c r="ALX55" s="17"/>
      <c r="ALY55" s="17"/>
      <c r="AME55" s="17"/>
      <c r="AMF55" s="17"/>
      <c r="AMG55" s="17"/>
      <c r="AMM55" s="17"/>
      <c r="AMN55" s="17"/>
      <c r="AMO55" s="17"/>
      <c r="AMU55" s="17"/>
      <c r="AMV55" s="17"/>
      <c r="AMW55" s="17"/>
      <c r="ANC55" s="17"/>
      <c r="AND55" s="17"/>
      <c r="ANE55" s="17"/>
      <c r="ANK55" s="17"/>
      <c r="ANL55" s="17"/>
      <c r="ANM55" s="17"/>
      <c r="ANS55" s="17"/>
      <c r="ANT55" s="17"/>
      <c r="ANU55" s="17"/>
      <c r="AOA55" s="17"/>
      <c r="AOB55" s="17"/>
      <c r="AOC55" s="17"/>
      <c r="AOI55" s="17"/>
      <c r="AOJ55" s="17"/>
      <c r="AOK55" s="17"/>
      <c r="AOQ55" s="17"/>
      <c r="AOR55" s="17"/>
      <c r="AOS55" s="17"/>
      <c r="AOY55" s="17"/>
      <c r="AOZ55" s="17"/>
      <c r="APA55" s="17"/>
      <c r="APG55" s="17"/>
      <c r="APH55" s="17"/>
      <c r="API55" s="17"/>
      <c r="APO55" s="17"/>
      <c r="APP55" s="17"/>
      <c r="APQ55" s="17"/>
      <c r="APW55" s="17"/>
      <c r="APX55" s="17"/>
      <c r="APY55" s="17"/>
      <c r="AQE55" s="17"/>
      <c r="AQF55" s="17"/>
      <c r="AQG55" s="17"/>
      <c r="AQM55" s="17"/>
      <c r="AQN55" s="17"/>
      <c r="AQO55" s="17"/>
      <c r="AQU55" s="17"/>
      <c r="AQV55" s="17"/>
      <c r="AQW55" s="17"/>
      <c r="ARC55" s="17"/>
      <c r="ARD55" s="17"/>
      <c r="ARE55" s="17"/>
      <c r="ARK55" s="17"/>
      <c r="ARL55" s="17"/>
      <c r="ARM55" s="17"/>
      <c r="ARS55" s="17"/>
      <c r="ART55" s="17"/>
      <c r="ARU55" s="17"/>
      <c r="ASA55" s="17"/>
      <c r="ASB55" s="17"/>
      <c r="ASC55" s="17"/>
      <c r="ASI55" s="17"/>
      <c r="ASJ55" s="17"/>
      <c r="ASK55" s="17"/>
      <c r="ASQ55" s="17"/>
      <c r="ASR55" s="17"/>
      <c r="ASS55" s="17"/>
      <c r="ASY55" s="17"/>
      <c r="ASZ55" s="17"/>
      <c r="ATA55" s="17"/>
      <c r="ATG55" s="17"/>
      <c r="ATH55" s="17"/>
      <c r="ATI55" s="17"/>
      <c r="ATO55" s="17"/>
      <c r="ATP55" s="17"/>
      <c r="ATQ55" s="17"/>
      <c r="ATW55" s="17"/>
      <c r="ATX55" s="17"/>
      <c r="ATY55" s="17"/>
      <c r="AUE55" s="17"/>
      <c r="AUF55" s="17"/>
      <c r="AUG55" s="17"/>
      <c r="AUM55" s="17"/>
      <c r="AUN55" s="17"/>
      <c r="AUO55" s="17"/>
      <c r="AUU55" s="17"/>
      <c r="AUV55" s="17"/>
      <c r="AUW55" s="17"/>
      <c r="AVC55" s="17"/>
      <c r="AVD55" s="17"/>
      <c r="AVE55" s="17"/>
      <c r="AVK55" s="17"/>
      <c r="AVL55" s="17"/>
      <c r="AVM55" s="17"/>
      <c r="AVS55" s="17"/>
      <c r="AVT55" s="17"/>
      <c r="AVU55" s="17"/>
      <c r="AWA55" s="17"/>
      <c r="AWB55" s="17"/>
      <c r="AWC55" s="17"/>
      <c r="AWI55" s="17"/>
      <c r="AWJ55" s="17"/>
      <c r="AWK55" s="17"/>
      <c r="AWQ55" s="17"/>
      <c r="AWR55" s="17"/>
      <c r="AWS55" s="17"/>
      <c r="AWY55" s="17"/>
      <c r="AWZ55" s="17"/>
      <c r="AXA55" s="17"/>
      <c r="AXG55" s="17"/>
      <c r="AXH55" s="17"/>
      <c r="AXI55" s="17"/>
      <c r="AXO55" s="17"/>
      <c r="AXP55" s="17"/>
      <c r="AXQ55" s="17"/>
      <c r="AXW55" s="17"/>
      <c r="AXX55" s="17"/>
      <c r="AXY55" s="17"/>
      <c r="AYE55" s="17"/>
      <c r="AYF55" s="17"/>
      <c r="AYG55" s="17"/>
      <c r="AYM55" s="17"/>
      <c r="AYN55" s="17"/>
      <c r="AYO55" s="17"/>
      <c r="AYU55" s="17"/>
      <c r="AYV55" s="17"/>
      <c r="AYW55" s="17"/>
      <c r="AZC55" s="17"/>
      <c r="AZD55" s="17"/>
      <c r="AZE55" s="17"/>
      <c r="AZK55" s="17"/>
      <c r="AZL55" s="17"/>
      <c r="AZM55" s="17"/>
      <c r="AZS55" s="17"/>
      <c r="AZT55" s="17"/>
      <c r="AZU55" s="17"/>
      <c r="BAA55" s="17"/>
      <c r="BAB55" s="17"/>
      <c r="BAC55" s="17"/>
      <c r="BAI55" s="17"/>
      <c r="BAJ55" s="17"/>
      <c r="BAK55" s="17"/>
      <c r="BAQ55" s="17"/>
      <c r="BAR55" s="17"/>
      <c r="BAS55" s="17"/>
      <c r="BAY55" s="17"/>
      <c r="BAZ55" s="17"/>
      <c r="BBA55" s="17"/>
      <c r="BBG55" s="17"/>
      <c r="BBH55" s="17"/>
      <c r="BBI55" s="17"/>
      <c r="BBO55" s="17"/>
      <c r="BBP55" s="17"/>
      <c r="BBQ55" s="17"/>
      <c r="BBW55" s="17"/>
      <c r="BBX55" s="17"/>
      <c r="BBY55" s="17"/>
      <c r="BCE55" s="17"/>
      <c r="BCF55" s="17"/>
      <c r="BCG55" s="17"/>
      <c r="BCM55" s="17"/>
      <c r="BCN55" s="17"/>
      <c r="BCO55" s="17"/>
      <c r="BCU55" s="17"/>
      <c r="BCV55" s="17"/>
      <c r="BCW55" s="17"/>
      <c r="BDC55" s="17"/>
      <c r="BDD55" s="17"/>
      <c r="BDE55" s="17"/>
      <c r="BDK55" s="17"/>
      <c r="BDL55" s="17"/>
      <c r="BDM55" s="17"/>
      <c r="BDS55" s="17"/>
      <c r="BDT55" s="17"/>
      <c r="BDU55" s="17"/>
      <c r="BEA55" s="17"/>
      <c r="BEB55" s="17"/>
      <c r="BEC55" s="17"/>
      <c r="BEI55" s="17"/>
      <c r="BEJ55" s="17"/>
      <c r="BEK55" s="17"/>
      <c r="BEQ55" s="17"/>
      <c r="BER55" s="17"/>
      <c r="BES55" s="17"/>
      <c r="BEY55" s="17"/>
      <c r="BEZ55" s="17"/>
      <c r="BFA55" s="17"/>
      <c r="BFG55" s="17"/>
      <c r="BFH55" s="17"/>
      <c r="BFI55" s="17"/>
      <c r="BFO55" s="17"/>
      <c r="BFP55" s="17"/>
      <c r="BFQ55" s="17"/>
      <c r="BFW55" s="17"/>
      <c r="BFX55" s="17"/>
      <c r="BFY55" s="17"/>
      <c r="BGE55" s="17"/>
      <c r="BGF55" s="17"/>
      <c r="BGG55" s="17"/>
      <c r="BGM55" s="17"/>
      <c r="BGN55" s="17"/>
      <c r="BGO55" s="17"/>
      <c r="BGU55" s="17"/>
      <c r="BGV55" s="17"/>
      <c r="BGW55" s="17"/>
      <c r="BHC55" s="17"/>
      <c r="BHD55" s="17"/>
      <c r="BHE55" s="17"/>
      <c r="BHK55" s="17"/>
      <c r="BHL55" s="17"/>
      <c r="BHM55" s="17"/>
      <c r="BHS55" s="17"/>
      <c r="BHT55" s="17"/>
      <c r="BHU55" s="17"/>
      <c r="BIA55" s="17"/>
      <c r="BIB55" s="17"/>
      <c r="BIC55" s="17"/>
      <c r="BII55" s="17"/>
      <c r="BIJ55" s="17"/>
      <c r="BIK55" s="17"/>
      <c r="BIQ55" s="17"/>
      <c r="BIR55" s="17"/>
      <c r="BIS55" s="17"/>
      <c r="BIY55" s="17"/>
      <c r="BIZ55" s="17"/>
      <c r="BJA55" s="17"/>
      <c r="BJG55" s="17"/>
      <c r="BJH55" s="17"/>
      <c r="BJI55" s="17"/>
      <c r="BJO55" s="17"/>
      <c r="BJP55" s="17"/>
      <c r="BJQ55" s="17"/>
      <c r="BJW55" s="17"/>
      <c r="BJX55" s="17"/>
      <c r="BJY55" s="17"/>
      <c r="BKE55" s="17"/>
      <c r="BKF55" s="17"/>
      <c r="BKG55" s="17"/>
      <c r="BKM55" s="17"/>
      <c r="BKN55" s="17"/>
      <c r="BKO55" s="17"/>
      <c r="BKU55" s="17"/>
      <c r="BKV55" s="17"/>
      <c r="BKW55" s="17"/>
      <c r="BLC55" s="17"/>
      <c r="BLD55" s="17"/>
      <c r="BLE55" s="17"/>
      <c r="BLK55" s="17"/>
      <c r="BLL55" s="17"/>
      <c r="BLM55" s="17"/>
      <c r="BLS55" s="17"/>
      <c r="BLT55" s="17"/>
      <c r="BLU55" s="17"/>
      <c r="BMA55" s="17"/>
      <c r="BMB55" s="17"/>
      <c r="BMC55" s="17"/>
      <c r="BMI55" s="17"/>
      <c r="BMJ55" s="17"/>
      <c r="BMK55" s="17"/>
      <c r="BMQ55" s="17"/>
      <c r="BMR55" s="17"/>
      <c r="BMS55" s="17"/>
      <c r="BMY55" s="17"/>
      <c r="BMZ55" s="17"/>
      <c r="BNA55" s="17"/>
      <c r="BNG55" s="17"/>
      <c r="BNH55" s="17"/>
      <c r="BNI55" s="17"/>
      <c r="BNO55" s="17"/>
      <c r="BNP55" s="17"/>
      <c r="BNQ55" s="17"/>
      <c r="BNW55" s="17"/>
      <c r="BNX55" s="17"/>
      <c r="BNY55" s="17"/>
      <c r="BOE55" s="17"/>
      <c r="BOF55" s="17"/>
      <c r="BOG55" s="17"/>
      <c r="BOM55" s="17"/>
      <c r="BON55" s="17"/>
      <c r="BOO55" s="17"/>
      <c r="BOU55" s="17"/>
      <c r="BOV55" s="17"/>
      <c r="BOW55" s="17"/>
      <c r="BPC55" s="17"/>
      <c r="BPD55" s="17"/>
      <c r="BPE55" s="17"/>
      <c r="BPK55" s="17"/>
      <c r="BPL55" s="17"/>
      <c r="BPM55" s="17"/>
      <c r="BPS55" s="17"/>
      <c r="BPT55" s="17"/>
      <c r="BPU55" s="17"/>
      <c r="BQA55" s="17"/>
      <c r="BQB55" s="17"/>
      <c r="BQC55" s="17"/>
      <c r="BQI55" s="17"/>
      <c r="BQJ55" s="17"/>
      <c r="BQK55" s="17"/>
      <c r="BQQ55" s="17"/>
      <c r="BQR55" s="17"/>
      <c r="BQS55" s="17"/>
      <c r="BQY55" s="17"/>
      <c r="BQZ55" s="17"/>
      <c r="BRA55" s="17"/>
      <c r="BRG55" s="17"/>
      <c r="BRH55" s="17"/>
      <c r="BRI55" s="17"/>
      <c r="BRO55" s="17"/>
      <c r="BRP55" s="17"/>
      <c r="BRQ55" s="17"/>
      <c r="BRW55" s="17"/>
      <c r="BRX55" s="17"/>
      <c r="BRY55" s="17"/>
      <c r="BSE55" s="17"/>
      <c r="BSF55" s="17"/>
      <c r="BSG55" s="17"/>
      <c r="BSM55" s="17"/>
      <c r="BSN55" s="17"/>
      <c r="BSO55" s="17"/>
      <c r="BSU55" s="17"/>
      <c r="BSV55" s="17"/>
      <c r="BSW55" s="17"/>
      <c r="BTC55" s="17"/>
      <c r="BTD55" s="17"/>
      <c r="BTE55" s="17"/>
      <c r="BTK55" s="17"/>
      <c r="BTL55" s="17"/>
      <c r="BTM55" s="17"/>
      <c r="BTS55" s="17"/>
      <c r="BTT55" s="17"/>
      <c r="BTU55" s="17"/>
      <c r="BUA55" s="17"/>
      <c r="BUB55" s="17"/>
      <c r="BUC55" s="17"/>
      <c r="BUI55" s="17"/>
      <c r="BUJ55" s="17"/>
      <c r="BUK55" s="17"/>
      <c r="BUQ55" s="17"/>
      <c r="BUR55" s="17"/>
      <c r="BUS55" s="17"/>
      <c r="BUY55" s="17"/>
      <c r="BUZ55" s="17"/>
      <c r="BVA55" s="17"/>
      <c r="BVG55" s="17"/>
      <c r="BVH55" s="17"/>
      <c r="BVI55" s="17"/>
      <c r="BVO55" s="17"/>
      <c r="BVP55" s="17"/>
      <c r="BVQ55" s="17"/>
      <c r="BVW55" s="17"/>
      <c r="BVX55" s="17"/>
      <c r="BVY55" s="17"/>
      <c r="BWE55" s="17"/>
      <c r="BWF55" s="17"/>
      <c r="BWG55" s="17"/>
      <c r="BWM55" s="17"/>
      <c r="BWN55" s="17"/>
      <c r="BWO55" s="17"/>
      <c r="BWU55" s="17"/>
      <c r="BWV55" s="17"/>
      <c r="BWW55" s="17"/>
      <c r="BXC55" s="17"/>
      <c r="BXD55" s="17"/>
      <c r="BXE55" s="17"/>
      <c r="BXK55" s="17"/>
      <c r="BXL55" s="17"/>
      <c r="BXM55" s="17"/>
      <c r="BXS55" s="17"/>
      <c r="BXT55" s="17"/>
      <c r="BXU55" s="17"/>
      <c r="BYA55" s="17"/>
      <c r="BYB55" s="17"/>
      <c r="BYC55" s="17"/>
      <c r="BYI55" s="17"/>
      <c r="BYJ55" s="17"/>
      <c r="BYK55" s="17"/>
      <c r="BYQ55" s="17"/>
      <c r="BYR55" s="17"/>
      <c r="BYS55" s="17"/>
      <c r="BYY55" s="17"/>
      <c r="BYZ55" s="17"/>
      <c r="BZA55" s="17"/>
      <c r="BZG55" s="17"/>
      <c r="BZH55" s="17"/>
      <c r="BZI55" s="17"/>
      <c r="BZO55" s="17"/>
      <c r="BZP55" s="17"/>
      <c r="BZQ55" s="17"/>
      <c r="BZW55" s="17"/>
      <c r="BZX55" s="17"/>
      <c r="BZY55" s="17"/>
      <c r="CAE55" s="17"/>
      <c r="CAF55" s="17"/>
      <c r="CAG55" s="17"/>
      <c r="CAM55" s="17"/>
      <c r="CAN55" s="17"/>
      <c r="CAO55" s="17"/>
      <c r="CAU55" s="17"/>
      <c r="CAV55" s="17"/>
      <c r="CAW55" s="17"/>
      <c r="CBC55" s="17"/>
      <c r="CBD55" s="17"/>
      <c r="CBE55" s="17"/>
      <c r="CBK55" s="17"/>
      <c r="CBL55" s="17"/>
      <c r="CBM55" s="17"/>
      <c r="CBS55" s="17"/>
      <c r="CBT55" s="17"/>
      <c r="CBU55" s="17"/>
      <c r="CCA55" s="17"/>
      <c r="CCB55" s="17"/>
      <c r="CCC55" s="17"/>
      <c r="CCI55" s="17"/>
      <c r="CCJ55" s="17"/>
      <c r="CCK55" s="17"/>
      <c r="CCQ55" s="17"/>
      <c r="CCR55" s="17"/>
      <c r="CCS55" s="17"/>
      <c r="CCY55" s="17"/>
      <c r="CCZ55" s="17"/>
      <c r="CDA55" s="17"/>
      <c r="CDG55" s="17"/>
      <c r="CDH55" s="17"/>
      <c r="CDI55" s="17"/>
      <c r="CDO55" s="17"/>
      <c r="CDP55" s="17"/>
      <c r="CDQ55" s="17"/>
      <c r="CDW55" s="17"/>
      <c r="CDX55" s="17"/>
      <c r="CDY55" s="17"/>
      <c r="CEE55" s="17"/>
      <c r="CEF55" s="17"/>
      <c r="CEG55" s="17"/>
      <c r="CEM55" s="17"/>
      <c r="CEN55" s="17"/>
      <c r="CEO55" s="17"/>
      <c r="CEU55" s="17"/>
      <c r="CEV55" s="17"/>
      <c r="CEW55" s="17"/>
      <c r="CFC55" s="17"/>
      <c r="CFD55" s="17"/>
      <c r="CFE55" s="17"/>
      <c r="CFK55" s="17"/>
      <c r="CFL55" s="17"/>
      <c r="CFM55" s="17"/>
      <c r="CFS55" s="17"/>
      <c r="CFT55" s="17"/>
      <c r="CFU55" s="17"/>
      <c r="CGA55" s="17"/>
      <c r="CGB55" s="17"/>
      <c r="CGC55" s="17"/>
      <c r="CGI55" s="17"/>
      <c r="CGJ55" s="17"/>
      <c r="CGK55" s="17"/>
      <c r="CGQ55" s="17"/>
      <c r="CGR55" s="17"/>
      <c r="CGS55" s="17"/>
      <c r="CGY55" s="17"/>
      <c r="CGZ55" s="17"/>
      <c r="CHA55" s="17"/>
      <c r="CHG55" s="17"/>
      <c r="CHH55" s="17"/>
      <c r="CHI55" s="17"/>
      <c r="CHO55" s="17"/>
      <c r="CHP55" s="17"/>
      <c r="CHQ55" s="17"/>
      <c r="CHW55" s="17"/>
      <c r="CHX55" s="17"/>
      <c r="CHY55" s="17"/>
      <c r="CIE55" s="17"/>
      <c r="CIF55" s="17"/>
      <c r="CIG55" s="17"/>
      <c r="CIM55" s="17"/>
      <c r="CIN55" s="17"/>
      <c r="CIO55" s="17"/>
      <c r="CIU55" s="17"/>
      <c r="CIV55" s="17"/>
      <c r="CIW55" s="17"/>
      <c r="CJC55" s="17"/>
      <c r="CJD55" s="17"/>
      <c r="CJE55" s="17"/>
      <c r="CJK55" s="17"/>
      <c r="CJL55" s="17"/>
      <c r="CJM55" s="17"/>
      <c r="CJS55" s="17"/>
      <c r="CJT55" s="17"/>
      <c r="CJU55" s="17"/>
      <c r="CKA55" s="17"/>
      <c r="CKB55" s="17"/>
      <c r="CKC55" s="17"/>
      <c r="CKI55" s="17"/>
      <c r="CKJ55" s="17"/>
      <c r="CKK55" s="17"/>
      <c r="CKQ55" s="17"/>
      <c r="CKR55" s="17"/>
      <c r="CKS55" s="17"/>
      <c r="CKY55" s="17"/>
      <c r="CKZ55" s="17"/>
      <c r="CLA55" s="17"/>
      <c r="CLG55" s="17"/>
      <c r="CLH55" s="17"/>
      <c r="CLI55" s="17"/>
      <c r="CLO55" s="17"/>
      <c r="CLP55" s="17"/>
      <c r="CLQ55" s="17"/>
      <c r="CLW55" s="17"/>
      <c r="CLX55" s="17"/>
      <c r="CLY55" s="17"/>
      <c r="CME55" s="17"/>
      <c r="CMF55" s="17"/>
      <c r="CMG55" s="17"/>
      <c r="CMM55" s="17"/>
      <c r="CMN55" s="17"/>
      <c r="CMO55" s="17"/>
      <c r="CMU55" s="17"/>
      <c r="CMV55" s="17"/>
      <c r="CMW55" s="17"/>
      <c r="CNC55" s="17"/>
      <c r="CND55" s="17"/>
      <c r="CNE55" s="17"/>
      <c r="CNK55" s="17"/>
      <c r="CNL55" s="17"/>
      <c r="CNM55" s="17"/>
      <c r="CNS55" s="17"/>
      <c r="CNT55" s="17"/>
      <c r="CNU55" s="17"/>
      <c r="COA55" s="17"/>
      <c r="COB55" s="17"/>
      <c r="COC55" s="17"/>
      <c r="COI55" s="17"/>
      <c r="COJ55" s="17"/>
      <c r="COK55" s="17"/>
      <c r="COQ55" s="17"/>
      <c r="COR55" s="17"/>
      <c r="COS55" s="17"/>
      <c r="COY55" s="17"/>
      <c r="COZ55" s="17"/>
      <c r="CPA55" s="17"/>
      <c r="CPG55" s="17"/>
      <c r="CPH55" s="17"/>
      <c r="CPI55" s="17"/>
      <c r="CPO55" s="17"/>
      <c r="CPP55" s="17"/>
      <c r="CPQ55" s="17"/>
      <c r="CPW55" s="17"/>
      <c r="CPX55" s="17"/>
      <c r="CPY55" s="17"/>
      <c r="CQE55" s="17"/>
      <c r="CQF55" s="17"/>
      <c r="CQG55" s="17"/>
      <c r="CQM55" s="17"/>
      <c r="CQN55" s="17"/>
      <c r="CQO55" s="17"/>
      <c r="CQU55" s="17"/>
      <c r="CQV55" s="17"/>
      <c r="CQW55" s="17"/>
      <c r="CRC55" s="17"/>
      <c r="CRD55" s="17"/>
      <c r="CRE55" s="17"/>
      <c r="CRK55" s="17"/>
      <c r="CRL55" s="17"/>
      <c r="CRM55" s="17"/>
      <c r="CRS55" s="17"/>
      <c r="CRT55" s="17"/>
      <c r="CRU55" s="17"/>
      <c r="CSA55" s="17"/>
      <c r="CSB55" s="17"/>
      <c r="CSC55" s="17"/>
      <c r="CSI55" s="17"/>
      <c r="CSJ55" s="17"/>
      <c r="CSK55" s="17"/>
      <c r="CSQ55" s="17"/>
      <c r="CSR55" s="17"/>
      <c r="CSS55" s="17"/>
      <c r="CSY55" s="17"/>
      <c r="CSZ55" s="17"/>
      <c r="CTA55" s="17"/>
      <c r="CTG55" s="17"/>
      <c r="CTH55" s="17"/>
      <c r="CTI55" s="17"/>
      <c r="CTO55" s="17"/>
      <c r="CTP55" s="17"/>
      <c r="CTQ55" s="17"/>
      <c r="CTW55" s="17"/>
      <c r="CTX55" s="17"/>
      <c r="CTY55" s="17"/>
      <c r="CUE55" s="17"/>
      <c r="CUF55" s="17"/>
      <c r="CUG55" s="17"/>
      <c r="CUM55" s="17"/>
      <c r="CUN55" s="17"/>
      <c r="CUO55" s="17"/>
      <c r="CUU55" s="17"/>
      <c r="CUV55" s="17"/>
      <c r="CUW55" s="17"/>
      <c r="CVC55" s="17"/>
      <c r="CVD55" s="17"/>
      <c r="CVE55" s="17"/>
      <c r="CVK55" s="17"/>
      <c r="CVL55" s="17"/>
      <c r="CVM55" s="17"/>
      <c r="CVS55" s="17"/>
      <c r="CVT55" s="17"/>
      <c r="CVU55" s="17"/>
      <c r="CWA55" s="17"/>
      <c r="CWB55" s="17"/>
      <c r="CWC55" s="17"/>
      <c r="CWI55" s="17"/>
      <c r="CWJ55" s="17"/>
      <c r="CWK55" s="17"/>
      <c r="CWQ55" s="17"/>
      <c r="CWR55" s="17"/>
      <c r="CWS55" s="17"/>
      <c r="CWY55" s="17"/>
      <c r="CWZ55" s="17"/>
      <c r="CXA55" s="17"/>
      <c r="CXG55" s="17"/>
      <c r="CXH55" s="17"/>
      <c r="CXI55" s="17"/>
      <c r="CXO55" s="17"/>
      <c r="CXP55" s="17"/>
      <c r="CXQ55" s="17"/>
      <c r="CXW55" s="17"/>
      <c r="CXX55" s="17"/>
      <c r="CXY55" s="17"/>
      <c r="CYE55" s="17"/>
      <c r="CYF55" s="17"/>
      <c r="CYG55" s="17"/>
      <c r="CYM55" s="17"/>
      <c r="CYN55" s="17"/>
      <c r="CYO55" s="17"/>
      <c r="CYU55" s="17"/>
      <c r="CYV55" s="17"/>
      <c r="CYW55" s="17"/>
      <c r="CZC55" s="17"/>
      <c r="CZD55" s="17"/>
      <c r="CZE55" s="17"/>
      <c r="CZK55" s="17"/>
      <c r="CZL55" s="17"/>
      <c r="CZM55" s="17"/>
      <c r="CZS55" s="17"/>
      <c r="CZT55" s="17"/>
      <c r="CZU55" s="17"/>
      <c r="DAA55" s="17"/>
      <c r="DAB55" s="17"/>
      <c r="DAC55" s="17"/>
      <c r="DAI55" s="17"/>
      <c r="DAJ55" s="17"/>
      <c r="DAK55" s="17"/>
      <c r="DAQ55" s="17"/>
      <c r="DAR55" s="17"/>
      <c r="DAS55" s="17"/>
      <c r="DAY55" s="17"/>
      <c r="DAZ55" s="17"/>
      <c r="DBA55" s="17"/>
      <c r="DBG55" s="17"/>
      <c r="DBH55" s="17"/>
      <c r="DBI55" s="17"/>
      <c r="DBO55" s="17"/>
      <c r="DBP55" s="17"/>
      <c r="DBQ55" s="17"/>
      <c r="DBW55" s="17"/>
      <c r="DBX55" s="17"/>
      <c r="DBY55" s="17"/>
      <c r="DCE55" s="17"/>
      <c r="DCF55" s="17"/>
      <c r="DCG55" s="17"/>
      <c r="DCM55" s="17"/>
      <c r="DCN55" s="17"/>
      <c r="DCO55" s="17"/>
      <c r="DCU55" s="17"/>
      <c r="DCV55" s="17"/>
      <c r="DCW55" s="17"/>
      <c r="DDC55" s="17"/>
      <c r="DDD55" s="17"/>
      <c r="DDE55" s="17"/>
      <c r="DDK55" s="17"/>
      <c r="DDL55" s="17"/>
      <c r="DDM55" s="17"/>
      <c r="DDS55" s="17"/>
      <c r="DDT55" s="17"/>
      <c r="DDU55" s="17"/>
      <c r="DEA55" s="17"/>
      <c r="DEB55" s="17"/>
      <c r="DEC55" s="17"/>
      <c r="DEI55" s="17"/>
      <c r="DEJ55" s="17"/>
      <c r="DEK55" s="17"/>
      <c r="DEQ55" s="17"/>
      <c r="DER55" s="17"/>
      <c r="DES55" s="17"/>
      <c r="DEY55" s="17"/>
      <c r="DEZ55" s="17"/>
      <c r="DFA55" s="17"/>
      <c r="DFG55" s="17"/>
      <c r="DFH55" s="17"/>
      <c r="DFI55" s="17"/>
      <c r="DFO55" s="17"/>
      <c r="DFP55" s="17"/>
      <c r="DFQ55" s="17"/>
      <c r="DFW55" s="17"/>
      <c r="DFX55" s="17"/>
      <c r="DFY55" s="17"/>
      <c r="DGE55" s="17"/>
      <c r="DGF55" s="17"/>
      <c r="DGG55" s="17"/>
      <c r="DGM55" s="17"/>
      <c r="DGN55" s="17"/>
      <c r="DGO55" s="17"/>
      <c r="DGU55" s="17"/>
      <c r="DGV55" s="17"/>
      <c r="DGW55" s="17"/>
      <c r="DHC55" s="17"/>
      <c r="DHD55" s="17"/>
      <c r="DHE55" s="17"/>
      <c r="DHK55" s="17"/>
      <c r="DHL55" s="17"/>
      <c r="DHM55" s="17"/>
      <c r="DHS55" s="17"/>
      <c r="DHT55" s="17"/>
      <c r="DHU55" s="17"/>
      <c r="DIA55" s="17"/>
      <c r="DIB55" s="17"/>
      <c r="DIC55" s="17"/>
      <c r="DII55" s="17"/>
      <c r="DIJ55" s="17"/>
      <c r="DIK55" s="17"/>
      <c r="DIQ55" s="17"/>
      <c r="DIR55" s="17"/>
      <c r="DIS55" s="17"/>
      <c r="DIY55" s="17"/>
      <c r="DIZ55" s="17"/>
      <c r="DJA55" s="17"/>
      <c r="DJG55" s="17"/>
      <c r="DJH55" s="17"/>
      <c r="DJI55" s="17"/>
      <c r="DJO55" s="17"/>
      <c r="DJP55" s="17"/>
      <c r="DJQ55" s="17"/>
      <c r="DJW55" s="17"/>
      <c r="DJX55" s="17"/>
      <c r="DJY55" s="17"/>
      <c r="DKE55" s="17"/>
      <c r="DKF55" s="17"/>
      <c r="DKG55" s="17"/>
      <c r="DKM55" s="17"/>
      <c r="DKN55" s="17"/>
      <c r="DKO55" s="17"/>
      <c r="DKU55" s="17"/>
      <c r="DKV55" s="17"/>
      <c r="DKW55" s="17"/>
      <c r="DLC55" s="17"/>
      <c r="DLD55" s="17"/>
      <c r="DLE55" s="17"/>
      <c r="DLK55" s="17"/>
      <c r="DLL55" s="17"/>
      <c r="DLM55" s="17"/>
      <c r="DLS55" s="17"/>
      <c r="DLT55" s="17"/>
      <c r="DLU55" s="17"/>
      <c r="DMA55" s="17"/>
      <c r="DMB55" s="17"/>
      <c r="DMC55" s="17"/>
      <c r="DMI55" s="17"/>
      <c r="DMJ55" s="17"/>
      <c r="DMK55" s="17"/>
      <c r="DMQ55" s="17"/>
      <c r="DMR55" s="17"/>
      <c r="DMS55" s="17"/>
      <c r="DMY55" s="17"/>
      <c r="DMZ55" s="17"/>
      <c r="DNA55" s="17"/>
      <c r="DNG55" s="17"/>
      <c r="DNH55" s="17"/>
      <c r="DNI55" s="17"/>
      <c r="DNO55" s="17"/>
      <c r="DNP55" s="17"/>
      <c r="DNQ55" s="17"/>
      <c r="DNW55" s="17"/>
      <c r="DNX55" s="17"/>
      <c r="DNY55" s="17"/>
      <c r="DOE55" s="17"/>
      <c r="DOF55" s="17"/>
      <c r="DOG55" s="17"/>
      <c r="DOM55" s="17"/>
      <c r="DON55" s="17"/>
      <c r="DOO55" s="17"/>
      <c r="DOU55" s="17"/>
      <c r="DOV55" s="17"/>
      <c r="DOW55" s="17"/>
      <c r="DPC55" s="17"/>
      <c r="DPD55" s="17"/>
      <c r="DPE55" s="17"/>
      <c r="DPK55" s="17"/>
      <c r="DPL55" s="17"/>
      <c r="DPM55" s="17"/>
      <c r="DPS55" s="17"/>
      <c r="DPT55" s="17"/>
      <c r="DPU55" s="17"/>
      <c r="DQA55" s="17"/>
      <c r="DQB55" s="17"/>
      <c r="DQC55" s="17"/>
      <c r="DQI55" s="17"/>
      <c r="DQJ55" s="17"/>
      <c r="DQK55" s="17"/>
      <c r="DQQ55" s="17"/>
      <c r="DQR55" s="17"/>
      <c r="DQS55" s="17"/>
      <c r="DQY55" s="17"/>
      <c r="DQZ55" s="17"/>
      <c r="DRA55" s="17"/>
      <c r="DRG55" s="17"/>
      <c r="DRH55" s="17"/>
      <c r="DRI55" s="17"/>
      <c r="DRO55" s="17"/>
      <c r="DRP55" s="17"/>
      <c r="DRQ55" s="17"/>
      <c r="DRW55" s="17"/>
      <c r="DRX55" s="17"/>
      <c r="DRY55" s="17"/>
      <c r="DSE55" s="17"/>
      <c r="DSF55" s="17"/>
      <c r="DSG55" s="17"/>
      <c r="DSM55" s="17"/>
      <c r="DSN55" s="17"/>
      <c r="DSO55" s="17"/>
      <c r="DSU55" s="17"/>
      <c r="DSV55" s="17"/>
      <c r="DSW55" s="17"/>
      <c r="DTC55" s="17"/>
      <c r="DTD55" s="17"/>
      <c r="DTE55" s="17"/>
      <c r="DTK55" s="17"/>
      <c r="DTL55" s="17"/>
      <c r="DTM55" s="17"/>
      <c r="DTS55" s="17"/>
      <c r="DTT55" s="17"/>
      <c r="DTU55" s="17"/>
      <c r="DUA55" s="17"/>
      <c r="DUB55" s="17"/>
      <c r="DUC55" s="17"/>
      <c r="DUI55" s="17"/>
      <c r="DUJ55" s="17"/>
      <c r="DUK55" s="17"/>
      <c r="DUQ55" s="17"/>
      <c r="DUR55" s="17"/>
      <c r="DUS55" s="17"/>
      <c r="DUY55" s="17"/>
      <c r="DUZ55" s="17"/>
      <c r="DVA55" s="17"/>
      <c r="DVG55" s="17"/>
      <c r="DVH55" s="17"/>
      <c r="DVI55" s="17"/>
      <c r="DVO55" s="17"/>
      <c r="DVP55" s="17"/>
      <c r="DVQ55" s="17"/>
      <c r="DVW55" s="17"/>
      <c r="DVX55" s="17"/>
      <c r="DVY55" s="17"/>
      <c r="DWE55" s="17"/>
      <c r="DWF55" s="17"/>
      <c r="DWG55" s="17"/>
      <c r="DWM55" s="17"/>
      <c r="DWN55" s="17"/>
      <c r="DWO55" s="17"/>
      <c r="DWU55" s="17"/>
      <c r="DWV55" s="17"/>
      <c r="DWW55" s="17"/>
      <c r="DXC55" s="17"/>
      <c r="DXD55" s="17"/>
      <c r="DXE55" s="17"/>
      <c r="DXK55" s="17"/>
      <c r="DXL55" s="17"/>
      <c r="DXM55" s="17"/>
      <c r="DXS55" s="17"/>
      <c r="DXT55" s="17"/>
      <c r="DXU55" s="17"/>
      <c r="DYA55" s="17"/>
      <c r="DYB55" s="17"/>
      <c r="DYC55" s="17"/>
      <c r="DYI55" s="17"/>
      <c r="DYJ55" s="17"/>
      <c r="DYK55" s="17"/>
      <c r="DYQ55" s="17"/>
      <c r="DYR55" s="17"/>
      <c r="DYS55" s="17"/>
      <c r="DYY55" s="17"/>
      <c r="DYZ55" s="17"/>
      <c r="DZA55" s="17"/>
      <c r="DZG55" s="17"/>
      <c r="DZH55" s="17"/>
      <c r="DZI55" s="17"/>
      <c r="DZO55" s="17"/>
      <c r="DZP55" s="17"/>
      <c r="DZQ55" s="17"/>
      <c r="DZW55" s="17"/>
      <c r="DZX55" s="17"/>
      <c r="DZY55" s="17"/>
      <c r="EAE55" s="17"/>
      <c r="EAF55" s="17"/>
      <c r="EAG55" s="17"/>
      <c r="EAM55" s="17"/>
      <c r="EAN55" s="17"/>
      <c r="EAO55" s="17"/>
      <c r="EAU55" s="17"/>
      <c r="EAV55" s="17"/>
      <c r="EAW55" s="17"/>
      <c r="EBC55" s="17"/>
      <c r="EBD55" s="17"/>
      <c r="EBE55" s="17"/>
      <c r="EBK55" s="17"/>
      <c r="EBL55" s="17"/>
      <c r="EBM55" s="17"/>
      <c r="EBS55" s="17"/>
      <c r="EBT55" s="17"/>
      <c r="EBU55" s="17"/>
      <c r="ECA55" s="17"/>
      <c r="ECB55" s="17"/>
      <c r="ECC55" s="17"/>
      <c r="ECI55" s="17"/>
      <c r="ECJ55" s="17"/>
      <c r="ECK55" s="17"/>
      <c r="ECQ55" s="17"/>
      <c r="ECR55" s="17"/>
      <c r="ECS55" s="17"/>
      <c r="ECY55" s="17"/>
      <c r="ECZ55" s="17"/>
      <c r="EDA55" s="17"/>
      <c r="EDG55" s="17"/>
      <c r="EDH55" s="17"/>
      <c r="EDI55" s="17"/>
      <c r="EDO55" s="17"/>
      <c r="EDP55" s="17"/>
      <c r="EDQ55" s="17"/>
      <c r="EDW55" s="17"/>
      <c r="EDX55" s="17"/>
      <c r="EDY55" s="17"/>
      <c r="EEE55" s="17"/>
      <c r="EEF55" s="17"/>
      <c r="EEG55" s="17"/>
      <c r="EEM55" s="17"/>
      <c r="EEN55" s="17"/>
      <c r="EEO55" s="17"/>
      <c r="EEU55" s="17"/>
      <c r="EEV55" s="17"/>
      <c r="EEW55" s="17"/>
      <c r="EFC55" s="17"/>
      <c r="EFD55" s="17"/>
      <c r="EFE55" s="17"/>
      <c r="EFK55" s="17"/>
      <c r="EFL55" s="17"/>
      <c r="EFM55" s="17"/>
      <c r="EFS55" s="17"/>
      <c r="EFT55" s="17"/>
      <c r="EFU55" s="17"/>
      <c r="EGA55" s="17"/>
      <c r="EGB55" s="17"/>
      <c r="EGC55" s="17"/>
      <c r="EGI55" s="17"/>
      <c r="EGJ55" s="17"/>
      <c r="EGK55" s="17"/>
      <c r="EGQ55" s="17"/>
      <c r="EGR55" s="17"/>
      <c r="EGS55" s="17"/>
      <c r="EGY55" s="17"/>
      <c r="EGZ55" s="17"/>
      <c r="EHA55" s="17"/>
      <c r="EHG55" s="17"/>
      <c r="EHH55" s="17"/>
      <c r="EHI55" s="17"/>
      <c r="EHO55" s="17"/>
      <c r="EHP55" s="17"/>
      <c r="EHQ55" s="17"/>
      <c r="EHW55" s="17"/>
      <c r="EHX55" s="17"/>
      <c r="EHY55" s="17"/>
      <c r="EIE55" s="17"/>
      <c r="EIF55" s="17"/>
      <c r="EIG55" s="17"/>
      <c r="EIM55" s="17"/>
      <c r="EIN55" s="17"/>
      <c r="EIO55" s="17"/>
      <c r="EIU55" s="17"/>
      <c r="EIV55" s="17"/>
      <c r="EIW55" s="17"/>
      <c r="EJC55" s="17"/>
      <c r="EJD55" s="17"/>
      <c r="EJE55" s="17"/>
      <c r="EJK55" s="17"/>
      <c r="EJL55" s="17"/>
      <c r="EJM55" s="17"/>
      <c r="EJS55" s="17"/>
      <c r="EJT55" s="17"/>
      <c r="EJU55" s="17"/>
      <c r="EKA55" s="17"/>
      <c r="EKB55" s="17"/>
      <c r="EKC55" s="17"/>
      <c r="EKI55" s="17"/>
      <c r="EKJ55" s="17"/>
      <c r="EKK55" s="17"/>
      <c r="EKQ55" s="17"/>
      <c r="EKR55" s="17"/>
      <c r="EKS55" s="17"/>
      <c r="EKY55" s="17"/>
      <c r="EKZ55" s="17"/>
      <c r="ELA55" s="17"/>
      <c r="ELG55" s="17"/>
      <c r="ELH55" s="17"/>
      <c r="ELI55" s="17"/>
      <c r="ELO55" s="17"/>
      <c r="ELP55" s="17"/>
      <c r="ELQ55" s="17"/>
      <c r="ELW55" s="17"/>
      <c r="ELX55" s="17"/>
      <c r="ELY55" s="17"/>
      <c r="EME55" s="17"/>
      <c r="EMF55" s="17"/>
      <c r="EMG55" s="17"/>
      <c r="EMM55" s="17"/>
      <c r="EMN55" s="17"/>
      <c r="EMO55" s="17"/>
      <c r="EMU55" s="17"/>
      <c r="EMV55" s="17"/>
      <c r="EMW55" s="17"/>
      <c r="ENC55" s="17"/>
      <c r="END55" s="17"/>
      <c r="ENE55" s="17"/>
      <c r="ENK55" s="17"/>
      <c r="ENL55" s="17"/>
      <c r="ENM55" s="17"/>
      <c r="ENS55" s="17"/>
      <c r="ENT55" s="17"/>
      <c r="ENU55" s="17"/>
      <c r="EOA55" s="17"/>
      <c r="EOB55" s="17"/>
      <c r="EOC55" s="17"/>
      <c r="EOI55" s="17"/>
      <c r="EOJ55" s="17"/>
      <c r="EOK55" s="17"/>
      <c r="EOQ55" s="17"/>
      <c r="EOR55" s="17"/>
      <c r="EOS55" s="17"/>
      <c r="EOY55" s="17"/>
      <c r="EOZ55" s="17"/>
      <c r="EPA55" s="17"/>
      <c r="EPG55" s="17"/>
      <c r="EPH55" s="17"/>
      <c r="EPI55" s="17"/>
      <c r="EPO55" s="17"/>
      <c r="EPP55" s="17"/>
      <c r="EPQ55" s="17"/>
      <c r="EPW55" s="17"/>
      <c r="EPX55" s="17"/>
      <c r="EPY55" s="17"/>
      <c r="EQE55" s="17"/>
      <c r="EQF55" s="17"/>
      <c r="EQG55" s="17"/>
      <c r="EQM55" s="17"/>
      <c r="EQN55" s="17"/>
      <c r="EQO55" s="17"/>
      <c r="EQU55" s="17"/>
      <c r="EQV55" s="17"/>
      <c r="EQW55" s="17"/>
      <c r="ERC55" s="17"/>
      <c r="ERD55" s="17"/>
      <c r="ERE55" s="17"/>
      <c r="ERK55" s="17"/>
      <c r="ERL55" s="17"/>
      <c r="ERM55" s="17"/>
      <c r="ERS55" s="17"/>
      <c r="ERT55" s="17"/>
      <c r="ERU55" s="17"/>
      <c r="ESA55" s="17"/>
      <c r="ESB55" s="17"/>
      <c r="ESC55" s="17"/>
      <c r="ESI55" s="17"/>
      <c r="ESJ55" s="17"/>
      <c r="ESK55" s="17"/>
      <c r="ESQ55" s="17"/>
      <c r="ESR55" s="17"/>
      <c r="ESS55" s="17"/>
      <c r="ESY55" s="17"/>
      <c r="ESZ55" s="17"/>
      <c r="ETA55" s="17"/>
      <c r="ETG55" s="17"/>
      <c r="ETH55" s="17"/>
      <c r="ETI55" s="17"/>
      <c r="ETO55" s="17"/>
      <c r="ETP55" s="17"/>
      <c r="ETQ55" s="17"/>
      <c r="ETW55" s="17"/>
      <c r="ETX55" s="17"/>
      <c r="ETY55" s="17"/>
      <c r="EUE55" s="17"/>
      <c r="EUF55" s="17"/>
      <c r="EUG55" s="17"/>
      <c r="EUM55" s="17"/>
      <c r="EUN55" s="17"/>
      <c r="EUO55" s="17"/>
      <c r="EUU55" s="17"/>
      <c r="EUV55" s="17"/>
      <c r="EUW55" s="17"/>
      <c r="EVC55" s="17"/>
      <c r="EVD55" s="17"/>
      <c r="EVE55" s="17"/>
      <c r="EVK55" s="17"/>
      <c r="EVL55" s="17"/>
      <c r="EVM55" s="17"/>
      <c r="EVS55" s="17"/>
      <c r="EVT55" s="17"/>
      <c r="EVU55" s="17"/>
      <c r="EWA55" s="17"/>
      <c r="EWB55" s="17"/>
      <c r="EWC55" s="17"/>
      <c r="EWI55" s="17"/>
      <c r="EWJ55" s="17"/>
      <c r="EWK55" s="17"/>
      <c r="EWQ55" s="17"/>
      <c r="EWR55" s="17"/>
      <c r="EWS55" s="17"/>
      <c r="EWY55" s="17"/>
      <c r="EWZ55" s="17"/>
      <c r="EXA55" s="17"/>
      <c r="EXG55" s="17"/>
      <c r="EXH55" s="17"/>
      <c r="EXI55" s="17"/>
      <c r="EXO55" s="17"/>
      <c r="EXP55" s="17"/>
      <c r="EXQ55" s="17"/>
      <c r="EXW55" s="17"/>
      <c r="EXX55" s="17"/>
      <c r="EXY55" s="17"/>
      <c r="EYE55" s="17"/>
      <c r="EYF55" s="17"/>
      <c r="EYG55" s="17"/>
      <c r="EYM55" s="17"/>
      <c r="EYN55" s="17"/>
      <c r="EYO55" s="17"/>
      <c r="EYU55" s="17"/>
      <c r="EYV55" s="17"/>
      <c r="EYW55" s="17"/>
      <c r="EZC55" s="17"/>
      <c r="EZD55" s="17"/>
      <c r="EZE55" s="17"/>
      <c r="EZK55" s="17"/>
      <c r="EZL55" s="17"/>
      <c r="EZM55" s="17"/>
      <c r="EZS55" s="17"/>
      <c r="EZT55" s="17"/>
      <c r="EZU55" s="17"/>
      <c r="FAA55" s="17"/>
      <c r="FAB55" s="17"/>
      <c r="FAC55" s="17"/>
      <c r="FAI55" s="17"/>
      <c r="FAJ55" s="17"/>
      <c r="FAK55" s="17"/>
      <c r="FAQ55" s="17"/>
      <c r="FAR55" s="17"/>
      <c r="FAS55" s="17"/>
      <c r="FAY55" s="17"/>
      <c r="FAZ55" s="17"/>
      <c r="FBA55" s="17"/>
      <c r="FBG55" s="17"/>
      <c r="FBH55" s="17"/>
      <c r="FBI55" s="17"/>
      <c r="FBO55" s="17"/>
      <c r="FBP55" s="17"/>
      <c r="FBQ55" s="17"/>
      <c r="FBW55" s="17"/>
      <c r="FBX55" s="17"/>
      <c r="FBY55" s="17"/>
      <c r="FCE55" s="17"/>
      <c r="FCF55" s="17"/>
      <c r="FCG55" s="17"/>
      <c r="FCM55" s="17"/>
      <c r="FCN55" s="17"/>
      <c r="FCO55" s="17"/>
      <c r="FCU55" s="17"/>
      <c r="FCV55" s="17"/>
      <c r="FCW55" s="17"/>
      <c r="FDC55" s="17"/>
      <c r="FDD55" s="17"/>
      <c r="FDE55" s="17"/>
      <c r="FDK55" s="17"/>
      <c r="FDL55" s="17"/>
      <c r="FDM55" s="17"/>
      <c r="FDS55" s="17"/>
      <c r="FDT55" s="17"/>
      <c r="FDU55" s="17"/>
      <c r="FEA55" s="17"/>
      <c r="FEB55" s="17"/>
      <c r="FEC55" s="17"/>
      <c r="FEI55" s="17"/>
      <c r="FEJ55" s="17"/>
      <c r="FEK55" s="17"/>
      <c r="FEQ55" s="17"/>
      <c r="FER55" s="17"/>
      <c r="FES55" s="17"/>
      <c r="FEY55" s="17"/>
      <c r="FEZ55" s="17"/>
      <c r="FFA55" s="17"/>
      <c r="FFG55" s="17"/>
      <c r="FFH55" s="17"/>
      <c r="FFI55" s="17"/>
      <c r="FFO55" s="17"/>
      <c r="FFP55" s="17"/>
      <c r="FFQ55" s="17"/>
      <c r="FFW55" s="17"/>
      <c r="FFX55" s="17"/>
      <c r="FFY55" s="17"/>
      <c r="FGE55" s="17"/>
      <c r="FGF55" s="17"/>
      <c r="FGG55" s="17"/>
      <c r="FGM55" s="17"/>
      <c r="FGN55" s="17"/>
      <c r="FGO55" s="17"/>
      <c r="FGU55" s="17"/>
      <c r="FGV55" s="17"/>
      <c r="FGW55" s="17"/>
      <c r="FHC55" s="17"/>
      <c r="FHD55" s="17"/>
      <c r="FHE55" s="17"/>
      <c r="FHK55" s="17"/>
      <c r="FHL55" s="17"/>
      <c r="FHM55" s="17"/>
      <c r="FHS55" s="17"/>
      <c r="FHT55" s="17"/>
      <c r="FHU55" s="17"/>
      <c r="FIA55" s="17"/>
      <c r="FIB55" s="17"/>
      <c r="FIC55" s="17"/>
      <c r="FII55" s="17"/>
      <c r="FIJ55" s="17"/>
      <c r="FIK55" s="17"/>
      <c r="FIQ55" s="17"/>
      <c r="FIR55" s="17"/>
      <c r="FIS55" s="17"/>
      <c r="FIY55" s="17"/>
      <c r="FIZ55" s="17"/>
      <c r="FJA55" s="17"/>
      <c r="FJG55" s="17"/>
      <c r="FJH55" s="17"/>
      <c r="FJI55" s="17"/>
      <c r="FJO55" s="17"/>
      <c r="FJP55" s="17"/>
      <c r="FJQ55" s="17"/>
      <c r="FJW55" s="17"/>
      <c r="FJX55" s="17"/>
      <c r="FJY55" s="17"/>
      <c r="FKE55" s="17"/>
      <c r="FKF55" s="17"/>
      <c r="FKG55" s="17"/>
      <c r="FKM55" s="17"/>
      <c r="FKN55" s="17"/>
      <c r="FKO55" s="17"/>
      <c r="FKU55" s="17"/>
      <c r="FKV55" s="17"/>
      <c r="FKW55" s="17"/>
      <c r="FLC55" s="17"/>
      <c r="FLD55" s="17"/>
      <c r="FLE55" s="17"/>
      <c r="FLK55" s="17"/>
      <c r="FLL55" s="17"/>
      <c r="FLM55" s="17"/>
      <c r="FLS55" s="17"/>
      <c r="FLT55" s="17"/>
      <c r="FLU55" s="17"/>
      <c r="FMA55" s="17"/>
      <c r="FMB55" s="17"/>
      <c r="FMC55" s="17"/>
      <c r="FMI55" s="17"/>
      <c r="FMJ55" s="17"/>
      <c r="FMK55" s="17"/>
      <c r="FMQ55" s="17"/>
      <c r="FMR55" s="17"/>
      <c r="FMS55" s="17"/>
      <c r="FMY55" s="17"/>
      <c r="FMZ55" s="17"/>
      <c r="FNA55" s="17"/>
      <c r="FNG55" s="17"/>
      <c r="FNH55" s="17"/>
      <c r="FNI55" s="17"/>
      <c r="FNO55" s="17"/>
      <c r="FNP55" s="17"/>
      <c r="FNQ55" s="17"/>
      <c r="FNW55" s="17"/>
      <c r="FNX55" s="17"/>
      <c r="FNY55" s="17"/>
      <c r="FOE55" s="17"/>
      <c r="FOF55" s="17"/>
      <c r="FOG55" s="17"/>
      <c r="FOM55" s="17"/>
      <c r="FON55" s="17"/>
      <c r="FOO55" s="17"/>
      <c r="FOU55" s="17"/>
      <c r="FOV55" s="17"/>
      <c r="FOW55" s="17"/>
      <c r="FPC55" s="17"/>
      <c r="FPD55" s="17"/>
      <c r="FPE55" s="17"/>
      <c r="FPK55" s="17"/>
      <c r="FPL55" s="17"/>
      <c r="FPM55" s="17"/>
      <c r="FPS55" s="17"/>
      <c r="FPT55" s="17"/>
      <c r="FPU55" s="17"/>
      <c r="FQA55" s="17"/>
      <c r="FQB55" s="17"/>
      <c r="FQC55" s="17"/>
      <c r="FQI55" s="17"/>
      <c r="FQJ55" s="17"/>
      <c r="FQK55" s="17"/>
      <c r="FQQ55" s="17"/>
      <c r="FQR55" s="17"/>
      <c r="FQS55" s="17"/>
      <c r="FQY55" s="17"/>
      <c r="FQZ55" s="17"/>
      <c r="FRA55" s="17"/>
      <c r="FRG55" s="17"/>
      <c r="FRH55" s="17"/>
      <c r="FRI55" s="17"/>
      <c r="FRO55" s="17"/>
      <c r="FRP55" s="17"/>
      <c r="FRQ55" s="17"/>
      <c r="FRW55" s="17"/>
      <c r="FRX55" s="17"/>
      <c r="FRY55" s="17"/>
      <c r="FSE55" s="17"/>
      <c r="FSF55" s="17"/>
      <c r="FSG55" s="17"/>
      <c r="FSM55" s="17"/>
      <c r="FSN55" s="17"/>
      <c r="FSO55" s="17"/>
      <c r="FSU55" s="17"/>
      <c r="FSV55" s="17"/>
      <c r="FSW55" s="17"/>
      <c r="FTC55" s="17"/>
      <c r="FTD55" s="17"/>
      <c r="FTE55" s="17"/>
      <c r="FTK55" s="17"/>
      <c r="FTL55" s="17"/>
      <c r="FTM55" s="17"/>
      <c r="FTS55" s="17"/>
      <c r="FTT55" s="17"/>
      <c r="FTU55" s="17"/>
      <c r="FUA55" s="17"/>
      <c r="FUB55" s="17"/>
      <c r="FUC55" s="17"/>
      <c r="FUI55" s="17"/>
      <c r="FUJ55" s="17"/>
      <c r="FUK55" s="17"/>
      <c r="FUQ55" s="17"/>
      <c r="FUR55" s="17"/>
      <c r="FUS55" s="17"/>
      <c r="FUY55" s="17"/>
      <c r="FUZ55" s="17"/>
      <c r="FVA55" s="17"/>
      <c r="FVG55" s="17"/>
      <c r="FVH55" s="17"/>
      <c r="FVI55" s="17"/>
      <c r="FVO55" s="17"/>
      <c r="FVP55" s="17"/>
      <c r="FVQ55" s="17"/>
      <c r="FVW55" s="17"/>
      <c r="FVX55" s="17"/>
      <c r="FVY55" s="17"/>
      <c r="FWE55" s="17"/>
      <c r="FWF55" s="17"/>
      <c r="FWG55" s="17"/>
      <c r="FWM55" s="17"/>
      <c r="FWN55" s="17"/>
      <c r="FWO55" s="17"/>
      <c r="FWU55" s="17"/>
      <c r="FWV55" s="17"/>
      <c r="FWW55" s="17"/>
      <c r="FXC55" s="17"/>
      <c r="FXD55" s="17"/>
      <c r="FXE55" s="17"/>
      <c r="FXK55" s="17"/>
      <c r="FXL55" s="17"/>
      <c r="FXM55" s="17"/>
      <c r="FXS55" s="17"/>
      <c r="FXT55" s="17"/>
      <c r="FXU55" s="17"/>
      <c r="FYA55" s="17"/>
      <c r="FYB55" s="17"/>
      <c r="FYC55" s="17"/>
      <c r="FYI55" s="17"/>
      <c r="FYJ55" s="17"/>
      <c r="FYK55" s="17"/>
      <c r="FYQ55" s="17"/>
      <c r="FYR55" s="17"/>
      <c r="FYS55" s="17"/>
      <c r="FYY55" s="17"/>
      <c r="FYZ55" s="17"/>
      <c r="FZA55" s="17"/>
      <c r="FZG55" s="17"/>
      <c r="FZH55" s="17"/>
      <c r="FZI55" s="17"/>
      <c r="FZO55" s="17"/>
      <c r="FZP55" s="17"/>
      <c r="FZQ55" s="17"/>
      <c r="FZW55" s="17"/>
      <c r="FZX55" s="17"/>
      <c r="FZY55" s="17"/>
      <c r="GAE55" s="17"/>
      <c r="GAF55" s="17"/>
      <c r="GAG55" s="17"/>
      <c r="GAM55" s="17"/>
      <c r="GAN55" s="17"/>
      <c r="GAO55" s="17"/>
      <c r="GAU55" s="17"/>
      <c r="GAV55" s="17"/>
      <c r="GAW55" s="17"/>
      <c r="GBC55" s="17"/>
      <c r="GBD55" s="17"/>
      <c r="GBE55" s="17"/>
      <c r="GBK55" s="17"/>
      <c r="GBL55" s="17"/>
      <c r="GBM55" s="17"/>
      <c r="GBS55" s="17"/>
      <c r="GBT55" s="17"/>
      <c r="GBU55" s="17"/>
      <c r="GCA55" s="17"/>
      <c r="GCB55" s="17"/>
      <c r="GCC55" s="17"/>
      <c r="GCI55" s="17"/>
      <c r="GCJ55" s="17"/>
      <c r="GCK55" s="17"/>
      <c r="GCQ55" s="17"/>
      <c r="GCR55" s="17"/>
      <c r="GCS55" s="17"/>
      <c r="GCY55" s="17"/>
      <c r="GCZ55" s="17"/>
      <c r="GDA55" s="17"/>
      <c r="GDG55" s="17"/>
      <c r="GDH55" s="17"/>
      <c r="GDI55" s="17"/>
      <c r="GDO55" s="17"/>
      <c r="GDP55" s="17"/>
      <c r="GDQ55" s="17"/>
      <c r="GDW55" s="17"/>
      <c r="GDX55" s="17"/>
      <c r="GDY55" s="17"/>
      <c r="GEE55" s="17"/>
      <c r="GEF55" s="17"/>
      <c r="GEG55" s="17"/>
      <c r="GEM55" s="17"/>
      <c r="GEN55" s="17"/>
      <c r="GEO55" s="17"/>
      <c r="GEU55" s="17"/>
      <c r="GEV55" s="17"/>
      <c r="GEW55" s="17"/>
      <c r="GFC55" s="17"/>
      <c r="GFD55" s="17"/>
      <c r="GFE55" s="17"/>
      <c r="GFK55" s="17"/>
      <c r="GFL55" s="17"/>
      <c r="GFM55" s="17"/>
      <c r="GFS55" s="17"/>
      <c r="GFT55" s="17"/>
      <c r="GFU55" s="17"/>
      <c r="GGA55" s="17"/>
      <c r="GGB55" s="17"/>
      <c r="GGC55" s="17"/>
      <c r="GGI55" s="17"/>
      <c r="GGJ55" s="17"/>
      <c r="GGK55" s="17"/>
      <c r="GGQ55" s="17"/>
      <c r="GGR55" s="17"/>
      <c r="GGS55" s="17"/>
      <c r="GGY55" s="17"/>
      <c r="GGZ55" s="17"/>
      <c r="GHA55" s="17"/>
      <c r="GHG55" s="17"/>
      <c r="GHH55" s="17"/>
      <c r="GHI55" s="17"/>
      <c r="GHO55" s="17"/>
      <c r="GHP55" s="17"/>
      <c r="GHQ55" s="17"/>
      <c r="GHW55" s="17"/>
      <c r="GHX55" s="17"/>
      <c r="GHY55" s="17"/>
      <c r="GIE55" s="17"/>
      <c r="GIF55" s="17"/>
      <c r="GIG55" s="17"/>
      <c r="GIM55" s="17"/>
      <c r="GIN55" s="17"/>
      <c r="GIO55" s="17"/>
      <c r="GIU55" s="17"/>
      <c r="GIV55" s="17"/>
      <c r="GIW55" s="17"/>
      <c r="GJC55" s="17"/>
      <c r="GJD55" s="17"/>
      <c r="GJE55" s="17"/>
      <c r="GJK55" s="17"/>
      <c r="GJL55" s="17"/>
      <c r="GJM55" s="17"/>
      <c r="GJS55" s="17"/>
      <c r="GJT55" s="17"/>
      <c r="GJU55" s="17"/>
      <c r="GKA55" s="17"/>
      <c r="GKB55" s="17"/>
      <c r="GKC55" s="17"/>
      <c r="GKI55" s="17"/>
      <c r="GKJ55" s="17"/>
      <c r="GKK55" s="17"/>
      <c r="GKQ55" s="17"/>
      <c r="GKR55" s="17"/>
      <c r="GKS55" s="17"/>
      <c r="GKY55" s="17"/>
      <c r="GKZ55" s="17"/>
      <c r="GLA55" s="17"/>
      <c r="GLG55" s="17"/>
      <c r="GLH55" s="17"/>
      <c r="GLI55" s="17"/>
      <c r="GLO55" s="17"/>
      <c r="GLP55" s="17"/>
      <c r="GLQ55" s="17"/>
      <c r="GLW55" s="17"/>
      <c r="GLX55" s="17"/>
      <c r="GLY55" s="17"/>
      <c r="GME55" s="17"/>
      <c r="GMF55" s="17"/>
      <c r="GMG55" s="17"/>
      <c r="GMM55" s="17"/>
      <c r="GMN55" s="17"/>
      <c r="GMO55" s="17"/>
      <c r="GMU55" s="17"/>
      <c r="GMV55" s="17"/>
      <c r="GMW55" s="17"/>
      <c r="GNC55" s="17"/>
      <c r="GND55" s="17"/>
      <c r="GNE55" s="17"/>
      <c r="GNK55" s="17"/>
      <c r="GNL55" s="17"/>
      <c r="GNM55" s="17"/>
      <c r="GNS55" s="17"/>
      <c r="GNT55" s="17"/>
      <c r="GNU55" s="17"/>
      <c r="GOA55" s="17"/>
      <c r="GOB55" s="17"/>
      <c r="GOC55" s="17"/>
      <c r="GOI55" s="17"/>
      <c r="GOJ55" s="17"/>
      <c r="GOK55" s="17"/>
      <c r="GOQ55" s="17"/>
      <c r="GOR55" s="17"/>
      <c r="GOS55" s="17"/>
      <c r="GOY55" s="17"/>
      <c r="GOZ55" s="17"/>
      <c r="GPA55" s="17"/>
      <c r="GPG55" s="17"/>
      <c r="GPH55" s="17"/>
      <c r="GPI55" s="17"/>
      <c r="GPO55" s="17"/>
      <c r="GPP55" s="17"/>
      <c r="GPQ55" s="17"/>
      <c r="GPW55" s="17"/>
      <c r="GPX55" s="17"/>
      <c r="GPY55" s="17"/>
      <c r="GQE55" s="17"/>
      <c r="GQF55" s="17"/>
      <c r="GQG55" s="17"/>
      <c r="GQM55" s="17"/>
      <c r="GQN55" s="17"/>
      <c r="GQO55" s="17"/>
      <c r="GQU55" s="17"/>
      <c r="GQV55" s="17"/>
      <c r="GQW55" s="17"/>
      <c r="GRC55" s="17"/>
      <c r="GRD55" s="17"/>
      <c r="GRE55" s="17"/>
      <c r="GRK55" s="17"/>
      <c r="GRL55" s="17"/>
      <c r="GRM55" s="17"/>
      <c r="GRS55" s="17"/>
      <c r="GRT55" s="17"/>
      <c r="GRU55" s="17"/>
      <c r="GSA55" s="17"/>
      <c r="GSB55" s="17"/>
      <c r="GSC55" s="17"/>
      <c r="GSI55" s="17"/>
      <c r="GSJ55" s="17"/>
      <c r="GSK55" s="17"/>
      <c r="GSQ55" s="17"/>
      <c r="GSR55" s="17"/>
      <c r="GSS55" s="17"/>
      <c r="GSY55" s="17"/>
      <c r="GSZ55" s="17"/>
      <c r="GTA55" s="17"/>
      <c r="GTG55" s="17"/>
      <c r="GTH55" s="17"/>
      <c r="GTI55" s="17"/>
      <c r="GTO55" s="17"/>
      <c r="GTP55" s="17"/>
      <c r="GTQ55" s="17"/>
      <c r="GTW55" s="17"/>
      <c r="GTX55" s="17"/>
      <c r="GTY55" s="17"/>
      <c r="GUE55" s="17"/>
      <c r="GUF55" s="17"/>
      <c r="GUG55" s="17"/>
      <c r="GUM55" s="17"/>
      <c r="GUN55" s="17"/>
      <c r="GUO55" s="17"/>
      <c r="GUU55" s="17"/>
      <c r="GUV55" s="17"/>
      <c r="GUW55" s="17"/>
      <c r="GVC55" s="17"/>
      <c r="GVD55" s="17"/>
      <c r="GVE55" s="17"/>
      <c r="GVK55" s="17"/>
      <c r="GVL55" s="17"/>
      <c r="GVM55" s="17"/>
      <c r="GVS55" s="17"/>
      <c r="GVT55" s="17"/>
      <c r="GVU55" s="17"/>
      <c r="GWA55" s="17"/>
      <c r="GWB55" s="17"/>
      <c r="GWC55" s="17"/>
      <c r="GWI55" s="17"/>
      <c r="GWJ55" s="17"/>
      <c r="GWK55" s="17"/>
      <c r="GWQ55" s="17"/>
      <c r="GWR55" s="17"/>
      <c r="GWS55" s="17"/>
      <c r="GWY55" s="17"/>
      <c r="GWZ55" s="17"/>
      <c r="GXA55" s="17"/>
      <c r="GXG55" s="17"/>
      <c r="GXH55" s="17"/>
      <c r="GXI55" s="17"/>
      <c r="GXO55" s="17"/>
      <c r="GXP55" s="17"/>
      <c r="GXQ55" s="17"/>
      <c r="GXW55" s="17"/>
      <c r="GXX55" s="17"/>
      <c r="GXY55" s="17"/>
      <c r="GYE55" s="17"/>
      <c r="GYF55" s="17"/>
      <c r="GYG55" s="17"/>
      <c r="GYM55" s="17"/>
      <c r="GYN55" s="17"/>
      <c r="GYO55" s="17"/>
      <c r="GYU55" s="17"/>
      <c r="GYV55" s="17"/>
      <c r="GYW55" s="17"/>
      <c r="GZC55" s="17"/>
      <c r="GZD55" s="17"/>
      <c r="GZE55" s="17"/>
      <c r="GZK55" s="17"/>
      <c r="GZL55" s="17"/>
      <c r="GZM55" s="17"/>
      <c r="GZS55" s="17"/>
      <c r="GZT55" s="17"/>
      <c r="GZU55" s="17"/>
      <c r="HAA55" s="17"/>
      <c r="HAB55" s="17"/>
      <c r="HAC55" s="17"/>
      <c r="HAI55" s="17"/>
      <c r="HAJ55" s="17"/>
      <c r="HAK55" s="17"/>
      <c r="HAQ55" s="17"/>
      <c r="HAR55" s="17"/>
      <c r="HAS55" s="17"/>
      <c r="HAY55" s="17"/>
      <c r="HAZ55" s="17"/>
      <c r="HBA55" s="17"/>
      <c r="HBG55" s="17"/>
      <c r="HBH55" s="17"/>
      <c r="HBI55" s="17"/>
      <c r="HBO55" s="17"/>
      <c r="HBP55" s="17"/>
      <c r="HBQ55" s="17"/>
      <c r="HBW55" s="17"/>
      <c r="HBX55" s="17"/>
      <c r="HBY55" s="17"/>
      <c r="HCE55" s="17"/>
      <c r="HCF55" s="17"/>
      <c r="HCG55" s="17"/>
      <c r="HCM55" s="17"/>
      <c r="HCN55" s="17"/>
      <c r="HCO55" s="17"/>
      <c r="HCU55" s="17"/>
      <c r="HCV55" s="17"/>
      <c r="HCW55" s="17"/>
      <c r="HDC55" s="17"/>
      <c r="HDD55" s="17"/>
      <c r="HDE55" s="17"/>
      <c r="HDK55" s="17"/>
      <c r="HDL55" s="17"/>
      <c r="HDM55" s="17"/>
      <c r="HDS55" s="17"/>
      <c r="HDT55" s="17"/>
      <c r="HDU55" s="17"/>
      <c r="HEA55" s="17"/>
      <c r="HEB55" s="17"/>
      <c r="HEC55" s="17"/>
      <c r="HEI55" s="17"/>
      <c r="HEJ55" s="17"/>
      <c r="HEK55" s="17"/>
      <c r="HEQ55" s="17"/>
      <c r="HER55" s="17"/>
      <c r="HES55" s="17"/>
      <c r="HEY55" s="17"/>
      <c r="HEZ55" s="17"/>
      <c r="HFA55" s="17"/>
      <c r="HFG55" s="17"/>
      <c r="HFH55" s="17"/>
      <c r="HFI55" s="17"/>
      <c r="HFO55" s="17"/>
      <c r="HFP55" s="17"/>
      <c r="HFQ55" s="17"/>
      <c r="HFW55" s="17"/>
      <c r="HFX55" s="17"/>
      <c r="HFY55" s="17"/>
      <c r="HGE55" s="17"/>
      <c r="HGF55" s="17"/>
      <c r="HGG55" s="17"/>
      <c r="HGM55" s="17"/>
      <c r="HGN55" s="17"/>
      <c r="HGO55" s="17"/>
      <c r="HGU55" s="17"/>
      <c r="HGV55" s="17"/>
      <c r="HGW55" s="17"/>
      <c r="HHC55" s="17"/>
      <c r="HHD55" s="17"/>
      <c r="HHE55" s="17"/>
      <c r="HHK55" s="17"/>
      <c r="HHL55" s="17"/>
      <c r="HHM55" s="17"/>
      <c r="HHS55" s="17"/>
      <c r="HHT55" s="17"/>
      <c r="HHU55" s="17"/>
      <c r="HIA55" s="17"/>
      <c r="HIB55" s="17"/>
      <c r="HIC55" s="17"/>
      <c r="HII55" s="17"/>
      <c r="HIJ55" s="17"/>
      <c r="HIK55" s="17"/>
      <c r="HIQ55" s="17"/>
      <c r="HIR55" s="17"/>
      <c r="HIS55" s="17"/>
      <c r="HIY55" s="17"/>
      <c r="HIZ55" s="17"/>
      <c r="HJA55" s="17"/>
      <c r="HJG55" s="17"/>
      <c r="HJH55" s="17"/>
      <c r="HJI55" s="17"/>
      <c r="HJO55" s="17"/>
      <c r="HJP55" s="17"/>
      <c r="HJQ55" s="17"/>
      <c r="HJW55" s="17"/>
      <c r="HJX55" s="17"/>
      <c r="HJY55" s="17"/>
      <c r="HKE55" s="17"/>
      <c r="HKF55" s="17"/>
      <c r="HKG55" s="17"/>
      <c r="HKM55" s="17"/>
      <c r="HKN55" s="17"/>
      <c r="HKO55" s="17"/>
      <c r="HKU55" s="17"/>
      <c r="HKV55" s="17"/>
      <c r="HKW55" s="17"/>
      <c r="HLC55" s="17"/>
      <c r="HLD55" s="17"/>
      <c r="HLE55" s="17"/>
      <c r="HLK55" s="17"/>
      <c r="HLL55" s="17"/>
      <c r="HLM55" s="17"/>
      <c r="HLS55" s="17"/>
      <c r="HLT55" s="17"/>
      <c r="HLU55" s="17"/>
      <c r="HMA55" s="17"/>
      <c r="HMB55" s="17"/>
      <c r="HMC55" s="17"/>
      <c r="HMI55" s="17"/>
      <c r="HMJ55" s="17"/>
      <c r="HMK55" s="17"/>
      <c r="HMQ55" s="17"/>
      <c r="HMR55" s="17"/>
      <c r="HMS55" s="17"/>
      <c r="HMY55" s="17"/>
      <c r="HMZ55" s="17"/>
      <c r="HNA55" s="17"/>
      <c r="HNG55" s="17"/>
      <c r="HNH55" s="17"/>
      <c r="HNI55" s="17"/>
      <c r="HNO55" s="17"/>
      <c r="HNP55" s="17"/>
      <c r="HNQ55" s="17"/>
      <c r="HNW55" s="17"/>
      <c r="HNX55" s="17"/>
      <c r="HNY55" s="17"/>
      <c r="HOE55" s="17"/>
      <c r="HOF55" s="17"/>
      <c r="HOG55" s="17"/>
      <c r="HOM55" s="17"/>
      <c r="HON55" s="17"/>
      <c r="HOO55" s="17"/>
      <c r="HOU55" s="17"/>
      <c r="HOV55" s="17"/>
      <c r="HOW55" s="17"/>
      <c r="HPC55" s="17"/>
      <c r="HPD55" s="17"/>
      <c r="HPE55" s="17"/>
      <c r="HPK55" s="17"/>
      <c r="HPL55" s="17"/>
      <c r="HPM55" s="17"/>
      <c r="HPS55" s="17"/>
      <c r="HPT55" s="17"/>
      <c r="HPU55" s="17"/>
      <c r="HQA55" s="17"/>
      <c r="HQB55" s="17"/>
      <c r="HQC55" s="17"/>
      <c r="HQI55" s="17"/>
      <c r="HQJ55" s="17"/>
      <c r="HQK55" s="17"/>
      <c r="HQQ55" s="17"/>
      <c r="HQR55" s="17"/>
      <c r="HQS55" s="17"/>
      <c r="HQY55" s="17"/>
      <c r="HQZ55" s="17"/>
      <c r="HRA55" s="17"/>
      <c r="HRG55" s="17"/>
      <c r="HRH55" s="17"/>
      <c r="HRI55" s="17"/>
      <c r="HRO55" s="17"/>
      <c r="HRP55" s="17"/>
      <c r="HRQ55" s="17"/>
      <c r="HRW55" s="17"/>
      <c r="HRX55" s="17"/>
      <c r="HRY55" s="17"/>
      <c r="HSE55" s="17"/>
      <c r="HSF55" s="17"/>
      <c r="HSG55" s="17"/>
      <c r="HSM55" s="17"/>
      <c r="HSN55" s="17"/>
      <c r="HSO55" s="17"/>
      <c r="HSU55" s="17"/>
      <c r="HSV55" s="17"/>
      <c r="HSW55" s="17"/>
      <c r="HTC55" s="17"/>
      <c r="HTD55" s="17"/>
      <c r="HTE55" s="17"/>
      <c r="HTK55" s="17"/>
      <c r="HTL55" s="17"/>
      <c r="HTM55" s="17"/>
      <c r="HTS55" s="17"/>
      <c r="HTT55" s="17"/>
      <c r="HTU55" s="17"/>
      <c r="HUA55" s="17"/>
      <c r="HUB55" s="17"/>
      <c r="HUC55" s="17"/>
      <c r="HUI55" s="17"/>
      <c r="HUJ55" s="17"/>
      <c r="HUK55" s="17"/>
      <c r="HUQ55" s="17"/>
      <c r="HUR55" s="17"/>
      <c r="HUS55" s="17"/>
      <c r="HUY55" s="17"/>
      <c r="HUZ55" s="17"/>
      <c r="HVA55" s="17"/>
      <c r="HVG55" s="17"/>
      <c r="HVH55" s="17"/>
      <c r="HVI55" s="17"/>
      <c r="HVO55" s="17"/>
      <c r="HVP55" s="17"/>
      <c r="HVQ55" s="17"/>
      <c r="HVW55" s="17"/>
      <c r="HVX55" s="17"/>
      <c r="HVY55" s="17"/>
      <c r="HWE55" s="17"/>
      <c r="HWF55" s="17"/>
      <c r="HWG55" s="17"/>
      <c r="HWM55" s="17"/>
      <c r="HWN55" s="17"/>
      <c r="HWO55" s="17"/>
      <c r="HWU55" s="17"/>
      <c r="HWV55" s="17"/>
      <c r="HWW55" s="17"/>
      <c r="HXC55" s="17"/>
      <c r="HXD55" s="17"/>
      <c r="HXE55" s="17"/>
      <c r="HXK55" s="17"/>
      <c r="HXL55" s="17"/>
      <c r="HXM55" s="17"/>
      <c r="HXS55" s="17"/>
      <c r="HXT55" s="17"/>
      <c r="HXU55" s="17"/>
      <c r="HYA55" s="17"/>
      <c r="HYB55" s="17"/>
      <c r="HYC55" s="17"/>
      <c r="HYI55" s="17"/>
      <c r="HYJ55" s="17"/>
      <c r="HYK55" s="17"/>
      <c r="HYQ55" s="17"/>
      <c r="HYR55" s="17"/>
      <c r="HYS55" s="17"/>
      <c r="HYY55" s="17"/>
      <c r="HYZ55" s="17"/>
      <c r="HZA55" s="17"/>
      <c r="HZG55" s="17"/>
      <c r="HZH55" s="17"/>
      <c r="HZI55" s="17"/>
      <c r="HZO55" s="17"/>
      <c r="HZP55" s="17"/>
      <c r="HZQ55" s="17"/>
      <c r="HZW55" s="17"/>
      <c r="HZX55" s="17"/>
      <c r="HZY55" s="17"/>
      <c r="IAE55" s="17"/>
      <c r="IAF55" s="17"/>
      <c r="IAG55" s="17"/>
      <c r="IAM55" s="17"/>
      <c r="IAN55" s="17"/>
      <c r="IAO55" s="17"/>
      <c r="IAU55" s="17"/>
      <c r="IAV55" s="17"/>
      <c r="IAW55" s="17"/>
      <c r="IBC55" s="17"/>
      <c r="IBD55" s="17"/>
      <c r="IBE55" s="17"/>
      <c r="IBK55" s="17"/>
      <c r="IBL55" s="17"/>
      <c r="IBM55" s="17"/>
      <c r="IBS55" s="17"/>
      <c r="IBT55" s="17"/>
      <c r="IBU55" s="17"/>
      <c r="ICA55" s="17"/>
      <c r="ICB55" s="17"/>
      <c r="ICC55" s="17"/>
      <c r="ICI55" s="17"/>
      <c r="ICJ55" s="17"/>
      <c r="ICK55" s="17"/>
      <c r="ICQ55" s="17"/>
      <c r="ICR55" s="17"/>
      <c r="ICS55" s="17"/>
      <c r="ICY55" s="17"/>
      <c r="ICZ55" s="17"/>
      <c r="IDA55" s="17"/>
      <c r="IDG55" s="17"/>
      <c r="IDH55" s="17"/>
      <c r="IDI55" s="17"/>
      <c r="IDO55" s="17"/>
      <c r="IDP55" s="17"/>
      <c r="IDQ55" s="17"/>
      <c r="IDW55" s="17"/>
      <c r="IDX55" s="17"/>
      <c r="IDY55" s="17"/>
      <c r="IEE55" s="17"/>
      <c r="IEF55" s="17"/>
      <c r="IEG55" s="17"/>
      <c r="IEM55" s="17"/>
      <c r="IEN55" s="17"/>
      <c r="IEO55" s="17"/>
      <c r="IEU55" s="17"/>
      <c r="IEV55" s="17"/>
      <c r="IEW55" s="17"/>
      <c r="IFC55" s="17"/>
      <c r="IFD55" s="17"/>
      <c r="IFE55" s="17"/>
      <c r="IFK55" s="17"/>
      <c r="IFL55" s="17"/>
      <c r="IFM55" s="17"/>
      <c r="IFS55" s="17"/>
      <c r="IFT55" s="17"/>
      <c r="IFU55" s="17"/>
      <c r="IGA55" s="17"/>
      <c r="IGB55" s="17"/>
      <c r="IGC55" s="17"/>
      <c r="IGI55" s="17"/>
      <c r="IGJ55" s="17"/>
      <c r="IGK55" s="17"/>
      <c r="IGQ55" s="17"/>
      <c r="IGR55" s="17"/>
      <c r="IGS55" s="17"/>
      <c r="IGY55" s="17"/>
      <c r="IGZ55" s="17"/>
      <c r="IHA55" s="17"/>
      <c r="IHG55" s="17"/>
      <c r="IHH55" s="17"/>
      <c r="IHI55" s="17"/>
      <c r="IHO55" s="17"/>
      <c r="IHP55" s="17"/>
      <c r="IHQ55" s="17"/>
      <c r="IHW55" s="17"/>
      <c r="IHX55" s="17"/>
      <c r="IHY55" s="17"/>
      <c r="IIE55" s="17"/>
      <c r="IIF55" s="17"/>
      <c r="IIG55" s="17"/>
      <c r="IIM55" s="17"/>
      <c r="IIN55" s="17"/>
      <c r="IIO55" s="17"/>
      <c r="IIU55" s="17"/>
      <c r="IIV55" s="17"/>
      <c r="IIW55" s="17"/>
      <c r="IJC55" s="17"/>
      <c r="IJD55" s="17"/>
      <c r="IJE55" s="17"/>
      <c r="IJK55" s="17"/>
      <c r="IJL55" s="17"/>
      <c r="IJM55" s="17"/>
      <c r="IJS55" s="17"/>
      <c r="IJT55" s="17"/>
      <c r="IJU55" s="17"/>
      <c r="IKA55" s="17"/>
      <c r="IKB55" s="17"/>
      <c r="IKC55" s="17"/>
      <c r="IKI55" s="17"/>
      <c r="IKJ55" s="17"/>
      <c r="IKK55" s="17"/>
      <c r="IKQ55" s="17"/>
      <c r="IKR55" s="17"/>
      <c r="IKS55" s="17"/>
      <c r="IKY55" s="17"/>
      <c r="IKZ55" s="17"/>
      <c r="ILA55" s="17"/>
      <c r="ILG55" s="17"/>
      <c r="ILH55" s="17"/>
      <c r="ILI55" s="17"/>
      <c r="ILO55" s="17"/>
      <c r="ILP55" s="17"/>
      <c r="ILQ55" s="17"/>
      <c r="ILW55" s="17"/>
      <c r="ILX55" s="17"/>
      <c r="ILY55" s="17"/>
      <c r="IME55" s="17"/>
      <c r="IMF55" s="17"/>
      <c r="IMG55" s="17"/>
      <c r="IMM55" s="17"/>
      <c r="IMN55" s="17"/>
      <c r="IMO55" s="17"/>
      <c r="IMU55" s="17"/>
      <c r="IMV55" s="17"/>
      <c r="IMW55" s="17"/>
      <c r="INC55" s="17"/>
      <c r="IND55" s="17"/>
      <c r="INE55" s="17"/>
      <c r="INK55" s="17"/>
      <c r="INL55" s="17"/>
      <c r="INM55" s="17"/>
      <c r="INS55" s="17"/>
      <c r="INT55" s="17"/>
      <c r="INU55" s="17"/>
      <c r="IOA55" s="17"/>
      <c r="IOB55" s="17"/>
      <c r="IOC55" s="17"/>
      <c r="IOI55" s="17"/>
      <c r="IOJ55" s="17"/>
      <c r="IOK55" s="17"/>
      <c r="IOQ55" s="17"/>
      <c r="IOR55" s="17"/>
      <c r="IOS55" s="17"/>
      <c r="IOY55" s="17"/>
      <c r="IOZ55" s="17"/>
      <c r="IPA55" s="17"/>
      <c r="IPG55" s="17"/>
      <c r="IPH55" s="17"/>
      <c r="IPI55" s="17"/>
      <c r="IPO55" s="17"/>
      <c r="IPP55" s="17"/>
      <c r="IPQ55" s="17"/>
      <c r="IPW55" s="17"/>
      <c r="IPX55" s="17"/>
      <c r="IPY55" s="17"/>
      <c r="IQE55" s="17"/>
      <c r="IQF55" s="17"/>
      <c r="IQG55" s="17"/>
      <c r="IQM55" s="17"/>
      <c r="IQN55" s="17"/>
      <c r="IQO55" s="17"/>
      <c r="IQU55" s="17"/>
      <c r="IQV55" s="17"/>
      <c r="IQW55" s="17"/>
      <c r="IRC55" s="17"/>
      <c r="IRD55" s="17"/>
      <c r="IRE55" s="17"/>
      <c r="IRK55" s="17"/>
      <c r="IRL55" s="17"/>
      <c r="IRM55" s="17"/>
      <c r="IRS55" s="17"/>
      <c r="IRT55" s="17"/>
      <c r="IRU55" s="17"/>
      <c r="ISA55" s="17"/>
      <c r="ISB55" s="17"/>
      <c r="ISC55" s="17"/>
      <c r="ISI55" s="17"/>
      <c r="ISJ55" s="17"/>
      <c r="ISK55" s="17"/>
      <c r="ISQ55" s="17"/>
      <c r="ISR55" s="17"/>
      <c r="ISS55" s="17"/>
      <c r="ISY55" s="17"/>
      <c r="ISZ55" s="17"/>
      <c r="ITA55" s="17"/>
      <c r="ITG55" s="17"/>
      <c r="ITH55" s="17"/>
      <c r="ITI55" s="17"/>
      <c r="ITO55" s="17"/>
      <c r="ITP55" s="17"/>
      <c r="ITQ55" s="17"/>
      <c r="ITW55" s="17"/>
      <c r="ITX55" s="17"/>
      <c r="ITY55" s="17"/>
      <c r="IUE55" s="17"/>
      <c r="IUF55" s="17"/>
      <c r="IUG55" s="17"/>
      <c r="IUM55" s="17"/>
      <c r="IUN55" s="17"/>
      <c r="IUO55" s="17"/>
      <c r="IUU55" s="17"/>
      <c r="IUV55" s="17"/>
      <c r="IUW55" s="17"/>
      <c r="IVC55" s="17"/>
      <c r="IVD55" s="17"/>
      <c r="IVE55" s="17"/>
      <c r="IVK55" s="17"/>
      <c r="IVL55" s="17"/>
      <c r="IVM55" s="17"/>
      <c r="IVS55" s="17"/>
      <c r="IVT55" s="17"/>
      <c r="IVU55" s="17"/>
      <c r="IWA55" s="17"/>
      <c r="IWB55" s="17"/>
      <c r="IWC55" s="17"/>
      <c r="IWI55" s="17"/>
      <c r="IWJ55" s="17"/>
      <c r="IWK55" s="17"/>
      <c r="IWQ55" s="17"/>
      <c r="IWR55" s="17"/>
      <c r="IWS55" s="17"/>
      <c r="IWY55" s="17"/>
      <c r="IWZ55" s="17"/>
      <c r="IXA55" s="17"/>
      <c r="IXG55" s="17"/>
      <c r="IXH55" s="17"/>
      <c r="IXI55" s="17"/>
      <c r="IXO55" s="17"/>
      <c r="IXP55" s="17"/>
      <c r="IXQ55" s="17"/>
      <c r="IXW55" s="17"/>
      <c r="IXX55" s="17"/>
      <c r="IXY55" s="17"/>
      <c r="IYE55" s="17"/>
      <c r="IYF55" s="17"/>
      <c r="IYG55" s="17"/>
      <c r="IYM55" s="17"/>
      <c r="IYN55" s="17"/>
      <c r="IYO55" s="17"/>
      <c r="IYU55" s="17"/>
      <c r="IYV55" s="17"/>
      <c r="IYW55" s="17"/>
      <c r="IZC55" s="17"/>
      <c r="IZD55" s="17"/>
      <c r="IZE55" s="17"/>
      <c r="IZK55" s="17"/>
      <c r="IZL55" s="17"/>
      <c r="IZM55" s="17"/>
      <c r="IZS55" s="17"/>
      <c r="IZT55" s="17"/>
      <c r="IZU55" s="17"/>
      <c r="JAA55" s="17"/>
      <c r="JAB55" s="17"/>
      <c r="JAC55" s="17"/>
      <c r="JAI55" s="17"/>
      <c r="JAJ55" s="17"/>
      <c r="JAK55" s="17"/>
      <c r="JAQ55" s="17"/>
      <c r="JAR55" s="17"/>
      <c r="JAS55" s="17"/>
      <c r="JAY55" s="17"/>
      <c r="JAZ55" s="17"/>
      <c r="JBA55" s="17"/>
      <c r="JBG55" s="17"/>
      <c r="JBH55" s="17"/>
      <c r="JBI55" s="17"/>
      <c r="JBO55" s="17"/>
      <c r="JBP55" s="17"/>
      <c r="JBQ55" s="17"/>
      <c r="JBW55" s="17"/>
      <c r="JBX55" s="17"/>
      <c r="JBY55" s="17"/>
      <c r="JCE55" s="17"/>
      <c r="JCF55" s="17"/>
      <c r="JCG55" s="17"/>
      <c r="JCM55" s="17"/>
      <c r="JCN55" s="17"/>
      <c r="JCO55" s="17"/>
      <c r="JCU55" s="17"/>
      <c r="JCV55" s="17"/>
      <c r="JCW55" s="17"/>
      <c r="JDC55" s="17"/>
      <c r="JDD55" s="17"/>
      <c r="JDE55" s="17"/>
      <c r="JDK55" s="17"/>
      <c r="JDL55" s="17"/>
      <c r="JDM55" s="17"/>
      <c r="JDS55" s="17"/>
      <c r="JDT55" s="17"/>
      <c r="JDU55" s="17"/>
      <c r="JEA55" s="17"/>
      <c r="JEB55" s="17"/>
      <c r="JEC55" s="17"/>
      <c r="JEI55" s="17"/>
      <c r="JEJ55" s="17"/>
      <c r="JEK55" s="17"/>
      <c r="JEQ55" s="17"/>
      <c r="JER55" s="17"/>
      <c r="JES55" s="17"/>
      <c r="JEY55" s="17"/>
      <c r="JEZ55" s="17"/>
      <c r="JFA55" s="17"/>
      <c r="JFG55" s="17"/>
      <c r="JFH55" s="17"/>
      <c r="JFI55" s="17"/>
      <c r="JFO55" s="17"/>
      <c r="JFP55" s="17"/>
      <c r="JFQ55" s="17"/>
      <c r="JFW55" s="17"/>
      <c r="JFX55" s="17"/>
      <c r="JFY55" s="17"/>
      <c r="JGE55" s="17"/>
      <c r="JGF55" s="17"/>
      <c r="JGG55" s="17"/>
      <c r="JGM55" s="17"/>
      <c r="JGN55" s="17"/>
      <c r="JGO55" s="17"/>
      <c r="JGU55" s="17"/>
      <c r="JGV55" s="17"/>
      <c r="JGW55" s="17"/>
      <c r="JHC55" s="17"/>
      <c r="JHD55" s="17"/>
      <c r="JHE55" s="17"/>
      <c r="JHK55" s="17"/>
      <c r="JHL55" s="17"/>
      <c r="JHM55" s="17"/>
      <c r="JHS55" s="17"/>
      <c r="JHT55" s="17"/>
      <c r="JHU55" s="17"/>
      <c r="JIA55" s="17"/>
      <c r="JIB55" s="17"/>
      <c r="JIC55" s="17"/>
      <c r="JII55" s="17"/>
      <c r="JIJ55" s="17"/>
      <c r="JIK55" s="17"/>
      <c r="JIQ55" s="17"/>
      <c r="JIR55" s="17"/>
      <c r="JIS55" s="17"/>
      <c r="JIY55" s="17"/>
      <c r="JIZ55" s="17"/>
      <c r="JJA55" s="17"/>
      <c r="JJG55" s="17"/>
      <c r="JJH55" s="17"/>
      <c r="JJI55" s="17"/>
      <c r="JJO55" s="17"/>
      <c r="JJP55" s="17"/>
      <c r="JJQ55" s="17"/>
      <c r="JJW55" s="17"/>
      <c r="JJX55" s="17"/>
      <c r="JJY55" s="17"/>
      <c r="JKE55" s="17"/>
      <c r="JKF55" s="17"/>
      <c r="JKG55" s="17"/>
      <c r="JKM55" s="17"/>
      <c r="JKN55" s="17"/>
      <c r="JKO55" s="17"/>
      <c r="JKU55" s="17"/>
      <c r="JKV55" s="17"/>
      <c r="JKW55" s="17"/>
      <c r="JLC55" s="17"/>
      <c r="JLD55" s="17"/>
      <c r="JLE55" s="17"/>
      <c r="JLK55" s="17"/>
      <c r="JLL55" s="17"/>
      <c r="JLM55" s="17"/>
      <c r="JLS55" s="17"/>
      <c r="JLT55" s="17"/>
      <c r="JLU55" s="17"/>
      <c r="JMA55" s="17"/>
      <c r="JMB55" s="17"/>
      <c r="JMC55" s="17"/>
      <c r="JMI55" s="17"/>
      <c r="JMJ55" s="17"/>
      <c r="JMK55" s="17"/>
      <c r="JMQ55" s="17"/>
      <c r="JMR55" s="17"/>
      <c r="JMS55" s="17"/>
      <c r="JMY55" s="17"/>
      <c r="JMZ55" s="17"/>
      <c r="JNA55" s="17"/>
      <c r="JNG55" s="17"/>
      <c r="JNH55" s="17"/>
      <c r="JNI55" s="17"/>
      <c r="JNO55" s="17"/>
      <c r="JNP55" s="17"/>
      <c r="JNQ55" s="17"/>
      <c r="JNW55" s="17"/>
      <c r="JNX55" s="17"/>
      <c r="JNY55" s="17"/>
      <c r="JOE55" s="17"/>
      <c r="JOF55" s="17"/>
      <c r="JOG55" s="17"/>
      <c r="JOM55" s="17"/>
      <c r="JON55" s="17"/>
      <c r="JOO55" s="17"/>
      <c r="JOU55" s="17"/>
      <c r="JOV55" s="17"/>
      <c r="JOW55" s="17"/>
      <c r="JPC55" s="17"/>
      <c r="JPD55" s="17"/>
      <c r="JPE55" s="17"/>
      <c r="JPK55" s="17"/>
      <c r="JPL55" s="17"/>
      <c r="JPM55" s="17"/>
      <c r="JPS55" s="17"/>
      <c r="JPT55" s="17"/>
      <c r="JPU55" s="17"/>
      <c r="JQA55" s="17"/>
      <c r="JQB55" s="17"/>
      <c r="JQC55" s="17"/>
      <c r="JQI55" s="17"/>
      <c r="JQJ55" s="17"/>
      <c r="JQK55" s="17"/>
      <c r="JQQ55" s="17"/>
      <c r="JQR55" s="17"/>
      <c r="JQS55" s="17"/>
      <c r="JQY55" s="17"/>
      <c r="JQZ55" s="17"/>
      <c r="JRA55" s="17"/>
      <c r="JRG55" s="17"/>
      <c r="JRH55" s="17"/>
      <c r="JRI55" s="17"/>
      <c r="JRO55" s="17"/>
      <c r="JRP55" s="17"/>
      <c r="JRQ55" s="17"/>
      <c r="JRW55" s="17"/>
      <c r="JRX55" s="17"/>
      <c r="JRY55" s="17"/>
      <c r="JSE55" s="17"/>
      <c r="JSF55" s="17"/>
      <c r="JSG55" s="17"/>
      <c r="JSM55" s="17"/>
      <c r="JSN55" s="17"/>
      <c r="JSO55" s="17"/>
      <c r="JSU55" s="17"/>
      <c r="JSV55" s="17"/>
      <c r="JSW55" s="17"/>
      <c r="JTC55" s="17"/>
      <c r="JTD55" s="17"/>
      <c r="JTE55" s="17"/>
      <c r="JTK55" s="17"/>
      <c r="JTL55" s="17"/>
      <c r="JTM55" s="17"/>
      <c r="JTS55" s="17"/>
      <c r="JTT55" s="17"/>
      <c r="JTU55" s="17"/>
      <c r="JUA55" s="17"/>
      <c r="JUB55" s="17"/>
      <c r="JUC55" s="17"/>
      <c r="JUI55" s="17"/>
      <c r="JUJ55" s="17"/>
      <c r="JUK55" s="17"/>
      <c r="JUQ55" s="17"/>
      <c r="JUR55" s="17"/>
      <c r="JUS55" s="17"/>
      <c r="JUY55" s="17"/>
      <c r="JUZ55" s="17"/>
      <c r="JVA55" s="17"/>
      <c r="JVG55" s="17"/>
      <c r="JVH55" s="17"/>
      <c r="JVI55" s="17"/>
      <c r="JVO55" s="17"/>
      <c r="JVP55" s="17"/>
      <c r="JVQ55" s="17"/>
      <c r="JVW55" s="17"/>
      <c r="JVX55" s="17"/>
      <c r="JVY55" s="17"/>
      <c r="JWE55" s="17"/>
      <c r="JWF55" s="17"/>
      <c r="JWG55" s="17"/>
      <c r="JWM55" s="17"/>
      <c r="JWN55" s="17"/>
      <c r="JWO55" s="17"/>
      <c r="JWU55" s="17"/>
      <c r="JWV55" s="17"/>
      <c r="JWW55" s="17"/>
      <c r="JXC55" s="17"/>
      <c r="JXD55" s="17"/>
      <c r="JXE55" s="17"/>
      <c r="JXK55" s="17"/>
      <c r="JXL55" s="17"/>
      <c r="JXM55" s="17"/>
      <c r="JXS55" s="17"/>
      <c r="JXT55" s="17"/>
      <c r="JXU55" s="17"/>
      <c r="JYA55" s="17"/>
      <c r="JYB55" s="17"/>
      <c r="JYC55" s="17"/>
      <c r="JYI55" s="17"/>
      <c r="JYJ55" s="17"/>
      <c r="JYK55" s="17"/>
      <c r="JYQ55" s="17"/>
      <c r="JYR55" s="17"/>
      <c r="JYS55" s="17"/>
      <c r="JYY55" s="17"/>
      <c r="JYZ55" s="17"/>
      <c r="JZA55" s="17"/>
      <c r="JZG55" s="17"/>
      <c r="JZH55" s="17"/>
      <c r="JZI55" s="17"/>
      <c r="JZO55" s="17"/>
      <c r="JZP55" s="17"/>
      <c r="JZQ55" s="17"/>
      <c r="JZW55" s="17"/>
      <c r="JZX55" s="17"/>
      <c r="JZY55" s="17"/>
      <c r="KAE55" s="17"/>
      <c r="KAF55" s="17"/>
      <c r="KAG55" s="17"/>
      <c r="KAM55" s="17"/>
      <c r="KAN55" s="17"/>
      <c r="KAO55" s="17"/>
      <c r="KAU55" s="17"/>
      <c r="KAV55" s="17"/>
      <c r="KAW55" s="17"/>
      <c r="KBC55" s="17"/>
      <c r="KBD55" s="17"/>
      <c r="KBE55" s="17"/>
      <c r="KBK55" s="17"/>
      <c r="KBL55" s="17"/>
      <c r="KBM55" s="17"/>
      <c r="KBS55" s="17"/>
      <c r="KBT55" s="17"/>
      <c r="KBU55" s="17"/>
      <c r="KCA55" s="17"/>
      <c r="KCB55" s="17"/>
      <c r="KCC55" s="17"/>
      <c r="KCI55" s="17"/>
      <c r="KCJ55" s="17"/>
      <c r="KCK55" s="17"/>
      <c r="KCQ55" s="17"/>
      <c r="KCR55" s="17"/>
      <c r="KCS55" s="17"/>
      <c r="KCY55" s="17"/>
      <c r="KCZ55" s="17"/>
      <c r="KDA55" s="17"/>
      <c r="KDG55" s="17"/>
      <c r="KDH55" s="17"/>
      <c r="KDI55" s="17"/>
      <c r="KDO55" s="17"/>
      <c r="KDP55" s="17"/>
      <c r="KDQ55" s="17"/>
      <c r="KDW55" s="17"/>
      <c r="KDX55" s="17"/>
      <c r="KDY55" s="17"/>
      <c r="KEE55" s="17"/>
      <c r="KEF55" s="17"/>
      <c r="KEG55" s="17"/>
      <c r="KEM55" s="17"/>
      <c r="KEN55" s="17"/>
      <c r="KEO55" s="17"/>
      <c r="KEU55" s="17"/>
      <c r="KEV55" s="17"/>
      <c r="KEW55" s="17"/>
      <c r="KFC55" s="17"/>
      <c r="KFD55" s="17"/>
      <c r="KFE55" s="17"/>
      <c r="KFK55" s="17"/>
      <c r="KFL55" s="17"/>
      <c r="KFM55" s="17"/>
      <c r="KFS55" s="17"/>
      <c r="KFT55" s="17"/>
      <c r="KFU55" s="17"/>
      <c r="KGA55" s="17"/>
      <c r="KGB55" s="17"/>
      <c r="KGC55" s="17"/>
      <c r="KGI55" s="17"/>
      <c r="KGJ55" s="17"/>
      <c r="KGK55" s="17"/>
      <c r="KGQ55" s="17"/>
      <c r="KGR55" s="17"/>
      <c r="KGS55" s="17"/>
      <c r="KGY55" s="17"/>
      <c r="KGZ55" s="17"/>
      <c r="KHA55" s="17"/>
      <c r="KHG55" s="17"/>
      <c r="KHH55" s="17"/>
      <c r="KHI55" s="17"/>
      <c r="KHO55" s="17"/>
      <c r="KHP55" s="17"/>
      <c r="KHQ55" s="17"/>
      <c r="KHW55" s="17"/>
      <c r="KHX55" s="17"/>
      <c r="KHY55" s="17"/>
      <c r="KIE55" s="17"/>
      <c r="KIF55" s="17"/>
      <c r="KIG55" s="17"/>
      <c r="KIM55" s="17"/>
      <c r="KIN55" s="17"/>
      <c r="KIO55" s="17"/>
      <c r="KIU55" s="17"/>
      <c r="KIV55" s="17"/>
      <c r="KIW55" s="17"/>
      <c r="KJC55" s="17"/>
      <c r="KJD55" s="17"/>
      <c r="KJE55" s="17"/>
      <c r="KJK55" s="17"/>
      <c r="KJL55" s="17"/>
      <c r="KJM55" s="17"/>
      <c r="KJS55" s="17"/>
      <c r="KJT55" s="17"/>
      <c r="KJU55" s="17"/>
      <c r="KKA55" s="17"/>
      <c r="KKB55" s="17"/>
      <c r="KKC55" s="17"/>
      <c r="KKI55" s="17"/>
      <c r="KKJ55" s="17"/>
      <c r="KKK55" s="17"/>
      <c r="KKQ55" s="17"/>
      <c r="KKR55" s="17"/>
      <c r="KKS55" s="17"/>
      <c r="KKY55" s="17"/>
      <c r="KKZ55" s="17"/>
      <c r="KLA55" s="17"/>
      <c r="KLG55" s="17"/>
      <c r="KLH55" s="17"/>
      <c r="KLI55" s="17"/>
      <c r="KLO55" s="17"/>
      <c r="KLP55" s="17"/>
      <c r="KLQ55" s="17"/>
      <c r="KLW55" s="17"/>
      <c r="KLX55" s="17"/>
      <c r="KLY55" s="17"/>
      <c r="KME55" s="17"/>
      <c r="KMF55" s="17"/>
      <c r="KMG55" s="17"/>
      <c r="KMM55" s="17"/>
      <c r="KMN55" s="17"/>
      <c r="KMO55" s="17"/>
      <c r="KMU55" s="17"/>
      <c r="KMV55" s="17"/>
      <c r="KMW55" s="17"/>
      <c r="KNC55" s="17"/>
      <c r="KND55" s="17"/>
      <c r="KNE55" s="17"/>
      <c r="KNK55" s="17"/>
      <c r="KNL55" s="17"/>
      <c r="KNM55" s="17"/>
      <c r="KNS55" s="17"/>
      <c r="KNT55" s="17"/>
      <c r="KNU55" s="17"/>
      <c r="KOA55" s="17"/>
      <c r="KOB55" s="17"/>
      <c r="KOC55" s="17"/>
      <c r="KOI55" s="17"/>
      <c r="KOJ55" s="17"/>
      <c r="KOK55" s="17"/>
      <c r="KOQ55" s="17"/>
      <c r="KOR55" s="17"/>
      <c r="KOS55" s="17"/>
      <c r="KOY55" s="17"/>
      <c r="KOZ55" s="17"/>
      <c r="KPA55" s="17"/>
      <c r="KPG55" s="17"/>
      <c r="KPH55" s="17"/>
      <c r="KPI55" s="17"/>
      <c r="KPO55" s="17"/>
      <c r="KPP55" s="17"/>
      <c r="KPQ55" s="17"/>
      <c r="KPW55" s="17"/>
      <c r="KPX55" s="17"/>
      <c r="KPY55" s="17"/>
      <c r="KQE55" s="17"/>
      <c r="KQF55" s="17"/>
      <c r="KQG55" s="17"/>
      <c r="KQM55" s="17"/>
      <c r="KQN55" s="17"/>
      <c r="KQO55" s="17"/>
      <c r="KQU55" s="17"/>
      <c r="KQV55" s="17"/>
      <c r="KQW55" s="17"/>
      <c r="KRC55" s="17"/>
      <c r="KRD55" s="17"/>
      <c r="KRE55" s="17"/>
      <c r="KRK55" s="17"/>
      <c r="KRL55" s="17"/>
      <c r="KRM55" s="17"/>
      <c r="KRS55" s="17"/>
      <c r="KRT55" s="17"/>
      <c r="KRU55" s="17"/>
      <c r="KSA55" s="17"/>
      <c r="KSB55" s="17"/>
      <c r="KSC55" s="17"/>
      <c r="KSI55" s="17"/>
      <c r="KSJ55" s="17"/>
      <c r="KSK55" s="17"/>
      <c r="KSQ55" s="17"/>
      <c r="KSR55" s="17"/>
      <c r="KSS55" s="17"/>
      <c r="KSY55" s="17"/>
      <c r="KSZ55" s="17"/>
      <c r="KTA55" s="17"/>
      <c r="KTG55" s="17"/>
      <c r="KTH55" s="17"/>
      <c r="KTI55" s="17"/>
      <c r="KTO55" s="17"/>
      <c r="KTP55" s="17"/>
      <c r="KTQ55" s="17"/>
      <c r="KTW55" s="17"/>
      <c r="KTX55" s="17"/>
      <c r="KTY55" s="17"/>
      <c r="KUE55" s="17"/>
      <c r="KUF55" s="17"/>
      <c r="KUG55" s="17"/>
      <c r="KUM55" s="17"/>
      <c r="KUN55" s="17"/>
      <c r="KUO55" s="17"/>
      <c r="KUU55" s="17"/>
      <c r="KUV55" s="17"/>
      <c r="KUW55" s="17"/>
      <c r="KVC55" s="17"/>
      <c r="KVD55" s="17"/>
      <c r="KVE55" s="17"/>
      <c r="KVK55" s="17"/>
      <c r="KVL55" s="17"/>
      <c r="KVM55" s="17"/>
      <c r="KVS55" s="17"/>
      <c r="KVT55" s="17"/>
      <c r="KVU55" s="17"/>
      <c r="KWA55" s="17"/>
      <c r="KWB55" s="17"/>
      <c r="KWC55" s="17"/>
      <c r="KWI55" s="17"/>
      <c r="KWJ55" s="17"/>
      <c r="KWK55" s="17"/>
      <c r="KWQ55" s="17"/>
      <c r="KWR55" s="17"/>
      <c r="KWS55" s="17"/>
      <c r="KWY55" s="17"/>
      <c r="KWZ55" s="17"/>
      <c r="KXA55" s="17"/>
      <c r="KXG55" s="17"/>
      <c r="KXH55" s="17"/>
      <c r="KXI55" s="17"/>
      <c r="KXO55" s="17"/>
      <c r="KXP55" s="17"/>
      <c r="KXQ55" s="17"/>
      <c r="KXW55" s="17"/>
      <c r="KXX55" s="17"/>
      <c r="KXY55" s="17"/>
      <c r="KYE55" s="17"/>
      <c r="KYF55" s="17"/>
      <c r="KYG55" s="17"/>
      <c r="KYM55" s="17"/>
      <c r="KYN55" s="17"/>
      <c r="KYO55" s="17"/>
      <c r="KYU55" s="17"/>
      <c r="KYV55" s="17"/>
      <c r="KYW55" s="17"/>
      <c r="KZC55" s="17"/>
      <c r="KZD55" s="17"/>
      <c r="KZE55" s="17"/>
      <c r="KZK55" s="17"/>
      <c r="KZL55" s="17"/>
      <c r="KZM55" s="17"/>
      <c r="KZS55" s="17"/>
      <c r="KZT55" s="17"/>
      <c r="KZU55" s="17"/>
      <c r="LAA55" s="17"/>
      <c r="LAB55" s="17"/>
      <c r="LAC55" s="17"/>
      <c r="LAI55" s="17"/>
      <c r="LAJ55" s="17"/>
      <c r="LAK55" s="17"/>
      <c r="LAQ55" s="17"/>
      <c r="LAR55" s="17"/>
      <c r="LAS55" s="17"/>
      <c r="LAY55" s="17"/>
      <c r="LAZ55" s="17"/>
      <c r="LBA55" s="17"/>
      <c r="LBG55" s="17"/>
      <c r="LBH55" s="17"/>
      <c r="LBI55" s="17"/>
      <c r="LBO55" s="17"/>
      <c r="LBP55" s="17"/>
      <c r="LBQ55" s="17"/>
      <c r="LBW55" s="17"/>
      <c r="LBX55" s="17"/>
      <c r="LBY55" s="17"/>
      <c r="LCE55" s="17"/>
      <c r="LCF55" s="17"/>
      <c r="LCG55" s="17"/>
      <c r="LCM55" s="17"/>
      <c r="LCN55" s="17"/>
      <c r="LCO55" s="17"/>
      <c r="LCU55" s="17"/>
      <c r="LCV55" s="17"/>
      <c r="LCW55" s="17"/>
      <c r="LDC55" s="17"/>
      <c r="LDD55" s="17"/>
      <c r="LDE55" s="17"/>
      <c r="LDK55" s="17"/>
      <c r="LDL55" s="17"/>
      <c r="LDM55" s="17"/>
      <c r="LDS55" s="17"/>
      <c r="LDT55" s="17"/>
      <c r="LDU55" s="17"/>
      <c r="LEA55" s="17"/>
      <c r="LEB55" s="17"/>
      <c r="LEC55" s="17"/>
      <c r="LEI55" s="17"/>
      <c r="LEJ55" s="17"/>
      <c r="LEK55" s="17"/>
      <c r="LEQ55" s="17"/>
      <c r="LER55" s="17"/>
      <c r="LES55" s="17"/>
      <c r="LEY55" s="17"/>
      <c r="LEZ55" s="17"/>
      <c r="LFA55" s="17"/>
      <c r="LFG55" s="17"/>
      <c r="LFH55" s="17"/>
      <c r="LFI55" s="17"/>
      <c r="LFO55" s="17"/>
      <c r="LFP55" s="17"/>
      <c r="LFQ55" s="17"/>
      <c r="LFW55" s="17"/>
      <c r="LFX55" s="17"/>
      <c r="LFY55" s="17"/>
      <c r="LGE55" s="17"/>
      <c r="LGF55" s="17"/>
      <c r="LGG55" s="17"/>
      <c r="LGM55" s="17"/>
      <c r="LGN55" s="17"/>
      <c r="LGO55" s="17"/>
      <c r="LGU55" s="17"/>
      <c r="LGV55" s="17"/>
      <c r="LGW55" s="17"/>
      <c r="LHC55" s="17"/>
      <c r="LHD55" s="17"/>
      <c r="LHE55" s="17"/>
      <c r="LHK55" s="17"/>
      <c r="LHL55" s="17"/>
      <c r="LHM55" s="17"/>
      <c r="LHS55" s="17"/>
      <c r="LHT55" s="17"/>
      <c r="LHU55" s="17"/>
      <c r="LIA55" s="17"/>
      <c r="LIB55" s="17"/>
      <c r="LIC55" s="17"/>
      <c r="LII55" s="17"/>
      <c r="LIJ55" s="17"/>
      <c r="LIK55" s="17"/>
      <c r="LIQ55" s="17"/>
      <c r="LIR55" s="17"/>
      <c r="LIS55" s="17"/>
      <c r="LIY55" s="17"/>
      <c r="LIZ55" s="17"/>
      <c r="LJA55" s="17"/>
      <c r="LJG55" s="17"/>
      <c r="LJH55" s="17"/>
      <c r="LJI55" s="17"/>
      <c r="LJO55" s="17"/>
      <c r="LJP55" s="17"/>
      <c r="LJQ55" s="17"/>
      <c r="LJW55" s="17"/>
      <c r="LJX55" s="17"/>
      <c r="LJY55" s="17"/>
      <c r="LKE55" s="17"/>
      <c r="LKF55" s="17"/>
      <c r="LKG55" s="17"/>
      <c r="LKM55" s="17"/>
      <c r="LKN55" s="17"/>
      <c r="LKO55" s="17"/>
      <c r="LKU55" s="17"/>
      <c r="LKV55" s="17"/>
      <c r="LKW55" s="17"/>
      <c r="LLC55" s="17"/>
      <c r="LLD55" s="17"/>
      <c r="LLE55" s="17"/>
      <c r="LLK55" s="17"/>
      <c r="LLL55" s="17"/>
      <c r="LLM55" s="17"/>
      <c r="LLS55" s="17"/>
      <c r="LLT55" s="17"/>
      <c r="LLU55" s="17"/>
      <c r="LMA55" s="17"/>
      <c r="LMB55" s="17"/>
      <c r="LMC55" s="17"/>
      <c r="LMI55" s="17"/>
      <c r="LMJ55" s="17"/>
      <c r="LMK55" s="17"/>
      <c r="LMQ55" s="17"/>
      <c r="LMR55" s="17"/>
      <c r="LMS55" s="17"/>
      <c r="LMY55" s="17"/>
      <c r="LMZ55" s="17"/>
      <c r="LNA55" s="17"/>
      <c r="LNG55" s="17"/>
      <c r="LNH55" s="17"/>
      <c r="LNI55" s="17"/>
      <c r="LNO55" s="17"/>
      <c r="LNP55" s="17"/>
      <c r="LNQ55" s="17"/>
      <c r="LNW55" s="17"/>
      <c r="LNX55" s="17"/>
      <c r="LNY55" s="17"/>
      <c r="LOE55" s="17"/>
      <c r="LOF55" s="17"/>
      <c r="LOG55" s="17"/>
      <c r="LOM55" s="17"/>
      <c r="LON55" s="17"/>
      <c r="LOO55" s="17"/>
      <c r="LOU55" s="17"/>
      <c r="LOV55" s="17"/>
      <c r="LOW55" s="17"/>
      <c r="LPC55" s="17"/>
      <c r="LPD55" s="17"/>
      <c r="LPE55" s="17"/>
      <c r="LPK55" s="17"/>
      <c r="LPL55" s="17"/>
      <c r="LPM55" s="17"/>
      <c r="LPS55" s="17"/>
      <c r="LPT55" s="17"/>
      <c r="LPU55" s="17"/>
      <c r="LQA55" s="17"/>
      <c r="LQB55" s="17"/>
      <c r="LQC55" s="17"/>
      <c r="LQI55" s="17"/>
      <c r="LQJ55" s="17"/>
      <c r="LQK55" s="17"/>
      <c r="LQQ55" s="17"/>
      <c r="LQR55" s="17"/>
      <c r="LQS55" s="17"/>
      <c r="LQY55" s="17"/>
      <c r="LQZ55" s="17"/>
      <c r="LRA55" s="17"/>
      <c r="LRG55" s="17"/>
      <c r="LRH55" s="17"/>
      <c r="LRI55" s="17"/>
      <c r="LRO55" s="17"/>
      <c r="LRP55" s="17"/>
      <c r="LRQ55" s="17"/>
      <c r="LRW55" s="17"/>
      <c r="LRX55" s="17"/>
      <c r="LRY55" s="17"/>
      <c r="LSE55" s="17"/>
      <c r="LSF55" s="17"/>
      <c r="LSG55" s="17"/>
      <c r="LSM55" s="17"/>
      <c r="LSN55" s="17"/>
      <c r="LSO55" s="17"/>
      <c r="LSU55" s="17"/>
      <c r="LSV55" s="17"/>
      <c r="LSW55" s="17"/>
      <c r="LTC55" s="17"/>
      <c r="LTD55" s="17"/>
      <c r="LTE55" s="17"/>
      <c r="LTK55" s="17"/>
      <c r="LTL55" s="17"/>
      <c r="LTM55" s="17"/>
      <c r="LTS55" s="17"/>
      <c r="LTT55" s="17"/>
      <c r="LTU55" s="17"/>
      <c r="LUA55" s="17"/>
      <c r="LUB55" s="17"/>
      <c r="LUC55" s="17"/>
      <c r="LUI55" s="17"/>
      <c r="LUJ55" s="17"/>
      <c r="LUK55" s="17"/>
      <c r="LUQ55" s="17"/>
      <c r="LUR55" s="17"/>
      <c r="LUS55" s="17"/>
      <c r="LUY55" s="17"/>
      <c r="LUZ55" s="17"/>
      <c r="LVA55" s="17"/>
      <c r="LVG55" s="17"/>
      <c r="LVH55" s="17"/>
      <c r="LVI55" s="17"/>
      <c r="LVO55" s="17"/>
      <c r="LVP55" s="17"/>
      <c r="LVQ55" s="17"/>
      <c r="LVW55" s="17"/>
      <c r="LVX55" s="17"/>
      <c r="LVY55" s="17"/>
      <c r="LWE55" s="17"/>
      <c r="LWF55" s="17"/>
      <c r="LWG55" s="17"/>
      <c r="LWM55" s="17"/>
      <c r="LWN55" s="17"/>
      <c r="LWO55" s="17"/>
      <c r="LWU55" s="17"/>
      <c r="LWV55" s="17"/>
      <c r="LWW55" s="17"/>
      <c r="LXC55" s="17"/>
      <c r="LXD55" s="17"/>
      <c r="LXE55" s="17"/>
      <c r="LXK55" s="17"/>
      <c r="LXL55" s="17"/>
      <c r="LXM55" s="17"/>
      <c r="LXS55" s="17"/>
      <c r="LXT55" s="17"/>
      <c r="LXU55" s="17"/>
      <c r="LYA55" s="17"/>
      <c r="LYB55" s="17"/>
      <c r="LYC55" s="17"/>
      <c r="LYI55" s="17"/>
      <c r="LYJ55" s="17"/>
      <c r="LYK55" s="17"/>
      <c r="LYQ55" s="17"/>
      <c r="LYR55" s="17"/>
      <c r="LYS55" s="17"/>
      <c r="LYY55" s="17"/>
      <c r="LYZ55" s="17"/>
      <c r="LZA55" s="17"/>
      <c r="LZG55" s="17"/>
      <c r="LZH55" s="17"/>
      <c r="LZI55" s="17"/>
      <c r="LZO55" s="17"/>
      <c r="LZP55" s="17"/>
      <c r="LZQ55" s="17"/>
      <c r="LZW55" s="17"/>
      <c r="LZX55" s="17"/>
      <c r="LZY55" s="17"/>
      <c r="MAE55" s="17"/>
      <c r="MAF55" s="17"/>
      <c r="MAG55" s="17"/>
      <c r="MAM55" s="17"/>
      <c r="MAN55" s="17"/>
      <c r="MAO55" s="17"/>
      <c r="MAU55" s="17"/>
      <c r="MAV55" s="17"/>
      <c r="MAW55" s="17"/>
      <c r="MBC55" s="17"/>
      <c r="MBD55" s="17"/>
      <c r="MBE55" s="17"/>
      <c r="MBK55" s="17"/>
      <c r="MBL55" s="17"/>
      <c r="MBM55" s="17"/>
      <c r="MBS55" s="17"/>
      <c r="MBT55" s="17"/>
      <c r="MBU55" s="17"/>
      <c r="MCA55" s="17"/>
      <c r="MCB55" s="17"/>
      <c r="MCC55" s="17"/>
      <c r="MCI55" s="17"/>
      <c r="MCJ55" s="17"/>
      <c r="MCK55" s="17"/>
      <c r="MCQ55" s="17"/>
      <c r="MCR55" s="17"/>
      <c r="MCS55" s="17"/>
      <c r="MCY55" s="17"/>
      <c r="MCZ55" s="17"/>
      <c r="MDA55" s="17"/>
      <c r="MDG55" s="17"/>
      <c r="MDH55" s="17"/>
      <c r="MDI55" s="17"/>
      <c r="MDO55" s="17"/>
      <c r="MDP55" s="17"/>
      <c r="MDQ55" s="17"/>
      <c r="MDW55" s="17"/>
      <c r="MDX55" s="17"/>
      <c r="MDY55" s="17"/>
      <c r="MEE55" s="17"/>
      <c r="MEF55" s="17"/>
      <c r="MEG55" s="17"/>
      <c r="MEM55" s="17"/>
      <c r="MEN55" s="17"/>
      <c r="MEO55" s="17"/>
      <c r="MEU55" s="17"/>
      <c r="MEV55" s="17"/>
      <c r="MEW55" s="17"/>
      <c r="MFC55" s="17"/>
      <c r="MFD55" s="17"/>
      <c r="MFE55" s="17"/>
      <c r="MFK55" s="17"/>
      <c r="MFL55" s="17"/>
      <c r="MFM55" s="17"/>
      <c r="MFS55" s="17"/>
      <c r="MFT55" s="17"/>
      <c r="MFU55" s="17"/>
      <c r="MGA55" s="17"/>
      <c r="MGB55" s="17"/>
      <c r="MGC55" s="17"/>
      <c r="MGI55" s="17"/>
      <c r="MGJ55" s="17"/>
      <c r="MGK55" s="17"/>
      <c r="MGQ55" s="17"/>
      <c r="MGR55" s="17"/>
      <c r="MGS55" s="17"/>
      <c r="MGY55" s="17"/>
      <c r="MGZ55" s="17"/>
      <c r="MHA55" s="17"/>
      <c r="MHG55" s="17"/>
      <c r="MHH55" s="17"/>
      <c r="MHI55" s="17"/>
      <c r="MHO55" s="17"/>
      <c r="MHP55" s="17"/>
      <c r="MHQ55" s="17"/>
      <c r="MHW55" s="17"/>
      <c r="MHX55" s="17"/>
      <c r="MHY55" s="17"/>
      <c r="MIE55" s="17"/>
      <c r="MIF55" s="17"/>
      <c r="MIG55" s="17"/>
      <c r="MIM55" s="17"/>
      <c r="MIN55" s="17"/>
      <c r="MIO55" s="17"/>
      <c r="MIU55" s="17"/>
      <c r="MIV55" s="17"/>
      <c r="MIW55" s="17"/>
      <c r="MJC55" s="17"/>
      <c r="MJD55" s="17"/>
      <c r="MJE55" s="17"/>
      <c r="MJK55" s="17"/>
      <c r="MJL55" s="17"/>
      <c r="MJM55" s="17"/>
      <c r="MJS55" s="17"/>
      <c r="MJT55" s="17"/>
      <c r="MJU55" s="17"/>
      <c r="MKA55" s="17"/>
      <c r="MKB55" s="17"/>
      <c r="MKC55" s="17"/>
      <c r="MKI55" s="17"/>
      <c r="MKJ55" s="17"/>
      <c r="MKK55" s="17"/>
      <c r="MKQ55" s="17"/>
      <c r="MKR55" s="17"/>
      <c r="MKS55" s="17"/>
      <c r="MKY55" s="17"/>
      <c r="MKZ55" s="17"/>
      <c r="MLA55" s="17"/>
      <c r="MLG55" s="17"/>
      <c r="MLH55" s="17"/>
      <c r="MLI55" s="17"/>
      <c r="MLO55" s="17"/>
      <c r="MLP55" s="17"/>
      <c r="MLQ55" s="17"/>
      <c r="MLW55" s="17"/>
      <c r="MLX55" s="17"/>
      <c r="MLY55" s="17"/>
      <c r="MME55" s="17"/>
      <c r="MMF55" s="17"/>
      <c r="MMG55" s="17"/>
      <c r="MMM55" s="17"/>
      <c r="MMN55" s="17"/>
      <c r="MMO55" s="17"/>
      <c r="MMU55" s="17"/>
      <c r="MMV55" s="17"/>
      <c r="MMW55" s="17"/>
      <c r="MNC55" s="17"/>
      <c r="MND55" s="17"/>
      <c r="MNE55" s="17"/>
      <c r="MNK55" s="17"/>
      <c r="MNL55" s="17"/>
      <c r="MNM55" s="17"/>
      <c r="MNS55" s="17"/>
      <c r="MNT55" s="17"/>
      <c r="MNU55" s="17"/>
      <c r="MOA55" s="17"/>
      <c r="MOB55" s="17"/>
      <c r="MOC55" s="17"/>
      <c r="MOI55" s="17"/>
      <c r="MOJ55" s="17"/>
      <c r="MOK55" s="17"/>
      <c r="MOQ55" s="17"/>
      <c r="MOR55" s="17"/>
      <c r="MOS55" s="17"/>
      <c r="MOY55" s="17"/>
      <c r="MOZ55" s="17"/>
      <c r="MPA55" s="17"/>
      <c r="MPG55" s="17"/>
      <c r="MPH55" s="17"/>
      <c r="MPI55" s="17"/>
      <c r="MPO55" s="17"/>
      <c r="MPP55" s="17"/>
      <c r="MPQ55" s="17"/>
      <c r="MPW55" s="17"/>
      <c r="MPX55" s="17"/>
      <c r="MPY55" s="17"/>
      <c r="MQE55" s="17"/>
      <c r="MQF55" s="17"/>
      <c r="MQG55" s="17"/>
      <c r="MQM55" s="17"/>
      <c r="MQN55" s="17"/>
      <c r="MQO55" s="17"/>
      <c r="MQU55" s="17"/>
      <c r="MQV55" s="17"/>
      <c r="MQW55" s="17"/>
      <c r="MRC55" s="17"/>
      <c r="MRD55" s="17"/>
      <c r="MRE55" s="17"/>
      <c r="MRK55" s="17"/>
      <c r="MRL55" s="17"/>
      <c r="MRM55" s="17"/>
      <c r="MRS55" s="17"/>
      <c r="MRT55" s="17"/>
      <c r="MRU55" s="17"/>
      <c r="MSA55" s="17"/>
      <c r="MSB55" s="17"/>
      <c r="MSC55" s="17"/>
      <c r="MSI55" s="17"/>
      <c r="MSJ55" s="17"/>
      <c r="MSK55" s="17"/>
      <c r="MSQ55" s="17"/>
      <c r="MSR55" s="17"/>
      <c r="MSS55" s="17"/>
      <c r="MSY55" s="17"/>
      <c r="MSZ55" s="17"/>
      <c r="MTA55" s="17"/>
      <c r="MTG55" s="17"/>
      <c r="MTH55" s="17"/>
      <c r="MTI55" s="17"/>
      <c r="MTO55" s="17"/>
      <c r="MTP55" s="17"/>
      <c r="MTQ55" s="17"/>
      <c r="MTW55" s="17"/>
      <c r="MTX55" s="17"/>
      <c r="MTY55" s="17"/>
      <c r="MUE55" s="17"/>
      <c r="MUF55" s="17"/>
      <c r="MUG55" s="17"/>
      <c r="MUM55" s="17"/>
      <c r="MUN55" s="17"/>
      <c r="MUO55" s="17"/>
      <c r="MUU55" s="17"/>
      <c r="MUV55" s="17"/>
      <c r="MUW55" s="17"/>
      <c r="MVC55" s="17"/>
      <c r="MVD55" s="17"/>
      <c r="MVE55" s="17"/>
      <c r="MVK55" s="17"/>
      <c r="MVL55" s="17"/>
      <c r="MVM55" s="17"/>
      <c r="MVS55" s="17"/>
      <c r="MVT55" s="17"/>
      <c r="MVU55" s="17"/>
      <c r="MWA55" s="17"/>
      <c r="MWB55" s="17"/>
      <c r="MWC55" s="17"/>
      <c r="MWI55" s="17"/>
      <c r="MWJ55" s="17"/>
      <c r="MWK55" s="17"/>
      <c r="MWQ55" s="17"/>
      <c r="MWR55" s="17"/>
      <c r="MWS55" s="17"/>
      <c r="MWY55" s="17"/>
      <c r="MWZ55" s="17"/>
      <c r="MXA55" s="17"/>
      <c r="MXG55" s="17"/>
      <c r="MXH55" s="17"/>
      <c r="MXI55" s="17"/>
      <c r="MXO55" s="17"/>
      <c r="MXP55" s="17"/>
      <c r="MXQ55" s="17"/>
      <c r="MXW55" s="17"/>
      <c r="MXX55" s="17"/>
      <c r="MXY55" s="17"/>
      <c r="MYE55" s="17"/>
      <c r="MYF55" s="17"/>
      <c r="MYG55" s="17"/>
      <c r="MYM55" s="17"/>
      <c r="MYN55" s="17"/>
      <c r="MYO55" s="17"/>
      <c r="MYU55" s="17"/>
      <c r="MYV55" s="17"/>
      <c r="MYW55" s="17"/>
      <c r="MZC55" s="17"/>
      <c r="MZD55" s="17"/>
      <c r="MZE55" s="17"/>
      <c r="MZK55" s="17"/>
      <c r="MZL55" s="17"/>
      <c r="MZM55" s="17"/>
      <c r="MZS55" s="17"/>
      <c r="MZT55" s="17"/>
      <c r="MZU55" s="17"/>
      <c r="NAA55" s="17"/>
      <c r="NAB55" s="17"/>
      <c r="NAC55" s="17"/>
      <c r="NAI55" s="17"/>
      <c r="NAJ55" s="17"/>
      <c r="NAK55" s="17"/>
      <c r="NAQ55" s="17"/>
      <c r="NAR55" s="17"/>
      <c r="NAS55" s="17"/>
      <c r="NAY55" s="17"/>
      <c r="NAZ55" s="17"/>
      <c r="NBA55" s="17"/>
      <c r="NBG55" s="17"/>
      <c r="NBH55" s="17"/>
      <c r="NBI55" s="17"/>
      <c r="NBO55" s="17"/>
      <c r="NBP55" s="17"/>
      <c r="NBQ55" s="17"/>
      <c r="NBW55" s="17"/>
      <c r="NBX55" s="17"/>
      <c r="NBY55" s="17"/>
      <c r="NCE55" s="17"/>
      <c r="NCF55" s="17"/>
      <c r="NCG55" s="17"/>
      <c r="NCM55" s="17"/>
      <c r="NCN55" s="17"/>
      <c r="NCO55" s="17"/>
      <c r="NCU55" s="17"/>
      <c r="NCV55" s="17"/>
      <c r="NCW55" s="17"/>
      <c r="NDC55" s="17"/>
      <c r="NDD55" s="17"/>
      <c r="NDE55" s="17"/>
      <c r="NDK55" s="17"/>
      <c r="NDL55" s="17"/>
      <c r="NDM55" s="17"/>
      <c r="NDS55" s="17"/>
      <c r="NDT55" s="17"/>
      <c r="NDU55" s="17"/>
      <c r="NEA55" s="17"/>
      <c r="NEB55" s="17"/>
      <c r="NEC55" s="17"/>
      <c r="NEI55" s="17"/>
      <c r="NEJ55" s="17"/>
      <c r="NEK55" s="17"/>
      <c r="NEQ55" s="17"/>
      <c r="NER55" s="17"/>
      <c r="NES55" s="17"/>
      <c r="NEY55" s="17"/>
      <c r="NEZ55" s="17"/>
      <c r="NFA55" s="17"/>
      <c r="NFG55" s="17"/>
      <c r="NFH55" s="17"/>
      <c r="NFI55" s="17"/>
      <c r="NFO55" s="17"/>
      <c r="NFP55" s="17"/>
      <c r="NFQ55" s="17"/>
      <c r="NFW55" s="17"/>
      <c r="NFX55" s="17"/>
      <c r="NFY55" s="17"/>
      <c r="NGE55" s="17"/>
      <c r="NGF55" s="17"/>
      <c r="NGG55" s="17"/>
      <c r="NGM55" s="17"/>
      <c r="NGN55" s="17"/>
      <c r="NGO55" s="17"/>
      <c r="NGU55" s="17"/>
      <c r="NGV55" s="17"/>
      <c r="NGW55" s="17"/>
      <c r="NHC55" s="17"/>
      <c r="NHD55" s="17"/>
      <c r="NHE55" s="17"/>
      <c r="NHK55" s="17"/>
      <c r="NHL55" s="17"/>
      <c r="NHM55" s="17"/>
      <c r="NHS55" s="17"/>
      <c r="NHT55" s="17"/>
      <c r="NHU55" s="17"/>
      <c r="NIA55" s="17"/>
      <c r="NIB55" s="17"/>
      <c r="NIC55" s="17"/>
      <c r="NII55" s="17"/>
      <c r="NIJ55" s="17"/>
      <c r="NIK55" s="17"/>
      <c r="NIQ55" s="17"/>
      <c r="NIR55" s="17"/>
      <c r="NIS55" s="17"/>
      <c r="NIY55" s="17"/>
      <c r="NIZ55" s="17"/>
      <c r="NJA55" s="17"/>
      <c r="NJG55" s="17"/>
      <c r="NJH55" s="17"/>
      <c r="NJI55" s="17"/>
      <c r="NJO55" s="17"/>
      <c r="NJP55" s="17"/>
      <c r="NJQ55" s="17"/>
      <c r="NJW55" s="17"/>
      <c r="NJX55" s="17"/>
      <c r="NJY55" s="17"/>
      <c r="NKE55" s="17"/>
      <c r="NKF55" s="17"/>
      <c r="NKG55" s="17"/>
      <c r="NKM55" s="17"/>
      <c r="NKN55" s="17"/>
      <c r="NKO55" s="17"/>
      <c r="NKU55" s="17"/>
      <c r="NKV55" s="17"/>
      <c r="NKW55" s="17"/>
      <c r="NLC55" s="17"/>
      <c r="NLD55" s="17"/>
      <c r="NLE55" s="17"/>
      <c r="NLK55" s="17"/>
      <c r="NLL55" s="17"/>
      <c r="NLM55" s="17"/>
      <c r="NLS55" s="17"/>
      <c r="NLT55" s="17"/>
      <c r="NLU55" s="17"/>
      <c r="NMA55" s="17"/>
      <c r="NMB55" s="17"/>
      <c r="NMC55" s="17"/>
      <c r="NMI55" s="17"/>
      <c r="NMJ55" s="17"/>
      <c r="NMK55" s="17"/>
      <c r="NMQ55" s="17"/>
      <c r="NMR55" s="17"/>
      <c r="NMS55" s="17"/>
      <c r="NMY55" s="17"/>
      <c r="NMZ55" s="17"/>
      <c r="NNA55" s="17"/>
      <c r="NNG55" s="17"/>
      <c r="NNH55" s="17"/>
      <c r="NNI55" s="17"/>
      <c r="NNO55" s="17"/>
      <c r="NNP55" s="17"/>
      <c r="NNQ55" s="17"/>
      <c r="NNW55" s="17"/>
      <c r="NNX55" s="17"/>
      <c r="NNY55" s="17"/>
      <c r="NOE55" s="17"/>
      <c r="NOF55" s="17"/>
      <c r="NOG55" s="17"/>
      <c r="NOM55" s="17"/>
      <c r="NON55" s="17"/>
      <c r="NOO55" s="17"/>
      <c r="NOU55" s="17"/>
      <c r="NOV55" s="17"/>
      <c r="NOW55" s="17"/>
      <c r="NPC55" s="17"/>
      <c r="NPD55" s="17"/>
      <c r="NPE55" s="17"/>
      <c r="NPK55" s="17"/>
      <c r="NPL55" s="17"/>
      <c r="NPM55" s="17"/>
      <c r="NPS55" s="17"/>
      <c r="NPT55" s="17"/>
      <c r="NPU55" s="17"/>
      <c r="NQA55" s="17"/>
      <c r="NQB55" s="17"/>
      <c r="NQC55" s="17"/>
      <c r="NQI55" s="17"/>
      <c r="NQJ55" s="17"/>
      <c r="NQK55" s="17"/>
      <c r="NQQ55" s="17"/>
      <c r="NQR55" s="17"/>
      <c r="NQS55" s="17"/>
      <c r="NQY55" s="17"/>
      <c r="NQZ55" s="17"/>
      <c r="NRA55" s="17"/>
      <c r="NRG55" s="17"/>
      <c r="NRH55" s="17"/>
      <c r="NRI55" s="17"/>
      <c r="NRO55" s="17"/>
      <c r="NRP55" s="17"/>
      <c r="NRQ55" s="17"/>
      <c r="NRW55" s="17"/>
      <c r="NRX55" s="17"/>
      <c r="NRY55" s="17"/>
      <c r="NSE55" s="17"/>
      <c r="NSF55" s="17"/>
      <c r="NSG55" s="17"/>
      <c r="NSM55" s="17"/>
      <c r="NSN55" s="17"/>
      <c r="NSO55" s="17"/>
      <c r="NSU55" s="17"/>
      <c r="NSV55" s="17"/>
      <c r="NSW55" s="17"/>
      <c r="NTC55" s="17"/>
      <c r="NTD55" s="17"/>
      <c r="NTE55" s="17"/>
      <c r="NTK55" s="17"/>
      <c r="NTL55" s="17"/>
      <c r="NTM55" s="17"/>
      <c r="NTS55" s="17"/>
      <c r="NTT55" s="17"/>
      <c r="NTU55" s="17"/>
      <c r="NUA55" s="17"/>
      <c r="NUB55" s="17"/>
      <c r="NUC55" s="17"/>
      <c r="NUI55" s="17"/>
      <c r="NUJ55" s="17"/>
      <c r="NUK55" s="17"/>
      <c r="NUQ55" s="17"/>
      <c r="NUR55" s="17"/>
      <c r="NUS55" s="17"/>
      <c r="NUY55" s="17"/>
      <c r="NUZ55" s="17"/>
      <c r="NVA55" s="17"/>
      <c r="NVG55" s="17"/>
      <c r="NVH55" s="17"/>
      <c r="NVI55" s="17"/>
      <c r="NVO55" s="17"/>
      <c r="NVP55" s="17"/>
      <c r="NVQ55" s="17"/>
      <c r="NVW55" s="17"/>
      <c r="NVX55" s="17"/>
      <c r="NVY55" s="17"/>
      <c r="NWE55" s="17"/>
      <c r="NWF55" s="17"/>
      <c r="NWG55" s="17"/>
      <c r="NWM55" s="17"/>
      <c r="NWN55" s="17"/>
      <c r="NWO55" s="17"/>
      <c r="NWU55" s="17"/>
      <c r="NWV55" s="17"/>
      <c r="NWW55" s="17"/>
      <c r="NXC55" s="17"/>
      <c r="NXD55" s="17"/>
      <c r="NXE55" s="17"/>
      <c r="NXK55" s="17"/>
      <c r="NXL55" s="17"/>
      <c r="NXM55" s="17"/>
      <c r="NXS55" s="17"/>
      <c r="NXT55" s="17"/>
      <c r="NXU55" s="17"/>
      <c r="NYA55" s="17"/>
      <c r="NYB55" s="17"/>
      <c r="NYC55" s="17"/>
      <c r="NYI55" s="17"/>
      <c r="NYJ55" s="17"/>
      <c r="NYK55" s="17"/>
      <c r="NYQ55" s="17"/>
      <c r="NYR55" s="17"/>
      <c r="NYS55" s="17"/>
      <c r="NYY55" s="17"/>
      <c r="NYZ55" s="17"/>
      <c r="NZA55" s="17"/>
      <c r="NZG55" s="17"/>
      <c r="NZH55" s="17"/>
      <c r="NZI55" s="17"/>
      <c r="NZO55" s="17"/>
      <c r="NZP55" s="17"/>
      <c r="NZQ55" s="17"/>
      <c r="NZW55" s="17"/>
      <c r="NZX55" s="17"/>
      <c r="NZY55" s="17"/>
      <c r="OAE55" s="17"/>
      <c r="OAF55" s="17"/>
      <c r="OAG55" s="17"/>
      <c r="OAM55" s="17"/>
      <c r="OAN55" s="17"/>
      <c r="OAO55" s="17"/>
      <c r="OAU55" s="17"/>
      <c r="OAV55" s="17"/>
      <c r="OAW55" s="17"/>
      <c r="OBC55" s="17"/>
      <c r="OBD55" s="17"/>
      <c r="OBE55" s="17"/>
      <c r="OBK55" s="17"/>
      <c r="OBL55" s="17"/>
      <c r="OBM55" s="17"/>
      <c r="OBS55" s="17"/>
      <c r="OBT55" s="17"/>
      <c r="OBU55" s="17"/>
      <c r="OCA55" s="17"/>
      <c r="OCB55" s="17"/>
      <c r="OCC55" s="17"/>
      <c r="OCI55" s="17"/>
      <c r="OCJ55" s="17"/>
      <c r="OCK55" s="17"/>
      <c r="OCQ55" s="17"/>
      <c r="OCR55" s="17"/>
      <c r="OCS55" s="17"/>
      <c r="OCY55" s="17"/>
      <c r="OCZ55" s="17"/>
      <c r="ODA55" s="17"/>
      <c r="ODG55" s="17"/>
      <c r="ODH55" s="17"/>
      <c r="ODI55" s="17"/>
      <c r="ODO55" s="17"/>
      <c r="ODP55" s="17"/>
      <c r="ODQ55" s="17"/>
      <c r="ODW55" s="17"/>
      <c r="ODX55" s="17"/>
      <c r="ODY55" s="17"/>
      <c r="OEE55" s="17"/>
      <c r="OEF55" s="17"/>
      <c r="OEG55" s="17"/>
      <c r="OEM55" s="17"/>
      <c r="OEN55" s="17"/>
      <c r="OEO55" s="17"/>
      <c r="OEU55" s="17"/>
      <c r="OEV55" s="17"/>
      <c r="OEW55" s="17"/>
      <c r="OFC55" s="17"/>
      <c r="OFD55" s="17"/>
      <c r="OFE55" s="17"/>
      <c r="OFK55" s="17"/>
      <c r="OFL55" s="17"/>
      <c r="OFM55" s="17"/>
      <c r="OFS55" s="17"/>
      <c r="OFT55" s="17"/>
      <c r="OFU55" s="17"/>
      <c r="OGA55" s="17"/>
      <c r="OGB55" s="17"/>
      <c r="OGC55" s="17"/>
      <c r="OGI55" s="17"/>
      <c r="OGJ55" s="17"/>
      <c r="OGK55" s="17"/>
      <c r="OGQ55" s="17"/>
      <c r="OGR55" s="17"/>
      <c r="OGS55" s="17"/>
      <c r="OGY55" s="17"/>
      <c r="OGZ55" s="17"/>
      <c r="OHA55" s="17"/>
      <c r="OHG55" s="17"/>
      <c r="OHH55" s="17"/>
      <c r="OHI55" s="17"/>
      <c r="OHO55" s="17"/>
      <c r="OHP55" s="17"/>
      <c r="OHQ55" s="17"/>
      <c r="OHW55" s="17"/>
      <c r="OHX55" s="17"/>
      <c r="OHY55" s="17"/>
      <c r="OIE55" s="17"/>
      <c r="OIF55" s="17"/>
      <c r="OIG55" s="17"/>
      <c r="OIM55" s="17"/>
      <c r="OIN55" s="17"/>
      <c r="OIO55" s="17"/>
      <c r="OIU55" s="17"/>
      <c r="OIV55" s="17"/>
      <c r="OIW55" s="17"/>
      <c r="OJC55" s="17"/>
      <c r="OJD55" s="17"/>
      <c r="OJE55" s="17"/>
      <c r="OJK55" s="17"/>
      <c r="OJL55" s="17"/>
      <c r="OJM55" s="17"/>
      <c r="OJS55" s="17"/>
      <c r="OJT55" s="17"/>
      <c r="OJU55" s="17"/>
      <c r="OKA55" s="17"/>
      <c r="OKB55" s="17"/>
      <c r="OKC55" s="17"/>
      <c r="OKI55" s="17"/>
      <c r="OKJ55" s="17"/>
      <c r="OKK55" s="17"/>
      <c r="OKQ55" s="17"/>
      <c r="OKR55" s="17"/>
      <c r="OKS55" s="17"/>
      <c r="OKY55" s="17"/>
      <c r="OKZ55" s="17"/>
      <c r="OLA55" s="17"/>
      <c r="OLG55" s="17"/>
      <c r="OLH55" s="17"/>
      <c r="OLI55" s="17"/>
      <c r="OLO55" s="17"/>
      <c r="OLP55" s="17"/>
      <c r="OLQ55" s="17"/>
      <c r="OLW55" s="17"/>
      <c r="OLX55" s="17"/>
      <c r="OLY55" s="17"/>
      <c r="OME55" s="17"/>
      <c r="OMF55" s="17"/>
      <c r="OMG55" s="17"/>
      <c r="OMM55" s="17"/>
      <c r="OMN55" s="17"/>
      <c r="OMO55" s="17"/>
      <c r="OMU55" s="17"/>
      <c r="OMV55" s="17"/>
      <c r="OMW55" s="17"/>
      <c r="ONC55" s="17"/>
      <c r="OND55" s="17"/>
      <c r="ONE55" s="17"/>
      <c r="ONK55" s="17"/>
      <c r="ONL55" s="17"/>
      <c r="ONM55" s="17"/>
      <c r="ONS55" s="17"/>
      <c r="ONT55" s="17"/>
      <c r="ONU55" s="17"/>
      <c r="OOA55" s="17"/>
      <c r="OOB55" s="17"/>
      <c r="OOC55" s="17"/>
      <c r="OOI55" s="17"/>
      <c r="OOJ55" s="17"/>
      <c r="OOK55" s="17"/>
      <c r="OOQ55" s="17"/>
      <c r="OOR55" s="17"/>
      <c r="OOS55" s="17"/>
      <c r="OOY55" s="17"/>
      <c r="OOZ55" s="17"/>
      <c r="OPA55" s="17"/>
      <c r="OPG55" s="17"/>
      <c r="OPH55" s="17"/>
      <c r="OPI55" s="17"/>
      <c r="OPO55" s="17"/>
      <c r="OPP55" s="17"/>
      <c r="OPQ55" s="17"/>
      <c r="OPW55" s="17"/>
      <c r="OPX55" s="17"/>
      <c r="OPY55" s="17"/>
      <c r="OQE55" s="17"/>
      <c r="OQF55" s="17"/>
      <c r="OQG55" s="17"/>
      <c r="OQM55" s="17"/>
      <c r="OQN55" s="17"/>
      <c r="OQO55" s="17"/>
      <c r="OQU55" s="17"/>
      <c r="OQV55" s="17"/>
      <c r="OQW55" s="17"/>
      <c r="ORC55" s="17"/>
      <c r="ORD55" s="17"/>
      <c r="ORE55" s="17"/>
      <c r="ORK55" s="17"/>
      <c r="ORL55" s="17"/>
      <c r="ORM55" s="17"/>
      <c r="ORS55" s="17"/>
      <c r="ORT55" s="17"/>
      <c r="ORU55" s="17"/>
      <c r="OSA55" s="17"/>
      <c r="OSB55" s="17"/>
      <c r="OSC55" s="17"/>
      <c r="OSI55" s="17"/>
      <c r="OSJ55" s="17"/>
      <c r="OSK55" s="17"/>
      <c r="OSQ55" s="17"/>
      <c r="OSR55" s="17"/>
      <c r="OSS55" s="17"/>
      <c r="OSY55" s="17"/>
      <c r="OSZ55" s="17"/>
      <c r="OTA55" s="17"/>
      <c r="OTG55" s="17"/>
      <c r="OTH55" s="17"/>
      <c r="OTI55" s="17"/>
      <c r="OTO55" s="17"/>
      <c r="OTP55" s="17"/>
      <c r="OTQ55" s="17"/>
      <c r="OTW55" s="17"/>
      <c r="OTX55" s="17"/>
      <c r="OTY55" s="17"/>
      <c r="OUE55" s="17"/>
      <c r="OUF55" s="17"/>
      <c r="OUG55" s="17"/>
      <c r="OUM55" s="17"/>
      <c r="OUN55" s="17"/>
      <c r="OUO55" s="17"/>
      <c r="OUU55" s="17"/>
      <c r="OUV55" s="17"/>
      <c r="OUW55" s="17"/>
      <c r="OVC55" s="17"/>
      <c r="OVD55" s="17"/>
      <c r="OVE55" s="17"/>
      <c r="OVK55" s="17"/>
      <c r="OVL55" s="17"/>
      <c r="OVM55" s="17"/>
      <c r="OVS55" s="17"/>
      <c r="OVT55" s="17"/>
      <c r="OVU55" s="17"/>
      <c r="OWA55" s="17"/>
      <c r="OWB55" s="17"/>
      <c r="OWC55" s="17"/>
      <c r="OWI55" s="17"/>
      <c r="OWJ55" s="17"/>
      <c r="OWK55" s="17"/>
      <c r="OWQ55" s="17"/>
      <c r="OWR55" s="17"/>
      <c r="OWS55" s="17"/>
      <c r="OWY55" s="17"/>
      <c r="OWZ55" s="17"/>
      <c r="OXA55" s="17"/>
      <c r="OXG55" s="17"/>
      <c r="OXH55" s="17"/>
      <c r="OXI55" s="17"/>
      <c r="OXO55" s="17"/>
      <c r="OXP55" s="17"/>
      <c r="OXQ55" s="17"/>
      <c r="OXW55" s="17"/>
      <c r="OXX55" s="17"/>
      <c r="OXY55" s="17"/>
      <c r="OYE55" s="17"/>
      <c r="OYF55" s="17"/>
      <c r="OYG55" s="17"/>
      <c r="OYM55" s="17"/>
      <c r="OYN55" s="17"/>
      <c r="OYO55" s="17"/>
      <c r="OYU55" s="17"/>
      <c r="OYV55" s="17"/>
      <c r="OYW55" s="17"/>
      <c r="OZC55" s="17"/>
      <c r="OZD55" s="17"/>
      <c r="OZE55" s="17"/>
      <c r="OZK55" s="17"/>
      <c r="OZL55" s="17"/>
      <c r="OZM55" s="17"/>
      <c r="OZS55" s="17"/>
      <c r="OZT55" s="17"/>
      <c r="OZU55" s="17"/>
      <c r="PAA55" s="17"/>
      <c r="PAB55" s="17"/>
      <c r="PAC55" s="17"/>
      <c r="PAI55" s="17"/>
      <c r="PAJ55" s="17"/>
      <c r="PAK55" s="17"/>
      <c r="PAQ55" s="17"/>
      <c r="PAR55" s="17"/>
      <c r="PAS55" s="17"/>
      <c r="PAY55" s="17"/>
      <c r="PAZ55" s="17"/>
      <c r="PBA55" s="17"/>
      <c r="PBG55" s="17"/>
      <c r="PBH55" s="17"/>
      <c r="PBI55" s="17"/>
      <c r="PBO55" s="17"/>
      <c r="PBP55" s="17"/>
      <c r="PBQ55" s="17"/>
      <c r="PBW55" s="17"/>
      <c r="PBX55" s="17"/>
      <c r="PBY55" s="17"/>
      <c r="PCE55" s="17"/>
      <c r="PCF55" s="17"/>
      <c r="PCG55" s="17"/>
      <c r="PCM55" s="17"/>
      <c r="PCN55" s="17"/>
      <c r="PCO55" s="17"/>
      <c r="PCU55" s="17"/>
      <c r="PCV55" s="17"/>
      <c r="PCW55" s="17"/>
      <c r="PDC55" s="17"/>
      <c r="PDD55" s="17"/>
      <c r="PDE55" s="17"/>
      <c r="PDK55" s="17"/>
      <c r="PDL55" s="17"/>
      <c r="PDM55" s="17"/>
      <c r="PDS55" s="17"/>
      <c r="PDT55" s="17"/>
      <c r="PDU55" s="17"/>
      <c r="PEA55" s="17"/>
      <c r="PEB55" s="17"/>
      <c r="PEC55" s="17"/>
      <c r="PEI55" s="17"/>
      <c r="PEJ55" s="17"/>
      <c r="PEK55" s="17"/>
      <c r="PEQ55" s="17"/>
      <c r="PER55" s="17"/>
      <c r="PES55" s="17"/>
      <c r="PEY55" s="17"/>
      <c r="PEZ55" s="17"/>
      <c r="PFA55" s="17"/>
      <c r="PFG55" s="17"/>
      <c r="PFH55" s="17"/>
      <c r="PFI55" s="17"/>
      <c r="PFO55" s="17"/>
      <c r="PFP55" s="17"/>
      <c r="PFQ55" s="17"/>
      <c r="PFW55" s="17"/>
      <c r="PFX55" s="17"/>
      <c r="PFY55" s="17"/>
      <c r="PGE55" s="17"/>
      <c r="PGF55" s="17"/>
      <c r="PGG55" s="17"/>
      <c r="PGM55" s="17"/>
      <c r="PGN55" s="17"/>
      <c r="PGO55" s="17"/>
      <c r="PGU55" s="17"/>
      <c r="PGV55" s="17"/>
      <c r="PGW55" s="17"/>
      <c r="PHC55" s="17"/>
      <c r="PHD55" s="17"/>
      <c r="PHE55" s="17"/>
      <c r="PHK55" s="17"/>
      <c r="PHL55" s="17"/>
      <c r="PHM55" s="17"/>
      <c r="PHS55" s="17"/>
      <c r="PHT55" s="17"/>
      <c r="PHU55" s="17"/>
      <c r="PIA55" s="17"/>
      <c r="PIB55" s="17"/>
      <c r="PIC55" s="17"/>
      <c r="PII55" s="17"/>
      <c r="PIJ55" s="17"/>
      <c r="PIK55" s="17"/>
      <c r="PIQ55" s="17"/>
      <c r="PIR55" s="17"/>
      <c r="PIS55" s="17"/>
      <c r="PIY55" s="17"/>
      <c r="PIZ55" s="17"/>
      <c r="PJA55" s="17"/>
      <c r="PJG55" s="17"/>
      <c r="PJH55" s="17"/>
      <c r="PJI55" s="17"/>
      <c r="PJO55" s="17"/>
      <c r="PJP55" s="17"/>
      <c r="PJQ55" s="17"/>
      <c r="PJW55" s="17"/>
      <c r="PJX55" s="17"/>
      <c r="PJY55" s="17"/>
      <c r="PKE55" s="17"/>
      <c r="PKF55" s="17"/>
      <c r="PKG55" s="17"/>
      <c r="PKM55" s="17"/>
      <c r="PKN55" s="17"/>
      <c r="PKO55" s="17"/>
      <c r="PKU55" s="17"/>
      <c r="PKV55" s="17"/>
      <c r="PKW55" s="17"/>
      <c r="PLC55" s="17"/>
      <c r="PLD55" s="17"/>
      <c r="PLE55" s="17"/>
      <c r="PLK55" s="17"/>
      <c r="PLL55" s="17"/>
      <c r="PLM55" s="17"/>
      <c r="PLS55" s="17"/>
      <c r="PLT55" s="17"/>
      <c r="PLU55" s="17"/>
      <c r="PMA55" s="17"/>
      <c r="PMB55" s="17"/>
      <c r="PMC55" s="17"/>
      <c r="PMI55" s="17"/>
      <c r="PMJ55" s="17"/>
      <c r="PMK55" s="17"/>
      <c r="PMQ55" s="17"/>
      <c r="PMR55" s="17"/>
      <c r="PMS55" s="17"/>
      <c r="PMY55" s="17"/>
      <c r="PMZ55" s="17"/>
      <c r="PNA55" s="17"/>
      <c r="PNG55" s="17"/>
      <c r="PNH55" s="17"/>
      <c r="PNI55" s="17"/>
      <c r="PNO55" s="17"/>
      <c r="PNP55" s="17"/>
      <c r="PNQ55" s="17"/>
      <c r="PNW55" s="17"/>
      <c r="PNX55" s="17"/>
      <c r="PNY55" s="17"/>
      <c r="POE55" s="17"/>
      <c r="POF55" s="17"/>
      <c r="POG55" s="17"/>
      <c r="POM55" s="17"/>
      <c r="PON55" s="17"/>
      <c r="POO55" s="17"/>
      <c r="POU55" s="17"/>
      <c r="POV55" s="17"/>
      <c r="POW55" s="17"/>
      <c r="PPC55" s="17"/>
      <c r="PPD55" s="17"/>
      <c r="PPE55" s="17"/>
      <c r="PPK55" s="17"/>
      <c r="PPL55" s="17"/>
      <c r="PPM55" s="17"/>
      <c r="PPS55" s="17"/>
      <c r="PPT55" s="17"/>
      <c r="PPU55" s="17"/>
      <c r="PQA55" s="17"/>
      <c r="PQB55" s="17"/>
      <c r="PQC55" s="17"/>
      <c r="PQI55" s="17"/>
      <c r="PQJ55" s="17"/>
      <c r="PQK55" s="17"/>
      <c r="PQQ55" s="17"/>
      <c r="PQR55" s="17"/>
      <c r="PQS55" s="17"/>
      <c r="PQY55" s="17"/>
      <c r="PQZ55" s="17"/>
      <c r="PRA55" s="17"/>
      <c r="PRG55" s="17"/>
      <c r="PRH55" s="17"/>
      <c r="PRI55" s="17"/>
      <c r="PRO55" s="17"/>
      <c r="PRP55" s="17"/>
      <c r="PRQ55" s="17"/>
      <c r="PRW55" s="17"/>
      <c r="PRX55" s="17"/>
      <c r="PRY55" s="17"/>
      <c r="PSE55" s="17"/>
      <c r="PSF55" s="17"/>
      <c r="PSG55" s="17"/>
      <c r="PSM55" s="17"/>
      <c r="PSN55" s="17"/>
      <c r="PSO55" s="17"/>
      <c r="PSU55" s="17"/>
      <c r="PSV55" s="17"/>
      <c r="PSW55" s="17"/>
      <c r="PTC55" s="17"/>
      <c r="PTD55" s="17"/>
      <c r="PTE55" s="17"/>
      <c r="PTK55" s="17"/>
      <c r="PTL55" s="17"/>
      <c r="PTM55" s="17"/>
      <c r="PTS55" s="17"/>
      <c r="PTT55" s="17"/>
      <c r="PTU55" s="17"/>
      <c r="PUA55" s="17"/>
      <c r="PUB55" s="17"/>
      <c r="PUC55" s="17"/>
      <c r="PUI55" s="17"/>
      <c r="PUJ55" s="17"/>
      <c r="PUK55" s="17"/>
      <c r="PUQ55" s="17"/>
      <c r="PUR55" s="17"/>
      <c r="PUS55" s="17"/>
      <c r="PUY55" s="17"/>
      <c r="PUZ55" s="17"/>
      <c r="PVA55" s="17"/>
      <c r="PVG55" s="17"/>
      <c r="PVH55" s="17"/>
      <c r="PVI55" s="17"/>
      <c r="PVO55" s="17"/>
      <c r="PVP55" s="17"/>
      <c r="PVQ55" s="17"/>
      <c r="PVW55" s="17"/>
      <c r="PVX55" s="17"/>
      <c r="PVY55" s="17"/>
      <c r="PWE55" s="17"/>
      <c r="PWF55" s="17"/>
      <c r="PWG55" s="17"/>
      <c r="PWM55" s="17"/>
      <c r="PWN55" s="17"/>
      <c r="PWO55" s="17"/>
      <c r="PWU55" s="17"/>
      <c r="PWV55" s="17"/>
      <c r="PWW55" s="17"/>
      <c r="PXC55" s="17"/>
      <c r="PXD55" s="17"/>
      <c r="PXE55" s="17"/>
      <c r="PXK55" s="17"/>
      <c r="PXL55" s="17"/>
      <c r="PXM55" s="17"/>
      <c r="PXS55" s="17"/>
      <c r="PXT55" s="17"/>
      <c r="PXU55" s="17"/>
      <c r="PYA55" s="17"/>
      <c r="PYB55" s="17"/>
      <c r="PYC55" s="17"/>
      <c r="PYI55" s="17"/>
      <c r="PYJ55" s="17"/>
      <c r="PYK55" s="17"/>
      <c r="PYQ55" s="17"/>
      <c r="PYR55" s="17"/>
      <c r="PYS55" s="17"/>
      <c r="PYY55" s="17"/>
      <c r="PYZ55" s="17"/>
      <c r="PZA55" s="17"/>
      <c r="PZG55" s="17"/>
      <c r="PZH55" s="17"/>
      <c r="PZI55" s="17"/>
      <c r="PZO55" s="17"/>
      <c r="PZP55" s="17"/>
      <c r="PZQ55" s="17"/>
      <c r="PZW55" s="17"/>
      <c r="PZX55" s="17"/>
      <c r="PZY55" s="17"/>
      <c r="QAE55" s="17"/>
      <c r="QAF55" s="17"/>
      <c r="QAG55" s="17"/>
      <c r="QAM55" s="17"/>
      <c r="QAN55" s="17"/>
      <c r="QAO55" s="17"/>
      <c r="QAU55" s="17"/>
      <c r="QAV55" s="17"/>
      <c r="QAW55" s="17"/>
      <c r="QBC55" s="17"/>
      <c r="QBD55" s="17"/>
      <c r="QBE55" s="17"/>
      <c r="QBK55" s="17"/>
      <c r="QBL55" s="17"/>
      <c r="QBM55" s="17"/>
      <c r="QBS55" s="17"/>
      <c r="QBT55" s="17"/>
      <c r="QBU55" s="17"/>
      <c r="QCA55" s="17"/>
      <c r="QCB55" s="17"/>
      <c r="QCC55" s="17"/>
      <c r="QCI55" s="17"/>
      <c r="QCJ55" s="17"/>
      <c r="QCK55" s="17"/>
      <c r="QCQ55" s="17"/>
      <c r="QCR55" s="17"/>
      <c r="QCS55" s="17"/>
      <c r="QCY55" s="17"/>
      <c r="QCZ55" s="17"/>
      <c r="QDA55" s="17"/>
      <c r="QDG55" s="17"/>
      <c r="QDH55" s="17"/>
      <c r="QDI55" s="17"/>
      <c r="QDO55" s="17"/>
      <c r="QDP55" s="17"/>
      <c r="QDQ55" s="17"/>
      <c r="QDW55" s="17"/>
      <c r="QDX55" s="17"/>
      <c r="QDY55" s="17"/>
      <c r="QEE55" s="17"/>
      <c r="QEF55" s="17"/>
      <c r="QEG55" s="17"/>
      <c r="QEM55" s="17"/>
      <c r="QEN55" s="17"/>
      <c r="QEO55" s="17"/>
      <c r="QEU55" s="17"/>
      <c r="QEV55" s="17"/>
      <c r="QEW55" s="17"/>
      <c r="QFC55" s="17"/>
      <c r="QFD55" s="17"/>
      <c r="QFE55" s="17"/>
      <c r="QFK55" s="17"/>
      <c r="QFL55" s="17"/>
      <c r="QFM55" s="17"/>
      <c r="QFS55" s="17"/>
      <c r="QFT55" s="17"/>
      <c r="QFU55" s="17"/>
      <c r="QGA55" s="17"/>
      <c r="QGB55" s="17"/>
      <c r="QGC55" s="17"/>
      <c r="QGI55" s="17"/>
      <c r="QGJ55" s="17"/>
      <c r="QGK55" s="17"/>
      <c r="QGQ55" s="17"/>
      <c r="QGR55" s="17"/>
      <c r="QGS55" s="17"/>
      <c r="QGY55" s="17"/>
      <c r="QGZ55" s="17"/>
      <c r="QHA55" s="17"/>
      <c r="QHG55" s="17"/>
      <c r="QHH55" s="17"/>
      <c r="QHI55" s="17"/>
      <c r="QHO55" s="17"/>
      <c r="QHP55" s="17"/>
      <c r="QHQ55" s="17"/>
      <c r="QHW55" s="17"/>
      <c r="QHX55" s="17"/>
      <c r="QHY55" s="17"/>
      <c r="QIE55" s="17"/>
      <c r="QIF55" s="17"/>
      <c r="QIG55" s="17"/>
      <c r="QIM55" s="17"/>
      <c r="QIN55" s="17"/>
      <c r="QIO55" s="17"/>
      <c r="QIU55" s="17"/>
      <c r="QIV55" s="17"/>
      <c r="QIW55" s="17"/>
      <c r="QJC55" s="17"/>
      <c r="QJD55" s="17"/>
      <c r="QJE55" s="17"/>
      <c r="QJK55" s="17"/>
      <c r="QJL55" s="17"/>
      <c r="QJM55" s="17"/>
      <c r="QJS55" s="17"/>
      <c r="QJT55" s="17"/>
      <c r="QJU55" s="17"/>
      <c r="QKA55" s="17"/>
      <c r="QKB55" s="17"/>
      <c r="QKC55" s="17"/>
      <c r="QKI55" s="17"/>
      <c r="QKJ55" s="17"/>
      <c r="QKK55" s="17"/>
      <c r="QKQ55" s="17"/>
      <c r="QKR55" s="17"/>
      <c r="QKS55" s="17"/>
      <c r="QKY55" s="17"/>
      <c r="QKZ55" s="17"/>
      <c r="QLA55" s="17"/>
      <c r="QLG55" s="17"/>
      <c r="QLH55" s="17"/>
      <c r="QLI55" s="17"/>
      <c r="QLO55" s="17"/>
      <c r="QLP55" s="17"/>
      <c r="QLQ55" s="17"/>
      <c r="QLW55" s="17"/>
      <c r="QLX55" s="17"/>
      <c r="QLY55" s="17"/>
      <c r="QME55" s="17"/>
      <c r="QMF55" s="17"/>
      <c r="QMG55" s="17"/>
      <c r="QMM55" s="17"/>
      <c r="QMN55" s="17"/>
      <c r="QMO55" s="17"/>
      <c r="QMU55" s="17"/>
      <c r="QMV55" s="17"/>
      <c r="QMW55" s="17"/>
      <c r="QNC55" s="17"/>
      <c r="QND55" s="17"/>
      <c r="QNE55" s="17"/>
      <c r="QNK55" s="17"/>
      <c r="QNL55" s="17"/>
      <c r="QNM55" s="17"/>
      <c r="QNS55" s="17"/>
      <c r="QNT55" s="17"/>
      <c r="QNU55" s="17"/>
      <c r="QOA55" s="17"/>
      <c r="QOB55" s="17"/>
      <c r="QOC55" s="17"/>
      <c r="QOI55" s="17"/>
      <c r="QOJ55" s="17"/>
      <c r="QOK55" s="17"/>
      <c r="QOQ55" s="17"/>
      <c r="QOR55" s="17"/>
      <c r="QOS55" s="17"/>
      <c r="QOY55" s="17"/>
      <c r="QOZ55" s="17"/>
      <c r="QPA55" s="17"/>
      <c r="QPG55" s="17"/>
      <c r="QPH55" s="17"/>
      <c r="QPI55" s="17"/>
      <c r="QPO55" s="17"/>
      <c r="QPP55" s="17"/>
      <c r="QPQ55" s="17"/>
      <c r="QPW55" s="17"/>
      <c r="QPX55" s="17"/>
      <c r="QPY55" s="17"/>
      <c r="QQE55" s="17"/>
      <c r="QQF55" s="17"/>
      <c r="QQG55" s="17"/>
      <c r="QQM55" s="17"/>
      <c r="QQN55" s="17"/>
      <c r="QQO55" s="17"/>
      <c r="QQU55" s="17"/>
      <c r="QQV55" s="17"/>
      <c r="QQW55" s="17"/>
      <c r="QRC55" s="17"/>
      <c r="QRD55" s="17"/>
      <c r="QRE55" s="17"/>
      <c r="QRK55" s="17"/>
      <c r="QRL55" s="17"/>
      <c r="QRM55" s="17"/>
      <c r="QRS55" s="17"/>
      <c r="QRT55" s="17"/>
      <c r="QRU55" s="17"/>
      <c r="QSA55" s="17"/>
      <c r="QSB55" s="17"/>
      <c r="QSC55" s="17"/>
      <c r="QSI55" s="17"/>
      <c r="QSJ55" s="17"/>
      <c r="QSK55" s="17"/>
      <c r="QSQ55" s="17"/>
      <c r="QSR55" s="17"/>
      <c r="QSS55" s="17"/>
      <c r="QSY55" s="17"/>
      <c r="QSZ55" s="17"/>
      <c r="QTA55" s="17"/>
      <c r="QTG55" s="17"/>
      <c r="QTH55" s="17"/>
      <c r="QTI55" s="17"/>
      <c r="QTO55" s="17"/>
      <c r="QTP55" s="17"/>
      <c r="QTQ55" s="17"/>
      <c r="QTW55" s="17"/>
      <c r="QTX55" s="17"/>
      <c r="QTY55" s="17"/>
      <c r="QUE55" s="17"/>
      <c r="QUF55" s="17"/>
      <c r="QUG55" s="17"/>
      <c r="QUM55" s="17"/>
      <c r="QUN55" s="17"/>
      <c r="QUO55" s="17"/>
      <c r="QUU55" s="17"/>
      <c r="QUV55" s="17"/>
      <c r="QUW55" s="17"/>
      <c r="QVC55" s="17"/>
      <c r="QVD55" s="17"/>
      <c r="QVE55" s="17"/>
      <c r="QVK55" s="17"/>
      <c r="QVL55" s="17"/>
      <c r="QVM55" s="17"/>
      <c r="QVS55" s="17"/>
      <c r="QVT55" s="17"/>
      <c r="QVU55" s="17"/>
      <c r="QWA55" s="17"/>
      <c r="QWB55" s="17"/>
      <c r="QWC55" s="17"/>
      <c r="QWI55" s="17"/>
      <c r="QWJ55" s="17"/>
      <c r="QWK55" s="17"/>
      <c r="QWQ55" s="17"/>
      <c r="QWR55" s="17"/>
      <c r="QWS55" s="17"/>
      <c r="QWY55" s="17"/>
      <c r="QWZ55" s="17"/>
      <c r="QXA55" s="17"/>
      <c r="QXG55" s="17"/>
      <c r="QXH55" s="17"/>
      <c r="QXI55" s="17"/>
      <c r="QXO55" s="17"/>
      <c r="QXP55" s="17"/>
      <c r="QXQ55" s="17"/>
      <c r="QXW55" s="17"/>
      <c r="QXX55" s="17"/>
      <c r="QXY55" s="17"/>
      <c r="QYE55" s="17"/>
      <c r="QYF55" s="17"/>
      <c r="QYG55" s="17"/>
      <c r="QYM55" s="17"/>
      <c r="QYN55" s="17"/>
      <c r="QYO55" s="17"/>
      <c r="QYU55" s="17"/>
      <c r="QYV55" s="17"/>
      <c r="QYW55" s="17"/>
      <c r="QZC55" s="17"/>
      <c r="QZD55" s="17"/>
      <c r="QZE55" s="17"/>
      <c r="QZK55" s="17"/>
      <c r="QZL55" s="17"/>
      <c r="QZM55" s="17"/>
      <c r="QZS55" s="17"/>
      <c r="QZT55" s="17"/>
      <c r="QZU55" s="17"/>
      <c r="RAA55" s="17"/>
      <c r="RAB55" s="17"/>
      <c r="RAC55" s="17"/>
      <c r="RAI55" s="17"/>
      <c r="RAJ55" s="17"/>
      <c r="RAK55" s="17"/>
      <c r="RAQ55" s="17"/>
      <c r="RAR55" s="17"/>
      <c r="RAS55" s="17"/>
      <c r="RAY55" s="17"/>
      <c r="RAZ55" s="17"/>
      <c r="RBA55" s="17"/>
      <c r="RBG55" s="17"/>
      <c r="RBH55" s="17"/>
      <c r="RBI55" s="17"/>
      <c r="RBO55" s="17"/>
      <c r="RBP55" s="17"/>
      <c r="RBQ55" s="17"/>
      <c r="RBW55" s="17"/>
      <c r="RBX55" s="17"/>
      <c r="RBY55" s="17"/>
      <c r="RCE55" s="17"/>
      <c r="RCF55" s="17"/>
      <c r="RCG55" s="17"/>
      <c r="RCM55" s="17"/>
      <c r="RCN55" s="17"/>
      <c r="RCO55" s="17"/>
      <c r="RCU55" s="17"/>
      <c r="RCV55" s="17"/>
      <c r="RCW55" s="17"/>
      <c r="RDC55" s="17"/>
      <c r="RDD55" s="17"/>
      <c r="RDE55" s="17"/>
      <c r="RDK55" s="17"/>
      <c r="RDL55" s="17"/>
      <c r="RDM55" s="17"/>
      <c r="RDS55" s="17"/>
      <c r="RDT55" s="17"/>
      <c r="RDU55" s="17"/>
      <c r="REA55" s="17"/>
      <c r="REB55" s="17"/>
      <c r="REC55" s="17"/>
      <c r="REI55" s="17"/>
      <c r="REJ55" s="17"/>
      <c r="REK55" s="17"/>
      <c r="REQ55" s="17"/>
      <c r="RER55" s="17"/>
      <c r="RES55" s="17"/>
      <c r="REY55" s="17"/>
      <c r="REZ55" s="17"/>
      <c r="RFA55" s="17"/>
      <c r="RFG55" s="17"/>
      <c r="RFH55" s="17"/>
      <c r="RFI55" s="17"/>
      <c r="RFO55" s="17"/>
      <c r="RFP55" s="17"/>
      <c r="RFQ55" s="17"/>
      <c r="RFW55" s="17"/>
      <c r="RFX55" s="17"/>
      <c r="RFY55" s="17"/>
      <c r="RGE55" s="17"/>
      <c r="RGF55" s="17"/>
      <c r="RGG55" s="17"/>
      <c r="RGM55" s="17"/>
      <c r="RGN55" s="17"/>
      <c r="RGO55" s="17"/>
      <c r="RGU55" s="17"/>
      <c r="RGV55" s="17"/>
      <c r="RGW55" s="17"/>
      <c r="RHC55" s="17"/>
      <c r="RHD55" s="17"/>
      <c r="RHE55" s="17"/>
      <c r="RHK55" s="17"/>
      <c r="RHL55" s="17"/>
      <c r="RHM55" s="17"/>
      <c r="RHS55" s="17"/>
      <c r="RHT55" s="17"/>
      <c r="RHU55" s="17"/>
      <c r="RIA55" s="17"/>
      <c r="RIB55" s="17"/>
      <c r="RIC55" s="17"/>
      <c r="RII55" s="17"/>
      <c r="RIJ55" s="17"/>
      <c r="RIK55" s="17"/>
      <c r="RIQ55" s="17"/>
      <c r="RIR55" s="17"/>
      <c r="RIS55" s="17"/>
      <c r="RIY55" s="17"/>
      <c r="RIZ55" s="17"/>
      <c r="RJA55" s="17"/>
      <c r="RJG55" s="17"/>
      <c r="RJH55" s="17"/>
      <c r="RJI55" s="17"/>
      <c r="RJO55" s="17"/>
      <c r="RJP55" s="17"/>
      <c r="RJQ55" s="17"/>
      <c r="RJW55" s="17"/>
      <c r="RJX55" s="17"/>
      <c r="RJY55" s="17"/>
      <c r="RKE55" s="17"/>
      <c r="RKF55" s="17"/>
      <c r="RKG55" s="17"/>
      <c r="RKM55" s="17"/>
      <c r="RKN55" s="17"/>
      <c r="RKO55" s="17"/>
      <c r="RKU55" s="17"/>
      <c r="RKV55" s="17"/>
      <c r="RKW55" s="17"/>
      <c r="RLC55" s="17"/>
      <c r="RLD55" s="17"/>
      <c r="RLE55" s="17"/>
      <c r="RLK55" s="17"/>
      <c r="RLL55" s="17"/>
      <c r="RLM55" s="17"/>
      <c r="RLS55" s="17"/>
      <c r="RLT55" s="17"/>
      <c r="RLU55" s="17"/>
      <c r="RMA55" s="17"/>
      <c r="RMB55" s="17"/>
      <c r="RMC55" s="17"/>
      <c r="RMI55" s="17"/>
      <c r="RMJ55" s="17"/>
      <c r="RMK55" s="17"/>
      <c r="RMQ55" s="17"/>
      <c r="RMR55" s="17"/>
      <c r="RMS55" s="17"/>
      <c r="RMY55" s="17"/>
      <c r="RMZ55" s="17"/>
      <c r="RNA55" s="17"/>
      <c r="RNG55" s="17"/>
      <c r="RNH55" s="17"/>
      <c r="RNI55" s="17"/>
      <c r="RNO55" s="17"/>
      <c r="RNP55" s="17"/>
      <c r="RNQ55" s="17"/>
      <c r="RNW55" s="17"/>
      <c r="RNX55" s="17"/>
      <c r="RNY55" s="17"/>
      <c r="ROE55" s="17"/>
      <c r="ROF55" s="17"/>
      <c r="ROG55" s="17"/>
      <c r="ROM55" s="17"/>
      <c r="RON55" s="17"/>
      <c r="ROO55" s="17"/>
      <c r="ROU55" s="17"/>
      <c r="ROV55" s="17"/>
      <c r="ROW55" s="17"/>
      <c r="RPC55" s="17"/>
      <c r="RPD55" s="17"/>
      <c r="RPE55" s="17"/>
      <c r="RPK55" s="17"/>
      <c r="RPL55" s="17"/>
      <c r="RPM55" s="17"/>
      <c r="RPS55" s="17"/>
      <c r="RPT55" s="17"/>
      <c r="RPU55" s="17"/>
      <c r="RQA55" s="17"/>
      <c r="RQB55" s="17"/>
      <c r="RQC55" s="17"/>
      <c r="RQI55" s="17"/>
      <c r="RQJ55" s="17"/>
      <c r="RQK55" s="17"/>
      <c r="RQQ55" s="17"/>
      <c r="RQR55" s="17"/>
      <c r="RQS55" s="17"/>
      <c r="RQY55" s="17"/>
      <c r="RQZ55" s="17"/>
      <c r="RRA55" s="17"/>
      <c r="RRG55" s="17"/>
      <c r="RRH55" s="17"/>
      <c r="RRI55" s="17"/>
      <c r="RRO55" s="17"/>
      <c r="RRP55" s="17"/>
      <c r="RRQ55" s="17"/>
      <c r="RRW55" s="17"/>
      <c r="RRX55" s="17"/>
      <c r="RRY55" s="17"/>
      <c r="RSE55" s="17"/>
      <c r="RSF55" s="17"/>
      <c r="RSG55" s="17"/>
      <c r="RSM55" s="17"/>
      <c r="RSN55" s="17"/>
      <c r="RSO55" s="17"/>
      <c r="RSU55" s="17"/>
      <c r="RSV55" s="17"/>
      <c r="RSW55" s="17"/>
      <c r="RTC55" s="17"/>
      <c r="RTD55" s="17"/>
      <c r="RTE55" s="17"/>
      <c r="RTK55" s="17"/>
      <c r="RTL55" s="17"/>
      <c r="RTM55" s="17"/>
      <c r="RTS55" s="17"/>
      <c r="RTT55" s="17"/>
      <c r="RTU55" s="17"/>
      <c r="RUA55" s="17"/>
      <c r="RUB55" s="17"/>
      <c r="RUC55" s="17"/>
      <c r="RUI55" s="17"/>
      <c r="RUJ55" s="17"/>
      <c r="RUK55" s="17"/>
      <c r="RUQ55" s="17"/>
      <c r="RUR55" s="17"/>
      <c r="RUS55" s="17"/>
      <c r="RUY55" s="17"/>
      <c r="RUZ55" s="17"/>
      <c r="RVA55" s="17"/>
      <c r="RVG55" s="17"/>
      <c r="RVH55" s="17"/>
      <c r="RVI55" s="17"/>
      <c r="RVO55" s="17"/>
      <c r="RVP55" s="17"/>
      <c r="RVQ55" s="17"/>
      <c r="RVW55" s="17"/>
      <c r="RVX55" s="17"/>
      <c r="RVY55" s="17"/>
      <c r="RWE55" s="17"/>
      <c r="RWF55" s="17"/>
      <c r="RWG55" s="17"/>
      <c r="RWM55" s="17"/>
      <c r="RWN55" s="17"/>
      <c r="RWO55" s="17"/>
      <c r="RWU55" s="17"/>
      <c r="RWV55" s="17"/>
      <c r="RWW55" s="17"/>
      <c r="RXC55" s="17"/>
      <c r="RXD55" s="17"/>
      <c r="RXE55" s="17"/>
      <c r="RXK55" s="17"/>
      <c r="RXL55" s="17"/>
      <c r="RXM55" s="17"/>
      <c r="RXS55" s="17"/>
      <c r="RXT55" s="17"/>
      <c r="RXU55" s="17"/>
      <c r="RYA55" s="17"/>
      <c r="RYB55" s="17"/>
      <c r="RYC55" s="17"/>
      <c r="RYI55" s="17"/>
      <c r="RYJ55" s="17"/>
      <c r="RYK55" s="17"/>
      <c r="RYQ55" s="17"/>
      <c r="RYR55" s="17"/>
      <c r="RYS55" s="17"/>
      <c r="RYY55" s="17"/>
      <c r="RYZ55" s="17"/>
      <c r="RZA55" s="17"/>
      <c r="RZG55" s="17"/>
      <c r="RZH55" s="17"/>
      <c r="RZI55" s="17"/>
      <c r="RZO55" s="17"/>
      <c r="RZP55" s="17"/>
      <c r="RZQ55" s="17"/>
      <c r="RZW55" s="17"/>
      <c r="RZX55" s="17"/>
      <c r="RZY55" s="17"/>
      <c r="SAE55" s="17"/>
      <c r="SAF55" s="17"/>
      <c r="SAG55" s="17"/>
      <c r="SAM55" s="17"/>
      <c r="SAN55" s="17"/>
      <c r="SAO55" s="17"/>
      <c r="SAU55" s="17"/>
      <c r="SAV55" s="17"/>
      <c r="SAW55" s="17"/>
      <c r="SBC55" s="17"/>
      <c r="SBD55" s="17"/>
      <c r="SBE55" s="17"/>
      <c r="SBK55" s="17"/>
      <c r="SBL55" s="17"/>
      <c r="SBM55" s="17"/>
      <c r="SBS55" s="17"/>
      <c r="SBT55" s="17"/>
      <c r="SBU55" s="17"/>
      <c r="SCA55" s="17"/>
      <c r="SCB55" s="17"/>
      <c r="SCC55" s="17"/>
      <c r="SCI55" s="17"/>
      <c r="SCJ55" s="17"/>
      <c r="SCK55" s="17"/>
      <c r="SCQ55" s="17"/>
      <c r="SCR55" s="17"/>
      <c r="SCS55" s="17"/>
      <c r="SCY55" s="17"/>
      <c r="SCZ55" s="17"/>
      <c r="SDA55" s="17"/>
      <c r="SDG55" s="17"/>
      <c r="SDH55" s="17"/>
      <c r="SDI55" s="17"/>
      <c r="SDO55" s="17"/>
      <c r="SDP55" s="17"/>
      <c r="SDQ55" s="17"/>
      <c r="SDW55" s="17"/>
      <c r="SDX55" s="17"/>
      <c r="SDY55" s="17"/>
      <c r="SEE55" s="17"/>
      <c r="SEF55" s="17"/>
      <c r="SEG55" s="17"/>
      <c r="SEM55" s="17"/>
      <c r="SEN55" s="17"/>
      <c r="SEO55" s="17"/>
      <c r="SEU55" s="17"/>
      <c r="SEV55" s="17"/>
      <c r="SEW55" s="17"/>
      <c r="SFC55" s="17"/>
      <c r="SFD55" s="17"/>
      <c r="SFE55" s="17"/>
      <c r="SFK55" s="17"/>
      <c r="SFL55" s="17"/>
      <c r="SFM55" s="17"/>
      <c r="SFS55" s="17"/>
      <c r="SFT55" s="17"/>
      <c r="SFU55" s="17"/>
      <c r="SGA55" s="17"/>
      <c r="SGB55" s="17"/>
      <c r="SGC55" s="17"/>
      <c r="SGI55" s="17"/>
      <c r="SGJ55" s="17"/>
      <c r="SGK55" s="17"/>
      <c r="SGQ55" s="17"/>
      <c r="SGR55" s="17"/>
      <c r="SGS55" s="17"/>
      <c r="SGY55" s="17"/>
      <c r="SGZ55" s="17"/>
      <c r="SHA55" s="17"/>
      <c r="SHG55" s="17"/>
      <c r="SHH55" s="17"/>
      <c r="SHI55" s="17"/>
      <c r="SHO55" s="17"/>
      <c r="SHP55" s="17"/>
      <c r="SHQ55" s="17"/>
      <c r="SHW55" s="17"/>
      <c r="SHX55" s="17"/>
      <c r="SHY55" s="17"/>
      <c r="SIE55" s="17"/>
      <c r="SIF55" s="17"/>
      <c r="SIG55" s="17"/>
      <c r="SIM55" s="17"/>
      <c r="SIN55" s="17"/>
      <c r="SIO55" s="17"/>
      <c r="SIU55" s="17"/>
      <c r="SIV55" s="17"/>
      <c r="SIW55" s="17"/>
      <c r="SJC55" s="17"/>
      <c r="SJD55" s="17"/>
      <c r="SJE55" s="17"/>
      <c r="SJK55" s="17"/>
      <c r="SJL55" s="17"/>
      <c r="SJM55" s="17"/>
      <c r="SJS55" s="17"/>
      <c r="SJT55" s="17"/>
      <c r="SJU55" s="17"/>
      <c r="SKA55" s="17"/>
      <c r="SKB55" s="17"/>
      <c r="SKC55" s="17"/>
      <c r="SKI55" s="17"/>
      <c r="SKJ55" s="17"/>
      <c r="SKK55" s="17"/>
      <c r="SKQ55" s="17"/>
      <c r="SKR55" s="17"/>
      <c r="SKS55" s="17"/>
      <c r="SKY55" s="17"/>
      <c r="SKZ55" s="17"/>
      <c r="SLA55" s="17"/>
      <c r="SLG55" s="17"/>
      <c r="SLH55" s="17"/>
      <c r="SLI55" s="17"/>
      <c r="SLO55" s="17"/>
      <c r="SLP55" s="17"/>
      <c r="SLQ55" s="17"/>
      <c r="SLW55" s="17"/>
      <c r="SLX55" s="17"/>
      <c r="SLY55" s="17"/>
      <c r="SME55" s="17"/>
      <c r="SMF55" s="17"/>
      <c r="SMG55" s="17"/>
      <c r="SMM55" s="17"/>
      <c r="SMN55" s="17"/>
      <c r="SMO55" s="17"/>
      <c r="SMU55" s="17"/>
      <c r="SMV55" s="17"/>
      <c r="SMW55" s="17"/>
      <c r="SNC55" s="17"/>
      <c r="SND55" s="17"/>
      <c r="SNE55" s="17"/>
      <c r="SNK55" s="17"/>
      <c r="SNL55" s="17"/>
      <c r="SNM55" s="17"/>
      <c r="SNS55" s="17"/>
      <c r="SNT55" s="17"/>
      <c r="SNU55" s="17"/>
      <c r="SOA55" s="17"/>
      <c r="SOB55" s="17"/>
      <c r="SOC55" s="17"/>
      <c r="SOI55" s="17"/>
      <c r="SOJ55" s="17"/>
      <c r="SOK55" s="17"/>
      <c r="SOQ55" s="17"/>
      <c r="SOR55" s="17"/>
      <c r="SOS55" s="17"/>
      <c r="SOY55" s="17"/>
      <c r="SOZ55" s="17"/>
      <c r="SPA55" s="17"/>
      <c r="SPG55" s="17"/>
      <c r="SPH55" s="17"/>
      <c r="SPI55" s="17"/>
      <c r="SPO55" s="17"/>
      <c r="SPP55" s="17"/>
      <c r="SPQ55" s="17"/>
      <c r="SPW55" s="17"/>
      <c r="SPX55" s="17"/>
      <c r="SPY55" s="17"/>
      <c r="SQE55" s="17"/>
      <c r="SQF55" s="17"/>
      <c r="SQG55" s="17"/>
      <c r="SQM55" s="17"/>
      <c r="SQN55" s="17"/>
      <c r="SQO55" s="17"/>
      <c r="SQU55" s="17"/>
      <c r="SQV55" s="17"/>
      <c r="SQW55" s="17"/>
      <c r="SRC55" s="17"/>
      <c r="SRD55" s="17"/>
      <c r="SRE55" s="17"/>
      <c r="SRK55" s="17"/>
      <c r="SRL55" s="17"/>
      <c r="SRM55" s="17"/>
      <c r="SRS55" s="17"/>
      <c r="SRT55" s="17"/>
      <c r="SRU55" s="17"/>
      <c r="SSA55" s="17"/>
      <c r="SSB55" s="17"/>
      <c r="SSC55" s="17"/>
      <c r="SSI55" s="17"/>
      <c r="SSJ55" s="17"/>
      <c r="SSK55" s="17"/>
      <c r="SSQ55" s="17"/>
      <c r="SSR55" s="17"/>
      <c r="SSS55" s="17"/>
      <c r="SSY55" s="17"/>
      <c r="SSZ55" s="17"/>
      <c r="STA55" s="17"/>
      <c r="STG55" s="17"/>
      <c r="STH55" s="17"/>
      <c r="STI55" s="17"/>
      <c r="STO55" s="17"/>
      <c r="STP55" s="17"/>
      <c r="STQ55" s="17"/>
      <c r="STW55" s="17"/>
      <c r="STX55" s="17"/>
      <c r="STY55" s="17"/>
      <c r="SUE55" s="17"/>
      <c r="SUF55" s="17"/>
      <c r="SUG55" s="17"/>
      <c r="SUM55" s="17"/>
      <c r="SUN55" s="17"/>
      <c r="SUO55" s="17"/>
      <c r="SUU55" s="17"/>
      <c r="SUV55" s="17"/>
      <c r="SUW55" s="17"/>
      <c r="SVC55" s="17"/>
      <c r="SVD55" s="17"/>
      <c r="SVE55" s="17"/>
      <c r="SVK55" s="17"/>
      <c r="SVL55" s="17"/>
      <c r="SVM55" s="17"/>
      <c r="SVS55" s="17"/>
      <c r="SVT55" s="17"/>
      <c r="SVU55" s="17"/>
      <c r="SWA55" s="17"/>
      <c r="SWB55" s="17"/>
      <c r="SWC55" s="17"/>
      <c r="SWI55" s="17"/>
      <c r="SWJ55" s="17"/>
      <c r="SWK55" s="17"/>
      <c r="SWQ55" s="17"/>
      <c r="SWR55" s="17"/>
      <c r="SWS55" s="17"/>
      <c r="SWY55" s="17"/>
      <c r="SWZ55" s="17"/>
      <c r="SXA55" s="17"/>
      <c r="SXG55" s="17"/>
      <c r="SXH55" s="17"/>
      <c r="SXI55" s="17"/>
      <c r="SXO55" s="17"/>
      <c r="SXP55" s="17"/>
      <c r="SXQ55" s="17"/>
      <c r="SXW55" s="17"/>
      <c r="SXX55" s="17"/>
      <c r="SXY55" s="17"/>
      <c r="SYE55" s="17"/>
      <c r="SYF55" s="17"/>
      <c r="SYG55" s="17"/>
      <c r="SYM55" s="17"/>
      <c r="SYN55" s="17"/>
      <c r="SYO55" s="17"/>
      <c r="SYU55" s="17"/>
      <c r="SYV55" s="17"/>
      <c r="SYW55" s="17"/>
      <c r="SZC55" s="17"/>
      <c r="SZD55" s="17"/>
      <c r="SZE55" s="17"/>
      <c r="SZK55" s="17"/>
      <c r="SZL55" s="17"/>
      <c r="SZM55" s="17"/>
      <c r="SZS55" s="17"/>
      <c r="SZT55" s="17"/>
      <c r="SZU55" s="17"/>
      <c r="TAA55" s="17"/>
      <c r="TAB55" s="17"/>
      <c r="TAC55" s="17"/>
      <c r="TAI55" s="17"/>
      <c r="TAJ55" s="17"/>
      <c r="TAK55" s="17"/>
      <c r="TAQ55" s="17"/>
      <c r="TAR55" s="17"/>
      <c r="TAS55" s="17"/>
      <c r="TAY55" s="17"/>
      <c r="TAZ55" s="17"/>
      <c r="TBA55" s="17"/>
      <c r="TBG55" s="17"/>
      <c r="TBH55" s="17"/>
      <c r="TBI55" s="17"/>
      <c r="TBO55" s="17"/>
      <c r="TBP55" s="17"/>
      <c r="TBQ55" s="17"/>
      <c r="TBW55" s="17"/>
      <c r="TBX55" s="17"/>
      <c r="TBY55" s="17"/>
      <c r="TCE55" s="17"/>
      <c r="TCF55" s="17"/>
      <c r="TCG55" s="17"/>
      <c r="TCM55" s="17"/>
      <c r="TCN55" s="17"/>
      <c r="TCO55" s="17"/>
      <c r="TCU55" s="17"/>
      <c r="TCV55" s="17"/>
      <c r="TCW55" s="17"/>
      <c r="TDC55" s="17"/>
      <c r="TDD55" s="17"/>
      <c r="TDE55" s="17"/>
      <c r="TDK55" s="17"/>
      <c r="TDL55" s="17"/>
      <c r="TDM55" s="17"/>
      <c r="TDS55" s="17"/>
      <c r="TDT55" s="17"/>
      <c r="TDU55" s="17"/>
      <c r="TEA55" s="17"/>
      <c r="TEB55" s="17"/>
      <c r="TEC55" s="17"/>
      <c r="TEI55" s="17"/>
      <c r="TEJ55" s="17"/>
      <c r="TEK55" s="17"/>
      <c r="TEQ55" s="17"/>
      <c r="TER55" s="17"/>
      <c r="TES55" s="17"/>
      <c r="TEY55" s="17"/>
      <c r="TEZ55" s="17"/>
      <c r="TFA55" s="17"/>
      <c r="TFG55" s="17"/>
      <c r="TFH55" s="17"/>
      <c r="TFI55" s="17"/>
      <c r="TFO55" s="17"/>
      <c r="TFP55" s="17"/>
      <c r="TFQ55" s="17"/>
      <c r="TFW55" s="17"/>
      <c r="TFX55" s="17"/>
      <c r="TFY55" s="17"/>
      <c r="TGE55" s="17"/>
      <c r="TGF55" s="17"/>
      <c r="TGG55" s="17"/>
      <c r="TGM55" s="17"/>
      <c r="TGN55" s="17"/>
      <c r="TGO55" s="17"/>
      <c r="TGU55" s="17"/>
      <c r="TGV55" s="17"/>
      <c r="TGW55" s="17"/>
      <c r="THC55" s="17"/>
      <c r="THD55" s="17"/>
      <c r="THE55" s="17"/>
      <c r="THK55" s="17"/>
      <c r="THL55" s="17"/>
      <c r="THM55" s="17"/>
      <c r="THS55" s="17"/>
      <c r="THT55" s="17"/>
      <c r="THU55" s="17"/>
      <c r="TIA55" s="17"/>
      <c r="TIB55" s="17"/>
      <c r="TIC55" s="17"/>
      <c r="TII55" s="17"/>
      <c r="TIJ55" s="17"/>
      <c r="TIK55" s="17"/>
      <c r="TIQ55" s="17"/>
      <c r="TIR55" s="17"/>
      <c r="TIS55" s="17"/>
      <c r="TIY55" s="17"/>
      <c r="TIZ55" s="17"/>
      <c r="TJA55" s="17"/>
      <c r="TJG55" s="17"/>
      <c r="TJH55" s="17"/>
      <c r="TJI55" s="17"/>
      <c r="TJO55" s="17"/>
      <c r="TJP55" s="17"/>
      <c r="TJQ55" s="17"/>
      <c r="TJW55" s="17"/>
      <c r="TJX55" s="17"/>
      <c r="TJY55" s="17"/>
      <c r="TKE55" s="17"/>
      <c r="TKF55" s="17"/>
      <c r="TKG55" s="17"/>
      <c r="TKM55" s="17"/>
      <c r="TKN55" s="17"/>
      <c r="TKO55" s="17"/>
      <c r="TKU55" s="17"/>
      <c r="TKV55" s="17"/>
      <c r="TKW55" s="17"/>
      <c r="TLC55" s="17"/>
      <c r="TLD55" s="17"/>
      <c r="TLE55" s="17"/>
      <c r="TLK55" s="17"/>
      <c r="TLL55" s="17"/>
      <c r="TLM55" s="17"/>
      <c r="TLS55" s="17"/>
      <c r="TLT55" s="17"/>
      <c r="TLU55" s="17"/>
      <c r="TMA55" s="17"/>
      <c r="TMB55" s="17"/>
      <c r="TMC55" s="17"/>
      <c r="TMI55" s="17"/>
      <c r="TMJ55" s="17"/>
      <c r="TMK55" s="17"/>
      <c r="TMQ55" s="17"/>
      <c r="TMR55" s="17"/>
      <c r="TMS55" s="17"/>
      <c r="TMY55" s="17"/>
      <c r="TMZ55" s="17"/>
      <c r="TNA55" s="17"/>
      <c r="TNG55" s="17"/>
      <c r="TNH55" s="17"/>
      <c r="TNI55" s="17"/>
      <c r="TNO55" s="17"/>
      <c r="TNP55" s="17"/>
      <c r="TNQ55" s="17"/>
      <c r="TNW55" s="17"/>
      <c r="TNX55" s="17"/>
      <c r="TNY55" s="17"/>
      <c r="TOE55" s="17"/>
      <c r="TOF55" s="17"/>
      <c r="TOG55" s="17"/>
      <c r="TOM55" s="17"/>
      <c r="TON55" s="17"/>
      <c r="TOO55" s="17"/>
      <c r="TOU55" s="17"/>
      <c r="TOV55" s="17"/>
      <c r="TOW55" s="17"/>
      <c r="TPC55" s="17"/>
      <c r="TPD55" s="17"/>
      <c r="TPE55" s="17"/>
      <c r="TPK55" s="17"/>
      <c r="TPL55" s="17"/>
      <c r="TPM55" s="17"/>
      <c r="TPS55" s="17"/>
      <c r="TPT55" s="17"/>
      <c r="TPU55" s="17"/>
      <c r="TQA55" s="17"/>
      <c r="TQB55" s="17"/>
      <c r="TQC55" s="17"/>
      <c r="TQI55" s="17"/>
      <c r="TQJ55" s="17"/>
      <c r="TQK55" s="17"/>
      <c r="TQQ55" s="17"/>
      <c r="TQR55" s="17"/>
      <c r="TQS55" s="17"/>
      <c r="TQY55" s="17"/>
      <c r="TQZ55" s="17"/>
      <c r="TRA55" s="17"/>
      <c r="TRG55" s="17"/>
      <c r="TRH55" s="17"/>
      <c r="TRI55" s="17"/>
      <c r="TRO55" s="17"/>
      <c r="TRP55" s="17"/>
      <c r="TRQ55" s="17"/>
      <c r="TRW55" s="17"/>
      <c r="TRX55" s="17"/>
      <c r="TRY55" s="17"/>
      <c r="TSE55" s="17"/>
      <c r="TSF55" s="17"/>
      <c r="TSG55" s="17"/>
      <c r="TSM55" s="17"/>
      <c r="TSN55" s="17"/>
      <c r="TSO55" s="17"/>
      <c r="TSU55" s="17"/>
      <c r="TSV55" s="17"/>
      <c r="TSW55" s="17"/>
      <c r="TTC55" s="17"/>
      <c r="TTD55" s="17"/>
      <c r="TTE55" s="17"/>
      <c r="TTK55" s="17"/>
      <c r="TTL55" s="17"/>
      <c r="TTM55" s="17"/>
      <c r="TTS55" s="17"/>
      <c r="TTT55" s="17"/>
      <c r="TTU55" s="17"/>
      <c r="TUA55" s="17"/>
      <c r="TUB55" s="17"/>
      <c r="TUC55" s="17"/>
      <c r="TUI55" s="17"/>
      <c r="TUJ55" s="17"/>
      <c r="TUK55" s="17"/>
      <c r="TUQ55" s="17"/>
      <c r="TUR55" s="17"/>
      <c r="TUS55" s="17"/>
      <c r="TUY55" s="17"/>
      <c r="TUZ55" s="17"/>
      <c r="TVA55" s="17"/>
      <c r="TVG55" s="17"/>
      <c r="TVH55" s="17"/>
      <c r="TVI55" s="17"/>
      <c r="TVO55" s="17"/>
      <c r="TVP55" s="17"/>
      <c r="TVQ55" s="17"/>
      <c r="TVW55" s="17"/>
      <c r="TVX55" s="17"/>
      <c r="TVY55" s="17"/>
      <c r="TWE55" s="17"/>
      <c r="TWF55" s="17"/>
      <c r="TWG55" s="17"/>
      <c r="TWM55" s="17"/>
      <c r="TWN55" s="17"/>
      <c r="TWO55" s="17"/>
      <c r="TWU55" s="17"/>
      <c r="TWV55" s="17"/>
      <c r="TWW55" s="17"/>
      <c r="TXC55" s="17"/>
      <c r="TXD55" s="17"/>
      <c r="TXE55" s="17"/>
      <c r="TXK55" s="17"/>
      <c r="TXL55" s="17"/>
      <c r="TXM55" s="17"/>
      <c r="TXS55" s="17"/>
      <c r="TXT55" s="17"/>
      <c r="TXU55" s="17"/>
      <c r="TYA55" s="17"/>
      <c r="TYB55" s="17"/>
      <c r="TYC55" s="17"/>
      <c r="TYI55" s="17"/>
      <c r="TYJ55" s="17"/>
      <c r="TYK55" s="17"/>
      <c r="TYQ55" s="17"/>
      <c r="TYR55" s="17"/>
      <c r="TYS55" s="17"/>
      <c r="TYY55" s="17"/>
      <c r="TYZ55" s="17"/>
      <c r="TZA55" s="17"/>
      <c r="TZG55" s="17"/>
      <c r="TZH55" s="17"/>
      <c r="TZI55" s="17"/>
      <c r="TZO55" s="17"/>
      <c r="TZP55" s="17"/>
      <c r="TZQ55" s="17"/>
      <c r="TZW55" s="17"/>
      <c r="TZX55" s="17"/>
      <c r="TZY55" s="17"/>
      <c r="UAE55" s="17"/>
      <c r="UAF55" s="17"/>
      <c r="UAG55" s="17"/>
      <c r="UAM55" s="17"/>
      <c r="UAN55" s="17"/>
      <c r="UAO55" s="17"/>
      <c r="UAU55" s="17"/>
      <c r="UAV55" s="17"/>
      <c r="UAW55" s="17"/>
      <c r="UBC55" s="17"/>
      <c r="UBD55" s="17"/>
      <c r="UBE55" s="17"/>
      <c r="UBK55" s="17"/>
      <c r="UBL55" s="17"/>
      <c r="UBM55" s="17"/>
      <c r="UBS55" s="17"/>
      <c r="UBT55" s="17"/>
      <c r="UBU55" s="17"/>
      <c r="UCA55" s="17"/>
      <c r="UCB55" s="17"/>
      <c r="UCC55" s="17"/>
      <c r="UCI55" s="17"/>
      <c r="UCJ55" s="17"/>
      <c r="UCK55" s="17"/>
      <c r="UCQ55" s="17"/>
      <c r="UCR55" s="17"/>
      <c r="UCS55" s="17"/>
      <c r="UCY55" s="17"/>
      <c r="UCZ55" s="17"/>
      <c r="UDA55" s="17"/>
      <c r="UDG55" s="17"/>
      <c r="UDH55" s="17"/>
      <c r="UDI55" s="17"/>
      <c r="UDO55" s="17"/>
      <c r="UDP55" s="17"/>
      <c r="UDQ55" s="17"/>
      <c r="UDW55" s="17"/>
      <c r="UDX55" s="17"/>
      <c r="UDY55" s="17"/>
      <c r="UEE55" s="17"/>
      <c r="UEF55" s="17"/>
      <c r="UEG55" s="17"/>
      <c r="UEM55" s="17"/>
      <c r="UEN55" s="17"/>
      <c r="UEO55" s="17"/>
      <c r="UEU55" s="17"/>
      <c r="UEV55" s="17"/>
      <c r="UEW55" s="17"/>
      <c r="UFC55" s="17"/>
      <c r="UFD55" s="17"/>
      <c r="UFE55" s="17"/>
      <c r="UFK55" s="17"/>
      <c r="UFL55" s="17"/>
      <c r="UFM55" s="17"/>
      <c r="UFS55" s="17"/>
      <c r="UFT55" s="17"/>
      <c r="UFU55" s="17"/>
      <c r="UGA55" s="17"/>
      <c r="UGB55" s="17"/>
      <c r="UGC55" s="17"/>
      <c r="UGI55" s="17"/>
      <c r="UGJ55" s="17"/>
      <c r="UGK55" s="17"/>
      <c r="UGQ55" s="17"/>
      <c r="UGR55" s="17"/>
      <c r="UGS55" s="17"/>
      <c r="UGY55" s="17"/>
      <c r="UGZ55" s="17"/>
      <c r="UHA55" s="17"/>
      <c r="UHG55" s="17"/>
      <c r="UHH55" s="17"/>
      <c r="UHI55" s="17"/>
      <c r="UHO55" s="17"/>
      <c r="UHP55" s="17"/>
      <c r="UHQ55" s="17"/>
      <c r="UHW55" s="17"/>
      <c r="UHX55" s="17"/>
      <c r="UHY55" s="17"/>
      <c r="UIE55" s="17"/>
      <c r="UIF55" s="17"/>
      <c r="UIG55" s="17"/>
      <c r="UIM55" s="17"/>
      <c r="UIN55" s="17"/>
      <c r="UIO55" s="17"/>
      <c r="UIU55" s="17"/>
      <c r="UIV55" s="17"/>
      <c r="UIW55" s="17"/>
      <c r="UJC55" s="17"/>
      <c r="UJD55" s="17"/>
      <c r="UJE55" s="17"/>
      <c r="UJK55" s="17"/>
      <c r="UJL55" s="17"/>
      <c r="UJM55" s="17"/>
      <c r="UJS55" s="17"/>
      <c r="UJT55" s="17"/>
      <c r="UJU55" s="17"/>
      <c r="UKA55" s="17"/>
      <c r="UKB55" s="17"/>
      <c r="UKC55" s="17"/>
      <c r="UKI55" s="17"/>
      <c r="UKJ55" s="17"/>
      <c r="UKK55" s="17"/>
      <c r="UKQ55" s="17"/>
      <c r="UKR55" s="17"/>
      <c r="UKS55" s="17"/>
      <c r="UKY55" s="17"/>
      <c r="UKZ55" s="17"/>
      <c r="ULA55" s="17"/>
      <c r="ULG55" s="17"/>
      <c r="ULH55" s="17"/>
      <c r="ULI55" s="17"/>
      <c r="ULO55" s="17"/>
      <c r="ULP55" s="17"/>
      <c r="ULQ55" s="17"/>
      <c r="ULW55" s="17"/>
      <c r="ULX55" s="17"/>
      <c r="ULY55" s="17"/>
      <c r="UME55" s="17"/>
      <c r="UMF55" s="17"/>
      <c r="UMG55" s="17"/>
      <c r="UMM55" s="17"/>
      <c r="UMN55" s="17"/>
      <c r="UMO55" s="17"/>
      <c r="UMU55" s="17"/>
      <c r="UMV55" s="17"/>
      <c r="UMW55" s="17"/>
      <c r="UNC55" s="17"/>
      <c r="UND55" s="17"/>
      <c r="UNE55" s="17"/>
      <c r="UNK55" s="17"/>
      <c r="UNL55" s="17"/>
      <c r="UNM55" s="17"/>
      <c r="UNS55" s="17"/>
      <c r="UNT55" s="17"/>
      <c r="UNU55" s="17"/>
      <c r="UOA55" s="17"/>
      <c r="UOB55" s="17"/>
      <c r="UOC55" s="17"/>
      <c r="UOI55" s="17"/>
      <c r="UOJ55" s="17"/>
      <c r="UOK55" s="17"/>
      <c r="UOQ55" s="17"/>
      <c r="UOR55" s="17"/>
      <c r="UOS55" s="17"/>
      <c r="UOY55" s="17"/>
      <c r="UOZ55" s="17"/>
      <c r="UPA55" s="17"/>
      <c r="UPG55" s="17"/>
      <c r="UPH55" s="17"/>
      <c r="UPI55" s="17"/>
      <c r="UPO55" s="17"/>
      <c r="UPP55" s="17"/>
      <c r="UPQ55" s="17"/>
      <c r="UPW55" s="17"/>
      <c r="UPX55" s="17"/>
      <c r="UPY55" s="17"/>
      <c r="UQE55" s="17"/>
      <c r="UQF55" s="17"/>
      <c r="UQG55" s="17"/>
      <c r="UQM55" s="17"/>
      <c r="UQN55" s="17"/>
      <c r="UQO55" s="17"/>
      <c r="UQU55" s="17"/>
      <c r="UQV55" s="17"/>
      <c r="UQW55" s="17"/>
      <c r="URC55" s="17"/>
      <c r="URD55" s="17"/>
      <c r="URE55" s="17"/>
      <c r="URK55" s="17"/>
      <c r="URL55" s="17"/>
      <c r="URM55" s="17"/>
      <c r="URS55" s="17"/>
      <c r="URT55" s="17"/>
      <c r="URU55" s="17"/>
      <c r="USA55" s="17"/>
      <c r="USB55" s="17"/>
      <c r="USC55" s="17"/>
      <c r="USI55" s="17"/>
      <c r="USJ55" s="17"/>
      <c r="USK55" s="17"/>
      <c r="USQ55" s="17"/>
      <c r="USR55" s="17"/>
      <c r="USS55" s="17"/>
      <c r="USY55" s="17"/>
      <c r="USZ55" s="17"/>
      <c r="UTA55" s="17"/>
      <c r="UTG55" s="17"/>
      <c r="UTH55" s="17"/>
      <c r="UTI55" s="17"/>
      <c r="UTO55" s="17"/>
      <c r="UTP55" s="17"/>
      <c r="UTQ55" s="17"/>
      <c r="UTW55" s="17"/>
      <c r="UTX55" s="17"/>
      <c r="UTY55" s="17"/>
      <c r="UUE55" s="17"/>
      <c r="UUF55" s="17"/>
      <c r="UUG55" s="17"/>
      <c r="UUM55" s="17"/>
      <c r="UUN55" s="17"/>
      <c r="UUO55" s="17"/>
      <c r="UUU55" s="17"/>
      <c r="UUV55" s="17"/>
      <c r="UUW55" s="17"/>
      <c r="UVC55" s="17"/>
      <c r="UVD55" s="17"/>
      <c r="UVE55" s="17"/>
      <c r="UVK55" s="17"/>
      <c r="UVL55" s="17"/>
      <c r="UVM55" s="17"/>
      <c r="UVS55" s="17"/>
      <c r="UVT55" s="17"/>
      <c r="UVU55" s="17"/>
      <c r="UWA55" s="17"/>
      <c r="UWB55" s="17"/>
      <c r="UWC55" s="17"/>
      <c r="UWI55" s="17"/>
      <c r="UWJ55" s="17"/>
      <c r="UWK55" s="17"/>
      <c r="UWQ55" s="17"/>
      <c r="UWR55" s="17"/>
      <c r="UWS55" s="17"/>
      <c r="UWY55" s="17"/>
      <c r="UWZ55" s="17"/>
      <c r="UXA55" s="17"/>
      <c r="UXG55" s="17"/>
      <c r="UXH55" s="17"/>
      <c r="UXI55" s="17"/>
      <c r="UXO55" s="17"/>
      <c r="UXP55" s="17"/>
      <c r="UXQ55" s="17"/>
      <c r="UXW55" s="17"/>
      <c r="UXX55" s="17"/>
      <c r="UXY55" s="17"/>
      <c r="UYE55" s="17"/>
      <c r="UYF55" s="17"/>
      <c r="UYG55" s="17"/>
      <c r="UYM55" s="17"/>
      <c r="UYN55" s="17"/>
      <c r="UYO55" s="17"/>
      <c r="UYU55" s="17"/>
      <c r="UYV55" s="17"/>
      <c r="UYW55" s="17"/>
      <c r="UZC55" s="17"/>
      <c r="UZD55" s="17"/>
      <c r="UZE55" s="17"/>
      <c r="UZK55" s="17"/>
      <c r="UZL55" s="17"/>
      <c r="UZM55" s="17"/>
      <c r="UZS55" s="17"/>
      <c r="UZT55" s="17"/>
      <c r="UZU55" s="17"/>
      <c r="VAA55" s="17"/>
      <c r="VAB55" s="17"/>
      <c r="VAC55" s="17"/>
      <c r="VAI55" s="17"/>
      <c r="VAJ55" s="17"/>
      <c r="VAK55" s="17"/>
      <c r="VAQ55" s="17"/>
      <c r="VAR55" s="17"/>
      <c r="VAS55" s="17"/>
      <c r="VAY55" s="17"/>
      <c r="VAZ55" s="17"/>
      <c r="VBA55" s="17"/>
      <c r="VBG55" s="17"/>
      <c r="VBH55" s="17"/>
      <c r="VBI55" s="17"/>
      <c r="VBO55" s="17"/>
      <c r="VBP55" s="17"/>
      <c r="VBQ55" s="17"/>
      <c r="VBW55" s="17"/>
      <c r="VBX55" s="17"/>
      <c r="VBY55" s="17"/>
      <c r="VCE55" s="17"/>
      <c r="VCF55" s="17"/>
      <c r="VCG55" s="17"/>
      <c r="VCM55" s="17"/>
      <c r="VCN55" s="17"/>
      <c r="VCO55" s="17"/>
      <c r="VCU55" s="17"/>
      <c r="VCV55" s="17"/>
      <c r="VCW55" s="17"/>
      <c r="VDC55" s="17"/>
      <c r="VDD55" s="17"/>
      <c r="VDE55" s="17"/>
      <c r="VDK55" s="17"/>
      <c r="VDL55" s="17"/>
      <c r="VDM55" s="17"/>
      <c r="VDS55" s="17"/>
      <c r="VDT55" s="17"/>
      <c r="VDU55" s="17"/>
      <c r="VEA55" s="17"/>
      <c r="VEB55" s="17"/>
      <c r="VEC55" s="17"/>
      <c r="VEI55" s="17"/>
      <c r="VEJ55" s="17"/>
      <c r="VEK55" s="17"/>
      <c r="VEQ55" s="17"/>
      <c r="VER55" s="17"/>
      <c r="VES55" s="17"/>
      <c r="VEY55" s="17"/>
      <c r="VEZ55" s="17"/>
      <c r="VFA55" s="17"/>
      <c r="VFG55" s="17"/>
      <c r="VFH55" s="17"/>
      <c r="VFI55" s="17"/>
      <c r="VFO55" s="17"/>
      <c r="VFP55" s="17"/>
      <c r="VFQ55" s="17"/>
      <c r="VFW55" s="17"/>
      <c r="VFX55" s="17"/>
      <c r="VFY55" s="17"/>
      <c r="VGE55" s="17"/>
      <c r="VGF55" s="17"/>
      <c r="VGG55" s="17"/>
      <c r="VGM55" s="17"/>
      <c r="VGN55" s="17"/>
      <c r="VGO55" s="17"/>
      <c r="VGU55" s="17"/>
      <c r="VGV55" s="17"/>
      <c r="VGW55" s="17"/>
      <c r="VHC55" s="17"/>
      <c r="VHD55" s="17"/>
      <c r="VHE55" s="17"/>
      <c r="VHK55" s="17"/>
      <c r="VHL55" s="17"/>
      <c r="VHM55" s="17"/>
      <c r="VHS55" s="17"/>
      <c r="VHT55" s="17"/>
      <c r="VHU55" s="17"/>
      <c r="VIA55" s="17"/>
      <c r="VIB55" s="17"/>
      <c r="VIC55" s="17"/>
      <c r="VII55" s="17"/>
      <c r="VIJ55" s="17"/>
      <c r="VIK55" s="17"/>
      <c r="VIQ55" s="17"/>
      <c r="VIR55" s="17"/>
      <c r="VIS55" s="17"/>
      <c r="VIY55" s="17"/>
      <c r="VIZ55" s="17"/>
      <c r="VJA55" s="17"/>
      <c r="VJG55" s="17"/>
      <c r="VJH55" s="17"/>
      <c r="VJI55" s="17"/>
      <c r="VJO55" s="17"/>
      <c r="VJP55" s="17"/>
      <c r="VJQ55" s="17"/>
      <c r="VJW55" s="17"/>
      <c r="VJX55" s="17"/>
      <c r="VJY55" s="17"/>
      <c r="VKE55" s="17"/>
      <c r="VKF55" s="17"/>
      <c r="VKG55" s="17"/>
      <c r="VKM55" s="17"/>
      <c r="VKN55" s="17"/>
      <c r="VKO55" s="17"/>
      <c r="VKU55" s="17"/>
      <c r="VKV55" s="17"/>
      <c r="VKW55" s="17"/>
      <c r="VLC55" s="17"/>
      <c r="VLD55" s="17"/>
      <c r="VLE55" s="17"/>
      <c r="VLK55" s="17"/>
      <c r="VLL55" s="17"/>
      <c r="VLM55" s="17"/>
      <c r="VLS55" s="17"/>
      <c r="VLT55" s="17"/>
      <c r="VLU55" s="17"/>
      <c r="VMA55" s="17"/>
      <c r="VMB55" s="17"/>
      <c r="VMC55" s="17"/>
      <c r="VMI55" s="17"/>
      <c r="VMJ55" s="17"/>
      <c r="VMK55" s="17"/>
      <c r="VMQ55" s="17"/>
      <c r="VMR55" s="17"/>
      <c r="VMS55" s="17"/>
      <c r="VMY55" s="17"/>
      <c r="VMZ55" s="17"/>
      <c r="VNA55" s="17"/>
      <c r="VNG55" s="17"/>
      <c r="VNH55" s="17"/>
      <c r="VNI55" s="17"/>
      <c r="VNO55" s="17"/>
      <c r="VNP55" s="17"/>
      <c r="VNQ55" s="17"/>
      <c r="VNW55" s="17"/>
      <c r="VNX55" s="17"/>
      <c r="VNY55" s="17"/>
      <c r="VOE55" s="17"/>
      <c r="VOF55" s="17"/>
      <c r="VOG55" s="17"/>
      <c r="VOM55" s="17"/>
      <c r="VON55" s="17"/>
      <c r="VOO55" s="17"/>
      <c r="VOU55" s="17"/>
      <c r="VOV55" s="17"/>
      <c r="VOW55" s="17"/>
      <c r="VPC55" s="17"/>
      <c r="VPD55" s="17"/>
      <c r="VPE55" s="17"/>
      <c r="VPK55" s="17"/>
      <c r="VPL55" s="17"/>
      <c r="VPM55" s="17"/>
      <c r="VPS55" s="17"/>
      <c r="VPT55" s="17"/>
      <c r="VPU55" s="17"/>
      <c r="VQA55" s="17"/>
      <c r="VQB55" s="17"/>
      <c r="VQC55" s="17"/>
      <c r="VQI55" s="17"/>
      <c r="VQJ55" s="17"/>
      <c r="VQK55" s="17"/>
      <c r="VQQ55" s="17"/>
      <c r="VQR55" s="17"/>
      <c r="VQS55" s="17"/>
      <c r="VQY55" s="17"/>
      <c r="VQZ55" s="17"/>
      <c r="VRA55" s="17"/>
      <c r="VRG55" s="17"/>
      <c r="VRH55" s="17"/>
      <c r="VRI55" s="17"/>
      <c r="VRO55" s="17"/>
      <c r="VRP55" s="17"/>
      <c r="VRQ55" s="17"/>
      <c r="VRW55" s="17"/>
      <c r="VRX55" s="17"/>
      <c r="VRY55" s="17"/>
      <c r="VSE55" s="17"/>
      <c r="VSF55" s="17"/>
      <c r="VSG55" s="17"/>
      <c r="VSM55" s="17"/>
      <c r="VSN55" s="17"/>
      <c r="VSO55" s="17"/>
      <c r="VSU55" s="17"/>
      <c r="VSV55" s="17"/>
      <c r="VSW55" s="17"/>
      <c r="VTC55" s="17"/>
      <c r="VTD55" s="17"/>
      <c r="VTE55" s="17"/>
      <c r="VTK55" s="17"/>
      <c r="VTL55" s="17"/>
      <c r="VTM55" s="17"/>
      <c r="VTS55" s="17"/>
      <c r="VTT55" s="17"/>
      <c r="VTU55" s="17"/>
      <c r="VUA55" s="17"/>
      <c r="VUB55" s="17"/>
      <c r="VUC55" s="17"/>
      <c r="VUI55" s="17"/>
      <c r="VUJ55" s="17"/>
      <c r="VUK55" s="17"/>
      <c r="VUQ55" s="17"/>
      <c r="VUR55" s="17"/>
      <c r="VUS55" s="17"/>
      <c r="VUY55" s="17"/>
      <c r="VUZ55" s="17"/>
      <c r="VVA55" s="17"/>
      <c r="VVG55" s="17"/>
      <c r="VVH55" s="17"/>
      <c r="VVI55" s="17"/>
      <c r="VVO55" s="17"/>
      <c r="VVP55" s="17"/>
      <c r="VVQ55" s="17"/>
      <c r="VVW55" s="17"/>
      <c r="VVX55" s="17"/>
      <c r="VVY55" s="17"/>
      <c r="VWE55" s="17"/>
      <c r="VWF55" s="17"/>
      <c r="VWG55" s="17"/>
      <c r="VWM55" s="17"/>
      <c r="VWN55" s="17"/>
      <c r="VWO55" s="17"/>
      <c r="VWU55" s="17"/>
      <c r="VWV55" s="17"/>
      <c r="VWW55" s="17"/>
      <c r="VXC55" s="17"/>
      <c r="VXD55" s="17"/>
      <c r="VXE55" s="17"/>
      <c r="VXK55" s="17"/>
      <c r="VXL55" s="17"/>
      <c r="VXM55" s="17"/>
      <c r="VXS55" s="17"/>
      <c r="VXT55" s="17"/>
      <c r="VXU55" s="17"/>
      <c r="VYA55" s="17"/>
      <c r="VYB55" s="17"/>
      <c r="VYC55" s="17"/>
      <c r="VYI55" s="17"/>
      <c r="VYJ55" s="17"/>
      <c r="VYK55" s="17"/>
      <c r="VYQ55" s="17"/>
      <c r="VYR55" s="17"/>
      <c r="VYS55" s="17"/>
      <c r="VYY55" s="17"/>
      <c r="VYZ55" s="17"/>
      <c r="VZA55" s="17"/>
      <c r="VZG55" s="17"/>
      <c r="VZH55" s="17"/>
      <c r="VZI55" s="17"/>
      <c r="VZO55" s="17"/>
      <c r="VZP55" s="17"/>
      <c r="VZQ55" s="17"/>
      <c r="VZW55" s="17"/>
      <c r="VZX55" s="17"/>
      <c r="VZY55" s="17"/>
      <c r="WAE55" s="17"/>
      <c r="WAF55" s="17"/>
      <c r="WAG55" s="17"/>
      <c r="WAM55" s="17"/>
      <c r="WAN55" s="17"/>
      <c r="WAO55" s="17"/>
      <c r="WAU55" s="17"/>
      <c r="WAV55" s="17"/>
      <c r="WAW55" s="17"/>
      <c r="WBC55" s="17"/>
      <c r="WBD55" s="17"/>
      <c r="WBE55" s="17"/>
      <c r="WBK55" s="17"/>
      <c r="WBL55" s="17"/>
      <c r="WBM55" s="17"/>
      <c r="WBS55" s="17"/>
      <c r="WBT55" s="17"/>
      <c r="WBU55" s="17"/>
      <c r="WCA55" s="17"/>
      <c r="WCB55" s="17"/>
      <c r="WCC55" s="17"/>
      <c r="WCI55" s="17"/>
      <c r="WCJ55" s="17"/>
      <c r="WCK55" s="17"/>
      <c r="WCQ55" s="17"/>
      <c r="WCR55" s="17"/>
      <c r="WCS55" s="17"/>
      <c r="WCY55" s="17"/>
      <c r="WCZ55" s="17"/>
      <c r="WDA55" s="17"/>
      <c r="WDG55" s="17"/>
      <c r="WDH55" s="17"/>
      <c r="WDI55" s="17"/>
      <c r="WDO55" s="17"/>
      <c r="WDP55" s="17"/>
      <c r="WDQ55" s="17"/>
      <c r="WDW55" s="17"/>
      <c r="WDX55" s="17"/>
      <c r="WDY55" s="17"/>
      <c r="WEE55" s="17"/>
      <c r="WEF55" s="17"/>
      <c r="WEG55" s="17"/>
      <c r="WEM55" s="17"/>
      <c r="WEN55" s="17"/>
      <c r="WEO55" s="17"/>
      <c r="WEU55" s="17"/>
      <c r="WEV55" s="17"/>
      <c r="WEW55" s="17"/>
      <c r="WFC55" s="17"/>
      <c r="WFD55" s="17"/>
      <c r="WFE55" s="17"/>
      <c r="WFK55" s="17"/>
      <c r="WFL55" s="17"/>
      <c r="WFM55" s="17"/>
      <c r="WFS55" s="17"/>
      <c r="WFT55" s="17"/>
      <c r="WFU55" s="17"/>
      <c r="WGA55" s="17"/>
      <c r="WGB55" s="17"/>
      <c r="WGC55" s="17"/>
      <c r="WGI55" s="17"/>
      <c r="WGJ55" s="17"/>
      <c r="WGK55" s="17"/>
      <c r="WGQ55" s="17"/>
      <c r="WGR55" s="17"/>
      <c r="WGS55" s="17"/>
      <c r="WGY55" s="17"/>
      <c r="WGZ55" s="17"/>
      <c r="WHA55" s="17"/>
      <c r="WHG55" s="17"/>
      <c r="WHH55" s="17"/>
      <c r="WHI55" s="17"/>
      <c r="WHO55" s="17"/>
      <c r="WHP55" s="17"/>
      <c r="WHQ55" s="17"/>
      <c r="WHW55" s="17"/>
      <c r="WHX55" s="17"/>
      <c r="WHY55" s="17"/>
      <c r="WIE55" s="17"/>
      <c r="WIF55" s="17"/>
      <c r="WIG55" s="17"/>
      <c r="WIM55" s="17"/>
      <c r="WIN55" s="17"/>
      <c r="WIO55" s="17"/>
      <c r="WIU55" s="17"/>
      <c r="WIV55" s="17"/>
      <c r="WIW55" s="17"/>
      <c r="WJC55" s="17"/>
      <c r="WJD55" s="17"/>
      <c r="WJE55" s="17"/>
      <c r="WJK55" s="17"/>
      <c r="WJL55" s="17"/>
      <c r="WJM55" s="17"/>
      <c r="WJS55" s="17"/>
      <c r="WJT55" s="17"/>
      <c r="WJU55" s="17"/>
      <c r="WKA55" s="17"/>
      <c r="WKB55" s="17"/>
      <c r="WKC55" s="17"/>
      <c r="WKI55" s="17"/>
      <c r="WKJ55" s="17"/>
      <c r="WKK55" s="17"/>
      <c r="WKQ55" s="17"/>
      <c r="WKR55" s="17"/>
      <c r="WKS55" s="17"/>
      <c r="WKY55" s="17"/>
      <c r="WKZ55" s="17"/>
      <c r="WLA55" s="17"/>
      <c r="WLG55" s="17"/>
      <c r="WLH55" s="17"/>
      <c r="WLI55" s="17"/>
      <c r="WLO55" s="17"/>
      <c r="WLP55" s="17"/>
      <c r="WLQ55" s="17"/>
      <c r="WLW55" s="17"/>
      <c r="WLX55" s="17"/>
      <c r="WLY55" s="17"/>
      <c r="WME55" s="17"/>
      <c r="WMF55" s="17"/>
      <c r="WMG55" s="17"/>
      <c r="WMM55" s="17"/>
      <c r="WMN55" s="17"/>
      <c r="WMO55" s="17"/>
      <c r="WMU55" s="17"/>
      <c r="WMV55" s="17"/>
      <c r="WMW55" s="17"/>
      <c r="WNC55" s="17"/>
      <c r="WND55" s="17"/>
      <c r="WNE55" s="17"/>
      <c r="WNK55" s="17"/>
      <c r="WNL55" s="17"/>
      <c r="WNM55" s="17"/>
      <c r="WNS55" s="17"/>
      <c r="WNT55" s="17"/>
      <c r="WNU55" s="17"/>
      <c r="WOA55" s="17"/>
      <c r="WOB55" s="17"/>
      <c r="WOC55" s="17"/>
      <c r="WOI55" s="17"/>
      <c r="WOJ55" s="17"/>
      <c r="WOK55" s="17"/>
      <c r="WOQ55" s="17"/>
      <c r="WOR55" s="17"/>
      <c r="WOS55" s="17"/>
      <c r="WOY55" s="17"/>
      <c r="WOZ55" s="17"/>
      <c r="WPA55" s="17"/>
      <c r="WPG55" s="17"/>
      <c r="WPH55" s="17"/>
      <c r="WPI55" s="17"/>
      <c r="WPO55" s="17"/>
      <c r="WPP55" s="17"/>
      <c r="WPQ55" s="17"/>
      <c r="WPW55" s="17"/>
      <c r="WPX55" s="17"/>
      <c r="WPY55" s="17"/>
      <c r="WQE55" s="17"/>
      <c r="WQF55" s="17"/>
      <c r="WQG55" s="17"/>
      <c r="WQM55" s="17"/>
      <c r="WQN55" s="17"/>
      <c r="WQO55" s="17"/>
      <c r="WQU55" s="17"/>
      <c r="WQV55" s="17"/>
      <c r="WQW55" s="17"/>
      <c r="WRC55" s="17"/>
      <c r="WRD55" s="17"/>
      <c r="WRE55" s="17"/>
      <c r="WRK55" s="17"/>
      <c r="WRL55" s="17"/>
      <c r="WRM55" s="17"/>
      <c r="WRS55" s="17"/>
      <c r="WRT55" s="17"/>
      <c r="WRU55" s="17"/>
      <c r="WSA55" s="17"/>
      <c r="WSB55" s="17"/>
      <c r="WSC55" s="17"/>
      <c r="WSI55" s="17"/>
      <c r="WSJ55" s="17"/>
      <c r="WSK55" s="17"/>
      <c r="WSQ55" s="17"/>
      <c r="WSR55" s="17"/>
      <c r="WSS55" s="17"/>
      <c r="WSY55" s="17"/>
      <c r="WSZ55" s="17"/>
      <c r="WTA55" s="17"/>
      <c r="WTG55" s="17"/>
      <c r="WTH55" s="17"/>
      <c r="WTI55" s="17"/>
      <c r="WTO55" s="17"/>
      <c r="WTP55" s="17"/>
      <c r="WTQ55" s="17"/>
      <c r="WTW55" s="17"/>
      <c r="WTX55" s="17"/>
      <c r="WTY55" s="17"/>
      <c r="WUE55" s="17"/>
      <c r="WUF55" s="17"/>
      <c r="WUG55" s="17"/>
      <c r="WUM55" s="17"/>
      <c r="WUN55" s="17"/>
      <c r="WUO55" s="17"/>
      <c r="WUU55" s="17"/>
      <c r="WUV55" s="17"/>
      <c r="WUW55" s="17"/>
      <c r="WVC55" s="17"/>
      <c r="WVD55" s="17"/>
      <c r="WVE55" s="17"/>
      <c r="WVK55" s="17"/>
      <c r="WVL55" s="17"/>
      <c r="WVM55" s="17"/>
      <c r="WVS55" s="17"/>
      <c r="WVT55" s="17"/>
      <c r="WVU55" s="17"/>
      <c r="WWA55" s="17"/>
      <c r="WWB55" s="17"/>
      <c r="WWC55" s="17"/>
      <c r="WWI55" s="17"/>
      <c r="WWJ55" s="17"/>
      <c r="WWK55" s="17"/>
      <c r="WWQ55" s="17"/>
      <c r="WWR55" s="17"/>
      <c r="WWS55" s="17"/>
      <c r="WWY55" s="17"/>
      <c r="WWZ55" s="17"/>
      <c r="WXA55" s="17"/>
      <c r="WXG55" s="17"/>
      <c r="WXH55" s="17"/>
      <c r="WXI55" s="17"/>
      <c r="WXO55" s="17"/>
      <c r="WXP55" s="17"/>
      <c r="WXQ55" s="17"/>
      <c r="WXW55" s="17"/>
      <c r="WXX55" s="17"/>
      <c r="WXY55" s="17"/>
      <c r="WYE55" s="17"/>
      <c r="WYF55" s="17"/>
      <c r="WYG55" s="17"/>
      <c r="WYM55" s="17"/>
      <c r="WYN55" s="17"/>
      <c r="WYO55" s="17"/>
      <c r="WYU55" s="17"/>
      <c r="WYV55" s="17"/>
      <c r="WYW55" s="17"/>
      <c r="WZC55" s="17"/>
      <c r="WZD55" s="17"/>
      <c r="WZE55" s="17"/>
      <c r="WZK55" s="17"/>
      <c r="WZL55" s="17"/>
      <c r="WZM55" s="17"/>
      <c r="WZS55" s="17"/>
      <c r="WZT55" s="17"/>
      <c r="WZU55" s="17"/>
      <c r="XAA55" s="17"/>
      <c r="XAB55" s="17"/>
      <c r="XAC55" s="17"/>
      <c r="XAI55" s="17"/>
      <c r="XAJ55" s="17"/>
      <c r="XAK55" s="17"/>
      <c r="XAQ55" s="17"/>
      <c r="XAR55" s="17"/>
      <c r="XAS55" s="17"/>
      <c r="XAY55" s="17"/>
      <c r="XAZ55" s="17"/>
      <c r="XBA55" s="17"/>
      <c r="XBG55" s="17"/>
      <c r="XBH55" s="17"/>
      <c r="XBI55" s="17"/>
      <c r="XBO55" s="17"/>
      <c r="XBP55" s="17"/>
      <c r="XBQ55" s="17"/>
      <c r="XBW55" s="17"/>
      <c r="XBX55" s="17"/>
      <c r="XBY55" s="17"/>
      <c r="XCE55" s="17"/>
      <c r="XCF55" s="17"/>
      <c r="XCG55" s="17"/>
      <c r="XCM55" s="17"/>
      <c r="XCN55" s="17"/>
      <c r="XCO55" s="17"/>
      <c r="XCU55" s="17"/>
      <c r="XCV55" s="17"/>
      <c r="XCW55" s="17"/>
      <c r="XDC55" s="17"/>
      <c r="XDD55" s="17"/>
      <c r="XDE55" s="17"/>
      <c r="XDK55" s="17"/>
      <c r="XDL55" s="17"/>
      <c r="XDM55" s="17"/>
      <c r="XDS55" s="17"/>
      <c r="XDT55" s="17"/>
      <c r="XDU55" s="17"/>
      <c r="XEA55" s="17"/>
      <c r="XEB55" s="17"/>
      <c r="XEC55" s="17"/>
      <c r="XEI55" s="17"/>
      <c r="XEJ55" s="17"/>
      <c r="XEK55" s="17"/>
      <c r="XEQ55" s="17"/>
      <c r="XER55" s="17"/>
      <c r="XES55" s="17"/>
      <c r="XEY55" s="17"/>
      <c r="XEZ55" s="17"/>
      <c r="XFA55" s="17"/>
    </row>
    <row r="56" spans="1:1021 1027:2045 2051:3069 3075:4093 4099:5117 5123:6141 6147:7165 7171:8189 8195:9213 9219:10237 10243:11261 11267:12285 12291:13309 13315:14333 14339:15357 15363:16381" x14ac:dyDescent="0.3">
      <c r="A56" s="10" t="s">
        <v>6</v>
      </c>
      <c r="B56" s="9" t="s">
        <v>114</v>
      </c>
      <c r="C56" s="9"/>
      <c r="D56" s="9"/>
      <c r="E56" s="9"/>
      <c r="F56" s="9"/>
      <c r="G56" s="9"/>
      <c r="H56" s="9"/>
      <c r="I56" s="9"/>
      <c r="J56" s="9"/>
      <c r="L56" s="3"/>
      <c r="M56" s="3"/>
      <c r="N56" s="3"/>
    </row>
    <row r="57" spans="1:1021 1027:2045 2051:3069 3075:4093 4099:5117 5123:6141 6147:7165 7171:8189 8195:9213 9219:10237 10243:11261 11267:12285 12291:13309 13315:14333 14339:15357 15363:16381" x14ac:dyDescent="0.3">
      <c r="A57" s="10" t="s">
        <v>3</v>
      </c>
      <c r="B57" s="9" t="s">
        <v>113</v>
      </c>
      <c r="C57" s="9"/>
      <c r="D57" s="9"/>
      <c r="E57" s="9"/>
      <c r="F57" s="9"/>
      <c r="G57" s="9"/>
      <c r="H57" s="9"/>
      <c r="I57" s="9"/>
      <c r="J57" s="9"/>
      <c r="L57" s="3"/>
      <c r="M57" s="3"/>
      <c r="N57" s="3"/>
    </row>
    <row r="58" spans="1:1021 1027:2045 2051:3069 3075:4093 4099:5117 5123:6141 6147:7165 7171:8189 8195:9213 9219:10237 10243:11261 11267:12285 12291:13309 13315:14333 14339:15357 15363:16381" x14ac:dyDescent="0.3">
      <c r="A58" s="10" t="s">
        <v>5</v>
      </c>
      <c r="B58" s="9">
        <v>1</v>
      </c>
      <c r="C58" s="9"/>
      <c r="D58" s="9"/>
      <c r="E58" s="9"/>
      <c r="F58" s="9"/>
      <c r="G58" s="9"/>
      <c r="H58" s="9"/>
      <c r="I58" s="9"/>
      <c r="J58" s="9"/>
      <c r="L58" s="3"/>
      <c r="M58" s="3"/>
      <c r="N58" s="3"/>
    </row>
    <row r="59" spans="1:1021 1027:2045 2051:3069 3075:4093 4099:5117 5123:6141 6147:7165 7171:8189 8195:9213 9219:10237 10243:11261 11267:12285 12291:13309 13315:14333 14339:15357 15363:16381" x14ac:dyDescent="0.3">
      <c r="A59" s="10" t="s">
        <v>7</v>
      </c>
      <c r="B59" s="9" t="s">
        <v>8</v>
      </c>
      <c r="C59" s="9"/>
      <c r="D59" s="9"/>
      <c r="E59" s="9"/>
      <c r="F59" s="9"/>
      <c r="G59" s="9"/>
      <c r="H59" s="9"/>
      <c r="I59" s="9"/>
      <c r="J59" s="9"/>
      <c r="L59" s="3"/>
      <c r="M59" s="3"/>
      <c r="N59" s="3"/>
    </row>
    <row r="60" spans="1:1021 1027:2045 2051:3069 3075:4093 4099:5117 5123:6141 6147:7165 7171:8189 8195:9213 9219:10237 10243:11261 11267:12285 12291:13309 13315:14333 14339:15357 15363:16381" x14ac:dyDescent="0.3">
      <c r="A60" s="10" t="s">
        <v>2</v>
      </c>
      <c r="B60" s="9" t="s">
        <v>753</v>
      </c>
      <c r="C60" s="9"/>
      <c r="D60" s="9"/>
      <c r="E60" s="9"/>
      <c r="F60" s="9"/>
      <c r="G60" s="9"/>
      <c r="H60" s="9"/>
      <c r="I60" s="9"/>
      <c r="J60" s="9"/>
      <c r="L60" s="3"/>
      <c r="M60" s="3"/>
      <c r="N60" s="3"/>
    </row>
    <row r="61" spans="1:1021 1027:2045 2051:3069 3075:4093 4099:5117 5123:6141 6147:7165 7171:8189 8195:9213 9219:10237 10243:11261 11267:12285 12291:13309 13315:14333 14339:15357 15363:16381" x14ac:dyDescent="0.3">
      <c r="A61" s="10" t="s">
        <v>9</v>
      </c>
      <c r="B61" s="9"/>
      <c r="C61" s="9"/>
      <c r="D61" s="9"/>
      <c r="E61" s="9"/>
      <c r="F61" s="9"/>
      <c r="G61" s="9"/>
      <c r="H61" s="9"/>
      <c r="I61" s="9"/>
      <c r="J61" s="9"/>
      <c r="L61" s="3"/>
      <c r="M61" s="3"/>
      <c r="N61" s="3"/>
    </row>
    <row r="62" spans="1:1021 1027:2045 2051:3069 3075:4093 4099:5117 5123:6141 6147:7165 7171:8189 8195:9213 9219:10237 10243:11261 11267:12285 12291:13309 13315:14333 14339:15357 15363:16381" x14ac:dyDescent="0.3">
      <c r="A62" s="10" t="s">
        <v>10</v>
      </c>
      <c r="B62" s="10" t="s">
        <v>6</v>
      </c>
      <c r="C62" s="10" t="s">
        <v>3</v>
      </c>
      <c r="D62" s="10" t="s">
        <v>11</v>
      </c>
      <c r="E62" s="10" t="s">
        <v>7</v>
      </c>
      <c r="F62" s="10" t="s">
        <v>13</v>
      </c>
      <c r="G62" s="10" t="s">
        <v>12</v>
      </c>
      <c r="H62" s="5" t="s">
        <v>0</v>
      </c>
      <c r="I62" s="42" t="s">
        <v>656</v>
      </c>
      <c r="J62" s="42" t="s">
        <v>691</v>
      </c>
      <c r="K62" s="1" t="s">
        <v>2</v>
      </c>
      <c r="L62" s="3"/>
      <c r="M62" s="3"/>
      <c r="N62" s="3"/>
    </row>
    <row r="63" spans="1:1021 1027:2045 2051:3069 3075:4093 4099:5117 5123:6141 6147:7165 7171:8189 8195:9213 9219:10237 10243:11261 11267:12285 12291:13309 13315:14333 14339:15357 15363:16381" x14ac:dyDescent="0.3">
      <c r="A63" s="9" t="s">
        <v>469</v>
      </c>
      <c r="B63" s="9" t="s">
        <v>114</v>
      </c>
      <c r="C63" s="9" t="s">
        <v>113</v>
      </c>
      <c r="D63" s="47">
        <v>1</v>
      </c>
      <c r="E63" s="9" t="s">
        <v>8</v>
      </c>
      <c r="F63" s="9" t="s">
        <v>14</v>
      </c>
      <c r="G63" s="9"/>
      <c r="H63" s="6" t="str">
        <f>Intro!$B$3</f>
        <v>LIB raw materials</v>
      </c>
      <c r="L63" s="3"/>
      <c r="M63" s="3"/>
      <c r="N63" s="3"/>
    </row>
    <row r="64" spans="1:1021 1027:2045 2051:3069 3075:4093 4099:5117 5123:6141 6147:7165 7171:8189 8195:9213 9219:10237 10243:11261 11267:12285 12291:13309 13315:14333 14339:15357 15363:16381" x14ac:dyDescent="0.3">
      <c r="A64" s="6" t="s">
        <v>31</v>
      </c>
      <c r="B64" s="6" t="s">
        <v>31</v>
      </c>
      <c r="C64" s="6" t="s">
        <v>18</v>
      </c>
      <c r="D64" s="47">
        <f>160*3.6/1000</f>
        <v>0.57599999999999996</v>
      </c>
      <c r="E64" s="9" t="s">
        <v>30</v>
      </c>
      <c r="F64" s="9" t="s">
        <v>15</v>
      </c>
      <c r="H64" s="6" t="str">
        <f>Intro!$B$4</f>
        <v>ecoinvent-3.10-cutoff</v>
      </c>
      <c r="I64" s="6">
        <v>0</v>
      </c>
      <c r="J64" s="6" t="s">
        <v>755</v>
      </c>
      <c r="K64" t="s">
        <v>470</v>
      </c>
    </row>
    <row r="65" spans="1:14" x14ac:dyDescent="0.3">
      <c r="A65" s="9" t="s">
        <v>106</v>
      </c>
      <c r="B65" s="9"/>
      <c r="C65" s="9"/>
      <c r="D65" s="12">
        <v>4.7000000000000002E-3</v>
      </c>
      <c r="E65" s="9" t="s">
        <v>8</v>
      </c>
      <c r="F65" s="9" t="s">
        <v>39</v>
      </c>
      <c r="G65" s="9" t="s">
        <v>78</v>
      </c>
      <c r="H65" s="6" t="str">
        <f>Intro!$B$5</f>
        <v>ecoinvent-3.10-biosphere</v>
      </c>
      <c r="I65" s="6">
        <v>0</v>
      </c>
      <c r="J65" s="6" t="s">
        <v>755</v>
      </c>
      <c r="L65" s="3"/>
      <c r="M65" s="3"/>
      <c r="N65" s="3"/>
    </row>
    <row r="66" spans="1:14" x14ac:dyDescent="0.3">
      <c r="A66" s="9" t="s">
        <v>173</v>
      </c>
      <c r="C66" s="9"/>
      <c r="D66" s="12">
        <v>2.4E-2</v>
      </c>
      <c r="E66" s="9" t="s">
        <v>8</v>
      </c>
      <c r="F66" s="9" t="s">
        <v>39</v>
      </c>
      <c r="G66" s="9" t="s">
        <v>78</v>
      </c>
      <c r="H66" s="6" t="str">
        <f>Intro!$B$5</f>
        <v>ecoinvent-3.10-biosphere</v>
      </c>
      <c r="I66" s="6">
        <v>0</v>
      </c>
      <c r="J66" s="6" t="s">
        <v>755</v>
      </c>
    </row>
    <row r="67" spans="1:14" x14ac:dyDescent="0.3">
      <c r="A67" s="6" t="s">
        <v>83</v>
      </c>
      <c r="D67" s="12">
        <v>1.7000000000000001E-4</v>
      </c>
      <c r="E67" s="9" t="s">
        <v>43</v>
      </c>
      <c r="F67" s="9" t="s">
        <v>39</v>
      </c>
      <c r="G67" s="9" t="s">
        <v>78</v>
      </c>
      <c r="H67" s="6" t="str">
        <f>Intro!$B$5</f>
        <v>ecoinvent-3.10-biosphere</v>
      </c>
      <c r="I67" s="6">
        <v>0</v>
      </c>
      <c r="J67" s="6" t="s">
        <v>754</v>
      </c>
    </row>
    <row r="68" spans="1:14" x14ac:dyDescent="0.3">
      <c r="A68" s="6" t="s">
        <v>175</v>
      </c>
      <c r="D68" s="12">
        <v>1.4E-3</v>
      </c>
      <c r="E68" s="9" t="s">
        <v>8</v>
      </c>
      <c r="F68" s="9" t="s">
        <v>39</v>
      </c>
      <c r="G68" s="9" t="s">
        <v>38</v>
      </c>
      <c r="H68" s="6" t="str">
        <f>Intro!$B$5</f>
        <v>ecoinvent-3.10-biosphere</v>
      </c>
      <c r="I68" s="6">
        <v>0</v>
      </c>
      <c r="J68" s="6" t="s">
        <v>754</v>
      </c>
    </row>
    <row r="69" spans="1:14" x14ac:dyDescent="0.3">
      <c r="A69" s="6" t="s">
        <v>174</v>
      </c>
      <c r="D69" s="12">
        <v>1.4999999999999999E-4</v>
      </c>
      <c r="E69" s="9" t="s">
        <v>8</v>
      </c>
      <c r="F69" s="9" t="s">
        <v>39</v>
      </c>
      <c r="G69" s="9" t="s">
        <v>38</v>
      </c>
      <c r="H69" s="6" t="str">
        <f>Intro!$B$5</f>
        <v>ecoinvent-3.10-biosphere</v>
      </c>
      <c r="I69" s="6">
        <v>0</v>
      </c>
      <c r="J69" s="6" t="s">
        <v>754</v>
      </c>
    </row>
    <row r="76" spans="1:14" x14ac:dyDescent="0.3">
      <c r="F76" s="49"/>
      <c r="G76" s="49"/>
    </row>
    <row r="77" spans="1:14" x14ac:dyDescent="0.3">
      <c r="G77" s="48"/>
    </row>
    <row r="78" spans="1:14" x14ac:dyDescent="0.3">
      <c r="B78" s="14"/>
      <c r="G78" s="48"/>
    </row>
    <row r="79" spans="1:14" x14ac:dyDescent="0.3">
      <c r="B79" s="14"/>
    </row>
    <row r="81" spans="2:7" x14ac:dyDescent="0.3">
      <c r="G81" s="48"/>
    </row>
    <row r="83" spans="2:7" x14ac:dyDescent="0.3">
      <c r="B83" s="14"/>
      <c r="G83" s="49"/>
    </row>
    <row r="86" spans="2:7" x14ac:dyDescent="0.3">
      <c r="B86" s="14"/>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841A-7D2F-44FE-BC7D-453E0B437B7D}">
  <dimension ref="A1:AS303"/>
  <sheetViews>
    <sheetView topLeftCell="A293" zoomScale="85" zoomScaleNormal="85" workbookViewId="0">
      <selection activeCell="I3" sqref="I1:I1048576"/>
    </sheetView>
  </sheetViews>
  <sheetFormatPr defaultRowHeight="14.4" x14ac:dyDescent="0.3"/>
  <cols>
    <col min="1" max="1" width="57.44140625" customWidth="1"/>
    <col min="2" max="2" width="49.33203125" customWidth="1"/>
    <col min="4" max="4" width="12.33203125" bestFit="1" customWidth="1"/>
    <col min="5" max="5" width="13.5546875" bestFit="1" customWidth="1"/>
    <col min="6" max="6" width="13.88671875" bestFit="1" customWidth="1"/>
    <col min="7" max="7" width="12.5546875" customWidth="1"/>
    <col min="8" max="8" width="21" bestFit="1" customWidth="1"/>
    <col min="9" max="9" width="15.6640625" bestFit="1" customWidth="1"/>
    <col min="10" max="10" width="13.6640625" bestFit="1" customWidth="1"/>
    <col min="11" max="11" width="9.109375" style="29"/>
  </cols>
  <sheetData>
    <row r="1" spans="1:14" s="1" customFormat="1" x14ac:dyDescent="0.3">
      <c r="A1" s="1" t="s">
        <v>1</v>
      </c>
      <c r="B1" s="5" t="s">
        <v>418</v>
      </c>
      <c r="C1"/>
      <c r="D1"/>
      <c r="E1"/>
      <c r="F1"/>
      <c r="G1"/>
      <c r="H1"/>
      <c r="I1"/>
      <c r="J1"/>
      <c r="K1" s="29"/>
    </row>
    <row r="2" spans="1:14" x14ac:dyDescent="0.3">
      <c r="A2" s="1" t="s">
        <v>6</v>
      </c>
      <c r="B2" s="6" t="s">
        <v>373</v>
      </c>
    </row>
    <row r="3" spans="1:14" x14ac:dyDescent="0.3">
      <c r="A3" s="1" t="s">
        <v>3</v>
      </c>
      <c r="B3" s="6" t="s">
        <v>18</v>
      </c>
    </row>
    <row r="4" spans="1:14" x14ac:dyDescent="0.3">
      <c r="A4" s="1" t="s">
        <v>5</v>
      </c>
      <c r="B4" s="6">
        <v>1</v>
      </c>
    </row>
    <row r="5" spans="1:14" x14ac:dyDescent="0.3">
      <c r="A5" s="1" t="s">
        <v>7</v>
      </c>
      <c r="B5" t="s">
        <v>8</v>
      </c>
    </row>
    <row r="6" spans="1:14" x14ac:dyDescent="0.3">
      <c r="A6" s="1" t="s">
        <v>2</v>
      </c>
      <c r="B6" s="6" t="s">
        <v>777</v>
      </c>
    </row>
    <row r="7" spans="1:14" x14ac:dyDescent="0.3">
      <c r="A7" s="1" t="s">
        <v>9</v>
      </c>
    </row>
    <row r="8" spans="1:14" x14ac:dyDescent="0.3">
      <c r="A8" s="1" t="s">
        <v>10</v>
      </c>
      <c r="B8" s="1" t="s">
        <v>6</v>
      </c>
      <c r="C8" s="1" t="s">
        <v>3</v>
      </c>
      <c r="D8" s="1" t="s">
        <v>11</v>
      </c>
      <c r="E8" s="1" t="s">
        <v>7</v>
      </c>
      <c r="F8" s="1" t="s">
        <v>13</v>
      </c>
      <c r="G8" s="1" t="s">
        <v>12</v>
      </c>
      <c r="H8" s="1" t="s">
        <v>0</v>
      </c>
      <c r="I8" s="42" t="s">
        <v>656</v>
      </c>
      <c r="J8" s="42" t="s">
        <v>691</v>
      </c>
      <c r="K8" s="41" t="s">
        <v>2</v>
      </c>
    </row>
    <row r="9" spans="1:14" s="1" customFormat="1" x14ac:dyDescent="0.3">
      <c r="A9" t="s">
        <v>418</v>
      </c>
      <c r="B9" t="s">
        <v>373</v>
      </c>
      <c r="C9" t="s">
        <v>18</v>
      </c>
      <c r="D9" s="38">
        <v>1</v>
      </c>
      <c r="E9" t="s">
        <v>8</v>
      </c>
      <c r="F9" t="s">
        <v>14</v>
      </c>
      <c r="G9"/>
      <c r="H9" t="str">
        <f>Intro!$B$3</f>
        <v>LIB raw materials</v>
      </c>
      <c r="I9"/>
      <c r="J9"/>
      <c r="K9" s="29"/>
    </row>
    <row r="10" spans="1:14" x14ac:dyDescent="0.3">
      <c r="A10" t="s">
        <v>388</v>
      </c>
      <c r="B10" t="s">
        <v>374</v>
      </c>
      <c r="C10" t="s">
        <v>18</v>
      </c>
      <c r="D10" s="38">
        <v>2.08</v>
      </c>
      <c r="E10" t="s">
        <v>8</v>
      </c>
      <c r="F10" t="s">
        <v>15</v>
      </c>
      <c r="H10" t="str">
        <f>Intro!$B$3</f>
        <v>LIB raw materials</v>
      </c>
      <c r="I10" s="6">
        <v>0</v>
      </c>
      <c r="J10" t="s">
        <v>776</v>
      </c>
      <c r="N10" s="38"/>
    </row>
    <row r="11" spans="1:14" s="29" customFormat="1" x14ac:dyDescent="0.3">
      <c r="A11" s="29" t="s">
        <v>27</v>
      </c>
      <c r="B11" s="29" t="s">
        <v>29</v>
      </c>
      <c r="C11" s="29" t="s">
        <v>18</v>
      </c>
      <c r="D11" s="39">
        <v>1.0205000000000002</v>
      </c>
      <c r="E11" s="29" t="s">
        <v>28</v>
      </c>
      <c r="F11" s="29" t="s">
        <v>15</v>
      </c>
      <c r="H11" s="29" t="str">
        <f>Intro!$B$4</f>
        <v>ecoinvent-3.10-cutoff</v>
      </c>
      <c r="I11" s="6">
        <v>0</v>
      </c>
      <c r="J11" t="s">
        <v>776</v>
      </c>
    </row>
    <row r="12" spans="1:14" x14ac:dyDescent="0.3">
      <c r="A12" t="s">
        <v>296</v>
      </c>
      <c r="B12" t="s">
        <v>80</v>
      </c>
      <c r="C12" t="s">
        <v>24</v>
      </c>
      <c r="D12" s="38">
        <v>2.145</v>
      </c>
      <c r="E12" t="s">
        <v>30</v>
      </c>
      <c r="F12" t="s">
        <v>15</v>
      </c>
      <c r="H12" t="str">
        <f>Intro!$B$4</f>
        <v>ecoinvent-3.10-cutoff</v>
      </c>
      <c r="I12" s="6">
        <v>0</v>
      </c>
      <c r="J12" t="s">
        <v>776</v>
      </c>
      <c r="K12" s="29" t="s">
        <v>297</v>
      </c>
    </row>
    <row r="13" spans="1:14" x14ac:dyDescent="0.3">
      <c r="A13" t="s">
        <v>273</v>
      </c>
      <c r="B13" t="s">
        <v>179</v>
      </c>
      <c r="C13" t="s">
        <v>24</v>
      </c>
      <c r="D13" s="38">
        <v>0.16250000000000001</v>
      </c>
      <c r="E13" t="s">
        <v>30</v>
      </c>
      <c r="F13" t="s">
        <v>15</v>
      </c>
      <c r="H13" t="str">
        <f>Intro!$B$4</f>
        <v>ecoinvent-3.10-cutoff</v>
      </c>
      <c r="I13" s="6">
        <v>0</v>
      </c>
      <c r="J13" t="s">
        <v>776</v>
      </c>
      <c r="K13" s="29" t="s">
        <v>440</v>
      </c>
    </row>
    <row r="14" spans="1:14" x14ac:dyDescent="0.3">
      <c r="A14" t="s">
        <v>274</v>
      </c>
      <c r="B14" t="s">
        <v>197</v>
      </c>
      <c r="C14" t="s">
        <v>24</v>
      </c>
      <c r="D14" s="38">
        <v>4.5500000000000006E-2</v>
      </c>
      <c r="E14" t="s">
        <v>30</v>
      </c>
      <c r="F14" t="s">
        <v>15</v>
      </c>
      <c r="H14" t="str">
        <f>Intro!$B$4</f>
        <v>ecoinvent-3.10-cutoff</v>
      </c>
      <c r="I14" s="6">
        <v>0</v>
      </c>
      <c r="J14" t="s">
        <v>776</v>
      </c>
      <c r="K14" s="29" t="s">
        <v>275</v>
      </c>
    </row>
    <row r="15" spans="1:14" x14ac:dyDescent="0.3">
      <c r="A15" t="s">
        <v>274</v>
      </c>
      <c r="B15" t="s">
        <v>197</v>
      </c>
      <c r="C15" t="s">
        <v>24</v>
      </c>
      <c r="D15" s="38">
        <v>9.1000000000000004E-3</v>
      </c>
      <c r="E15" t="s">
        <v>30</v>
      </c>
      <c r="F15" t="s">
        <v>15</v>
      </c>
      <c r="H15" t="str">
        <f>Intro!$B$4</f>
        <v>ecoinvent-3.10-cutoff</v>
      </c>
      <c r="I15" s="6">
        <v>0</v>
      </c>
      <c r="J15" t="s">
        <v>776</v>
      </c>
      <c r="K15" s="29" t="s">
        <v>276</v>
      </c>
    </row>
    <row r="16" spans="1:14" x14ac:dyDescent="0.3">
      <c r="A16" t="s">
        <v>271</v>
      </c>
      <c r="B16" t="s">
        <v>179</v>
      </c>
      <c r="C16" t="s">
        <v>24</v>
      </c>
      <c r="D16" s="38">
        <v>0.16900000000000001</v>
      </c>
      <c r="E16" t="s">
        <v>30</v>
      </c>
      <c r="F16" t="s">
        <v>15</v>
      </c>
      <c r="H16" t="str">
        <f>Intro!$B$4</f>
        <v>ecoinvent-3.10-cutoff</v>
      </c>
      <c r="I16" s="6">
        <v>0</v>
      </c>
      <c r="J16" t="s">
        <v>776</v>
      </c>
      <c r="K16" s="29" t="s">
        <v>272</v>
      </c>
    </row>
    <row r="17" spans="1:24" x14ac:dyDescent="0.3">
      <c r="A17" t="s">
        <v>298</v>
      </c>
      <c r="B17" t="s">
        <v>299</v>
      </c>
      <c r="C17" t="s">
        <v>24</v>
      </c>
      <c r="D17" s="38">
        <v>2.7949999999999999</v>
      </c>
      <c r="E17" t="s">
        <v>30</v>
      </c>
      <c r="F17" t="s">
        <v>15</v>
      </c>
      <c r="H17" t="str">
        <f>Intro!$B$4</f>
        <v>ecoinvent-3.10-cutoff</v>
      </c>
      <c r="I17" s="6">
        <v>0</v>
      </c>
      <c r="J17" t="s">
        <v>776</v>
      </c>
    </row>
    <row r="18" spans="1:24" x14ac:dyDescent="0.3">
      <c r="A18" t="s">
        <v>64</v>
      </c>
      <c r="B18" t="s">
        <v>65</v>
      </c>
      <c r="C18" t="s">
        <v>24</v>
      </c>
      <c r="D18" s="37">
        <v>3.0549999999999997E-5</v>
      </c>
      <c r="E18" t="s">
        <v>8</v>
      </c>
      <c r="F18" t="s">
        <v>15</v>
      </c>
      <c r="H18" t="str">
        <f>Intro!$B$4</f>
        <v>ecoinvent-3.10-cutoff</v>
      </c>
      <c r="I18" s="6">
        <v>0</v>
      </c>
      <c r="J18" t="s">
        <v>776</v>
      </c>
      <c r="K18" s="29" t="s">
        <v>65</v>
      </c>
    </row>
    <row r="19" spans="1:24" x14ac:dyDescent="0.3">
      <c r="A19" s="27" t="s">
        <v>433</v>
      </c>
      <c r="B19" s="29" t="s">
        <v>468</v>
      </c>
      <c r="C19" s="29" t="s">
        <v>24</v>
      </c>
      <c r="D19" s="37">
        <v>5.5900000000000007E-6</v>
      </c>
      <c r="E19" s="29" t="s">
        <v>8</v>
      </c>
      <c r="F19" s="29" t="s">
        <v>15</v>
      </c>
      <c r="G19" s="27"/>
      <c r="H19" t="str">
        <f>Intro!$B$4</f>
        <v>ecoinvent-3.10-cutoff</v>
      </c>
      <c r="I19" s="6">
        <v>0</v>
      </c>
      <c r="J19" t="s">
        <v>776</v>
      </c>
      <c r="K19" s="29" t="s">
        <v>434</v>
      </c>
    </row>
    <row r="20" spans="1:24" s="4" customFormat="1" x14ac:dyDescent="0.3">
      <c r="A20" t="s">
        <v>277</v>
      </c>
      <c r="B20" t="s">
        <v>278</v>
      </c>
      <c r="C20" t="s">
        <v>24</v>
      </c>
      <c r="D20" s="44">
        <v>7.7999999999999999E-5</v>
      </c>
      <c r="E20" t="s">
        <v>8</v>
      </c>
      <c r="F20" t="s">
        <v>15</v>
      </c>
      <c r="G20"/>
      <c r="H20" t="str">
        <f>Intro!$B$4</f>
        <v>ecoinvent-3.10-cutoff</v>
      </c>
      <c r="I20" s="6">
        <v>0</v>
      </c>
      <c r="J20" t="s">
        <v>776</v>
      </c>
      <c r="K20" s="29" t="s">
        <v>279</v>
      </c>
      <c r="L20"/>
      <c r="M20"/>
      <c r="N20"/>
      <c r="O20"/>
      <c r="P20"/>
      <c r="Q20"/>
      <c r="R20"/>
      <c r="S20"/>
      <c r="T20"/>
      <c r="U20"/>
      <c r="V20"/>
      <c r="W20"/>
      <c r="X20"/>
    </row>
    <row r="21" spans="1:24" x14ac:dyDescent="0.3">
      <c r="A21" t="s">
        <v>280</v>
      </c>
      <c r="B21" t="s">
        <v>281</v>
      </c>
      <c r="C21" t="s">
        <v>24</v>
      </c>
      <c r="D21" s="44">
        <v>1.755E-2</v>
      </c>
      <c r="E21" t="s">
        <v>8</v>
      </c>
      <c r="F21" t="s">
        <v>15</v>
      </c>
      <c r="H21" t="str">
        <f>Intro!$B$4</f>
        <v>ecoinvent-3.10-cutoff</v>
      </c>
      <c r="I21" s="6">
        <v>0</v>
      </c>
      <c r="J21" t="s">
        <v>776</v>
      </c>
      <c r="L21" s="1"/>
    </row>
    <row r="22" spans="1:24" x14ac:dyDescent="0.3">
      <c r="A22" t="s">
        <v>285</v>
      </c>
      <c r="B22" t="s">
        <v>286</v>
      </c>
      <c r="C22" t="s">
        <v>24</v>
      </c>
      <c r="D22" s="44">
        <v>5.5900000000000004E-3</v>
      </c>
      <c r="E22" t="s">
        <v>8</v>
      </c>
      <c r="F22" t="s">
        <v>15</v>
      </c>
      <c r="H22" t="str">
        <f>Intro!$B$4</f>
        <v>ecoinvent-3.10-cutoff</v>
      </c>
      <c r="I22" s="6">
        <v>0</v>
      </c>
      <c r="J22" t="s">
        <v>776</v>
      </c>
    </row>
    <row r="23" spans="1:24" x14ac:dyDescent="0.3">
      <c r="A23" t="s">
        <v>287</v>
      </c>
      <c r="B23" t="s">
        <v>288</v>
      </c>
      <c r="C23" t="s">
        <v>24</v>
      </c>
      <c r="D23" s="44">
        <v>2.3400000000000003E-5</v>
      </c>
      <c r="E23" t="s">
        <v>43</v>
      </c>
      <c r="F23" t="s">
        <v>15</v>
      </c>
      <c r="H23" t="str">
        <f>Intro!$B$4</f>
        <v>ecoinvent-3.10-cutoff</v>
      </c>
      <c r="I23" s="6">
        <v>0</v>
      </c>
      <c r="J23" t="s">
        <v>776</v>
      </c>
      <c r="K23" s="29" t="s">
        <v>289</v>
      </c>
    </row>
    <row r="24" spans="1:24" x14ac:dyDescent="0.3">
      <c r="A24" t="s">
        <v>287</v>
      </c>
      <c r="B24" t="s">
        <v>288</v>
      </c>
      <c r="C24" t="s">
        <v>24</v>
      </c>
      <c r="D24" s="44">
        <v>7.1500000000000001E-3</v>
      </c>
      <c r="E24" t="s">
        <v>43</v>
      </c>
      <c r="F24" t="s">
        <v>15</v>
      </c>
      <c r="H24" t="str">
        <f>Intro!$B$4</f>
        <v>ecoinvent-3.10-cutoff</v>
      </c>
      <c r="I24" s="6">
        <v>0</v>
      </c>
      <c r="J24" t="s">
        <v>776</v>
      </c>
      <c r="K24" s="29" t="s">
        <v>290</v>
      </c>
    </row>
    <row r="25" spans="1:24" ht="16.5" customHeight="1" x14ac:dyDescent="0.3">
      <c r="A25" t="s">
        <v>291</v>
      </c>
      <c r="B25" t="s">
        <v>292</v>
      </c>
      <c r="C25" t="s">
        <v>18</v>
      </c>
      <c r="D25" s="37">
        <v>7.7999999999999999E-4</v>
      </c>
      <c r="E25" t="s">
        <v>8</v>
      </c>
      <c r="F25" t="s">
        <v>15</v>
      </c>
      <c r="H25" t="str">
        <f>Intro!$B$4</f>
        <v>ecoinvent-3.10-cutoff</v>
      </c>
      <c r="I25" s="6">
        <v>0</v>
      </c>
      <c r="J25" t="s">
        <v>776</v>
      </c>
    </row>
    <row r="26" spans="1:24" x14ac:dyDescent="0.3">
      <c r="A26" t="s">
        <v>293</v>
      </c>
      <c r="B26" t="s">
        <v>294</v>
      </c>
      <c r="C26" t="s">
        <v>24</v>
      </c>
      <c r="D26" s="37">
        <v>1.0400000000000001E-4</v>
      </c>
      <c r="E26" t="s">
        <v>8</v>
      </c>
      <c r="F26" t="s">
        <v>15</v>
      </c>
      <c r="H26" t="str">
        <f>Intro!$B$4</f>
        <v>ecoinvent-3.10-cutoff</v>
      </c>
      <c r="I26" s="6">
        <v>0</v>
      </c>
      <c r="J26" t="s">
        <v>776</v>
      </c>
    </row>
    <row r="27" spans="1:24" x14ac:dyDescent="0.3">
      <c r="A27" t="s">
        <v>45</v>
      </c>
      <c r="B27" t="s">
        <v>46</v>
      </c>
      <c r="C27" t="s">
        <v>24</v>
      </c>
      <c r="D27" s="37">
        <v>1.3000000000000001E-2</v>
      </c>
      <c r="E27" t="s">
        <v>8</v>
      </c>
      <c r="F27" t="s">
        <v>15</v>
      </c>
      <c r="H27" t="str">
        <f>Intro!$B$4</f>
        <v>ecoinvent-3.10-cutoff</v>
      </c>
      <c r="I27" s="6">
        <v>0</v>
      </c>
      <c r="J27" t="s">
        <v>776</v>
      </c>
    </row>
    <row r="28" spans="1:24" x14ac:dyDescent="0.3">
      <c r="A28" t="s">
        <v>300</v>
      </c>
      <c r="B28" t="s">
        <v>301</v>
      </c>
      <c r="C28" t="s">
        <v>24</v>
      </c>
      <c r="D28" s="37">
        <v>3.4450000000000001E-3</v>
      </c>
      <c r="E28" t="s">
        <v>8</v>
      </c>
      <c r="F28" t="s">
        <v>15</v>
      </c>
      <c r="H28" t="str">
        <f>Intro!$B$4</f>
        <v>ecoinvent-3.10-cutoff</v>
      </c>
      <c r="I28" s="6">
        <v>0</v>
      </c>
      <c r="J28" t="s">
        <v>776</v>
      </c>
    </row>
    <row r="29" spans="1:24" x14ac:dyDescent="0.3">
      <c r="A29" t="s">
        <v>302</v>
      </c>
      <c r="B29" t="s">
        <v>303</v>
      </c>
      <c r="C29" t="s">
        <v>24</v>
      </c>
      <c r="D29" s="37">
        <v>1.56E-4</v>
      </c>
      <c r="E29" t="s">
        <v>8</v>
      </c>
      <c r="F29" t="s">
        <v>15</v>
      </c>
      <c r="H29" t="str">
        <f>Intro!$B$4</f>
        <v>ecoinvent-3.10-cutoff</v>
      </c>
      <c r="I29" s="6">
        <v>0</v>
      </c>
      <c r="J29" t="s">
        <v>776</v>
      </c>
    </row>
    <row r="30" spans="1:24" x14ac:dyDescent="0.3">
      <c r="A30" t="s">
        <v>379</v>
      </c>
      <c r="B30" t="s">
        <v>380</v>
      </c>
      <c r="C30" t="s">
        <v>24</v>
      </c>
      <c r="D30" s="37">
        <v>9.7500000000000006E-4</v>
      </c>
      <c r="E30" t="s">
        <v>8</v>
      </c>
      <c r="F30" t="s">
        <v>15</v>
      </c>
      <c r="H30" t="str">
        <f>Intro!$B$4</f>
        <v>ecoinvent-3.10-cutoff</v>
      </c>
      <c r="I30" s="6">
        <v>0</v>
      </c>
      <c r="J30" t="s">
        <v>776</v>
      </c>
    </row>
    <row r="31" spans="1:24" x14ac:dyDescent="0.3">
      <c r="A31" t="s">
        <v>304</v>
      </c>
      <c r="B31" t="s">
        <v>305</v>
      </c>
      <c r="C31" t="s">
        <v>24</v>
      </c>
      <c r="D31" s="37">
        <v>8.4499999999999992E-3</v>
      </c>
      <c r="E31" t="s">
        <v>8</v>
      </c>
      <c r="F31" t="s">
        <v>15</v>
      </c>
      <c r="H31" t="str">
        <f>Intro!$B$4</f>
        <v>ecoinvent-3.10-cutoff</v>
      </c>
      <c r="I31" s="6">
        <v>0</v>
      </c>
      <c r="J31" t="s">
        <v>776</v>
      </c>
    </row>
    <row r="32" spans="1:24" s="1" customFormat="1" x14ac:dyDescent="0.3">
      <c r="A32" t="s">
        <v>309</v>
      </c>
      <c r="B32" t="s">
        <v>310</v>
      </c>
      <c r="C32" t="s">
        <v>18</v>
      </c>
      <c r="D32" s="37">
        <v>6.5000000000000008E-5</v>
      </c>
      <c r="E32" t="s">
        <v>8</v>
      </c>
      <c r="F32" t="s">
        <v>15</v>
      </c>
      <c r="G32"/>
      <c r="H32" t="str">
        <f>Intro!$B$4</f>
        <v>ecoinvent-3.10-cutoff</v>
      </c>
      <c r="I32" s="6">
        <v>0</v>
      </c>
      <c r="J32" t="s">
        <v>776</v>
      </c>
      <c r="K32" s="29" t="s">
        <v>311</v>
      </c>
    </row>
    <row r="33" spans="1:24" x14ac:dyDescent="0.3">
      <c r="A33" t="s">
        <v>312</v>
      </c>
      <c r="B33" t="s">
        <v>313</v>
      </c>
      <c r="C33" t="s">
        <v>24</v>
      </c>
      <c r="D33" s="37">
        <v>2.5349999999999999E-3</v>
      </c>
      <c r="E33" t="s">
        <v>8</v>
      </c>
      <c r="F33" t="s">
        <v>15</v>
      </c>
      <c r="H33" t="str">
        <f>Intro!$B$4</f>
        <v>ecoinvent-3.10-cutoff</v>
      </c>
      <c r="I33" s="6">
        <v>0</v>
      </c>
      <c r="J33" t="s">
        <v>776</v>
      </c>
    </row>
    <row r="34" spans="1:24" x14ac:dyDescent="0.3">
      <c r="A34" t="s">
        <v>317</v>
      </c>
      <c r="B34" t="s">
        <v>318</v>
      </c>
      <c r="C34" t="s">
        <v>18</v>
      </c>
      <c r="D34" s="37">
        <v>6.5000000000000004E-6</v>
      </c>
      <c r="E34" t="s">
        <v>8</v>
      </c>
      <c r="F34" t="s">
        <v>15</v>
      </c>
      <c r="H34" t="str">
        <f>Intro!$B$4</f>
        <v>ecoinvent-3.10-cutoff</v>
      </c>
      <c r="I34" s="6">
        <v>0</v>
      </c>
      <c r="J34" t="s">
        <v>776</v>
      </c>
      <c r="K34" s="29" t="s">
        <v>319</v>
      </c>
    </row>
    <row r="35" spans="1:24" ht="14.1" customHeight="1" x14ac:dyDescent="0.3">
      <c r="A35" t="s">
        <v>165</v>
      </c>
      <c r="B35" t="s">
        <v>166</v>
      </c>
      <c r="C35" t="s">
        <v>24</v>
      </c>
      <c r="D35" s="37">
        <v>3.6400000000000002E-2</v>
      </c>
      <c r="E35" t="s">
        <v>8</v>
      </c>
      <c r="F35" t="s">
        <v>15</v>
      </c>
      <c r="H35" t="str">
        <f>Intro!$B$4</f>
        <v>ecoinvent-3.10-cutoff</v>
      </c>
      <c r="I35" s="6">
        <v>0</v>
      </c>
      <c r="J35" t="s">
        <v>776</v>
      </c>
    </row>
    <row r="36" spans="1:24" x14ac:dyDescent="0.3">
      <c r="A36" t="s">
        <v>320</v>
      </c>
      <c r="B36" t="s">
        <v>321</v>
      </c>
      <c r="C36" t="s">
        <v>18</v>
      </c>
      <c r="D36" s="37">
        <v>1.2350000000000002E-4</v>
      </c>
      <c r="E36" t="s">
        <v>8</v>
      </c>
      <c r="F36" t="s">
        <v>15</v>
      </c>
      <c r="H36" t="str">
        <f>Intro!$B$4</f>
        <v>ecoinvent-3.10-cutoff</v>
      </c>
      <c r="I36" s="6">
        <v>0</v>
      </c>
      <c r="J36" t="s">
        <v>776</v>
      </c>
    </row>
    <row r="37" spans="1:24" s="29" customFormat="1" x14ac:dyDescent="0.3">
      <c r="A37" s="29" t="s">
        <v>322</v>
      </c>
      <c r="B37" s="29" t="s">
        <v>323</v>
      </c>
      <c r="C37" s="29" t="s">
        <v>18</v>
      </c>
      <c r="D37" s="43">
        <v>3.1849999999999999E-4</v>
      </c>
      <c r="E37" s="29" t="s">
        <v>8</v>
      </c>
      <c r="F37" s="29" t="s">
        <v>15</v>
      </c>
      <c r="H37" s="29" t="str">
        <f>Intro!$B$4</f>
        <v>ecoinvent-3.10-cutoff</v>
      </c>
      <c r="I37" s="6">
        <v>0</v>
      </c>
      <c r="J37" t="s">
        <v>776</v>
      </c>
    </row>
    <row r="38" spans="1:24" s="29" customFormat="1" x14ac:dyDescent="0.3">
      <c r="A38" s="29" t="s">
        <v>322</v>
      </c>
      <c r="B38" s="29" t="s">
        <v>323</v>
      </c>
      <c r="C38" s="29" t="s">
        <v>18</v>
      </c>
      <c r="D38" s="43">
        <v>3.055E-4</v>
      </c>
      <c r="E38" s="29" t="s">
        <v>8</v>
      </c>
      <c r="F38" s="29" t="s">
        <v>15</v>
      </c>
      <c r="H38" s="29" t="str">
        <f>Intro!$B$4</f>
        <v>ecoinvent-3.10-cutoff</v>
      </c>
      <c r="I38" s="6">
        <v>0</v>
      </c>
      <c r="J38" t="s">
        <v>776</v>
      </c>
      <c r="K38" s="29" t="s">
        <v>462</v>
      </c>
    </row>
    <row r="39" spans="1:24" x14ac:dyDescent="0.3">
      <c r="A39" t="s">
        <v>123</v>
      </c>
      <c r="B39" t="s">
        <v>124</v>
      </c>
      <c r="C39" t="s">
        <v>24</v>
      </c>
      <c r="D39" s="37">
        <v>3.6400000000000002E-2</v>
      </c>
      <c r="E39" t="s">
        <v>8</v>
      </c>
      <c r="F39" t="s">
        <v>15</v>
      </c>
      <c r="H39" t="str">
        <f>Intro!$B$4</f>
        <v>ecoinvent-3.10-cutoff</v>
      </c>
      <c r="I39" s="6">
        <v>0</v>
      </c>
      <c r="J39" t="s">
        <v>776</v>
      </c>
    </row>
    <row r="40" spans="1:24" x14ac:dyDescent="0.3">
      <c r="A40" t="s">
        <v>324</v>
      </c>
      <c r="B40" t="s">
        <v>325</v>
      </c>
      <c r="C40" t="s">
        <v>18</v>
      </c>
      <c r="D40" s="37">
        <v>2.8600000000000001E-4</v>
      </c>
      <c r="E40" t="s">
        <v>8</v>
      </c>
      <c r="F40" t="s">
        <v>15</v>
      </c>
      <c r="H40" t="str">
        <f>Intro!$B$4</f>
        <v>ecoinvent-3.10-cutoff</v>
      </c>
      <c r="I40" s="6">
        <v>0</v>
      </c>
      <c r="J40" t="s">
        <v>776</v>
      </c>
      <c r="K40" s="29" t="s">
        <v>326</v>
      </c>
    </row>
    <row r="41" spans="1:24" x14ac:dyDescent="0.3">
      <c r="A41" t="s">
        <v>327</v>
      </c>
      <c r="B41" t="s">
        <v>328</v>
      </c>
      <c r="C41" t="s">
        <v>24</v>
      </c>
      <c r="D41" s="37">
        <v>6.5000000000000008E-5</v>
      </c>
      <c r="E41" t="s">
        <v>8</v>
      </c>
      <c r="F41" t="s">
        <v>15</v>
      </c>
      <c r="H41" t="str">
        <f>Intro!$B$4</f>
        <v>ecoinvent-3.10-cutoff</v>
      </c>
      <c r="I41" s="6">
        <v>0</v>
      </c>
      <c r="J41" t="s">
        <v>776</v>
      </c>
    </row>
    <row r="42" spans="1:24" x14ac:dyDescent="0.3">
      <c r="A42" t="s">
        <v>169</v>
      </c>
      <c r="B42" t="s">
        <v>170</v>
      </c>
      <c r="C42" t="s">
        <v>24</v>
      </c>
      <c r="D42" s="37">
        <v>7.8000000000000005E-3</v>
      </c>
      <c r="E42" t="s">
        <v>8</v>
      </c>
      <c r="F42" t="s">
        <v>15</v>
      </c>
      <c r="H42" t="str">
        <f>Intro!$B$4</f>
        <v>ecoinvent-3.10-cutoff</v>
      </c>
      <c r="I42" s="6">
        <v>0</v>
      </c>
      <c r="J42" t="s">
        <v>776</v>
      </c>
    </row>
    <row r="43" spans="1:24" x14ac:dyDescent="0.3">
      <c r="A43" t="s">
        <v>133</v>
      </c>
      <c r="B43" t="s">
        <v>134</v>
      </c>
      <c r="C43" t="s">
        <v>24</v>
      </c>
      <c r="D43" s="37">
        <v>7.8E-2</v>
      </c>
      <c r="E43" t="s">
        <v>8</v>
      </c>
      <c r="F43" t="s">
        <v>15</v>
      </c>
      <c r="H43" t="str">
        <f>Intro!$B$4</f>
        <v>ecoinvent-3.10-cutoff</v>
      </c>
      <c r="I43" s="6">
        <v>0</v>
      </c>
      <c r="J43" t="s">
        <v>776</v>
      </c>
    </row>
    <row r="44" spans="1:24" x14ac:dyDescent="0.3">
      <c r="A44" t="s">
        <v>167</v>
      </c>
      <c r="B44" t="s">
        <v>50</v>
      </c>
      <c r="C44" t="s">
        <v>18</v>
      </c>
      <c r="D44" s="37">
        <v>4.29</v>
      </c>
      <c r="E44" t="s">
        <v>8</v>
      </c>
      <c r="F44" t="s">
        <v>15</v>
      </c>
      <c r="H44" t="str">
        <f>Intro!$B$4</f>
        <v>ecoinvent-3.10-cutoff</v>
      </c>
      <c r="I44" s="6">
        <v>0</v>
      </c>
      <c r="J44" t="s">
        <v>776</v>
      </c>
      <c r="K44" s="29" t="s">
        <v>329</v>
      </c>
    </row>
    <row r="45" spans="1:24" s="4" customFormat="1" x14ac:dyDescent="0.3">
      <c r="A45" t="s">
        <v>306</v>
      </c>
      <c r="B45" t="s">
        <v>307</v>
      </c>
      <c r="C45" t="s">
        <v>24</v>
      </c>
      <c r="D45" s="37">
        <v>4.4849999999999999E-5</v>
      </c>
      <c r="E45" t="s">
        <v>8</v>
      </c>
      <c r="F45" t="s">
        <v>15</v>
      </c>
      <c r="G45"/>
      <c r="H45" t="str">
        <f>Intro!$B$4</f>
        <v>ecoinvent-3.10-cutoff</v>
      </c>
      <c r="I45" s="6">
        <v>0</v>
      </c>
      <c r="J45" t="s">
        <v>776</v>
      </c>
      <c r="K45" s="29" t="s">
        <v>308</v>
      </c>
      <c r="L45"/>
      <c r="M45"/>
      <c r="N45"/>
      <c r="O45"/>
      <c r="P45"/>
      <c r="Q45"/>
      <c r="R45"/>
      <c r="S45"/>
      <c r="T45"/>
      <c r="U45"/>
      <c r="V45"/>
      <c r="W45"/>
      <c r="X45"/>
    </row>
    <row r="46" spans="1:24" x14ac:dyDescent="0.3">
      <c r="A46" t="s">
        <v>314</v>
      </c>
      <c r="B46" t="s">
        <v>315</v>
      </c>
      <c r="C46" t="s">
        <v>24</v>
      </c>
      <c r="D46" s="37">
        <v>5.7850000000000002E-4</v>
      </c>
      <c r="E46" t="s">
        <v>8</v>
      </c>
      <c r="F46" t="s">
        <v>15</v>
      </c>
      <c r="H46" t="str">
        <f>Intro!$B$4</f>
        <v>ecoinvent-3.10-cutoff</v>
      </c>
      <c r="I46" s="6">
        <v>0</v>
      </c>
      <c r="J46" t="s">
        <v>776</v>
      </c>
      <c r="K46" s="29" t="s">
        <v>316</v>
      </c>
    </row>
    <row r="47" spans="1:24" x14ac:dyDescent="0.3">
      <c r="A47" t="s">
        <v>282</v>
      </c>
      <c r="B47" t="s">
        <v>283</v>
      </c>
      <c r="C47" t="s">
        <v>24</v>
      </c>
      <c r="D47" s="44">
        <v>-5.3949999999999997E-5</v>
      </c>
      <c r="E47" t="s">
        <v>8</v>
      </c>
      <c r="F47" t="s">
        <v>15</v>
      </c>
      <c r="H47" t="str">
        <f>Intro!$B$4</f>
        <v>ecoinvent-3.10-cutoff</v>
      </c>
      <c r="I47" s="6">
        <v>0</v>
      </c>
      <c r="J47" t="s">
        <v>776</v>
      </c>
      <c r="K47" s="29" t="s">
        <v>284</v>
      </c>
    </row>
    <row r="48" spans="1:24" x14ac:dyDescent="0.3">
      <c r="A48" t="s">
        <v>148</v>
      </c>
      <c r="B48" t="s">
        <v>149</v>
      </c>
      <c r="C48" t="s">
        <v>24</v>
      </c>
      <c r="D48" s="37">
        <v>-1.105E-4</v>
      </c>
      <c r="E48" t="s">
        <v>8</v>
      </c>
      <c r="F48" t="s">
        <v>15</v>
      </c>
      <c r="H48" t="str">
        <f>Intro!$B$4</f>
        <v>ecoinvent-3.10-cutoff</v>
      </c>
      <c r="I48" s="6">
        <v>0</v>
      </c>
      <c r="J48" t="s">
        <v>776</v>
      </c>
      <c r="K48" s="29" t="s">
        <v>295</v>
      </c>
    </row>
    <row r="49" spans="1:10" s="29" customFormat="1" x14ac:dyDescent="0.3">
      <c r="A49" s="29" t="s">
        <v>37</v>
      </c>
      <c r="D49" s="43">
        <v>0.13</v>
      </c>
      <c r="E49" s="29" t="s">
        <v>8</v>
      </c>
      <c r="F49" s="29" t="s">
        <v>39</v>
      </c>
      <c r="G49" s="29" t="s">
        <v>38</v>
      </c>
      <c r="H49" s="29" t="str">
        <f>Intro!$B$5</f>
        <v>ecoinvent-3.10-biosphere</v>
      </c>
      <c r="I49" s="6">
        <v>0</v>
      </c>
      <c r="J49" t="s">
        <v>776</v>
      </c>
    </row>
    <row r="50" spans="1:10" s="29" customFormat="1" x14ac:dyDescent="0.3">
      <c r="A50" s="29" t="s">
        <v>76</v>
      </c>
      <c r="D50" s="43">
        <v>3.5100000000000002E-4</v>
      </c>
      <c r="E50" s="29" t="s">
        <v>8</v>
      </c>
      <c r="F50" s="29" t="s">
        <v>39</v>
      </c>
      <c r="G50" s="29" t="s">
        <v>38</v>
      </c>
      <c r="H50" s="29" t="str">
        <f>Intro!$B$5</f>
        <v>ecoinvent-3.10-biosphere</v>
      </c>
      <c r="I50" s="6">
        <v>0</v>
      </c>
      <c r="J50" t="s">
        <v>776</v>
      </c>
    </row>
    <row r="51" spans="1:10" x14ac:dyDescent="0.3">
      <c r="A51" t="s">
        <v>77</v>
      </c>
      <c r="D51" s="37">
        <v>4.0949999999999998E-6</v>
      </c>
      <c r="E51" t="s">
        <v>8</v>
      </c>
      <c r="F51" t="s">
        <v>39</v>
      </c>
      <c r="G51" t="s">
        <v>38</v>
      </c>
      <c r="H51" t="str">
        <f>Intro!$B$5</f>
        <v>ecoinvent-3.10-biosphere</v>
      </c>
      <c r="I51" s="6">
        <v>0</v>
      </c>
      <c r="J51" t="s">
        <v>776</v>
      </c>
    </row>
    <row r="52" spans="1:10" x14ac:dyDescent="0.3">
      <c r="A52" t="s">
        <v>182</v>
      </c>
      <c r="D52" s="37">
        <v>8.4500000000000004E-6</v>
      </c>
      <c r="E52" t="s">
        <v>8</v>
      </c>
      <c r="F52" t="s">
        <v>39</v>
      </c>
      <c r="G52" t="s">
        <v>38</v>
      </c>
      <c r="H52" t="str">
        <f>Intro!$B$5</f>
        <v>ecoinvent-3.10-biosphere</v>
      </c>
      <c r="I52" s="6">
        <v>0</v>
      </c>
      <c r="J52" t="s">
        <v>776</v>
      </c>
    </row>
    <row r="53" spans="1:10" x14ac:dyDescent="0.3">
      <c r="A53" t="s">
        <v>74</v>
      </c>
      <c r="D53" s="37">
        <v>8.4499999999999994E-5</v>
      </c>
      <c r="E53" t="s">
        <v>8</v>
      </c>
      <c r="F53" t="s">
        <v>39</v>
      </c>
      <c r="G53" t="s">
        <v>38</v>
      </c>
      <c r="H53" t="str">
        <f>Intro!$B$5</f>
        <v>ecoinvent-3.10-biosphere</v>
      </c>
      <c r="I53" s="6">
        <v>0</v>
      </c>
      <c r="J53" t="s">
        <v>776</v>
      </c>
    </row>
    <row r="54" spans="1:10" x14ac:dyDescent="0.3">
      <c r="A54" t="s">
        <v>74</v>
      </c>
      <c r="D54" s="37">
        <v>1.1050000000000001E-5</v>
      </c>
      <c r="E54" t="s">
        <v>8</v>
      </c>
      <c r="F54" t="s">
        <v>39</v>
      </c>
      <c r="G54" t="s">
        <v>38</v>
      </c>
      <c r="H54" t="str">
        <f>Intro!$B$5</f>
        <v>ecoinvent-3.10-biosphere</v>
      </c>
      <c r="I54" s="6">
        <v>0</v>
      </c>
      <c r="J54" t="s">
        <v>776</v>
      </c>
    </row>
    <row r="55" spans="1:10" x14ac:dyDescent="0.3">
      <c r="A55" t="s">
        <v>174</v>
      </c>
      <c r="D55" s="37">
        <v>1.3E-7</v>
      </c>
      <c r="E55" t="s">
        <v>8</v>
      </c>
      <c r="F55" t="s">
        <v>39</v>
      </c>
      <c r="G55" t="s">
        <v>38</v>
      </c>
      <c r="H55" t="str">
        <f>Intro!$B$5</f>
        <v>ecoinvent-3.10-biosphere</v>
      </c>
      <c r="I55" s="6">
        <v>0</v>
      </c>
      <c r="J55" t="s">
        <v>776</v>
      </c>
    </row>
    <row r="56" spans="1:10" x14ac:dyDescent="0.3">
      <c r="A56" t="s">
        <v>176</v>
      </c>
      <c r="D56" s="37">
        <v>5.7849999999999997E-6</v>
      </c>
      <c r="E56" t="s">
        <v>8</v>
      </c>
      <c r="F56" t="s">
        <v>39</v>
      </c>
      <c r="G56" t="s">
        <v>38</v>
      </c>
      <c r="H56" t="str">
        <f>Intro!$B$5</f>
        <v>ecoinvent-3.10-biosphere</v>
      </c>
      <c r="I56" s="6">
        <v>0</v>
      </c>
      <c r="J56" t="s">
        <v>776</v>
      </c>
    </row>
    <row r="57" spans="1:10" x14ac:dyDescent="0.3">
      <c r="A57" t="s">
        <v>175</v>
      </c>
      <c r="D57" s="37">
        <v>1.235E-3</v>
      </c>
      <c r="E57" t="s">
        <v>8</v>
      </c>
      <c r="F57" t="s">
        <v>39</v>
      </c>
      <c r="G57" t="s">
        <v>38</v>
      </c>
      <c r="H57" t="str">
        <f>Intro!$B$5</f>
        <v>ecoinvent-3.10-biosphere</v>
      </c>
      <c r="I57" s="6">
        <v>0</v>
      </c>
      <c r="J57" t="s">
        <v>776</v>
      </c>
    </row>
    <row r="58" spans="1:10" x14ac:dyDescent="0.3">
      <c r="A58" t="s">
        <v>128</v>
      </c>
      <c r="D58" s="37">
        <v>1.43E-2</v>
      </c>
      <c r="E58" t="s">
        <v>8</v>
      </c>
      <c r="F58" t="s">
        <v>39</v>
      </c>
      <c r="G58" t="s">
        <v>38</v>
      </c>
      <c r="H58" t="str">
        <f>Intro!$B$5</f>
        <v>ecoinvent-3.10-biosphere</v>
      </c>
      <c r="I58" s="6">
        <v>0</v>
      </c>
      <c r="J58" t="s">
        <v>776</v>
      </c>
    </row>
    <row r="59" spans="1:10" x14ac:dyDescent="0.3">
      <c r="A59" t="s">
        <v>330</v>
      </c>
      <c r="D59" s="37">
        <v>9.7500000000000006E-4</v>
      </c>
      <c r="E59" t="s">
        <v>8</v>
      </c>
      <c r="F59" t="s">
        <v>39</v>
      </c>
      <c r="G59" t="s">
        <v>38</v>
      </c>
      <c r="H59" t="str">
        <f>Intro!$B$5</f>
        <v>ecoinvent-3.10-biosphere</v>
      </c>
      <c r="I59" s="6">
        <v>0</v>
      </c>
      <c r="J59" t="s">
        <v>776</v>
      </c>
    </row>
    <row r="60" spans="1:10" x14ac:dyDescent="0.3">
      <c r="A60" t="s">
        <v>188</v>
      </c>
      <c r="D60">
        <v>2.21E-6</v>
      </c>
      <c r="E60" t="s">
        <v>8</v>
      </c>
      <c r="F60" t="s">
        <v>39</v>
      </c>
      <c r="G60" t="s">
        <v>38</v>
      </c>
      <c r="H60" t="str">
        <f>Intro!$B$5</f>
        <v>ecoinvent-3.10-biosphere</v>
      </c>
      <c r="I60" s="6">
        <v>0</v>
      </c>
      <c r="J60" t="s">
        <v>776</v>
      </c>
    </row>
    <row r="61" spans="1:10" x14ac:dyDescent="0.3">
      <c r="A61" t="s">
        <v>391</v>
      </c>
      <c r="D61">
        <v>8.4500000000000008E-10</v>
      </c>
      <c r="E61" t="s">
        <v>8</v>
      </c>
      <c r="F61" t="s">
        <v>39</v>
      </c>
      <c r="G61" t="s">
        <v>38</v>
      </c>
      <c r="H61" t="str">
        <f>Intro!$B$5</f>
        <v>ecoinvent-3.10-biosphere</v>
      </c>
      <c r="I61" s="6">
        <v>0</v>
      </c>
      <c r="J61" t="s">
        <v>776</v>
      </c>
    </row>
    <row r="62" spans="1:10" x14ac:dyDescent="0.3">
      <c r="A62" t="s">
        <v>392</v>
      </c>
      <c r="D62">
        <v>4.1600000000000002E-7</v>
      </c>
      <c r="E62" t="s">
        <v>8</v>
      </c>
      <c r="F62" t="s">
        <v>39</v>
      </c>
      <c r="G62" t="s">
        <v>38</v>
      </c>
      <c r="H62" t="str">
        <f>Intro!$B$5</f>
        <v>ecoinvent-3.10-biosphere</v>
      </c>
      <c r="I62" s="6">
        <v>0</v>
      </c>
      <c r="J62" t="s">
        <v>776</v>
      </c>
    </row>
    <row r="63" spans="1:10" x14ac:dyDescent="0.3">
      <c r="A63" t="s">
        <v>393</v>
      </c>
      <c r="D63">
        <v>1.0400000000000001E-9</v>
      </c>
      <c r="E63" t="s">
        <v>8</v>
      </c>
      <c r="F63" t="s">
        <v>39</v>
      </c>
      <c r="G63" t="s">
        <v>38</v>
      </c>
      <c r="H63" t="str">
        <f>Intro!$B$5</f>
        <v>ecoinvent-3.10-biosphere</v>
      </c>
      <c r="I63" s="6">
        <v>0</v>
      </c>
      <c r="J63" t="s">
        <v>776</v>
      </c>
    </row>
    <row r="64" spans="1:10" x14ac:dyDescent="0.3">
      <c r="A64" t="s">
        <v>419</v>
      </c>
      <c r="D64">
        <v>1.56E-5</v>
      </c>
      <c r="E64" t="s">
        <v>8</v>
      </c>
      <c r="F64" t="s">
        <v>39</v>
      </c>
      <c r="G64" t="s">
        <v>38</v>
      </c>
      <c r="H64" t="str">
        <f>Intro!$B$5</f>
        <v>ecoinvent-3.10-biosphere</v>
      </c>
      <c r="I64" s="6">
        <v>0</v>
      </c>
      <c r="J64" t="s">
        <v>776</v>
      </c>
    </row>
    <row r="65" spans="1:25" x14ac:dyDescent="0.3">
      <c r="A65" t="s">
        <v>394</v>
      </c>
      <c r="D65">
        <v>7.8000000000000004E-9</v>
      </c>
      <c r="E65" t="s">
        <v>8</v>
      </c>
      <c r="F65" t="s">
        <v>39</v>
      </c>
      <c r="G65" t="s">
        <v>38</v>
      </c>
      <c r="H65" t="str">
        <f>Intro!$B$5</f>
        <v>ecoinvent-3.10-biosphere</v>
      </c>
      <c r="I65" s="6">
        <v>0</v>
      </c>
      <c r="J65" t="s">
        <v>776</v>
      </c>
    </row>
    <row r="66" spans="1:25" x14ac:dyDescent="0.3">
      <c r="A66" t="s">
        <v>395</v>
      </c>
      <c r="D66">
        <v>4.42E-6</v>
      </c>
      <c r="E66" t="s">
        <v>8</v>
      </c>
      <c r="F66" t="s">
        <v>39</v>
      </c>
      <c r="G66" t="s">
        <v>38</v>
      </c>
      <c r="H66" t="str">
        <f>Intro!$B$5</f>
        <v>ecoinvent-3.10-biosphere</v>
      </c>
      <c r="I66" s="6">
        <v>0</v>
      </c>
      <c r="J66" t="s">
        <v>776</v>
      </c>
    </row>
    <row r="67" spans="1:25" x14ac:dyDescent="0.3">
      <c r="A67" t="s">
        <v>396</v>
      </c>
      <c r="D67">
        <v>2.2100000000000003E-4</v>
      </c>
      <c r="E67" t="s">
        <v>8</v>
      </c>
      <c r="F67" t="s">
        <v>39</v>
      </c>
      <c r="G67" t="s">
        <v>38</v>
      </c>
      <c r="H67" t="str">
        <f>Intro!$B$5</f>
        <v>ecoinvent-3.10-biosphere</v>
      </c>
      <c r="I67" s="6">
        <v>0</v>
      </c>
      <c r="J67" t="s">
        <v>776</v>
      </c>
    </row>
    <row r="68" spans="1:25" x14ac:dyDescent="0.3">
      <c r="A68" t="s">
        <v>398</v>
      </c>
      <c r="D68">
        <v>1.04E-7</v>
      </c>
      <c r="E68" t="s">
        <v>8</v>
      </c>
      <c r="F68" t="s">
        <v>39</v>
      </c>
      <c r="G68" t="s">
        <v>38</v>
      </c>
      <c r="H68" t="str">
        <f>Intro!$B$5</f>
        <v>ecoinvent-3.10-biosphere</v>
      </c>
      <c r="I68" s="6">
        <v>0</v>
      </c>
      <c r="J68" t="s">
        <v>776</v>
      </c>
    </row>
    <row r="69" spans="1:25" x14ac:dyDescent="0.3">
      <c r="A69" t="s">
        <v>399</v>
      </c>
      <c r="D69">
        <v>4.6150000000000003E-9</v>
      </c>
      <c r="E69" t="s">
        <v>8</v>
      </c>
      <c r="F69" t="s">
        <v>39</v>
      </c>
      <c r="G69" t="s">
        <v>38</v>
      </c>
      <c r="H69" t="str">
        <f>Intro!$B$5</f>
        <v>ecoinvent-3.10-biosphere</v>
      </c>
      <c r="I69" s="6">
        <v>0</v>
      </c>
      <c r="J69" t="s">
        <v>776</v>
      </c>
    </row>
    <row r="70" spans="1:25" x14ac:dyDescent="0.3">
      <c r="A70" t="s">
        <v>400</v>
      </c>
      <c r="D70">
        <v>9.7499999999999999E-11</v>
      </c>
      <c r="E70" t="s">
        <v>8</v>
      </c>
      <c r="F70" t="s">
        <v>39</v>
      </c>
      <c r="G70" t="s">
        <v>38</v>
      </c>
      <c r="H70" t="str">
        <f>Intro!$B$5</f>
        <v>ecoinvent-3.10-biosphere</v>
      </c>
      <c r="I70" s="6">
        <v>0</v>
      </c>
      <c r="J70" t="s">
        <v>776</v>
      </c>
    </row>
    <row r="71" spans="1:25" x14ac:dyDescent="0.3">
      <c r="A71" t="s">
        <v>401</v>
      </c>
      <c r="D71">
        <v>1.1700000000000001E-4</v>
      </c>
      <c r="E71" t="s">
        <v>8</v>
      </c>
      <c r="F71" t="s">
        <v>39</v>
      </c>
      <c r="G71" t="s">
        <v>38</v>
      </c>
      <c r="H71" t="str">
        <f>Intro!$B$5</f>
        <v>ecoinvent-3.10-biosphere</v>
      </c>
      <c r="I71" s="6">
        <v>0</v>
      </c>
      <c r="J71" t="s">
        <v>776</v>
      </c>
    </row>
    <row r="72" spans="1:25" x14ac:dyDescent="0.3">
      <c r="A72" t="s">
        <v>402</v>
      </c>
      <c r="D72">
        <v>2.7950000000000002E-8</v>
      </c>
      <c r="E72" t="s">
        <v>8</v>
      </c>
      <c r="F72" t="s">
        <v>39</v>
      </c>
      <c r="G72" t="s">
        <v>38</v>
      </c>
      <c r="H72" t="str">
        <f>Intro!$B$5</f>
        <v>ecoinvent-3.10-biosphere</v>
      </c>
      <c r="I72" s="6">
        <v>0</v>
      </c>
      <c r="J72" t="s">
        <v>776</v>
      </c>
    </row>
    <row r="73" spans="1:25" x14ac:dyDescent="0.3">
      <c r="A73" t="s">
        <v>54</v>
      </c>
      <c r="D73" s="37">
        <v>2.8600000000000001E-5</v>
      </c>
      <c r="E73" t="s">
        <v>43</v>
      </c>
      <c r="F73" t="s">
        <v>39</v>
      </c>
      <c r="G73" t="s">
        <v>38</v>
      </c>
      <c r="H73" t="str">
        <f>Intro!$B$5</f>
        <v>ecoinvent-3.10-biosphere</v>
      </c>
      <c r="I73" s="6">
        <v>0</v>
      </c>
      <c r="J73" t="s">
        <v>776</v>
      </c>
    </row>
    <row r="74" spans="1:25" x14ac:dyDescent="0.3">
      <c r="A74" t="s">
        <v>54</v>
      </c>
      <c r="D74" s="37">
        <v>6.1100000000000008E-3</v>
      </c>
      <c r="E74" t="s">
        <v>43</v>
      </c>
      <c r="F74" t="s">
        <v>39</v>
      </c>
      <c r="G74" t="s">
        <v>154</v>
      </c>
      <c r="H74" t="str">
        <f>Intro!$B$5</f>
        <v>ecoinvent-3.10-biosphere</v>
      </c>
      <c r="I74" s="6">
        <v>0</v>
      </c>
      <c r="J74" t="s">
        <v>776</v>
      </c>
    </row>
    <row r="75" spans="1:25" x14ac:dyDescent="0.3">
      <c r="A75" t="s">
        <v>54</v>
      </c>
      <c r="D75" s="37">
        <v>5.5900000000000004E-5</v>
      </c>
      <c r="E75" t="s">
        <v>43</v>
      </c>
      <c r="F75" t="s">
        <v>39</v>
      </c>
      <c r="G75" t="s">
        <v>331</v>
      </c>
      <c r="H75" t="str">
        <f>Intro!$B$5</f>
        <v>ecoinvent-3.10-biosphere</v>
      </c>
      <c r="I75" s="6">
        <v>0</v>
      </c>
      <c r="J75" t="s">
        <v>776</v>
      </c>
    </row>
    <row r="76" spans="1:25" x14ac:dyDescent="0.3">
      <c r="A76" t="s">
        <v>332</v>
      </c>
      <c r="D76" s="37">
        <v>1.885E-4</v>
      </c>
      <c r="E76" t="s">
        <v>43</v>
      </c>
      <c r="F76" t="s">
        <v>39</v>
      </c>
      <c r="G76" t="s">
        <v>333</v>
      </c>
      <c r="H76" t="str">
        <f>Intro!$B$5</f>
        <v>ecoinvent-3.10-biosphere</v>
      </c>
      <c r="I76" s="6">
        <v>0</v>
      </c>
      <c r="J76" t="s">
        <v>776</v>
      </c>
    </row>
    <row r="77" spans="1:25" x14ac:dyDescent="0.3">
      <c r="A77" t="s">
        <v>172</v>
      </c>
      <c r="D77" s="37">
        <v>5.1350000000000007E-3</v>
      </c>
      <c r="E77" t="s">
        <v>43</v>
      </c>
      <c r="F77" t="s">
        <v>39</v>
      </c>
      <c r="G77" t="s">
        <v>153</v>
      </c>
      <c r="H77" t="str">
        <f>Intro!$B$5</f>
        <v>ecoinvent-3.10-biosphere</v>
      </c>
      <c r="I77" s="6">
        <v>0</v>
      </c>
      <c r="J77" t="s">
        <v>776</v>
      </c>
    </row>
    <row r="78" spans="1:25" x14ac:dyDescent="0.3">
      <c r="A78" t="s">
        <v>83</v>
      </c>
      <c r="D78" s="37">
        <v>1.6899999999999999E-4</v>
      </c>
      <c r="E78" t="s">
        <v>43</v>
      </c>
      <c r="F78" t="s">
        <v>39</v>
      </c>
      <c r="G78" t="s">
        <v>78</v>
      </c>
      <c r="H78" t="str">
        <f>Intro!$B$5</f>
        <v>ecoinvent-3.10-biosphere</v>
      </c>
      <c r="I78" s="6">
        <v>0</v>
      </c>
      <c r="J78" t="s">
        <v>776</v>
      </c>
    </row>
    <row r="79" spans="1:25" x14ac:dyDescent="0.3">
      <c r="A79" s="35"/>
      <c r="B79" s="35"/>
      <c r="C79" s="35"/>
      <c r="D79" s="35"/>
      <c r="E79" s="35"/>
      <c r="F79" s="35"/>
      <c r="G79" s="35"/>
      <c r="H79" s="35"/>
      <c r="I79" s="35"/>
      <c r="J79" s="35"/>
      <c r="K79" s="46"/>
      <c r="L79" s="36"/>
      <c r="M79" s="36"/>
      <c r="N79" s="36"/>
      <c r="O79" s="36"/>
      <c r="P79" s="36"/>
      <c r="Q79" s="36"/>
      <c r="R79" s="36"/>
      <c r="S79" s="36"/>
      <c r="T79" s="36"/>
      <c r="U79" s="36"/>
      <c r="V79" s="36"/>
      <c r="W79" s="36"/>
      <c r="X79" s="36"/>
      <c r="Y79" s="36"/>
    </row>
    <row r="80" spans="1:25" x14ac:dyDescent="0.3">
      <c r="A80" s="1" t="s">
        <v>1</v>
      </c>
      <c r="B80" s="5" t="s">
        <v>388</v>
      </c>
    </row>
    <row r="81" spans="1:13" x14ac:dyDescent="0.3">
      <c r="A81" s="1" t="s">
        <v>6</v>
      </c>
      <c r="B81" s="6" t="s">
        <v>374</v>
      </c>
    </row>
    <row r="82" spans="1:13" x14ac:dyDescent="0.3">
      <c r="A82" s="1" t="s">
        <v>3</v>
      </c>
      <c r="B82" s="6" t="s">
        <v>18</v>
      </c>
    </row>
    <row r="83" spans="1:13" x14ac:dyDescent="0.3">
      <c r="A83" s="1" t="s">
        <v>5</v>
      </c>
      <c r="B83" s="6">
        <v>1</v>
      </c>
    </row>
    <row r="84" spans="1:13" x14ac:dyDescent="0.3">
      <c r="A84" s="1" t="s">
        <v>7</v>
      </c>
      <c r="B84" t="s">
        <v>8</v>
      </c>
    </row>
    <row r="85" spans="1:13" x14ac:dyDescent="0.3">
      <c r="A85" s="1" t="s">
        <v>2</v>
      </c>
      <c r="B85" s="6" t="s">
        <v>777</v>
      </c>
    </row>
    <row r="86" spans="1:13" x14ac:dyDescent="0.3">
      <c r="A86" s="1" t="s">
        <v>9</v>
      </c>
    </row>
    <row r="87" spans="1:13" x14ac:dyDescent="0.3">
      <c r="A87" s="1" t="s">
        <v>10</v>
      </c>
      <c r="B87" s="1" t="s">
        <v>6</v>
      </c>
      <c r="C87" s="1" t="s">
        <v>3</v>
      </c>
      <c r="D87" s="1" t="s">
        <v>11</v>
      </c>
      <c r="E87" s="1" t="s">
        <v>7</v>
      </c>
      <c r="F87" s="1" t="s">
        <v>13</v>
      </c>
      <c r="G87" s="1" t="s">
        <v>12</v>
      </c>
      <c r="H87" s="1" t="s">
        <v>0</v>
      </c>
      <c r="I87" s="42" t="s">
        <v>656</v>
      </c>
      <c r="J87" s="42" t="s">
        <v>691</v>
      </c>
      <c r="K87" s="41" t="s">
        <v>2</v>
      </c>
    </row>
    <row r="88" spans="1:13" x14ac:dyDescent="0.3">
      <c r="A88" t="s">
        <v>388</v>
      </c>
      <c r="B88" t="s">
        <v>374</v>
      </c>
      <c r="C88" t="s">
        <v>18</v>
      </c>
      <c r="D88" s="38">
        <v>1</v>
      </c>
      <c r="E88" t="s">
        <v>8</v>
      </c>
      <c r="F88" t="s">
        <v>14</v>
      </c>
      <c r="H88" t="str">
        <f>Intro!$B$3</f>
        <v>LIB raw materials</v>
      </c>
    </row>
    <row r="89" spans="1:13" x14ac:dyDescent="0.3">
      <c r="A89" t="s">
        <v>376</v>
      </c>
      <c r="B89" t="s">
        <v>378</v>
      </c>
      <c r="C89" t="s">
        <v>18</v>
      </c>
      <c r="D89" s="38">
        <v>2.1</v>
      </c>
      <c r="E89" t="s">
        <v>8</v>
      </c>
      <c r="F89" t="s">
        <v>15</v>
      </c>
      <c r="H89" t="str">
        <f>Intro!$B$3</f>
        <v>LIB raw materials</v>
      </c>
      <c r="I89" s="6">
        <v>0</v>
      </c>
      <c r="J89" t="s">
        <v>776</v>
      </c>
    </row>
    <row r="90" spans="1:13" s="29" customFormat="1" x14ac:dyDescent="0.3">
      <c r="A90" s="29" t="s">
        <v>27</v>
      </c>
      <c r="B90" s="29" t="s">
        <v>29</v>
      </c>
      <c r="C90" s="29" t="s">
        <v>18</v>
      </c>
      <c r="D90" s="39">
        <v>0.63</v>
      </c>
      <c r="E90" s="29" t="s">
        <v>28</v>
      </c>
      <c r="F90" s="29" t="s">
        <v>15</v>
      </c>
      <c r="H90" s="29" t="str">
        <f>Intro!$B$4</f>
        <v>ecoinvent-3.10-cutoff</v>
      </c>
      <c r="I90" s="6">
        <v>0</v>
      </c>
      <c r="J90" t="s">
        <v>776</v>
      </c>
      <c r="M90"/>
    </row>
    <row r="91" spans="1:13" x14ac:dyDescent="0.3">
      <c r="A91" t="s">
        <v>168</v>
      </c>
      <c r="B91" t="s">
        <v>80</v>
      </c>
      <c r="C91" t="s">
        <v>18</v>
      </c>
      <c r="D91" s="38">
        <v>1.925</v>
      </c>
      <c r="E91" t="s">
        <v>30</v>
      </c>
      <c r="F91" t="s">
        <v>15</v>
      </c>
      <c r="H91" s="29" t="str">
        <f>Intro!$B$4</f>
        <v>ecoinvent-3.10-cutoff</v>
      </c>
      <c r="I91" s="6">
        <v>0</v>
      </c>
      <c r="J91" t="s">
        <v>776</v>
      </c>
      <c r="K91" s="29" t="s">
        <v>297</v>
      </c>
    </row>
    <row r="92" spans="1:13" s="29" customFormat="1" x14ac:dyDescent="0.3">
      <c r="A92" t="s">
        <v>273</v>
      </c>
      <c r="B92" t="s">
        <v>179</v>
      </c>
      <c r="C92" t="s">
        <v>24</v>
      </c>
      <c r="D92" s="38">
        <v>1.5400000000000003</v>
      </c>
      <c r="E92" t="s">
        <v>30</v>
      </c>
      <c r="F92" t="s">
        <v>15</v>
      </c>
      <c r="G92"/>
      <c r="H92" s="29" t="str">
        <f>Intro!$B$4</f>
        <v>ecoinvent-3.10-cutoff</v>
      </c>
      <c r="I92" s="6">
        <v>0</v>
      </c>
      <c r="J92" t="s">
        <v>776</v>
      </c>
      <c r="K92" s="29" t="s">
        <v>440</v>
      </c>
      <c r="L92"/>
      <c r="M92"/>
    </row>
    <row r="93" spans="1:13" s="29" customFormat="1" x14ac:dyDescent="0.3">
      <c r="A93" t="s">
        <v>274</v>
      </c>
      <c r="B93" t="s">
        <v>197</v>
      </c>
      <c r="C93" t="s">
        <v>24</v>
      </c>
      <c r="D93" s="38">
        <v>4.2000000000000006E-3</v>
      </c>
      <c r="E93" t="s">
        <v>30</v>
      </c>
      <c r="F93" t="s">
        <v>15</v>
      </c>
      <c r="G93"/>
      <c r="H93" s="29" t="str">
        <f>Intro!$B$4</f>
        <v>ecoinvent-3.10-cutoff</v>
      </c>
      <c r="I93" s="6">
        <v>0</v>
      </c>
      <c r="J93" t="s">
        <v>776</v>
      </c>
      <c r="K93" s="29" t="s">
        <v>467</v>
      </c>
      <c r="L93"/>
      <c r="M93"/>
    </row>
    <row r="94" spans="1:13" s="29" customFormat="1" x14ac:dyDescent="0.3">
      <c r="A94" t="s">
        <v>274</v>
      </c>
      <c r="B94" t="s">
        <v>197</v>
      </c>
      <c r="C94" t="s">
        <v>24</v>
      </c>
      <c r="D94" s="38">
        <v>1.085E-2</v>
      </c>
      <c r="E94" t="s">
        <v>30</v>
      </c>
      <c r="F94" t="s">
        <v>15</v>
      </c>
      <c r="G94"/>
      <c r="H94" s="29" t="str">
        <f>Intro!$B$4</f>
        <v>ecoinvent-3.10-cutoff</v>
      </c>
      <c r="I94" s="6">
        <v>0</v>
      </c>
      <c r="J94" t="s">
        <v>776</v>
      </c>
      <c r="K94" s="29" t="s">
        <v>425</v>
      </c>
      <c r="L94"/>
      <c r="M94"/>
    </row>
    <row r="95" spans="1:13" s="29" customFormat="1" x14ac:dyDescent="0.3">
      <c r="A95" s="29" t="s">
        <v>463</v>
      </c>
      <c r="B95" s="29" t="s">
        <v>464</v>
      </c>
      <c r="C95" s="29" t="s">
        <v>24</v>
      </c>
      <c r="D95" s="43">
        <v>5.7750000000000006E-3</v>
      </c>
      <c r="E95" s="29" t="s">
        <v>8</v>
      </c>
      <c r="F95" s="29" t="s">
        <v>15</v>
      </c>
      <c r="H95" s="29" t="str">
        <f>Intro!$B$4</f>
        <v>ecoinvent-3.10-cutoff</v>
      </c>
      <c r="I95" s="6">
        <v>0</v>
      </c>
      <c r="J95" t="s">
        <v>776</v>
      </c>
      <c r="M95"/>
    </row>
    <row r="96" spans="1:13" s="29" customFormat="1" x14ac:dyDescent="0.3">
      <c r="A96" s="29" t="s">
        <v>433</v>
      </c>
      <c r="B96" s="29" t="s">
        <v>468</v>
      </c>
      <c r="C96" s="29" t="s">
        <v>24</v>
      </c>
      <c r="D96" s="43">
        <v>7.5249999999999996E-3</v>
      </c>
      <c r="E96" s="29" t="s">
        <v>8</v>
      </c>
      <c r="F96" s="29" t="s">
        <v>15</v>
      </c>
      <c r="H96" s="29" t="str">
        <f>Intro!$B$4</f>
        <v>ecoinvent-3.10-cutoff</v>
      </c>
      <c r="I96" s="6">
        <v>0</v>
      </c>
      <c r="J96" t="s">
        <v>776</v>
      </c>
      <c r="M96"/>
    </row>
    <row r="97" spans="1:13" s="29" customFormat="1" x14ac:dyDescent="0.3">
      <c r="A97" s="29" t="s">
        <v>465</v>
      </c>
      <c r="B97" s="29" t="s">
        <v>466</v>
      </c>
      <c r="C97" s="29" t="s">
        <v>18</v>
      </c>
      <c r="D97" s="43">
        <v>1.3125000000000001E-3</v>
      </c>
      <c r="E97" s="29" t="s">
        <v>8</v>
      </c>
      <c r="F97" s="29" t="s">
        <v>15</v>
      </c>
      <c r="H97" s="29" t="str">
        <f>Intro!$B$4</f>
        <v>ecoinvent-3.10-cutoff</v>
      </c>
      <c r="I97" s="6">
        <v>0</v>
      </c>
      <c r="J97" t="s">
        <v>776</v>
      </c>
      <c r="M97"/>
    </row>
    <row r="98" spans="1:13" s="29" customFormat="1" x14ac:dyDescent="0.3">
      <c r="A98" t="s">
        <v>64</v>
      </c>
      <c r="B98" t="s">
        <v>65</v>
      </c>
      <c r="C98" t="s">
        <v>24</v>
      </c>
      <c r="D98" s="43">
        <v>2.8000000000000003E-4</v>
      </c>
      <c r="E98" s="29" t="s">
        <v>8</v>
      </c>
      <c r="F98" s="29" t="s">
        <v>15</v>
      </c>
      <c r="H98" s="29" t="str">
        <f>Intro!$B$4</f>
        <v>ecoinvent-3.10-cutoff</v>
      </c>
      <c r="I98" s="6">
        <v>0</v>
      </c>
      <c r="J98" t="s">
        <v>776</v>
      </c>
      <c r="M98"/>
    </row>
    <row r="99" spans="1:13" s="29" customFormat="1" x14ac:dyDescent="0.3">
      <c r="A99" s="29" t="s">
        <v>390</v>
      </c>
      <c r="B99" s="29" t="s">
        <v>389</v>
      </c>
      <c r="C99" s="29" t="s">
        <v>24</v>
      </c>
      <c r="D99" s="39">
        <v>2.73</v>
      </c>
      <c r="E99" s="29" t="s">
        <v>30</v>
      </c>
      <c r="F99" s="29" t="s">
        <v>15</v>
      </c>
      <c r="H99" s="29" t="str">
        <f>Intro!$B$4</f>
        <v>ecoinvent-3.10-cutoff</v>
      </c>
      <c r="I99" s="6">
        <v>0</v>
      </c>
      <c r="J99" t="s">
        <v>776</v>
      </c>
      <c r="K99" s="29" t="s">
        <v>453</v>
      </c>
      <c r="M99" s="45"/>
    </row>
    <row r="100" spans="1:13" s="29" customFormat="1" x14ac:dyDescent="0.3">
      <c r="A100" s="6" t="s">
        <v>456</v>
      </c>
      <c r="B100" s="6" t="s">
        <v>457</v>
      </c>
      <c r="C100" s="29" t="s">
        <v>24</v>
      </c>
      <c r="D100" s="43">
        <v>4.375E-5</v>
      </c>
      <c r="E100" s="29" t="s">
        <v>8</v>
      </c>
      <c r="F100" s="29" t="s">
        <v>15</v>
      </c>
      <c r="H100" t="str">
        <f>Intro!$B$3</f>
        <v>LIB raw materials</v>
      </c>
      <c r="I100" s="6">
        <v>0</v>
      </c>
      <c r="J100" t="s">
        <v>776</v>
      </c>
      <c r="K100" s="29" t="s">
        <v>459</v>
      </c>
    </row>
    <row r="101" spans="1:13" x14ac:dyDescent="0.3">
      <c r="A101" t="s">
        <v>125</v>
      </c>
      <c r="B101" t="s">
        <v>126</v>
      </c>
      <c r="C101" t="s">
        <v>18</v>
      </c>
      <c r="D101" s="38">
        <v>6.8250000000000005E-2</v>
      </c>
      <c r="E101" t="s">
        <v>8</v>
      </c>
      <c r="F101" t="s">
        <v>15</v>
      </c>
      <c r="H101" s="29" t="str">
        <f>Intro!$B$4</f>
        <v>ecoinvent-3.10-cutoff</v>
      </c>
      <c r="I101" s="6">
        <v>0</v>
      </c>
      <c r="J101" t="s">
        <v>776</v>
      </c>
      <c r="K101" s="29" t="s">
        <v>454</v>
      </c>
    </row>
    <row r="102" spans="1:13" x14ac:dyDescent="0.3">
      <c r="A102" t="s">
        <v>334</v>
      </c>
      <c r="B102" t="s">
        <v>292</v>
      </c>
      <c r="C102" t="s">
        <v>18</v>
      </c>
      <c r="D102" s="38">
        <v>5.4250000000000001E-4</v>
      </c>
      <c r="E102" t="s">
        <v>8</v>
      </c>
      <c r="F102" t="s">
        <v>15</v>
      </c>
      <c r="H102" s="29" t="str">
        <f>Intro!$B$4</f>
        <v>ecoinvent-3.10-cutoff</v>
      </c>
      <c r="I102" s="6">
        <v>0</v>
      </c>
      <c r="J102" t="s">
        <v>776</v>
      </c>
      <c r="K102" s="29" t="s">
        <v>455</v>
      </c>
    </row>
    <row r="103" spans="1:13" x14ac:dyDescent="0.3">
      <c r="A103" t="s">
        <v>335</v>
      </c>
      <c r="B103" t="s">
        <v>305</v>
      </c>
      <c r="C103" t="s">
        <v>24</v>
      </c>
      <c r="D103" s="38">
        <v>2.8000000000000004E-2</v>
      </c>
      <c r="E103" t="s">
        <v>8</v>
      </c>
      <c r="F103" t="s">
        <v>15</v>
      </c>
      <c r="H103" s="29" t="str">
        <f>Intro!$B$4</f>
        <v>ecoinvent-3.10-cutoff</v>
      </c>
      <c r="I103" s="6">
        <v>0</v>
      </c>
      <c r="J103" t="s">
        <v>776</v>
      </c>
    </row>
    <row r="104" spans="1:13" x14ac:dyDescent="0.3">
      <c r="A104" t="s">
        <v>280</v>
      </c>
      <c r="B104" t="s">
        <v>281</v>
      </c>
      <c r="C104" t="s">
        <v>24</v>
      </c>
      <c r="D104" s="38">
        <v>2.4499999999999996E-5</v>
      </c>
      <c r="E104" t="s">
        <v>8</v>
      </c>
      <c r="F104" t="s">
        <v>15</v>
      </c>
      <c r="H104" s="29" t="str">
        <f>Intro!$B$4</f>
        <v>ecoinvent-3.10-cutoff</v>
      </c>
      <c r="I104" s="6">
        <v>0</v>
      </c>
      <c r="J104" t="s">
        <v>776</v>
      </c>
    </row>
    <row r="105" spans="1:13" x14ac:dyDescent="0.3">
      <c r="A105" t="s">
        <v>336</v>
      </c>
      <c r="B105" t="s">
        <v>337</v>
      </c>
      <c r="C105" t="s">
        <v>18</v>
      </c>
      <c r="D105" s="38">
        <v>2.1000000000000002E-5</v>
      </c>
      <c r="E105" t="s">
        <v>8</v>
      </c>
      <c r="F105" t="s">
        <v>15</v>
      </c>
      <c r="H105" s="29" t="str">
        <f>Intro!$B$4</f>
        <v>ecoinvent-3.10-cutoff</v>
      </c>
      <c r="I105" s="6">
        <v>0</v>
      </c>
      <c r="J105" t="s">
        <v>776</v>
      </c>
      <c r="K105" s="29" t="s">
        <v>338</v>
      </c>
    </row>
    <row r="106" spans="1:13" x14ac:dyDescent="0.3">
      <c r="A106" t="s">
        <v>287</v>
      </c>
      <c r="B106" t="s">
        <v>288</v>
      </c>
      <c r="C106" t="s">
        <v>24</v>
      </c>
      <c r="D106" s="38">
        <v>4.2000000000000003E-2</v>
      </c>
      <c r="E106" t="s">
        <v>43</v>
      </c>
      <c r="F106" t="s">
        <v>15</v>
      </c>
      <c r="H106" s="29" t="str">
        <f>Intro!$B$4</f>
        <v>ecoinvent-3.10-cutoff</v>
      </c>
      <c r="I106" s="6">
        <v>0</v>
      </c>
      <c r="J106" t="s">
        <v>776</v>
      </c>
      <c r="K106" s="29" t="s">
        <v>339</v>
      </c>
    </row>
    <row r="107" spans="1:13" x14ac:dyDescent="0.3">
      <c r="A107" t="s">
        <v>340</v>
      </c>
      <c r="B107" t="s">
        <v>341</v>
      </c>
      <c r="C107" t="s">
        <v>18</v>
      </c>
      <c r="D107" s="38">
        <v>1.295E-5</v>
      </c>
      <c r="E107" t="s">
        <v>8</v>
      </c>
      <c r="F107" t="s">
        <v>15</v>
      </c>
      <c r="H107" s="29" t="str">
        <f>Intro!$B$4</f>
        <v>ecoinvent-3.10-cutoff</v>
      </c>
      <c r="I107" s="6">
        <v>0</v>
      </c>
      <c r="J107" t="s">
        <v>776</v>
      </c>
    </row>
    <row r="108" spans="1:13" x14ac:dyDescent="0.3">
      <c r="A108" t="s">
        <v>342</v>
      </c>
      <c r="B108" t="s">
        <v>343</v>
      </c>
      <c r="C108" t="s">
        <v>24</v>
      </c>
      <c r="D108" s="38">
        <v>0.1295</v>
      </c>
      <c r="E108" t="s">
        <v>8</v>
      </c>
      <c r="F108" t="s">
        <v>15</v>
      </c>
      <c r="H108" s="29" t="str">
        <f>Intro!$B$4</f>
        <v>ecoinvent-3.10-cutoff</v>
      </c>
      <c r="I108" s="6">
        <v>0</v>
      </c>
      <c r="J108" t="s">
        <v>776</v>
      </c>
      <c r="K108" s="29" t="s">
        <v>344</v>
      </c>
    </row>
    <row r="109" spans="1:13" x14ac:dyDescent="0.3">
      <c r="A109" t="s">
        <v>45</v>
      </c>
      <c r="B109" t="s">
        <v>46</v>
      </c>
      <c r="C109" t="s">
        <v>24</v>
      </c>
      <c r="D109" s="38">
        <v>3.3249999999999998E-3</v>
      </c>
      <c r="E109" t="s">
        <v>8</v>
      </c>
      <c r="F109" t="s">
        <v>15</v>
      </c>
      <c r="H109" s="29" t="str">
        <f>Intro!$B$4</f>
        <v>ecoinvent-3.10-cutoff</v>
      </c>
      <c r="I109" s="6">
        <v>0</v>
      </c>
      <c r="J109" t="s">
        <v>776</v>
      </c>
    </row>
    <row r="110" spans="1:13" x14ac:dyDescent="0.3">
      <c r="A110" t="s">
        <v>300</v>
      </c>
      <c r="B110" t="s">
        <v>301</v>
      </c>
      <c r="C110" t="s">
        <v>24</v>
      </c>
      <c r="D110" s="38">
        <v>7.525E-5</v>
      </c>
      <c r="E110" t="s">
        <v>8</v>
      </c>
      <c r="F110" t="s">
        <v>15</v>
      </c>
      <c r="H110" s="29" t="str">
        <f>Intro!$B$4</f>
        <v>ecoinvent-3.10-cutoff</v>
      </c>
      <c r="I110" s="6">
        <v>0</v>
      </c>
      <c r="J110" t="s">
        <v>776</v>
      </c>
    </row>
    <row r="111" spans="1:13" x14ac:dyDescent="0.3">
      <c r="A111" t="s">
        <v>302</v>
      </c>
      <c r="B111" t="s">
        <v>303</v>
      </c>
      <c r="C111" t="s">
        <v>24</v>
      </c>
      <c r="D111" s="38">
        <v>9.2750000000000005E-4</v>
      </c>
      <c r="E111" t="s">
        <v>8</v>
      </c>
      <c r="F111" t="s">
        <v>15</v>
      </c>
      <c r="H111" s="29" t="str">
        <f>Intro!$B$4</f>
        <v>ecoinvent-3.10-cutoff</v>
      </c>
      <c r="I111" s="6">
        <v>0</v>
      </c>
      <c r="J111" t="s">
        <v>776</v>
      </c>
    </row>
    <row r="112" spans="1:13" x14ac:dyDescent="0.3">
      <c r="A112" t="s">
        <v>345</v>
      </c>
      <c r="B112" t="s">
        <v>346</v>
      </c>
      <c r="C112" t="s">
        <v>18</v>
      </c>
      <c r="D112" s="38">
        <v>4.3750000000000004E-3</v>
      </c>
      <c r="E112" t="s">
        <v>8</v>
      </c>
      <c r="F112" t="s">
        <v>15</v>
      </c>
      <c r="H112" s="29" t="str">
        <f>Intro!$B$4</f>
        <v>ecoinvent-3.10-cutoff</v>
      </c>
      <c r="I112" s="6">
        <v>0</v>
      </c>
      <c r="J112" t="s">
        <v>776</v>
      </c>
      <c r="K112" s="29" t="s">
        <v>347</v>
      </c>
    </row>
    <row r="113" spans="1:11" x14ac:dyDescent="0.3">
      <c r="A113" t="s">
        <v>348</v>
      </c>
      <c r="B113" t="s">
        <v>349</v>
      </c>
      <c r="C113" t="s">
        <v>18</v>
      </c>
      <c r="D113" s="38">
        <v>0.10325000000000001</v>
      </c>
      <c r="E113" t="s">
        <v>8</v>
      </c>
      <c r="F113" t="s">
        <v>15</v>
      </c>
      <c r="H113" s="29" t="str">
        <f>Intro!$B$4</f>
        <v>ecoinvent-3.10-cutoff</v>
      </c>
      <c r="I113" s="6">
        <v>0</v>
      </c>
      <c r="J113" t="s">
        <v>776</v>
      </c>
      <c r="K113" s="29" t="s">
        <v>350</v>
      </c>
    </row>
    <row r="114" spans="1:11" x14ac:dyDescent="0.3">
      <c r="A114" t="s">
        <v>351</v>
      </c>
      <c r="B114" t="s">
        <v>352</v>
      </c>
      <c r="C114" t="s">
        <v>24</v>
      </c>
      <c r="D114" s="38">
        <v>9.2750000000000001E-6</v>
      </c>
      <c r="E114" t="s">
        <v>8</v>
      </c>
      <c r="F114" t="s">
        <v>15</v>
      </c>
      <c r="H114" s="29" t="str">
        <f>Intro!$B$4</f>
        <v>ecoinvent-3.10-cutoff</v>
      </c>
      <c r="I114" s="6">
        <v>0</v>
      </c>
      <c r="J114" t="s">
        <v>776</v>
      </c>
    </row>
    <row r="115" spans="1:11" x14ac:dyDescent="0.3">
      <c r="A115" t="s">
        <v>353</v>
      </c>
      <c r="B115" t="s">
        <v>385</v>
      </c>
      <c r="C115" t="s">
        <v>18</v>
      </c>
      <c r="D115" s="38">
        <v>9.2750000000000003E-3</v>
      </c>
      <c r="E115" t="s">
        <v>8</v>
      </c>
      <c r="F115" t="s">
        <v>15</v>
      </c>
      <c r="H115" s="29" t="str">
        <f>Intro!$B$4</f>
        <v>ecoinvent-3.10-cutoff</v>
      </c>
      <c r="I115" s="6">
        <v>0</v>
      </c>
      <c r="J115" t="s">
        <v>776</v>
      </c>
      <c r="K115" s="29" t="s">
        <v>354</v>
      </c>
    </row>
    <row r="116" spans="1:11" x14ac:dyDescent="0.3">
      <c r="A116" t="s">
        <v>135</v>
      </c>
      <c r="B116" t="s">
        <v>136</v>
      </c>
      <c r="C116" t="s">
        <v>24</v>
      </c>
      <c r="D116" s="38">
        <v>0.245</v>
      </c>
      <c r="E116" t="s">
        <v>8</v>
      </c>
      <c r="F116" t="s">
        <v>15</v>
      </c>
      <c r="H116" s="29" t="str">
        <f>Intro!$B$4</f>
        <v>ecoinvent-3.10-cutoff</v>
      </c>
      <c r="I116" s="6">
        <v>0</v>
      </c>
      <c r="J116" t="s">
        <v>776</v>
      </c>
    </row>
    <row r="117" spans="1:11" x14ac:dyDescent="0.3">
      <c r="A117" t="s">
        <v>306</v>
      </c>
      <c r="B117" t="s">
        <v>307</v>
      </c>
      <c r="C117" t="s">
        <v>24</v>
      </c>
      <c r="D117" s="37">
        <v>6.1249999999999998E-5</v>
      </c>
      <c r="E117" t="s">
        <v>8</v>
      </c>
      <c r="F117" t="s">
        <v>15</v>
      </c>
      <c r="H117" s="29" t="str">
        <f>Intro!$B$4</f>
        <v>ecoinvent-3.10-cutoff</v>
      </c>
      <c r="I117" s="6">
        <v>0</v>
      </c>
      <c r="J117" t="s">
        <v>776</v>
      </c>
      <c r="K117" s="29" t="s">
        <v>308</v>
      </c>
    </row>
    <row r="118" spans="1:11" x14ac:dyDescent="0.3">
      <c r="A118" t="s">
        <v>47</v>
      </c>
      <c r="B118" t="s">
        <v>48</v>
      </c>
      <c r="C118" t="s">
        <v>24</v>
      </c>
      <c r="D118" s="37">
        <v>1.925E-8</v>
      </c>
      <c r="E118" t="s">
        <v>8</v>
      </c>
      <c r="F118" t="s">
        <v>15</v>
      </c>
      <c r="H118" s="29" t="str">
        <f>Intro!$B$4</f>
        <v>ecoinvent-3.10-cutoff</v>
      </c>
      <c r="I118" s="6">
        <v>0</v>
      </c>
      <c r="J118" t="s">
        <v>776</v>
      </c>
    </row>
    <row r="119" spans="1:11" x14ac:dyDescent="0.3">
      <c r="A119" t="s">
        <v>32</v>
      </c>
      <c r="B119" t="s">
        <v>33</v>
      </c>
      <c r="C119" t="s">
        <v>24</v>
      </c>
      <c r="D119" s="37">
        <v>1.2600000000000001E-5</v>
      </c>
      <c r="E119" t="s">
        <v>8</v>
      </c>
      <c r="F119" t="s">
        <v>15</v>
      </c>
      <c r="H119" s="29" t="str">
        <f>Intro!$B$4</f>
        <v>ecoinvent-3.10-cutoff</v>
      </c>
      <c r="I119" s="6">
        <v>0</v>
      </c>
      <c r="J119" t="s">
        <v>776</v>
      </c>
    </row>
    <row r="120" spans="1:11" x14ac:dyDescent="0.3">
      <c r="A120" t="s">
        <v>312</v>
      </c>
      <c r="B120" t="s">
        <v>313</v>
      </c>
      <c r="C120" t="s">
        <v>24</v>
      </c>
      <c r="D120" s="37">
        <v>8.225E-6</v>
      </c>
      <c r="E120" t="s">
        <v>8</v>
      </c>
      <c r="F120" t="s">
        <v>15</v>
      </c>
      <c r="H120" s="29" t="str">
        <f>Intro!$B$4</f>
        <v>ecoinvent-3.10-cutoff</v>
      </c>
      <c r="I120" s="6">
        <v>0</v>
      </c>
      <c r="J120" t="s">
        <v>776</v>
      </c>
    </row>
    <row r="121" spans="1:11" x14ac:dyDescent="0.3">
      <c r="A121" t="s">
        <v>317</v>
      </c>
      <c r="B121" t="s">
        <v>318</v>
      </c>
      <c r="C121" t="s">
        <v>18</v>
      </c>
      <c r="D121" s="38">
        <v>3.3250000000000002E-2</v>
      </c>
      <c r="E121" t="s">
        <v>8</v>
      </c>
      <c r="F121" t="s">
        <v>15</v>
      </c>
      <c r="H121" s="29" t="str">
        <f>Intro!$B$4</f>
        <v>ecoinvent-3.10-cutoff</v>
      </c>
      <c r="I121" s="6">
        <v>0</v>
      </c>
      <c r="J121" t="s">
        <v>776</v>
      </c>
      <c r="K121" s="29" t="s">
        <v>319</v>
      </c>
    </row>
    <row r="122" spans="1:11" x14ac:dyDescent="0.3">
      <c r="A122" t="s">
        <v>165</v>
      </c>
      <c r="B122" t="s">
        <v>166</v>
      </c>
      <c r="C122" t="s">
        <v>24</v>
      </c>
      <c r="D122" s="38">
        <v>1.7500000000000002E-2</v>
      </c>
      <c r="E122" t="s">
        <v>8</v>
      </c>
      <c r="F122" t="s">
        <v>15</v>
      </c>
      <c r="H122" s="29" t="str">
        <f>Intro!$B$4</f>
        <v>ecoinvent-3.10-cutoff</v>
      </c>
      <c r="I122" s="6">
        <v>0</v>
      </c>
      <c r="J122" t="s">
        <v>776</v>
      </c>
    </row>
    <row r="123" spans="1:11" x14ac:dyDescent="0.3">
      <c r="A123" t="s">
        <v>123</v>
      </c>
      <c r="B123" t="s">
        <v>124</v>
      </c>
      <c r="C123" t="s">
        <v>24</v>
      </c>
      <c r="D123" s="38">
        <v>3.8500000000000001E-3</v>
      </c>
      <c r="E123" t="s">
        <v>8</v>
      </c>
      <c r="F123" t="s">
        <v>15</v>
      </c>
      <c r="H123" s="29" t="str">
        <f>Intro!$B$4</f>
        <v>ecoinvent-3.10-cutoff</v>
      </c>
      <c r="I123" s="6">
        <v>0</v>
      </c>
      <c r="J123" t="s">
        <v>776</v>
      </c>
    </row>
    <row r="124" spans="1:11" x14ac:dyDescent="0.3">
      <c r="A124" t="s">
        <v>167</v>
      </c>
      <c r="B124" t="s">
        <v>50</v>
      </c>
      <c r="C124" t="s">
        <v>18</v>
      </c>
      <c r="D124" s="38">
        <v>0.33250000000000002</v>
      </c>
      <c r="E124" t="s">
        <v>8</v>
      </c>
      <c r="F124" t="s">
        <v>15</v>
      </c>
      <c r="H124" s="29" t="str">
        <f>Intro!$B$4</f>
        <v>ecoinvent-3.10-cutoff</v>
      </c>
      <c r="I124" s="6">
        <v>0</v>
      </c>
      <c r="J124" t="s">
        <v>776</v>
      </c>
      <c r="K124" s="29" t="s">
        <v>329</v>
      </c>
    </row>
    <row r="125" spans="1:11" x14ac:dyDescent="0.3">
      <c r="A125" t="s">
        <v>358</v>
      </c>
      <c r="B125" t="s">
        <v>359</v>
      </c>
      <c r="C125" t="s">
        <v>24</v>
      </c>
      <c r="D125" s="38">
        <v>3.8500000000000001E-3</v>
      </c>
      <c r="E125" t="s">
        <v>8</v>
      </c>
      <c r="F125" t="s">
        <v>15</v>
      </c>
      <c r="H125" s="29" t="str">
        <f>Intro!$B$4</f>
        <v>ecoinvent-3.10-cutoff</v>
      </c>
      <c r="I125" s="6">
        <v>0</v>
      </c>
      <c r="J125" t="s">
        <v>776</v>
      </c>
      <c r="K125" s="29" t="s">
        <v>316</v>
      </c>
    </row>
    <row r="126" spans="1:11" x14ac:dyDescent="0.3">
      <c r="A126" t="s">
        <v>148</v>
      </c>
      <c r="B126" t="s">
        <v>149</v>
      </c>
      <c r="C126" t="s">
        <v>24</v>
      </c>
      <c r="D126" s="37">
        <v>-8.225E-6</v>
      </c>
      <c r="E126" t="s">
        <v>8</v>
      </c>
      <c r="F126" t="s">
        <v>15</v>
      </c>
      <c r="H126" s="29" t="str">
        <f>Intro!$B$4</f>
        <v>ecoinvent-3.10-cutoff</v>
      </c>
      <c r="I126" s="6">
        <v>0</v>
      </c>
      <c r="J126" t="s">
        <v>776</v>
      </c>
      <c r="K126" s="29" t="s">
        <v>295</v>
      </c>
    </row>
    <row r="127" spans="1:11" x14ac:dyDescent="0.3">
      <c r="A127" t="s">
        <v>355</v>
      </c>
      <c r="B127" t="s">
        <v>356</v>
      </c>
      <c r="C127" t="s">
        <v>24</v>
      </c>
      <c r="D127" s="38">
        <v>-2.1000000000000001E-2</v>
      </c>
      <c r="E127" t="s">
        <v>8</v>
      </c>
      <c r="F127" t="s">
        <v>15</v>
      </c>
      <c r="H127" s="29" t="str">
        <f>Intro!$B$4</f>
        <v>ecoinvent-3.10-cutoff</v>
      </c>
      <c r="I127" s="6">
        <v>0</v>
      </c>
      <c r="J127" t="s">
        <v>776</v>
      </c>
      <c r="K127" s="29" t="s">
        <v>357</v>
      </c>
    </row>
    <row r="128" spans="1:11" x14ac:dyDescent="0.3">
      <c r="A128" t="s">
        <v>360</v>
      </c>
      <c r="B128" t="s">
        <v>361</v>
      </c>
      <c r="C128" t="s">
        <v>24</v>
      </c>
      <c r="D128" s="38">
        <v>-3.5</v>
      </c>
      <c r="E128" t="s">
        <v>8</v>
      </c>
      <c r="F128" t="s">
        <v>15</v>
      </c>
      <c r="H128" s="29" t="str">
        <f>Intro!$B$4</f>
        <v>ecoinvent-3.10-cutoff</v>
      </c>
      <c r="I128" s="6">
        <v>0</v>
      </c>
      <c r="J128" t="s">
        <v>776</v>
      </c>
    </row>
    <row r="129" spans="1:13" x14ac:dyDescent="0.3">
      <c r="A129" t="s">
        <v>417</v>
      </c>
      <c r="B129" t="s">
        <v>416</v>
      </c>
      <c r="C129" t="s">
        <v>18</v>
      </c>
      <c r="D129" s="38">
        <v>-0.6825</v>
      </c>
      <c r="E129" t="s">
        <v>8</v>
      </c>
      <c r="F129" t="s">
        <v>15</v>
      </c>
      <c r="H129" t="str">
        <f>Intro!$B$3</f>
        <v>LIB raw materials</v>
      </c>
      <c r="I129" s="6">
        <v>0</v>
      </c>
      <c r="J129" t="s">
        <v>776</v>
      </c>
      <c r="K129" s="29" t="s">
        <v>460</v>
      </c>
    </row>
    <row r="130" spans="1:13" s="29" customFormat="1" x14ac:dyDescent="0.3">
      <c r="A130" s="29" t="s">
        <v>37</v>
      </c>
      <c r="D130" s="39">
        <v>0.56000000000000005</v>
      </c>
      <c r="E130" s="29" t="s">
        <v>8</v>
      </c>
      <c r="F130" s="29" t="s">
        <v>39</v>
      </c>
      <c r="G130" s="29" t="s">
        <v>38</v>
      </c>
      <c r="H130" s="29" t="str">
        <f>Intro!$B$5</f>
        <v>ecoinvent-3.10-biosphere</v>
      </c>
      <c r="I130" s="6">
        <v>0</v>
      </c>
      <c r="J130" t="s">
        <v>776</v>
      </c>
      <c r="K130" s="29" t="s">
        <v>461</v>
      </c>
    </row>
    <row r="131" spans="1:13" x14ac:dyDescent="0.3">
      <c r="A131" t="s">
        <v>76</v>
      </c>
      <c r="B131" s="34"/>
      <c r="D131" s="37">
        <v>5.9500000000000004E-4</v>
      </c>
      <c r="E131" t="s">
        <v>8</v>
      </c>
      <c r="F131" t="s">
        <v>39</v>
      </c>
      <c r="G131" t="s">
        <v>38</v>
      </c>
      <c r="H131" t="str">
        <f>Intro!$B$5</f>
        <v>ecoinvent-3.10-biosphere</v>
      </c>
      <c r="I131" s="6">
        <v>0</v>
      </c>
      <c r="J131" t="s">
        <v>776</v>
      </c>
    </row>
    <row r="132" spans="1:13" x14ac:dyDescent="0.3">
      <c r="A132" t="s">
        <v>77</v>
      </c>
      <c r="D132" s="37">
        <v>3.8500000000000001E-5</v>
      </c>
      <c r="E132" t="s">
        <v>8</v>
      </c>
      <c r="F132" t="s">
        <v>39</v>
      </c>
      <c r="G132" t="s">
        <v>38</v>
      </c>
      <c r="H132" t="str">
        <f>Intro!$B$5</f>
        <v>ecoinvent-3.10-biosphere</v>
      </c>
      <c r="I132" s="6">
        <v>0</v>
      </c>
      <c r="J132" t="s">
        <v>776</v>
      </c>
    </row>
    <row r="133" spans="1:13" x14ac:dyDescent="0.3">
      <c r="A133" t="s">
        <v>182</v>
      </c>
      <c r="D133" s="37">
        <v>2.9750000000000001E-5</v>
      </c>
      <c r="E133" t="s">
        <v>8</v>
      </c>
      <c r="F133" t="s">
        <v>39</v>
      </c>
      <c r="G133" t="s">
        <v>38</v>
      </c>
      <c r="H133" t="str">
        <f>Intro!$B$5</f>
        <v>ecoinvent-3.10-biosphere</v>
      </c>
      <c r="I133" s="6">
        <v>0</v>
      </c>
      <c r="J133" t="s">
        <v>776</v>
      </c>
    </row>
    <row r="134" spans="1:13" x14ac:dyDescent="0.3">
      <c r="A134" t="s">
        <v>74</v>
      </c>
      <c r="D134" s="37">
        <v>1.3125000000000001E-3</v>
      </c>
      <c r="E134" t="s">
        <v>8</v>
      </c>
      <c r="F134" t="s">
        <v>39</v>
      </c>
      <c r="G134" t="s">
        <v>38</v>
      </c>
      <c r="H134" t="str">
        <f>Intro!$B$5</f>
        <v>ecoinvent-3.10-biosphere</v>
      </c>
      <c r="I134" s="6">
        <v>0</v>
      </c>
      <c r="J134" t="s">
        <v>776</v>
      </c>
    </row>
    <row r="135" spans="1:13" x14ac:dyDescent="0.3">
      <c r="A135" t="s">
        <v>74</v>
      </c>
      <c r="D135" s="37">
        <v>3.3250000000000002E-5</v>
      </c>
      <c r="E135" t="s">
        <v>8</v>
      </c>
      <c r="F135" t="s">
        <v>39</v>
      </c>
      <c r="G135" t="s">
        <v>38</v>
      </c>
      <c r="H135" t="str">
        <f>Intro!$B$5</f>
        <v>ecoinvent-3.10-biosphere</v>
      </c>
      <c r="I135" s="6">
        <v>0</v>
      </c>
      <c r="J135" t="s">
        <v>776</v>
      </c>
      <c r="K135" s="29" t="s">
        <v>451</v>
      </c>
    </row>
    <row r="136" spans="1:13" x14ac:dyDescent="0.3">
      <c r="A136" t="s">
        <v>176</v>
      </c>
      <c r="D136" s="37">
        <v>4.2000000000000004E-6</v>
      </c>
      <c r="E136" t="s">
        <v>8</v>
      </c>
      <c r="F136" t="s">
        <v>39</v>
      </c>
      <c r="G136" t="s">
        <v>38</v>
      </c>
      <c r="H136" t="str">
        <f>Intro!$B$5</f>
        <v>ecoinvent-3.10-biosphere</v>
      </c>
      <c r="I136" s="6">
        <v>0</v>
      </c>
      <c r="J136" t="s">
        <v>776</v>
      </c>
    </row>
    <row r="137" spans="1:13" x14ac:dyDescent="0.3">
      <c r="A137" t="s">
        <v>175</v>
      </c>
      <c r="D137" s="37">
        <v>6.6500000000000001E-4</v>
      </c>
      <c r="E137" t="s">
        <v>8</v>
      </c>
      <c r="F137" t="s">
        <v>39</v>
      </c>
      <c r="G137" t="s">
        <v>38</v>
      </c>
      <c r="H137" t="str">
        <f>Intro!$B$5</f>
        <v>ecoinvent-3.10-biosphere</v>
      </c>
      <c r="I137" s="6">
        <v>0</v>
      </c>
      <c r="J137" t="s">
        <v>776</v>
      </c>
    </row>
    <row r="138" spans="1:13" x14ac:dyDescent="0.3">
      <c r="A138" t="s">
        <v>128</v>
      </c>
      <c r="D138" s="37">
        <v>0.15750000000000003</v>
      </c>
      <c r="E138" t="s">
        <v>8</v>
      </c>
      <c r="F138" t="s">
        <v>39</v>
      </c>
      <c r="G138" t="s">
        <v>38</v>
      </c>
      <c r="H138" t="str">
        <f>Intro!$B$5</f>
        <v>ecoinvent-3.10-biosphere</v>
      </c>
      <c r="I138" s="6">
        <v>0</v>
      </c>
      <c r="J138" t="s">
        <v>776</v>
      </c>
      <c r="K138" s="29" t="s">
        <v>452</v>
      </c>
    </row>
    <row r="139" spans="1:13" x14ac:dyDescent="0.3">
      <c r="A139" t="s">
        <v>363</v>
      </c>
      <c r="D139" s="37">
        <v>1.6975000000000001E-6</v>
      </c>
      <c r="E139" t="s">
        <v>8</v>
      </c>
      <c r="F139" t="s">
        <v>39</v>
      </c>
      <c r="G139" t="s">
        <v>38</v>
      </c>
      <c r="H139" t="str">
        <f>Intro!$B$5</f>
        <v>ecoinvent-3.10-biosphere</v>
      </c>
      <c r="I139" s="6">
        <v>0</v>
      </c>
      <c r="J139" t="s">
        <v>776</v>
      </c>
    </row>
    <row r="140" spans="1:13" x14ac:dyDescent="0.3">
      <c r="A140" t="s">
        <v>330</v>
      </c>
      <c r="D140" s="37">
        <v>1.0675000000000001E-3</v>
      </c>
      <c r="E140" t="s">
        <v>8</v>
      </c>
      <c r="F140" t="s">
        <v>39</v>
      </c>
      <c r="G140" t="s">
        <v>38</v>
      </c>
      <c r="H140" t="str">
        <f>Intro!$B$5</f>
        <v>ecoinvent-3.10-biosphere</v>
      </c>
      <c r="I140" s="6">
        <v>0</v>
      </c>
      <c r="J140" t="s">
        <v>776</v>
      </c>
    </row>
    <row r="141" spans="1:13" x14ac:dyDescent="0.3">
      <c r="A141" t="s">
        <v>330</v>
      </c>
      <c r="D141" s="37">
        <v>0.4375</v>
      </c>
      <c r="E141" t="s">
        <v>8</v>
      </c>
      <c r="F141" t="s">
        <v>39</v>
      </c>
      <c r="G141" t="s">
        <v>364</v>
      </c>
      <c r="H141" t="str">
        <f>Intro!$B$5</f>
        <v>ecoinvent-3.10-biosphere</v>
      </c>
      <c r="I141" s="6">
        <v>0</v>
      </c>
      <c r="J141" t="s">
        <v>776</v>
      </c>
    </row>
    <row r="142" spans="1:13" x14ac:dyDescent="0.3">
      <c r="A142" t="s">
        <v>391</v>
      </c>
      <c r="D142" s="37">
        <v>9.0999999999999994E-8</v>
      </c>
      <c r="E142" t="s">
        <v>8</v>
      </c>
      <c r="F142" t="s">
        <v>39</v>
      </c>
      <c r="G142" t="s">
        <v>38</v>
      </c>
      <c r="H142" t="str">
        <f>Intro!$B$5</f>
        <v>ecoinvent-3.10-biosphere</v>
      </c>
      <c r="I142" s="6">
        <v>0</v>
      </c>
      <c r="J142" t="s">
        <v>776</v>
      </c>
      <c r="M142" s="40"/>
    </row>
    <row r="143" spans="1:13" x14ac:dyDescent="0.3">
      <c r="A143" t="s">
        <v>392</v>
      </c>
      <c r="D143" s="37">
        <v>1.5225E-6</v>
      </c>
      <c r="E143" t="s">
        <v>8</v>
      </c>
      <c r="F143" t="s">
        <v>39</v>
      </c>
      <c r="G143" t="s">
        <v>38</v>
      </c>
      <c r="H143" t="str">
        <f>Intro!$B$5</f>
        <v>ecoinvent-3.10-biosphere</v>
      </c>
      <c r="I143" s="6">
        <v>0</v>
      </c>
      <c r="J143" t="s">
        <v>776</v>
      </c>
      <c r="M143" s="40"/>
    </row>
    <row r="144" spans="1:13" x14ac:dyDescent="0.3">
      <c r="A144" t="s">
        <v>393</v>
      </c>
      <c r="D144" s="37">
        <v>4.1999999999999995E-7</v>
      </c>
      <c r="E144" t="s">
        <v>8</v>
      </c>
      <c r="F144" t="s">
        <v>39</v>
      </c>
      <c r="G144" t="s">
        <v>38</v>
      </c>
      <c r="H144" t="str">
        <f>Intro!$B$5</f>
        <v>ecoinvent-3.10-biosphere</v>
      </c>
      <c r="I144" s="6">
        <v>0</v>
      </c>
      <c r="J144" t="s">
        <v>776</v>
      </c>
      <c r="M144" s="40"/>
    </row>
    <row r="145" spans="1:45" x14ac:dyDescent="0.3">
      <c r="A145" t="s">
        <v>394</v>
      </c>
      <c r="D145" s="37">
        <v>2.0999999999999997E-7</v>
      </c>
      <c r="E145" t="s">
        <v>8</v>
      </c>
      <c r="F145" t="s">
        <v>39</v>
      </c>
      <c r="G145" t="s">
        <v>38</v>
      </c>
      <c r="H145" t="str">
        <f>Intro!$B$5</f>
        <v>ecoinvent-3.10-biosphere</v>
      </c>
      <c r="I145" s="6">
        <v>0</v>
      </c>
      <c r="J145" t="s">
        <v>776</v>
      </c>
      <c r="M145" s="40"/>
    </row>
    <row r="146" spans="1:45" x14ac:dyDescent="0.3">
      <c r="A146" t="s">
        <v>395</v>
      </c>
      <c r="D146" s="37">
        <v>1.5574999999999999E-6</v>
      </c>
      <c r="E146" t="s">
        <v>8</v>
      </c>
      <c r="F146" t="s">
        <v>39</v>
      </c>
      <c r="G146" t="s">
        <v>38</v>
      </c>
      <c r="H146" t="str">
        <f>Intro!$B$5</f>
        <v>ecoinvent-3.10-biosphere</v>
      </c>
      <c r="I146" s="6">
        <v>0</v>
      </c>
      <c r="J146" t="s">
        <v>776</v>
      </c>
      <c r="M146" s="40"/>
    </row>
    <row r="147" spans="1:45" x14ac:dyDescent="0.3">
      <c r="A147" t="s">
        <v>396</v>
      </c>
      <c r="D147" s="37">
        <v>1.7325000000000001E-5</v>
      </c>
      <c r="E147" t="s">
        <v>8</v>
      </c>
      <c r="F147" t="s">
        <v>39</v>
      </c>
      <c r="G147" t="s">
        <v>38</v>
      </c>
      <c r="H147" t="str">
        <f>Intro!$B$5</f>
        <v>ecoinvent-3.10-biosphere</v>
      </c>
      <c r="I147" s="6">
        <v>0</v>
      </c>
      <c r="J147" t="s">
        <v>776</v>
      </c>
      <c r="M147" s="40"/>
    </row>
    <row r="148" spans="1:45" x14ac:dyDescent="0.3">
      <c r="A148" t="s">
        <v>362</v>
      </c>
      <c r="D148" s="37">
        <v>5.4250000000000006E-6</v>
      </c>
      <c r="E148" t="s">
        <v>8</v>
      </c>
      <c r="F148" t="s">
        <v>39</v>
      </c>
      <c r="G148" t="s">
        <v>38</v>
      </c>
      <c r="H148" t="str">
        <f>Intro!$B$5</f>
        <v>ecoinvent-3.10-biosphere</v>
      </c>
      <c r="I148" s="6">
        <v>0</v>
      </c>
      <c r="J148" t="s">
        <v>776</v>
      </c>
    </row>
    <row r="149" spans="1:45" x14ac:dyDescent="0.3">
      <c r="A149" t="s">
        <v>398</v>
      </c>
      <c r="D149" s="37">
        <v>1.19E-5</v>
      </c>
      <c r="E149" t="s">
        <v>8</v>
      </c>
      <c r="F149" t="s">
        <v>39</v>
      </c>
      <c r="G149" t="s">
        <v>38</v>
      </c>
      <c r="H149" t="str">
        <f>Intro!$B$5</f>
        <v>ecoinvent-3.10-biosphere</v>
      </c>
      <c r="I149" s="6">
        <v>0</v>
      </c>
      <c r="J149" t="s">
        <v>776</v>
      </c>
      <c r="M149" s="40"/>
    </row>
    <row r="150" spans="1:45" x14ac:dyDescent="0.3">
      <c r="A150" t="s">
        <v>399</v>
      </c>
      <c r="D150" s="37">
        <v>8.7500000000000009E-7</v>
      </c>
      <c r="E150" t="s">
        <v>8</v>
      </c>
      <c r="F150" t="s">
        <v>39</v>
      </c>
      <c r="G150" t="s">
        <v>38</v>
      </c>
      <c r="H150" t="str">
        <f>Intro!$B$5</f>
        <v>ecoinvent-3.10-biosphere</v>
      </c>
      <c r="I150" s="6">
        <v>0</v>
      </c>
      <c r="J150" t="s">
        <v>776</v>
      </c>
      <c r="M150" s="40"/>
    </row>
    <row r="151" spans="1:45" x14ac:dyDescent="0.3">
      <c r="A151" t="s">
        <v>400</v>
      </c>
      <c r="D151" s="37">
        <v>1.2775000000000002E-7</v>
      </c>
      <c r="E151" t="s">
        <v>8</v>
      </c>
      <c r="F151" t="s">
        <v>39</v>
      </c>
      <c r="G151" t="s">
        <v>38</v>
      </c>
      <c r="H151" t="str">
        <f>Intro!$B$5</f>
        <v>ecoinvent-3.10-biosphere</v>
      </c>
      <c r="I151" s="6">
        <v>0</v>
      </c>
      <c r="J151" t="s">
        <v>776</v>
      </c>
      <c r="M151" s="40"/>
    </row>
    <row r="152" spans="1:45" x14ac:dyDescent="0.3">
      <c r="A152" t="s">
        <v>401</v>
      </c>
      <c r="D152" s="37">
        <v>3.15E-5</v>
      </c>
      <c r="E152" t="s">
        <v>8</v>
      </c>
      <c r="F152" t="s">
        <v>39</v>
      </c>
      <c r="G152" t="s">
        <v>38</v>
      </c>
      <c r="H152" t="str">
        <f>Intro!$B$5</f>
        <v>ecoinvent-3.10-biosphere</v>
      </c>
      <c r="I152" s="6">
        <v>0</v>
      </c>
      <c r="J152" t="s">
        <v>776</v>
      </c>
    </row>
    <row r="153" spans="1:45" x14ac:dyDescent="0.3">
      <c r="A153" t="s">
        <v>402</v>
      </c>
      <c r="D153" s="37">
        <v>3.1500000000000003E-6</v>
      </c>
      <c r="E153" t="s">
        <v>8</v>
      </c>
      <c r="F153" t="s">
        <v>39</v>
      </c>
      <c r="G153" t="s">
        <v>38</v>
      </c>
      <c r="H153" t="str">
        <f>Intro!$B$5</f>
        <v>ecoinvent-3.10-biosphere</v>
      </c>
      <c r="I153" s="6">
        <v>0</v>
      </c>
      <c r="J153" t="s">
        <v>776</v>
      </c>
    </row>
    <row r="154" spans="1:45" x14ac:dyDescent="0.3">
      <c r="A154" t="s">
        <v>54</v>
      </c>
      <c r="D154" s="37">
        <v>2.4500000000000004E-3</v>
      </c>
      <c r="E154" t="s">
        <v>43</v>
      </c>
      <c r="F154" t="s">
        <v>39</v>
      </c>
      <c r="G154" t="s">
        <v>154</v>
      </c>
      <c r="H154" t="str">
        <f>Intro!$B$5</f>
        <v>ecoinvent-3.10-biosphere</v>
      </c>
      <c r="I154" s="6">
        <v>0</v>
      </c>
      <c r="J154" t="s">
        <v>776</v>
      </c>
    </row>
    <row r="155" spans="1:45" x14ac:dyDescent="0.3">
      <c r="A155" t="s">
        <v>54</v>
      </c>
      <c r="D155" s="37">
        <v>6.8250000000000006E-4</v>
      </c>
      <c r="E155" t="s">
        <v>43</v>
      </c>
      <c r="F155" t="s">
        <v>39</v>
      </c>
      <c r="G155" t="s">
        <v>38</v>
      </c>
      <c r="H155" t="str">
        <f>Intro!$B$5</f>
        <v>ecoinvent-3.10-biosphere</v>
      </c>
      <c r="I155" s="6">
        <v>0</v>
      </c>
      <c r="J155" t="s">
        <v>776</v>
      </c>
    </row>
    <row r="156" spans="1:45" x14ac:dyDescent="0.3">
      <c r="A156" t="s">
        <v>332</v>
      </c>
      <c r="D156" s="37">
        <v>1.3825000000000001E-5</v>
      </c>
      <c r="E156" t="s">
        <v>43</v>
      </c>
      <c r="F156" t="s">
        <v>39</v>
      </c>
      <c r="G156" t="s">
        <v>333</v>
      </c>
      <c r="H156" t="str">
        <f>Intro!$B$5</f>
        <v>ecoinvent-3.10-biosphere</v>
      </c>
      <c r="I156" s="6">
        <v>0</v>
      </c>
      <c r="J156" t="s">
        <v>776</v>
      </c>
    </row>
    <row r="157" spans="1:45" x14ac:dyDescent="0.3">
      <c r="A157" t="s">
        <v>365</v>
      </c>
      <c r="D157" s="37">
        <v>4.8999999999999998E-4</v>
      </c>
      <c r="E157" t="s">
        <v>43</v>
      </c>
      <c r="F157" t="s">
        <v>39</v>
      </c>
      <c r="G157" t="s">
        <v>153</v>
      </c>
      <c r="H157" t="str">
        <f>Intro!$B$5</f>
        <v>ecoinvent-3.10-biosphere</v>
      </c>
      <c r="I157" s="6">
        <v>0</v>
      </c>
      <c r="J157" t="s">
        <v>776</v>
      </c>
    </row>
    <row r="158" spans="1:45" x14ac:dyDescent="0.3">
      <c r="A158" t="s">
        <v>172</v>
      </c>
      <c r="D158" s="37">
        <v>2.6250000000000002E-3</v>
      </c>
      <c r="E158" t="s">
        <v>43</v>
      </c>
      <c r="F158" t="s">
        <v>39</v>
      </c>
      <c r="G158" t="s">
        <v>153</v>
      </c>
      <c r="H158" t="str">
        <f>Intro!$B$5</f>
        <v>ecoinvent-3.10-biosphere</v>
      </c>
      <c r="I158" s="6">
        <v>0</v>
      </c>
      <c r="J158" t="s">
        <v>776</v>
      </c>
    </row>
    <row r="159" spans="1:45" x14ac:dyDescent="0.3">
      <c r="A159" t="s">
        <v>83</v>
      </c>
      <c r="D159" s="37">
        <v>2.0999999999999998E-4</v>
      </c>
      <c r="E159" t="s">
        <v>43</v>
      </c>
      <c r="F159" t="s">
        <v>39</v>
      </c>
      <c r="G159" t="s">
        <v>78</v>
      </c>
      <c r="H159" t="str">
        <f>Intro!$B$5</f>
        <v>ecoinvent-3.10-biosphere</v>
      </c>
      <c r="I159" s="6">
        <v>0</v>
      </c>
      <c r="J159" t="s">
        <v>776</v>
      </c>
    </row>
    <row r="160" spans="1:45" ht="14.25" customHeight="1" x14ac:dyDescent="0.3">
      <c r="A160" s="35"/>
      <c r="B160" s="35"/>
      <c r="C160" s="35"/>
      <c r="D160" s="35"/>
      <c r="E160" s="35"/>
      <c r="F160" s="35"/>
      <c r="G160" s="35"/>
      <c r="H160" s="35"/>
      <c r="I160" s="35"/>
      <c r="J160" s="35"/>
      <c r="K160" s="4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row>
    <row r="161" spans="1:13" x14ac:dyDescent="0.3">
      <c r="A161" s="1" t="s">
        <v>1</v>
      </c>
      <c r="B161" s="5" t="s">
        <v>376</v>
      </c>
    </row>
    <row r="162" spans="1:13" x14ac:dyDescent="0.3">
      <c r="A162" s="1" t="s">
        <v>6</v>
      </c>
      <c r="B162" s="6" t="s">
        <v>378</v>
      </c>
    </row>
    <row r="163" spans="1:13" x14ac:dyDescent="0.3">
      <c r="A163" s="1" t="s">
        <v>3</v>
      </c>
      <c r="B163" s="6" t="s">
        <v>18</v>
      </c>
    </row>
    <row r="164" spans="1:13" x14ac:dyDescent="0.3">
      <c r="A164" s="1" t="s">
        <v>5</v>
      </c>
      <c r="B164" s="6">
        <v>1</v>
      </c>
    </row>
    <row r="165" spans="1:13" x14ac:dyDescent="0.3">
      <c r="A165" s="1" t="s">
        <v>7</v>
      </c>
      <c r="B165" t="s">
        <v>8</v>
      </c>
    </row>
    <row r="166" spans="1:13" x14ac:dyDescent="0.3">
      <c r="A166" s="1" t="s">
        <v>2</v>
      </c>
      <c r="B166" s="6" t="s">
        <v>777</v>
      </c>
    </row>
    <row r="167" spans="1:13" x14ac:dyDescent="0.3">
      <c r="A167" s="1" t="s">
        <v>9</v>
      </c>
    </row>
    <row r="168" spans="1:13" x14ac:dyDescent="0.3">
      <c r="A168" s="1" t="s">
        <v>10</v>
      </c>
      <c r="B168" s="1" t="s">
        <v>6</v>
      </c>
      <c r="C168" s="1" t="s">
        <v>3</v>
      </c>
      <c r="D168" s="1" t="s">
        <v>11</v>
      </c>
      <c r="E168" s="1" t="s">
        <v>7</v>
      </c>
      <c r="F168" s="1" t="s">
        <v>13</v>
      </c>
      <c r="G168" s="1" t="s">
        <v>12</v>
      </c>
      <c r="H168" s="1" t="s">
        <v>0</v>
      </c>
      <c r="I168" s="42" t="s">
        <v>656</v>
      </c>
      <c r="J168" s="42" t="s">
        <v>691</v>
      </c>
      <c r="K168" s="41" t="s">
        <v>2</v>
      </c>
    </row>
    <row r="169" spans="1:13" x14ac:dyDescent="0.3">
      <c r="A169" t="s">
        <v>376</v>
      </c>
      <c r="B169" t="s">
        <v>378</v>
      </c>
      <c r="C169" t="s">
        <v>18</v>
      </c>
      <c r="D169" s="38">
        <v>1</v>
      </c>
      <c r="E169" t="s">
        <v>8</v>
      </c>
      <c r="F169" t="s">
        <v>14</v>
      </c>
      <c r="H169" t="str">
        <f>Intro!$B$3</f>
        <v>LIB raw materials</v>
      </c>
    </row>
    <row r="170" spans="1:13" x14ac:dyDescent="0.3">
      <c r="A170" t="s">
        <v>377</v>
      </c>
      <c r="B170" t="s">
        <v>375</v>
      </c>
      <c r="C170" t="s">
        <v>18</v>
      </c>
      <c r="D170" s="38">
        <v>2.75</v>
      </c>
      <c r="E170" t="s">
        <v>8</v>
      </c>
      <c r="F170" t="s">
        <v>15</v>
      </c>
      <c r="H170" t="str">
        <f>Intro!$B$3</f>
        <v>LIB raw materials</v>
      </c>
      <c r="I170" s="6">
        <v>0</v>
      </c>
      <c r="J170" t="s">
        <v>776</v>
      </c>
    </row>
    <row r="171" spans="1:13" s="29" customFormat="1" x14ac:dyDescent="0.3">
      <c r="A171" s="29" t="s">
        <v>27</v>
      </c>
      <c r="B171" s="29" t="s">
        <v>29</v>
      </c>
      <c r="C171" s="29" t="s">
        <v>18</v>
      </c>
      <c r="D171" s="39">
        <v>0.12083333333333333</v>
      </c>
      <c r="E171" s="29" t="s">
        <v>28</v>
      </c>
      <c r="F171" s="29" t="s">
        <v>15</v>
      </c>
      <c r="H171" s="29" t="str">
        <f>Intro!$B$4</f>
        <v>ecoinvent-3.10-cutoff</v>
      </c>
      <c r="I171" s="6">
        <v>0</v>
      </c>
      <c r="J171" t="s">
        <v>776</v>
      </c>
      <c r="M171"/>
    </row>
    <row r="172" spans="1:13" x14ac:dyDescent="0.3">
      <c r="A172" t="s">
        <v>296</v>
      </c>
      <c r="B172" t="s">
        <v>80</v>
      </c>
      <c r="C172" t="s">
        <v>24</v>
      </c>
      <c r="D172" s="38">
        <v>0.11666666666666665</v>
      </c>
      <c r="E172" t="s">
        <v>30</v>
      </c>
      <c r="F172" t="s">
        <v>15</v>
      </c>
      <c r="H172" s="29" t="str">
        <f>Intro!$B$4</f>
        <v>ecoinvent-3.10-cutoff</v>
      </c>
      <c r="I172" s="6">
        <v>0</v>
      </c>
      <c r="J172" t="s">
        <v>776</v>
      </c>
      <c r="K172" s="29" t="s">
        <v>438</v>
      </c>
    </row>
    <row r="173" spans="1:13" x14ac:dyDescent="0.3">
      <c r="A173" t="s">
        <v>271</v>
      </c>
      <c r="B173" t="s">
        <v>179</v>
      </c>
      <c r="C173" t="s">
        <v>24</v>
      </c>
      <c r="D173" s="38">
        <v>4.6666666666666669E-2</v>
      </c>
      <c r="E173" t="s">
        <v>30</v>
      </c>
      <c r="F173" t="s">
        <v>15</v>
      </c>
      <c r="H173" s="29" t="str">
        <f>Intro!$B$4</f>
        <v>ecoinvent-3.10-cutoff</v>
      </c>
      <c r="I173" s="6">
        <v>0</v>
      </c>
      <c r="J173" t="s">
        <v>776</v>
      </c>
      <c r="K173" s="29" t="s">
        <v>439</v>
      </c>
    </row>
    <row r="174" spans="1:13" x14ac:dyDescent="0.3">
      <c r="A174" t="s">
        <v>273</v>
      </c>
      <c r="B174" t="s">
        <v>179</v>
      </c>
      <c r="C174" t="s">
        <v>24</v>
      </c>
      <c r="D174" s="37">
        <v>0.01</v>
      </c>
      <c r="E174" t="s">
        <v>30</v>
      </c>
      <c r="F174" t="s">
        <v>15</v>
      </c>
      <c r="H174" s="29" t="str">
        <f>Intro!$B$4</f>
        <v>ecoinvent-3.10-cutoff</v>
      </c>
      <c r="I174" s="6">
        <v>0</v>
      </c>
      <c r="J174" t="s">
        <v>776</v>
      </c>
      <c r="K174" s="29" t="s">
        <v>440</v>
      </c>
    </row>
    <row r="175" spans="1:13" x14ac:dyDescent="0.3">
      <c r="A175" t="s">
        <v>274</v>
      </c>
      <c r="B175" t="s">
        <v>197</v>
      </c>
      <c r="C175" t="s">
        <v>24</v>
      </c>
      <c r="D175" s="37">
        <v>1.2500000000000001E-6</v>
      </c>
      <c r="E175" t="s">
        <v>30</v>
      </c>
      <c r="F175" t="s">
        <v>15</v>
      </c>
      <c r="H175" s="29" t="str">
        <f>Intro!$B$4</f>
        <v>ecoinvent-3.10-cutoff</v>
      </c>
      <c r="I175" s="6">
        <v>0</v>
      </c>
      <c r="J175" t="s">
        <v>776</v>
      </c>
      <c r="K175" s="29" t="s">
        <v>425</v>
      </c>
    </row>
    <row r="176" spans="1:13" x14ac:dyDescent="0.3">
      <c r="A176" t="s">
        <v>64</v>
      </c>
      <c r="B176" t="s">
        <v>65</v>
      </c>
      <c r="C176" t="s">
        <v>24</v>
      </c>
      <c r="D176" s="37">
        <v>3.5916666666666665E-4</v>
      </c>
      <c r="E176" t="s">
        <v>8</v>
      </c>
      <c r="F176" t="s">
        <v>15</v>
      </c>
      <c r="H176" t="str">
        <f>Intro!$B$4</f>
        <v>ecoinvent-3.10-cutoff</v>
      </c>
      <c r="I176" s="6">
        <v>0</v>
      </c>
      <c r="J176" t="s">
        <v>776</v>
      </c>
      <c r="K176" s="29" t="s">
        <v>65</v>
      </c>
    </row>
    <row r="177" spans="1:11" x14ac:dyDescent="0.3">
      <c r="A177" s="27" t="s">
        <v>433</v>
      </c>
      <c r="B177" s="29" t="s">
        <v>468</v>
      </c>
      <c r="C177" s="29" t="s">
        <v>24</v>
      </c>
      <c r="D177" s="37">
        <v>7.2249999999999996E-7</v>
      </c>
      <c r="E177" s="29" t="s">
        <v>8</v>
      </c>
      <c r="F177" s="29" t="s">
        <v>15</v>
      </c>
      <c r="G177" s="27"/>
      <c r="H177" t="str">
        <f>Intro!$B$4</f>
        <v>ecoinvent-3.10-cutoff</v>
      </c>
      <c r="I177" s="6">
        <v>0</v>
      </c>
      <c r="J177" t="s">
        <v>776</v>
      </c>
      <c r="K177" s="29" t="s">
        <v>434</v>
      </c>
    </row>
    <row r="178" spans="1:11" x14ac:dyDescent="0.3">
      <c r="A178" t="s">
        <v>277</v>
      </c>
      <c r="B178" t="s">
        <v>278</v>
      </c>
      <c r="C178" t="s">
        <v>24</v>
      </c>
      <c r="D178" s="37">
        <v>1.1666666666666668E-3</v>
      </c>
      <c r="E178" t="s">
        <v>8</v>
      </c>
      <c r="F178" t="s">
        <v>15</v>
      </c>
      <c r="H178" s="29" t="str">
        <f>Intro!$B$4</f>
        <v>ecoinvent-3.10-cutoff</v>
      </c>
      <c r="I178" s="6">
        <v>0</v>
      </c>
      <c r="J178" t="s">
        <v>776</v>
      </c>
      <c r="K178" s="29" t="s">
        <v>441</v>
      </c>
    </row>
    <row r="179" spans="1:11" x14ac:dyDescent="0.3">
      <c r="A179" t="s">
        <v>351</v>
      </c>
      <c r="B179" t="s">
        <v>352</v>
      </c>
      <c r="C179" t="s">
        <v>24</v>
      </c>
      <c r="D179" s="37">
        <v>3.6083333333333335E-8</v>
      </c>
      <c r="E179" t="s">
        <v>8</v>
      </c>
      <c r="F179" t="s">
        <v>15</v>
      </c>
      <c r="H179" s="29" t="str">
        <f>Intro!$B$4</f>
        <v>ecoinvent-3.10-cutoff</v>
      </c>
      <c r="I179" s="6">
        <v>0</v>
      </c>
      <c r="J179" t="s">
        <v>776</v>
      </c>
      <c r="K179" s="29" t="s">
        <v>445</v>
      </c>
    </row>
    <row r="180" spans="1:11" x14ac:dyDescent="0.3">
      <c r="A180" t="s">
        <v>304</v>
      </c>
      <c r="B180" t="s">
        <v>305</v>
      </c>
      <c r="C180" t="s">
        <v>24</v>
      </c>
      <c r="D180" s="37">
        <v>1.0833333333333333E-3</v>
      </c>
      <c r="E180" t="s">
        <v>8</v>
      </c>
      <c r="F180" t="s">
        <v>15</v>
      </c>
      <c r="H180" s="29" t="str">
        <f>Intro!$B$4</f>
        <v>ecoinvent-3.10-cutoff</v>
      </c>
      <c r="I180" s="6">
        <v>0</v>
      </c>
      <c r="J180" t="s">
        <v>776</v>
      </c>
      <c r="K180" s="29" t="s">
        <v>446</v>
      </c>
    </row>
    <row r="181" spans="1:11" x14ac:dyDescent="0.3">
      <c r="A181" t="s">
        <v>47</v>
      </c>
      <c r="B181" t="s">
        <v>48</v>
      </c>
      <c r="C181" t="s">
        <v>24</v>
      </c>
      <c r="D181" s="37">
        <v>3.491666666666667E-6</v>
      </c>
      <c r="E181" t="s">
        <v>8</v>
      </c>
      <c r="F181" t="s">
        <v>15</v>
      </c>
      <c r="H181" s="29" t="str">
        <f>Intro!$B$4</f>
        <v>ecoinvent-3.10-cutoff</v>
      </c>
      <c r="I181" s="6">
        <v>0</v>
      </c>
      <c r="J181" t="s">
        <v>776</v>
      </c>
    </row>
    <row r="182" spans="1:11" x14ac:dyDescent="0.3">
      <c r="A182" t="s">
        <v>165</v>
      </c>
      <c r="B182" t="s">
        <v>166</v>
      </c>
      <c r="C182" t="s">
        <v>24</v>
      </c>
      <c r="D182" s="37">
        <v>5.8666666666666665E-4</v>
      </c>
      <c r="E182" t="s">
        <v>8</v>
      </c>
      <c r="F182" t="s">
        <v>15</v>
      </c>
      <c r="H182" s="29" t="str">
        <f>Intro!$B$4</f>
        <v>ecoinvent-3.10-cutoff</v>
      </c>
      <c r="I182" s="6">
        <v>0</v>
      </c>
      <c r="J182" t="s">
        <v>776</v>
      </c>
      <c r="K182" s="29" t="s">
        <v>447</v>
      </c>
    </row>
    <row r="183" spans="1:11" x14ac:dyDescent="0.3">
      <c r="A183" t="s">
        <v>322</v>
      </c>
      <c r="B183" t="s">
        <v>323</v>
      </c>
      <c r="C183" t="s">
        <v>18</v>
      </c>
      <c r="D183" s="37">
        <v>1.1666666666666668E-3</v>
      </c>
      <c r="E183" t="s">
        <v>8</v>
      </c>
      <c r="F183" t="s">
        <v>15</v>
      </c>
      <c r="H183" s="29" t="str">
        <f>Intro!$B$4</f>
        <v>ecoinvent-3.10-cutoff</v>
      </c>
      <c r="I183" s="6">
        <v>0</v>
      </c>
      <c r="J183" t="s">
        <v>776</v>
      </c>
      <c r="K183" s="29" t="s">
        <v>449</v>
      </c>
    </row>
    <row r="184" spans="1:11" x14ac:dyDescent="0.3">
      <c r="A184" t="s">
        <v>324</v>
      </c>
      <c r="B184" t="s">
        <v>325</v>
      </c>
      <c r="C184" t="s">
        <v>18</v>
      </c>
      <c r="D184" s="37">
        <v>6.2583333333333333E-6</v>
      </c>
      <c r="E184" t="s">
        <v>8</v>
      </c>
      <c r="F184" t="s">
        <v>15</v>
      </c>
      <c r="H184" s="29" t="str">
        <f>Intro!$B$4</f>
        <v>ecoinvent-3.10-cutoff</v>
      </c>
      <c r="I184" s="6">
        <v>0</v>
      </c>
      <c r="J184" t="s">
        <v>776</v>
      </c>
      <c r="K184" s="29" t="s">
        <v>448</v>
      </c>
    </row>
    <row r="185" spans="1:11" x14ac:dyDescent="0.3">
      <c r="A185" t="s">
        <v>133</v>
      </c>
      <c r="B185" t="s">
        <v>134</v>
      </c>
      <c r="C185" t="s">
        <v>24</v>
      </c>
      <c r="D185" s="37">
        <v>1.1083333333333335E-5</v>
      </c>
      <c r="E185" t="s">
        <v>8</v>
      </c>
      <c r="F185" t="s">
        <v>15</v>
      </c>
      <c r="H185" s="29" t="str">
        <f>Intro!$B$4</f>
        <v>ecoinvent-3.10-cutoff</v>
      </c>
      <c r="I185" s="6">
        <v>0</v>
      </c>
      <c r="J185" t="s">
        <v>776</v>
      </c>
    </row>
    <row r="186" spans="1:11" x14ac:dyDescent="0.3">
      <c r="A186" t="s">
        <v>306</v>
      </c>
      <c r="B186" t="s">
        <v>307</v>
      </c>
      <c r="C186" t="s">
        <v>24</v>
      </c>
      <c r="D186" s="37">
        <v>3.4749999999999998E-5</v>
      </c>
      <c r="E186" t="s">
        <v>8</v>
      </c>
      <c r="F186" t="s">
        <v>15</v>
      </c>
      <c r="H186" s="29" t="str">
        <f>Intro!$B$4</f>
        <v>ecoinvent-3.10-cutoff</v>
      </c>
      <c r="I186" s="6">
        <v>0</v>
      </c>
      <c r="J186" t="s">
        <v>776</v>
      </c>
      <c r="K186" s="29" t="s">
        <v>428</v>
      </c>
    </row>
    <row r="187" spans="1:11" x14ac:dyDescent="0.3">
      <c r="A187" t="s">
        <v>199</v>
      </c>
      <c r="B187" t="s">
        <v>198</v>
      </c>
      <c r="C187" t="s">
        <v>24</v>
      </c>
      <c r="D187" s="37">
        <v>1.9166666666666666E-3</v>
      </c>
      <c r="E187" t="s">
        <v>8</v>
      </c>
      <c r="F187" t="s">
        <v>15</v>
      </c>
      <c r="H187" s="29" t="str">
        <f>Intro!$B$4</f>
        <v>ecoinvent-3.10-cutoff</v>
      </c>
      <c r="I187" s="6">
        <v>0</v>
      </c>
      <c r="J187" t="s">
        <v>776</v>
      </c>
      <c r="K187" s="29" t="s">
        <v>442</v>
      </c>
    </row>
    <row r="188" spans="1:11" x14ac:dyDescent="0.3">
      <c r="A188" t="s">
        <v>314</v>
      </c>
      <c r="B188" t="s">
        <v>315</v>
      </c>
      <c r="C188" t="s">
        <v>24</v>
      </c>
      <c r="D188" s="37">
        <v>0.133333333333333</v>
      </c>
      <c r="E188" t="s">
        <v>8</v>
      </c>
      <c r="F188" t="s">
        <v>15</v>
      </c>
      <c r="H188" s="29" t="str">
        <f>Intro!$B$4</f>
        <v>ecoinvent-3.10-cutoff</v>
      </c>
      <c r="I188" s="6">
        <v>0</v>
      </c>
      <c r="J188" t="s">
        <v>776</v>
      </c>
      <c r="K188" s="29" t="s">
        <v>429</v>
      </c>
    </row>
    <row r="189" spans="1:11" x14ac:dyDescent="0.3">
      <c r="A189" t="s">
        <v>282</v>
      </c>
      <c r="B189" t="s">
        <v>283</v>
      </c>
      <c r="C189" t="s">
        <v>24</v>
      </c>
      <c r="D189" s="37">
        <v>-5.5666666666666701E-5</v>
      </c>
      <c r="E189" t="s">
        <v>8</v>
      </c>
      <c r="F189" t="s">
        <v>15</v>
      </c>
      <c r="H189" s="29" t="str">
        <f>Intro!$B$4</f>
        <v>ecoinvent-3.10-cutoff</v>
      </c>
      <c r="I189" s="6">
        <v>0</v>
      </c>
      <c r="J189" t="s">
        <v>776</v>
      </c>
      <c r="K189" s="29" t="s">
        <v>430</v>
      </c>
    </row>
    <row r="190" spans="1:11" x14ac:dyDescent="0.3">
      <c r="A190" t="s">
        <v>148</v>
      </c>
      <c r="B190" t="s">
        <v>149</v>
      </c>
      <c r="C190" t="s">
        <v>24</v>
      </c>
      <c r="D190" s="37">
        <v>-6.1999999999999999E-8</v>
      </c>
      <c r="E190" t="s">
        <v>8</v>
      </c>
      <c r="F190" t="s">
        <v>15</v>
      </c>
      <c r="H190" s="29" t="str">
        <f>Intro!$B$4</f>
        <v>ecoinvent-3.10-cutoff</v>
      </c>
      <c r="I190" s="6">
        <v>0</v>
      </c>
      <c r="J190" t="s">
        <v>776</v>
      </c>
      <c r="K190" s="29" t="s">
        <v>431</v>
      </c>
    </row>
    <row r="191" spans="1:11" x14ac:dyDescent="0.3">
      <c r="A191" t="s">
        <v>366</v>
      </c>
      <c r="B191" t="s">
        <v>367</v>
      </c>
      <c r="C191" t="s">
        <v>18</v>
      </c>
      <c r="D191" s="37">
        <v>-1.8333333333333299</v>
      </c>
      <c r="E191" t="s">
        <v>8</v>
      </c>
      <c r="F191" t="s">
        <v>15</v>
      </c>
      <c r="H191" s="29" t="str">
        <f>Intro!$B$4</f>
        <v>ecoinvent-3.10-cutoff</v>
      </c>
      <c r="I191" s="6">
        <v>0</v>
      </c>
      <c r="J191" t="s">
        <v>776</v>
      </c>
      <c r="K191" s="29" t="s">
        <v>443</v>
      </c>
    </row>
    <row r="192" spans="1:11" s="29" customFormat="1" x14ac:dyDescent="0.3">
      <c r="A192" s="29" t="s">
        <v>37</v>
      </c>
      <c r="D192" s="43">
        <v>7.6666666666666662E-3</v>
      </c>
      <c r="E192" s="29" t="s">
        <v>8</v>
      </c>
      <c r="F192" s="29" t="s">
        <v>39</v>
      </c>
      <c r="G192" s="29" t="s">
        <v>38</v>
      </c>
      <c r="H192" s="29" t="str">
        <f>Intro!$B$5</f>
        <v>ecoinvent-3.10-biosphere</v>
      </c>
      <c r="I192" s="6">
        <v>0</v>
      </c>
      <c r="J192" t="s">
        <v>776</v>
      </c>
      <c r="K192" s="29" t="s">
        <v>450</v>
      </c>
    </row>
    <row r="193" spans="1:37" s="29" customFormat="1" x14ac:dyDescent="0.3">
      <c r="A193" s="29" t="s">
        <v>76</v>
      </c>
      <c r="D193" s="43">
        <v>1.5500000000000002E-6</v>
      </c>
      <c r="E193" s="29" t="s">
        <v>8</v>
      </c>
      <c r="F193" s="29" t="s">
        <v>39</v>
      </c>
      <c r="G193" s="29" t="s">
        <v>38</v>
      </c>
      <c r="H193" s="29" t="str">
        <f>Intro!$B$5</f>
        <v>ecoinvent-3.10-biosphere</v>
      </c>
      <c r="I193" s="6">
        <v>0</v>
      </c>
      <c r="J193" t="s">
        <v>776</v>
      </c>
      <c r="K193" s="29" t="s">
        <v>450</v>
      </c>
    </row>
    <row r="194" spans="1:37" s="29" customFormat="1" x14ac:dyDescent="0.3">
      <c r="A194" s="29" t="s">
        <v>77</v>
      </c>
      <c r="D194" s="43">
        <v>6.3666666666666668E-7</v>
      </c>
      <c r="E194" s="29" t="s">
        <v>8</v>
      </c>
      <c r="F194" s="29" t="s">
        <v>39</v>
      </c>
      <c r="G194" s="29" t="s">
        <v>38</v>
      </c>
      <c r="H194" s="29" t="str">
        <f>Intro!$B$5</f>
        <v>ecoinvent-3.10-biosphere</v>
      </c>
      <c r="I194" s="6">
        <v>0</v>
      </c>
      <c r="J194" t="s">
        <v>776</v>
      </c>
      <c r="K194" s="29" t="s">
        <v>450</v>
      </c>
    </row>
    <row r="195" spans="1:37" s="29" customFormat="1" x14ac:dyDescent="0.3">
      <c r="A195" s="29" t="s">
        <v>182</v>
      </c>
      <c r="D195" s="43">
        <v>4.3083333333333332E-7</v>
      </c>
      <c r="E195" s="29" t="s">
        <v>8</v>
      </c>
      <c r="F195" s="29" t="s">
        <v>39</v>
      </c>
      <c r="G195" s="29" t="s">
        <v>38</v>
      </c>
      <c r="H195" s="29" t="str">
        <f>Intro!$B$5</f>
        <v>ecoinvent-3.10-biosphere</v>
      </c>
      <c r="I195" s="6">
        <v>0</v>
      </c>
      <c r="J195" t="s">
        <v>776</v>
      </c>
    </row>
    <row r="196" spans="1:37" x14ac:dyDescent="0.3">
      <c r="A196" t="s">
        <v>74</v>
      </c>
      <c r="D196" s="37">
        <v>1.0333333333333333E-5</v>
      </c>
      <c r="E196" t="s">
        <v>8</v>
      </c>
      <c r="F196" t="s">
        <v>39</v>
      </c>
      <c r="G196" t="s">
        <v>38</v>
      </c>
      <c r="H196" t="str">
        <f>Intro!$B$5</f>
        <v>ecoinvent-3.10-biosphere</v>
      </c>
      <c r="I196" s="6">
        <v>0</v>
      </c>
      <c r="J196" t="s">
        <v>776</v>
      </c>
    </row>
    <row r="197" spans="1:37" x14ac:dyDescent="0.3">
      <c r="A197" t="s">
        <v>174</v>
      </c>
      <c r="D197" s="37">
        <v>3.2166666666666665E-5</v>
      </c>
      <c r="E197" t="s">
        <v>8</v>
      </c>
      <c r="F197" t="s">
        <v>39</v>
      </c>
      <c r="G197" t="s">
        <v>38</v>
      </c>
      <c r="H197" t="str">
        <f>Intro!$B$5</f>
        <v>ecoinvent-3.10-biosphere</v>
      </c>
      <c r="I197" s="6">
        <v>0</v>
      </c>
      <c r="J197" t="s">
        <v>776</v>
      </c>
      <c r="K197" s="29" t="s">
        <v>444</v>
      </c>
    </row>
    <row r="198" spans="1:37" x14ac:dyDescent="0.3">
      <c r="A198" t="s">
        <v>176</v>
      </c>
      <c r="D198" s="37">
        <v>9.0833333333333335E-7</v>
      </c>
      <c r="E198" t="s">
        <v>8</v>
      </c>
      <c r="F198" t="s">
        <v>39</v>
      </c>
      <c r="G198" t="s">
        <v>38</v>
      </c>
      <c r="H198" t="str">
        <f>Intro!$B$5</f>
        <v>ecoinvent-3.10-biosphere</v>
      </c>
      <c r="I198" s="6">
        <v>0</v>
      </c>
      <c r="J198" t="s">
        <v>776</v>
      </c>
    </row>
    <row r="199" spans="1:37" x14ac:dyDescent="0.3">
      <c r="A199" t="s">
        <v>175</v>
      </c>
      <c r="D199" s="37">
        <v>3.0583333333333335E-7</v>
      </c>
      <c r="E199" t="s">
        <v>8</v>
      </c>
      <c r="F199" t="s">
        <v>39</v>
      </c>
      <c r="G199" t="s">
        <v>38</v>
      </c>
      <c r="H199" t="str">
        <f>Intro!$B$5</f>
        <v>ecoinvent-3.10-biosphere</v>
      </c>
      <c r="I199" s="6">
        <v>0</v>
      </c>
      <c r="J199" t="s">
        <v>776</v>
      </c>
    </row>
    <row r="200" spans="1:37" x14ac:dyDescent="0.3">
      <c r="A200" t="s">
        <v>128</v>
      </c>
      <c r="D200" s="37">
        <v>9.5833333333333336E-6</v>
      </c>
      <c r="E200" t="s">
        <v>8</v>
      </c>
      <c r="F200" t="s">
        <v>39</v>
      </c>
      <c r="G200" t="s">
        <v>38</v>
      </c>
      <c r="H200" t="str">
        <f>Intro!$B$5</f>
        <v>ecoinvent-3.10-biosphere</v>
      </c>
      <c r="I200" s="6">
        <v>0</v>
      </c>
      <c r="J200" t="s">
        <v>776</v>
      </c>
    </row>
    <row r="201" spans="1:37" x14ac:dyDescent="0.3">
      <c r="A201" t="s">
        <v>54</v>
      </c>
      <c r="D201" s="37">
        <v>2.525E-6</v>
      </c>
      <c r="E201" t="s">
        <v>43</v>
      </c>
      <c r="F201" t="s">
        <v>39</v>
      </c>
      <c r="G201" t="s">
        <v>38</v>
      </c>
      <c r="H201" t="str">
        <f>Intro!$B$5</f>
        <v>ecoinvent-3.10-biosphere</v>
      </c>
      <c r="I201" s="6">
        <v>0</v>
      </c>
      <c r="J201" t="s">
        <v>776</v>
      </c>
    </row>
    <row r="202" spans="1:37" x14ac:dyDescent="0.3">
      <c r="A202" s="35"/>
      <c r="B202" s="35"/>
      <c r="C202" s="35"/>
      <c r="D202" s="35"/>
      <c r="E202" s="35"/>
      <c r="F202" s="35"/>
      <c r="G202" s="35"/>
      <c r="H202" s="35"/>
      <c r="I202" s="35"/>
      <c r="J202" s="35"/>
      <c r="K202" s="4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row>
    <row r="203" spans="1:37" x14ac:dyDescent="0.3">
      <c r="A203" s="1" t="s">
        <v>1</v>
      </c>
      <c r="B203" s="5" t="s">
        <v>377</v>
      </c>
    </row>
    <row r="204" spans="1:37" x14ac:dyDescent="0.3">
      <c r="A204" s="1" t="s">
        <v>6</v>
      </c>
      <c r="B204" s="6" t="s">
        <v>375</v>
      </c>
    </row>
    <row r="205" spans="1:37" x14ac:dyDescent="0.3">
      <c r="A205" s="1" t="s">
        <v>3</v>
      </c>
      <c r="B205" s="6" t="s">
        <v>18</v>
      </c>
    </row>
    <row r="206" spans="1:37" x14ac:dyDescent="0.3">
      <c r="A206" s="1" t="s">
        <v>5</v>
      </c>
      <c r="B206" s="6">
        <v>1</v>
      </c>
    </row>
    <row r="207" spans="1:37" x14ac:dyDescent="0.3">
      <c r="A207" s="1" t="s">
        <v>7</v>
      </c>
      <c r="B207" t="s">
        <v>8</v>
      </c>
    </row>
    <row r="208" spans="1:37" x14ac:dyDescent="0.3">
      <c r="A208" s="1" t="s">
        <v>2</v>
      </c>
      <c r="B208" s="6" t="s">
        <v>777</v>
      </c>
    </row>
    <row r="209" spans="1:13" x14ac:dyDescent="0.3">
      <c r="A209" s="1" t="s">
        <v>9</v>
      </c>
    </row>
    <row r="210" spans="1:13" x14ac:dyDescent="0.3">
      <c r="A210" s="1" t="s">
        <v>10</v>
      </c>
      <c r="B210" s="1" t="s">
        <v>6</v>
      </c>
      <c r="C210" s="1" t="s">
        <v>3</v>
      </c>
      <c r="D210" s="1" t="s">
        <v>11</v>
      </c>
      <c r="E210" s="1" t="s">
        <v>7</v>
      </c>
      <c r="F210" s="1" t="s">
        <v>13</v>
      </c>
      <c r="G210" s="1" t="s">
        <v>12</v>
      </c>
      <c r="H210" s="1" t="s">
        <v>0</v>
      </c>
      <c r="I210" s="42" t="s">
        <v>656</v>
      </c>
      <c r="J210" s="42" t="s">
        <v>691</v>
      </c>
      <c r="K210" s="41" t="s">
        <v>2</v>
      </c>
    </row>
    <row r="211" spans="1:13" x14ac:dyDescent="0.3">
      <c r="A211" t="s">
        <v>377</v>
      </c>
      <c r="B211" t="s">
        <v>375</v>
      </c>
      <c r="C211" t="s">
        <v>18</v>
      </c>
      <c r="D211" s="38">
        <v>1</v>
      </c>
      <c r="E211" t="s">
        <v>8</v>
      </c>
      <c r="F211" t="s">
        <v>14</v>
      </c>
      <c r="H211" t="str">
        <f>Intro!$B$3</f>
        <v>LIB raw materials</v>
      </c>
      <c r="I211" s="6"/>
    </row>
    <row r="212" spans="1:13" s="29" customFormat="1" x14ac:dyDescent="0.3">
      <c r="A212" s="29" t="s">
        <v>27</v>
      </c>
      <c r="B212" s="29" t="s">
        <v>29</v>
      </c>
      <c r="C212" s="29" t="s">
        <v>18</v>
      </c>
      <c r="D212" s="39">
        <v>2.3030303030303029E-2</v>
      </c>
      <c r="E212" s="29" t="s">
        <v>28</v>
      </c>
      <c r="F212" s="29" t="s">
        <v>15</v>
      </c>
      <c r="H212" s="29" t="str">
        <f>Intro!$B$4</f>
        <v>ecoinvent-3.10-cutoff</v>
      </c>
      <c r="I212" s="6">
        <v>0</v>
      </c>
      <c r="J212" t="s">
        <v>776</v>
      </c>
      <c r="K212" s="29" t="s">
        <v>424</v>
      </c>
      <c r="M212"/>
    </row>
    <row r="213" spans="1:13" x14ac:dyDescent="0.3">
      <c r="A213" t="s">
        <v>274</v>
      </c>
      <c r="B213" t="s">
        <v>197</v>
      </c>
      <c r="C213" t="s">
        <v>24</v>
      </c>
      <c r="D213" s="37">
        <v>1.6484848484848485E-6</v>
      </c>
      <c r="E213" t="s">
        <v>30</v>
      </c>
      <c r="F213" t="s">
        <v>15</v>
      </c>
      <c r="H213" t="str">
        <f>Intro!$B$4</f>
        <v>ecoinvent-3.10-cutoff</v>
      </c>
      <c r="I213" s="6">
        <v>0</v>
      </c>
      <c r="J213" t="s">
        <v>776</v>
      </c>
      <c r="K213" s="29" t="s">
        <v>425</v>
      </c>
    </row>
    <row r="214" spans="1:13" x14ac:dyDescent="0.3">
      <c r="A214" t="s">
        <v>287</v>
      </c>
      <c r="B214" t="s">
        <v>288</v>
      </c>
      <c r="C214" t="s">
        <v>24</v>
      </c>
      <c r="D214" s="37">
        <v>1.3393939393939395E-5</v>
      </c>
      <c r="E214" t="s">
        <v>43</v>
      </c>
      <c r="F214" t="s">
        <v>15</v>
      </c>
      <c r="H214" t="str">
        <f>Intro!$B$4</f>
        <v>ecoinvent-3.10-cutoff</v>
      </c>
      <c r="I214" s="6">
        <v>0</v>
      </c>
      <c r="J214" t="s">
        <v>776</v>
      </c>
      <c r="K214" s="29" t="s">
        <v>426</v>
      </c>
    </row>
    <row r="215" spans="1:13" x14ac:dyDescent="0.3">
      <c r="A215" t="s">
        <v>64</v>
      </c>
      <c r="B215" t="s">
        <v>65</v>
      </c>
      <c r="C215" t="s">
        <v>24</v>
      </c>
      <c r="D215" s="40">
        <v>1.6363636363636363E-3</v>
      </c>
      <c r="E215" t="s">
        <v>8</v>
      </c>
      <c r="F215" t="s">
        <v>15</v>
      </c>
      <c r="H215" t="str">
        <f>Intro!$B$4</f>
        <v>ecoinvent-3.10-cutoff</v>
      </c>
      <c r="I215" s="6">
        <v>0</v>
      </c>
      <c r="J215" t="s">
        <v>776</v>
      </c>
      <c r="K215" s="29" t="s">
        <v>65</v>
      </c>
    </row>
    <row r="216" spans="1:13" x14ac:dyDescent="0.3">
      <c r="A216" s="27" t="s">
        <v>433</v>
      </c>
      <c r="B216" s="29" t="s">
        <v>468</v>
      </c>
      <c r="C216" s="29" t="s">
        <v>24</v>
      </c>
      <c r="D216" s="37">
        <v>5.0000000000000008E-7</v>
      </c>
      <c r="E216" s="29" t="s">
        <v>8</v>
      </c>
      <c r="F216" s="29" t="s">
        <v>15</v>
      </c>
      <c r="G216" s="27"/>
      <c r="H216" t="str">
        <f>Intro!$B$4</f>
        <v>ecoinvent-3.10-cutoff</v>
      </c>
      <c r="I216" s="6">
        <v>0</v>
      </c>
      <c r="J216" t="s">
        <v>776</v>
      </c>
      <c r="K216" s="29" t="s">
        <v>434</v>
      </c>
    </row>
    <row r="217" spans="1:13" x14ac:dyDescent="0.3">
      <c r="A217" t="s">
        <v>71</v>
      </c>
      <c r="B217" t="s">
        <v>72</v>
      </c>
      <c r="C217" t="s">
        <v>18</v>
      </c>
      <c r="D217" s="37">
        <v>7.5757575757575758E-4</v>
      </c>
      <c r="E217" t="s">
        <v>8</v>
      </c>
      <c r="F217" t="s">
        <v>15</v>
      </c>
      <c r="H217" t="str">
        <f>Intro!$B$4</f>
        <v>ecoinvent-3.10-cutoff</v>
      </c>
      <c r="I217" s="6">
        <v>0</v>
      </c>
      <c r="J217" t="s">
        <v>776</v>
      </c>
      <c r="K217" s="29" t="s">
        <v>427</v>
      </c>
    </row>
    <row r="218" spans="1:13" x14ac:dyDescent="0.3">
      <c r="A218" t="s">
        <v>306</v>
      </c>
      <c r="B218" t="s">
        <v>307</v>
      </c>
      <c r="C218" t="s">
        <v>24</v>
      </c>
      <c r="D218" s="37">
        <v>3.0303030303030303E-4</v>
      </c>
      <c r="E218" t="s">
        <v>8</v>
      </c>
      <c r="F218" t="s">
        <v>15</v>
      </c>
      <c r="H218" t="str">
        <f>Intro!$B$4</f>
        <v>ecoinvent-3.10-cutoff</v>
      </c>
      <c r="I218" s="6">
        <v>0</v>
      </c>
      <c r="J218" t="s">
        <v>776</v>
      </c>
      <c r="K218" s="29" t="s">
        <v>428</v>
      </c>
    </row>
    <row r="219" spans="1:13" x14ac:dyDescent="0.3">
      <c r="A219" t="s">
        <v>314</v>
      </c>
      <c r="B219" t="s">
        <v>315</v>
      </c>
      <c r="C219" t="s">
        <v>24</v>
      </c>
      <c r="D219" s="37">
        <v>1.4242424242424199E-4</v>
      </c>
      <c r="E219" t="s">
        <v>8</v>
      </c>
      <c r="F219" t="s">
        <v>15</v>
      </c>
      <c r="H219" t="str">
        <f>Intro!$B$4</f>
        <v>ecoinvent-3.10-cutoff</v>
      </c>
      <c r="I219" s="6">
        <v>0</v>
      </c>
      <c r="J219" t="s">
        <v>776</v>
      </c>
      <c r="K219" s="29" t="s">
        <v>429</v>
      </c>
    </row>
    <row r="220" spans="1:13" x14ac:dyDescent="0.3">
      <c r="A220" t="s">
        <v>282</v>
      </c>
      <c r="B220" t="s">
        <v>283</v>
      </c>
      <c r="C220" t="s">
        <v>24</v>
      </c>
      <c r="D220" s="37">
        <v>-2.3757575757575801E-6</v>
      </c>
      <c r="E220" t="s">
        <v>8</v>
      </c>
      <c r="F220" t="s">
        <v>15</v>
      </c>
      <c r="H220" t="str">
        <f>Intro!$B$4</f>
        <v>ecoinvent-3.10-cutoff</v>
      </c>
      <c r="I220" s="6">
        <v>0</v>
      </c>
      <c r="J220" t="s">
        <v>776</v>
      </c>
      <c r="K220" s="29" t="s">
        <v>430</v>
      </c>
    </row>
    <row r="221" spans="1:13" x14ac:dyDescent="0.3">
      <c r="A221" t="s">
        <v>148</v>
      </c>
      <c r="B221" t="s">
        <v>149</v>
      </c>
      <c r="C221" t="s">
        <v>24</v>
      </c>
      <c r="D221" s="37">
        <v>-1.67575757575758E-6</v>
      </c>
      <c r="E221" t="s">
        <v>8</v>
      </c>
      <c r="F221" t="s">
        <v>15</v>
      </c>
      <c r="H221" t="str">
        <f>Intro!$B$4</f>
        <v>ecoinvent-3.10-cutoff</v>
      </c>
      <c r="I221" s="6">
        <v>0</v>
      </c>
      <c r="J221" t="s">
        <v>776</v>
      </c>
      <c r="K221" s="29" t="s">
        <v>431</v>
      </c>
    </row>
    <row r="222" spans="1:13" x14ac:dyDescent="0.3">
      <c r="A222" t="s">
        <v>368</v>
      </c>
      <c r="B222" t="s">
        <v>369</v>
      </c>
      <c r="C222" t="s">
        <v>18</v>
      </c>
      <c r="D222" s="37">
        <v>-1.0606060606060601</v>
      </c>
      <c r="E222" t="s">
        <v>8</v>
      </c>
      <c r="F222" t="s">
        <v>15</v>
      </c>
      <c r="H222" t="str">
        <f>Intro!$B$4</f>
        <v>ecoinvent-3.10-cutoff</v>
      </c>
      <c r="I222" s="6">
        <v>0</v>
      </c>
      <c r="J222" t="s">
        <v>776</v>
      </c>
      <c r="K222" s="29" t="s">
        <v>432</v>
      </c>
    </row>
    <row r="223" spans="1:13" s="29" customFormat="1" x14ac:dyDescent="0.3">
      <c r="A223" s="29" t="s">
        <v>37</v>
      </c>
      <c r="D223" s="43">
        <v>5.4545454545454541E-3</v>
      </c>
      <c r="E223" s="29" t="s">
        <v>8</v>
      </c>
      <c r="F223" s="29" t="s">
        <v>39</v>
      </c>
      <c r="G223" s="29" t="s">
        <v>38</v>
      </c>
      <c r="H223" s="29" t="str">
        <f>Intro!$B$5</f>
        <v>ecoinvent-3.10-biosphere</v>
      </c>
      <c r="I223" s="6">
        <v>0</v>
      </c>
      <c r="J223" t="s">
        <v>776</v>
      </c>
      <c r="K223" s="29" t="s">
        <v>435</v>
      </c>
    </row>
    <row r="224" spans="1:13" s="29" customFormat="1" x14ac:dyDescent="0.3">
      <c r="A224" s="29" t="s">
        <v>76</v>
      </c>
      <c r="D224" s="43">
        <v>6.6666666666666666E-6</v>
      </c>
      <c r="E224" s="29" t="s">
        <v>8</v>
      </c>
      <c r="F224" s="29" t="s">
        <v>39</v>
      </c>
      <c r="G224" s="29" t="s">
        <v>38</v>
      </c>
      <c r="H224" s="29" t="str">
        <f>Intro!$B$5</f>
        <v>ecoinvent-3.10-biosphere</v>
      </c>
      <c r="I224" s="6">
        <v>0</v>
      </c>
      <c r="J224" t="s">
        <v>776</v>
      </c>
      <c r="K224" s="29" t="s">
        <v>435</v>
      </c>
    </row>
    <row r="225" spans="1:11" x14ac:dyDescent="0.3">
      <c r="A225" t="s">
        <v>77</v>
      </c>
      <c r="D225" s="37">
        <v>8.0909090909090904E-6</v>
      </c>
      <c r="E225" t="s">
        <v>8</v>
      </c>
      <c r="F225" t="s">
        <v>39</v>
      </c>
      <c r="G225" t="s">
        <v>38</v>
      </c>
      <c r="H225" t="str">
        <f>Intro!$B$5</f>
        <v>ecoinvent-3.10-biosphere</v>
      </c>
      <c r="I225" s="6">
        <v>0</v>
      </c>
      <c r="J225" t="s">
        <v>776</v>
      </c>
      <c r="K225" s="29" t="s">
        <v>435</v>
      </c>
    </row>
    <row r="226" spans="1:11" x14ac:dyDescent="0.3">
      <c r="A226" t="s">
        <v>182</v>
      </c>
      <c r="D226" s="37">
        <v>3.6363636363636366E-7</v>
      </c>
      <c r="E226" t="s">
        <v>8</v>
      </c>
      <c r="F226" t="s">
        <v>39</v>
      </c>
      <c r="G226" t="s">
        <v>38</v>
      </c>
      <c r="H226" t="str">
        <f>Intro!$B$5</f>
        <v>ecoinvent-3.10-biosphere</v>
      </c>
      <c r="I226" s="6">
        <v>0</v>
      </c>
      <c r="J226" t="s">
        <v>776</v>
      </c>
      <c r="K226" s="29" t="s">
        <v>435</v>
      </c>
    </row>
    <row r="227" spans="1:11" x14ac:dyDescent="0.3">
      <c r="A227" t="s">
        <v>74</v>
      </c>
      <c r="D227" s="37">
        <v>8.2121212121212121E-6</v>
      </c>
      <c r="E227" t="s">
        <v>8</v>
      </c>
      <c r="F227" t="s">
        <v>39</v>
      </c>
      <c r="G227" t="s">
        <v>38</v>
      </c>
      <c r="H227" t="str">
        <f>Intro!$B$5</f>
        <v>ecoinvent-3.10-biosphere</v>
      </c>
      <c r="I227" s="6">
        <v>0</v>
      </c>
      <c r="J227" t="s">
        <v>776</v>
      </c>
      <c r="K227" s="29" t="s">
        <v>435</v>
      </c>
    </row>
    <row r="228" spans="1:11" x14ac:dyDescent="0.3">
      <c r="A228" t="s">
        <v>74</v>
      </c>
      <c r="D228" s="37">
        <v>4.6363636363636363E-6</v>
      </c>
      <c r="E228" t="s">
        <v>8</v>
      </c>
      <c r="F228" t="s">
        <v>39</v>
      </c>
      <c r="G228" t="s">
        <v>38</v>
      </c>
      <c r="H228" t="str">
        <f>Intro!$B$5</f>
        <v>ecoinvent-3.10-biosphere</v>
      </c>
      <c r="I228" s="6">
        <v>0</v>
      </c>
      <c r="J228" t="s">
        <v>776</v>
      </c>
      <c r="K228" s="29" t="s">
        <v>437</v>
      </c>
    </row>
    <row r="229" spans="1:11" x14ac:dyDescent="0.3">
      <c r="A229" t="s">
        <v>176</v>
      </c>
      <c r="D229" s="37">
        <v>2.5939393939393938E-6</v>
      </c>
      <c r="E229" t="s">
        <v>8</v>
      </c>
      <c r="F229" t="s">
        <v>39</v>
      </c>
      <c r="G229" t="s">
        <v>38</v>
      </c>
      <c r="H229" t="str">
        <f>Intro!$B$5</f>
        <v>ecoinvent-3.10-biosphere</v>
      </c>
      <c r="I229" s="6">
        <v>0</v>
      </c>
      <c r="J229" t="s">
        <v>776</v>
      </c>
      <c r="K229" s="29" t="s">
        <v>435</v>
      </c>
    </row>
    <row r="230" spans="1:11" x14ac:dyDescent="0.3">
      <c r="A230" t="s">
        <v>175</v>
      </c>
      <c r="D230" s="37">
        <v>1.9515151515151515E-7</v>
      </c>
      <c r="E230" t="s">
        <v>8</v>
      </c>
      <c r="F230" t="s">
        <v>39</v>
      </c>
      <c r="G230" t="s">
        <v>38</v>
      </c>
      <c r="H230" t="str">
        <f>Intro!$B$5</f>
        <v>ecoinvent-3.10-biosphere</v>
      </c>
      <c r="I230" s="6">
        <v>0</v>
      </c>
      <c r="J230" t="s">
        <v>776</v>
      </c>
      <c r="K230" s="29" t="s">
        <v>435</v>
      </c>
    </row>
    <row r="231" spans="1:11" x14ac:dyDescent="0.3">
      <c r="A231" t="s">
        <v>128</v>
      </c>
      <c r="D231" s="37">
        <v>5.212121212121212E-6</v>
      </c>
      <c r="E231" t="s">
        <v>8</v>
      </c>
      <c r="F231" t="s">
        <v>39</v>
      </c>
      <c r="G231" t="s">
        <v>38</v>
      </c>
      <c r="H231" t="str">
        <f>Intro!$B$5</f>
        <v>ecoinvent-3.10-biosphere</v>
      </c>
      <c r="I231" s="6">
        <v>0</v>
      </c>
      <c r="J231" t="s">
        <v>776</v>
      </c>
      <c r="K231" s="29" t="s">
        <v>435</v>
      </c>
    </row>
    <row r="232" spans="1:11" x14ac:dyDescent="0.3">
      <c r="A232" t="s">
        <v>107</v>
      </c>
      <c r="D232" s="37">
        <v>0.87878787878787878</v>
      </c>
      <c r="E232" t="s">
        <v>8</v>
      </c>
      <c r="F232" t="s">
        <v>39</v>
      </c>
      <c r="G232" t="s">
        <v>78</v>
      </c>
      <c r="H232" t="str">
        <f>Intro!$B$5</f>
        <v>ecoinvent-3.10-biosphere</v>
      </c>
      <c r="I232" s="6">
        <v>0</v>
      </c>
      <c r="J232" t="s">
        <v>776</v>
      </c>
    </row>
    <row r="233" spans="1:11" x14ac:dyDescent="0.3">
      <c r="A233" t="s">
        <v>107</v>
      </c>
      <c r="D233" s="37">
        <v>1.2424242424242423E-2</v>
      </c>
      <c r="E233" t="s">
        <v>8</v>
      </c>
      <c r="F233" t="s">
        <v>39</v>
      </c>
      <c r="G233" t="s">
        <v>78</v>
      </c>
      <c r="H233" t="str">
        <f>Intro!$B$5</f>
        <v>ecoinvent-3.10-biosphere</v>
      </c>
      <c r="I233" s="6">
        <v>0</v>
      </c>
      <c r="J233" t="s">
        <v>776</v>
      </c>
    </row>
    <row r="234" spans="1:11" x14ac:dyDescent="0.3">
      <c r="A234" t="s">
        <v>106</v>
      </c>
      <c r="D234" s="37">
        <v>3.0303030303030303E-4</v>
      </c>
      <c r="E234" t="s">
        <v>8</v>
      </c>
      <c r="F234" t="s">
        <v>39</v>
      </c>
      <c r="G234" t="s">
        <v>78</v>
      </c>
      <c r="H234" t="str">
        <f>Intro!$B$5</f>
        <v>ecoinvent-3.10-biosphere</v>
      </c>
      <c r="I234" s="6">
        <v>0</v>
      </c>
      <c r="J234" t="s">
        <v>776</v>
      </c>
    </row>
    <row r="235" spans="1:11" x14ac:dyDescent="0.3">
      <c r="A235" t="s">
        <v>173</v>
      </c>
      <c r="D235" s="37">
        <v>9.3939393939393937E-3</v>
      </c>
      <c r="E235" t="s">
        <v>8</v>
      </c>
      <c r="F235" t="s">
        <v>39</v>
      </c>
      <c r="G235" t="s">
        <v>78</v>
      </c>
      <c r="H235" t="str">
        <f>Intro!$B$5</f>
        <v>ecoinvent-3.10-biosphere</v>
      </c>
      <c r="I235" s="6">
        <v>0</v>
      </c>
      <c r="J235" t="s">
        <v>776</v>
      </c>
    </row>
    <row r="236" spans="1:11" x14ac:dyDescent="0.3">
      <c r="A236" t="s">
        <v>204</v>
      </c>
      <c r="D236" s="37">
        <v>1.3636363636363635</v>
      </c>
      <c r="E236" t="s">
        <v>8</v>
      </c>
      <c r="F236" t="s">
        <v>39</v>
      </c>
      <c r="G236" t="s">
        <v>78</v>
      </c>
      <c r="H236" t="str">
        <f>Intro!$B$5</f>
        <v>ecoinvent-3.10-biosphere</v>
      </c>
      <c r="I236" s="6">
        <v>0</v>
      </c>
      <c r="J236" t="s">
        <v>776</v>
      </c>
      <c r="K236" s="29" t="s">
        <v>436</v>
      </c>
    </row>
    <row r="237" spans="1:11" x14ac:dyDescent="0.3">
      <c r="A237" t="s">
        <v>381</v>
      </c>
      <c r="D237" s="37">
        <v>1.724242424242424E-8</v>
      </c>
      <c r="E237" t="s">
        <v>8</v>
      </c>
      <c r="F237" t="s">
        <v>39</v>
      </c>
      <c r="G237" t="s">
        <v>78</v>
      </c>
      <c r="H237" t="str">
        <f>Intro!$B$5</f>
        <v>ecoinvent-3.10-biosphere</v>
      </c>
      <c r="I237" s="6">
        <v>0</v>
      </c>
      <c r="J237" t="s">
        <v>776</v>
      </c>
    </row>
    <row r="238" spans="1:11" x14ac:dyDescent="0.3">
      <c r="A238" t="s">
        <v>382</v>
      </c>
      <c r="D238" s="37">
        <v>1.9393939393939393E-3</v>
      </c>
      <c r="E238" t="s">
        <v>8</v>
      </c>
      <c r="F238" t="s">
        <v>39</v>
      </c>
      <c r="G238" t="s">
        <v>78</v>
      </c>
      <c r="H238" t="str">
        <f>Intro!$B$5</f>
        <v>ecoinvent-3.10-biosphere</v>
      </c>
      <c r="I238" s="6">
        <v>0</v>
      </c>
      <c r="J238" t="s">
        <v>776</v>
      </c>
    </row>
    <row r="239" spans="1:11" x14ac:dyDescent="0.3">
      <c r="A239" t="s">
        <v>386</v>
      </c>
      <c r="D239" s="37">
        <v>2.1393939393939393E-6</v>
      </c>
      <c r="E239" t="s">
        <v>8</v>
      </c>
      <c r="F239" t="s">
        <v>39</v>
      </c>
      <c r="G239" t="s">
        <v>78</v>
      </c>
      <c r="H239" t="str">
        <f>Intro!$B$5</f>
        <v>ecoinvent-3.10-biosphere</v>
      </c>
      <c r="I239" s="6">
        <v>0</v>
      </c>
      <c r="J239" t="s">
        <v>776</v>
      </c>
    </row>
    <row r="240" spans="1:11" x14ac:dyDescent="0.3">
      <c r="A240" t="s">
        <v>383</v>
      </c>
      <c r="D240" s="37">
        <v>7.0303030303030303E-7</v>
      </c>
      <c r="E240" t="s">
        <v>8</v>
      </c>
      <c r="F240" t="s">
        <v>39</v>
      </c>
      <c r="G240" t="s">
        <v>78</v>
      </c>
      <c r="H240" t="str">
        <f>Intro!$B$5</f>
        <v>ecoinvent-3.10-biosphere</v>
      </c>
      <c r="I240" s="6">
        <v>0</v>
      </c>
      <c r="J240" t="s">
        <v>776</v>
      </c>
    </row>
    <row r="241" spans="1:37" x14ac:dyDescent="0.3">
      <c r="A241" t="s">
        <v>384</v>
      </c>
      <c r="D241" s="37">
        <v>1.7303030303030304E-8</v>
      </c>
      <c r="E241" t="s">
        <v>8</v>
      </c>
      <c r="F241" t="s">
        <v>39</v>
      </c>
      <c r="G241" t="s">
        <v>78</v>
      </c>
      <c r="H241" t="str">
        <f>Intro!$B$5</f>
        <v>ecoinvent-3.10-biosphere</v>
      </c>
      <c r="I241" s="6">
        <v>0</v>
      </c>
      <c r="J241" t="s">
        <v>776</v>
      </c>
    </row>
    <row r="242" spans="1:37" x14ac:dyDescent="0.3">
      <c r="A242" t="s">
        <v>54</v>
      </c>
      <c r="D242" s="37">
        <v>4.2424242424242423E-5</v>
      </c>
      <c r="E242" t="s">
        <v>43</v>
      </c>
      <c r="F242" t="s">
        <v>39</v>
      </c>
      <c r="G242" t="s">
        <v>154</v>
      </c>
      <c r="H242" t="str">
        <f>Intro!$B$5</f>
        <v>ecoinvent-3.10-biosphere</v>
      </c>
      <c r="I242" s="6">
        <v>0</v>
      </c>
      <c r="J242" t="s">
        <v>776</v>
      </c>
      <c r="K242" s="29" t="s">
        <v>370</v>
      </c>
    </row>
    <row r="243" spans="1:37" x14ac:dyDescent="0.3">
      <c r="A243" s="35"/>
      <c r="B243" s="35"/>
      <c r="C243" s="35"/>
      <c r="D243" s="35"/>
      <c r="E243" s="35"/>
      <c r="F243" s="35"/>
      <c r="G243" s="35"/>
      <c r="H243" s="35"/>
      <c r="I243" s="35"/>
      <c r="J243" s="35"/>
      <c r="K243" s="4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row>
    <row r="244" spans="1:37" x14ac:dyDescent="0.3">
      <c r="A244" s="41" t="s">
        <v>1</v>
      </c>
      <c r="B244" s="42" t="s">
        <v>417</v>
      </c>
    </row>
    <row r="245" spans="1:37" x14ac:dyDescent="0.3">
      <c r="A245" s="41" t="s">
        <v>6</v>
      </c>
      <c r="B245" s="27" t="s">
        <v>416</v>
      </c>
    </row>
    <row r="246" spans="1:37" x14ac:dyDescent="0.3">
      <c r="A246" s="1" t="s">
        <v>3</v>
      </c>
      <c r="B246" s="6" t="s">
        <v>18</v>
      </c>
    </row>
    <row r="247" spans="1:37" x14ac:dyDescent="0.3">
      <c r="A247" s="1" t="s">
        <v>5</v>
      </c>
      <c r="B247" s="6">
        <v>-1</v>
      </c>
    </row>
    <row r="248" spans="1:37" x14ac:dyDescent="0.3">
      <c r="A248" s="1" t="s">
        <v>7</v>
      </c>
      <c r="B248" t="s">
        <v>8</v>
      </c>
    </row>
    <row r="249" spans="1:37" x14ac:dyDescent="0.3">
      <c r="A249" s="1" t="s">
        <v>9</v>
      </c>
    </row>
    <row r="250" spans="1:37" x14ac:dyDescent="0.3">
      <c r="A250" s="1" t="s">
        <v>10</v>
      </c>
      <c r="B250" s="1" t="s">
        <v>6</v>
      </c>
      <c r="C250" s="1" t="s">
        <v>3</v>
      </c>
      <c r="D250" s="1" t="s">
        <v>11</v>
      </c>
      <c r="E250" s="1" t="s">
        <v>7</v>
      </c>
      <c r="F250" s="1" t="s">
        <v>13</v>
      </c>
      <c r="G250" s="1" t="s">
        <v>12</v>
      </c>
      <c r="H250" s="1" t="s">
        <v>0</v>
      </c>
      <c r="I250" s="42" t="s">
        <v>656</v>
      </c>
      <c r="J250" s="42" t="s">
        <v>691</v>
      </c>
      <c r="K250" s="41" t="s">
        <v>2</v>
      </c>
    </row>
    <row r="251" spans="1:37" x14ac:dyDescent="0.3">
      <c r="A251" t="s">
        <v>417</v>
      </c>
      <c r="B251" s="27" t="s">
        <v>416</v>
      </c>
      <c r="C251" t="s">
        <v>18</v>
      </c>
      <c r="D251" s="38">
        <v>-1</v>
      </c>
      <c r="E251" t="s">
        <v>8</v>
      </c>
      <c r="F251" t="s">
        <v>14</v>
      </c>
      <c r="H251" t="str">
        <f>Intro!$B$3</f>
        <v>LIB raw materials</v>
      </c>
    </row>
    <row r="252" spans="1:37" x14ac:dyDescent="0.3">
      <c r="A252" t="s">
        <v>277</v>
      </c>
      <c r="B252" t="s">
        <v>278</v>
      </c>
      <c r="C252" t="s">
        <v>24</v>
      </c>
      <c r="D252" s="37">
        <v>2.6923076923076922E-4</v>
      </c>
      <c r="E252" t="s">
        <v>8</v>
      </c>
      <c r="F252" t="s">
        <v>15</v>
      </c>
      <c r="H252" t="str">
        <f>Intro!$B$4</f>
        <v>ecoinvent-3.10-cutoff</v>
      </c>
    </row>
    <row r="253" spans="1:37" x14ac:dyDescent="0.3">
      <c r="A253" t="s">
        <v>277</v>
      </c>
      <c r="B253" t="s">
        <v>278</v>
      </c>
      <c r="C253" t="s">
        <v>24</v>
      </c>
      <c r="D253" s="37">
        <v>1.8846153846153846E-5</v>
      </c>
      <c r="E253" t="s">
        <v>8</v>
      </c>
      <c r="F253" t="s">
        <v>15</v>
      </c>
      <c r="H253" t="str">
        <f>Intro!$B$4</f>
        <v>ecoinvent-3.10-cutoff</v>
      </c>
    </row>
    <row r="254" spans="1:37" x14ac:dyDescent="0.3">
      <c r="A254" t="s">
        <v>403</v>
      </c>
      <c r="B254" t="s">
        <v>404</v>
      </c>
      <c r="C254" t="s">
        <v>24</v>
      </c>
      <c r="D254" s="37">
        <v>2.7692307692307688E-6</v>
      </c>
      <c r="E254" t="s">
        <v>8</v>
      </c>
      <c r="F254" t="s">
        <v>15</v>
      </c>
      <c r="H254" t="str">
        <f>Intro!$B$4</f>
        <v>ecoinvent-3.10-cutoff</v>
      </c>
    </row>
    <row r="255" spans="1:37" x14ac:dyDescent="0.3">
      <c r="A255" t="s">
        <v>45</v>
      </c>
      <c r="B255" t="s">
        <v>46</v>
      </c>
      <c r="C255" t="s">
        <v>24</v>
      </c>
      <c r="D255" s="37">
        <v>2.6538461538461535E-8</v>
      </c>
      <c r="E255" t="s">
        <v>8</v>
      </c>
      <c r="F255" t="s">
        <v>15</v>
      </c>
      <c r="H255" t="str">
        <f>Intro!$B$4</f>
        <v>ecoinvent-3.10-cutoff</v>
      </c>
    </row>
    <row r="256" spans="1:37" x14ac:dyDescent="0.3">
      <c r="A256" t="s">
        <v>300</v>
      </c>
      <c r="B256" t="s">
        <v>301</v>
      </c>
      <c r="C256" t="s">
        <v>24</v>
      </c>
      <c r="D256" s="37">
        <v>4.6153846153846151E-5</v>
      </c>
      <c r="E256" t="s">
        <v>8</v>
      </c>
      <c r="F256" t="s">
        <v>15</v>
      </c>
      <c r="H256" t="str">
        <f>Intro!$B$4</f>
        <v>ecoinvent-3.10-cutoff</v>
      </c>
    </row>
    <row r="257" spans="1:8" x14ac:dyDescent="0.3">
      <c r="A257" t="s">
        <v>353</v>
      </c>
      <c r="B257" t="s">
        <v>385</v>
      </c>
      <c r="C257" t="s">
        <v>18</v>
      </c>
      <c r="D257" s="37">
        <v>4.6153846153846151E-5</v>
      </c>
      <c r="E257" t="s">
        <v>8</v>
      </c>
      <c r="F257" t="s">
        <v>15</v>
      </c>
      <c r="H257" t="str">
        <f>Intro!$B$4</f>
        <v>ecoinvent-3.10-cutoff</v>
      </c>
    </row>
    <row r="258" spans="1:8" x14ac:dyDescent="0.3">
      <c r="A258" t="s">
        <v>304</v>
      </c>
      <c r="B258" t="s">
        <v>305</v>
      </c>
      <c r="C258" t="s">
        <v>24</v>
      </c>
      <c r="D258" s="37">
        <v>1.4615384615384615E-4</v>
      </c>
      <c r="E258" t="s">
        <v>8</v>
      </c>
      <c r="F258" t="s">
        <v>15</v>
      </c>
      <c r="H258" t="str">
        <f>Intro!$B$4</f>
        <v>ecoinvent-3.10-cutoff</v>
      </c>
    </row>
    <row r="259" spans="1:8" x14ac:dyDescent="0.3">
      <c r="A259" t="s">
        <v>123</v>
      </c>
      <c r="B259" t="s">
        <v>124</v>
      </c>
      <c r="C259" t="s">
        <v>24</v>
      </c>
      <c r="D259" s="37">
        <v>4.6153846153846147E-4</v>
      </c>
      <c r="E259" t="s">
        <v>8</v>
      </c>
      <c r="F259" t="s">
        <v>15</v>
      </c>
      <c r="H259" t="str">
        <f>Intro!$B$4</f>
        <v>ecoinvent-3.10-cutoff</v>
      </c>
    </row>
    <row r="260" spans="1:8" x14ac:dyDescent="0.3">
      <c r="A260" t="s">
        <v>133</v>
      </c>
      <c r="B260" t="s">
        <v>134</v>
      </c>
      <c r="C260" t="s">
        <v>24</v>
      </c>
      <c r="D260" s="37">
        <v>6.9230769230769237E-5</v>
      </c>
      <c r="E260" t="s">
        <v>8</v>
      </c>
      <c r="F260" t="s">
        <v>15</v>
      </c>
      <c r="H260" t="str">
        <f>Intro!$B$4</f>
        <v>ecoinvent-3.10-cutoff</v>
      </c>
    </row>
    <row r="261" spans="1:8" x14ac:dyDescent="0.3">
      <c r="A261" t="s">
        <v>391</v>
      </c>
      <c r="D261" s="37">
        <v>3.1153846153846153E-6</v>
      </c>
      <c r="E261" t="s">
        <v>8</v>
      </c>
      <c r="F261" t="s">
        <v>39</v>
      </c>
      <c r="G261" t="s">
        <v>154</v>
      </c>
      <c r="H261" t="str">
        <f>Intro!$B$5</f>
        <v>ecoinvent-3.10-biosphere</v>
      </c>
    </row>
    <row r="262" spans="1:8" x14ac:dyDescent="0.3">
      <c r="A262" t="s">
        <v>392</v>
      </c>
      <c r="D262" s="37">
        <v>3.4615384615384617E-6</v>
      </c>
      <c r="E262" t="s">
        <v>8</v>
      </c>
      <c r="F262" t="s">
        <v>39</v>
      </c>
      <c r="G262" t="s">
        <v>154</v>
      </c>
      <c r="H262" t="str">
        <f>Intro!$B$5</f>
        <v>ecoinvent-3.10-biosphere</v>
      </c>
    </row>
    <row r="263" spans="1:8" x14ac:dyDescent="0.3">
      <c r="A263" t="s">
        <v>392</v>
      </c>
      <c r="D263" s="37">
        <v>4.9999999999999998E-8</v>
      </c>
      <c r="E263" t="s">
        <v>8</v>
      </c>
      <c r="F263" t="s">
        <v>39</v>
      </c>
      <c r="G263" t="s">
        <v>405</v>
      </c>
      <c r="H263" t="str">
        <f>Intro!$B$5</f>
        <v>ecoinvent-3.10-biosphere</v>
      </c>
    </row>
    <row r="264" spans="1:8" x14ac:dyDescent="0.3">
      <c r="A264" t="s">
        <v>406</v>
      </c>
      <c r="D264" s="37">
        <v>1.8461538461538461E-5</v>
      </c>
      <c r="E264" t="s">
        <v>8</v>
      </c>
      <c r="F264" t="s">
        <v>39</v>
      </c>
      <c r="G264" t="s">
        <v>405</v>
      </c>
      <c r="H264" t="str">
        <f>Intro!$B$5</f>
        <v>ecoinvent-3.10-biosphere</v>
      </c>
    </row>
    <row r="265" spans="1:8" x14ac:dyDescent="0.3">
      <c r="A265" t="s">
        <v>406</v>
      </c>
      <c r="D265" s="37">
        <v>1.9615384615384613E-5</v>
      </c>
      <c r="E265" t="s">
        <v>8</v>
      </c>
      <c r="F265" t="s">
        <v>39</v>
      </c>
      <c r="G265" t="s">
        <v>154</v>
      </c>
      <c r="H265" t="str">
        <f>Intro!$B$5</f>
        <v>ecoinvent-3.10-biosphere</v>
      </c>
    </row>
    <row r="266" spans="1:8" x14ac:dyDescent="0.3">
      <c r="A266" t="s">
        <v>407</v>
      </c>
      <c r="D266" s="37">
        <v>1.0769230769230768E-4</v>
      </c>
      <c r="E266" t="s">
        <v>8</v>
      </c>
      <c r="F266" t="s">
        <v>39</v>
      </c>
      <c r="G266" t="s">
        <v>405</v>
      </c>
      <c r="H266" t="str">
        <f>Intro!$B$5</f>
        <v>ecoinvent-3.10-biosphere</v>
      </c>
    </row>
    <row r="267" spans="1:8" x14ac:dyDescent="0.3">
      <c r="A267" t="s">
        <v>407</v>
      </c>
      <c r="D267" s="37">
        <v>1.1153846153846153E-4</v>
      </c>
      <c r="E267" t="s">
        <v>8</v>
      </c>
      <c r="F267" t="s">
        <v>39</v>
      </c>
      <c r="G267" t="s">
        <v>154</v>
      </c>
      <c r="H267" t="str">
        <f>Intro!$B$5</f>
        <v>ecoinvent-3.10-biosphere</v>
      </c>
    </row>
    <row r="268" spans="1:8" x14ac:dyDescent="0.3">
      <c r="A268" t="s">
        <v>393</v>
      </c>
      <c r="D268" s="37">
        <v>1.4999999999999999E-7</v>
      </c>
      <c r="E268" t="s">
        <v>8</v>
      </c>
      <c r="F268" t="s">
        <v>39</v>
      </c>
      <c r="G268" t="s">
        <v>154</v>
      </c>
      <c r="H268" t="str">
        <f>Intro!$B$5</f>
        <v>ecoinvent-3.10-biosphere</v>
      </c>
    </row>
    <row r="269" spans="1:8" x14ac:dyDescent="0.3">
      <c r="A269" t="s">
        <v>393</v>
      </c>
      <c r="D269" s="37">
        <v>2.9999999999999999E-7</v>
      </c>
      <c r="E269" t="s">
        <v>8</v>
      </c>
      <c r="F269" t="s">
        <v>39</v>
      </c>
      <c r="G269" t="s">
        <v>405</v>
      </c>
      <c r="H269" t="str">
        <f>Intro!$B$5</f>
        <v>ecoinvent-3.10-biosphere</v>
      </c>
    </row>
    <row r="270" spans="1:8" x14ac:dyDescent="0.3">
      <c r="A270" t="s">
        <v>408</v>
      </c>
      <c r="D270" s="37">
        <v>1.9999999999999999E-6</v>
      </c>
      <c r="E270" t="s">
        <v>8</v>
      </c>
      <c r="F270" t="s">
        <v>39</v>
      </c>
      <c r="G270" t="s">
        <v>154</v>
      </c>
      <c r="H270" t="str">
        <f>Intro!$B$5</f>
        <v>ecoinvent-3.10-biosphere</v>
      </c>
    </row>
    <row r="271" spans="1:8" x14ac:dyDescent="0.3">
      <c r="A271" t="s">
        <v>394</v>
      </c>
      <c r="D271" s="37">
        <v>4.6153846153846151E-7</v>
      </c>
      <c r="E271" t="s">
        <v>8</v>
      </c>
      <c r="F271" t="s">
        <v>39</v>
      </c>
      <c r="G271" t="s">
        <v>154</v>
      </c>
      <c r="H271" t="str">
        <f>Intro!$B$5</f>
        <v>ecoinvent-3.10-biosphere</v>
      </c>
    </row>
    <row r="272" spans="1:8" x14ac:dyDescent="0.3">
      <c r="A272" t="s">
        <v>394</v>
      </c>
      <c r="D272" s="37">
        <v>1.2692307692307691E-4</v>
      </c>
      <c r="E272" t="s">
        <v>8</v>
      </c>
      <c r="F272" t="s">
        <v>39</v>
      </c>
      <c r="G272" t="s">
        <v>154</v>
      </c>
      <c r="H272" t="str">
        <f>Intro!$B$5</f>
        <v>ecoinvent-3.10-biosphere</v>
      </c>
    </row>
    <row r="273" spans="1:8" x14ac:dyDescent="0.3">
      <c r="A273" t="s">
        <v>394</v>
      </c>
      <c r="D273" s="37">
        <v>8.8461538461538455E-7</v>
      </c>
      <c r="E273" t="s">
        <v>8</v>
      </c>
      <c r="F273" t="s">
        <v>39</v>
      </c>
      <c r="G273" t="s">
        <v>405</v>
      </c>
      <c r="H273" t="str">
        <f>Intro!$B$5</f>
        <v>ecoinvent-3.10-biosphere</v>
      </c>
    </row>
    <row r="274" spans="1:8" x14ac:dyDescent="0.3">
      <c r="A274" t="s">
        <v>395</v>
      </c>
      <c r="D274" s="37">
        <v>2.3846153846153846E-6</v>
      </c>
      <c r="E274" t="s">
        <v>8</v>
      </c>
      <c r="F274" t="s">
        <v>39</v>
      </c>
      <c r="G274" t="s">
        <v>154</v>
      </c>
      <c r="H274" t="str">
        <f>Intro!$B$5</f>
        <v>ecoinvent-3.10-biosphere</v>
      </c>
    </row>
    <row r="275" spans="1:8" x14ac:dyDescent="0.3">
      <c r="A275" t="s">
        <v>395</v>
      </c>
      <c r="D275" s="37">
        <v>4.2307692307692309E-7</v>
      </c>
      <c r="E275" t="s">
        <v>8</v>
      </c>
      <c r="F275" t="s">
        <v>39</v>
      </c>
      <c r="G275" t="s">
        <v>405</v>
      </c>
      <c r="H275" t="str">
        <f>Intro!$B$5</f>
        <v>ecoinvent-3.10-biosphere</v>
      </c>
    </row>
    <row r="276" spans="1:8" x14ac:dyDescent="0.3">
      <c r="A276" t="s">
        <v>396</v>
      </c>
      <c r="D276" s="37">
        <v>9.6153846153846149E-7</v>
      </c>
      <c r="E276" t="s">
        <v>8</v>
      </c>
      <c r="F276" t="s">
        <v>39</v>
      </c>
      <c r="G276" t="s">
        <v>154</v>
      </c>
      <c r="H276" t="str">
        <f>Intro!$B$5</f>
        <v>ecoinvent-3.10-biosphere</v>
      </c>
    </row>
    <row r="277" spans="1:8" x14ac:dyDescent="0.3">
      <c r="A277" t="s">
        <v>396</v>
      </c>
      <c r="D277" s="37">
        <v>1.769230769230769E-7</v>
      </c>
      <c r="E277" t="s">
        <v>8</v>
      </c>
      <c r="F277" t="s">
        <v>39</v>
      </c>
      <c r="G277" t="s">
        <v>405</v>
      </c>
      <c r="H277" t="str">
        <f>Intro!$B$5</f>
        <v>ecoinvent-3.10-biosphere</v>
      </c>
    </row>
    <row r="278" spans="1:8" x14ac:dyDescent="0.3">
      <c r="A278" t="s">
        <v>409</v>
      </c>
      <c r="D278" s="37">
        <v>1.0384615384615384E-4</v>
      </c>
      <c r="E278" t="s">
        <v>8</v>
      </c>
      <c r="F278" t="s">
        <v>39</v>
      </c>
      <c r="G278" t="s">
        <v>154</v>
      </c>
      <c r="H278" t="str">
        <f>Intro!$B$5</f>
        <v>ecoinvent-3.10-biosphere</v>
      </c>
    </row>
    <row r="279" spans="1:8" x14ac:dyDescent="0.3">
      <c r="A279" t="s">
        <v>420</v>
      </c>
      <c r="D279" s="37">
        <v>5.0000000000000001E-4</v>
      </c>
      <c r="E279" t="s">
        <v>8</v>
      </c>
      <c r="F279" t="s">
        <v>39</v>
      </c>
      <c r="G279" t="s">
        <v>154</v>
      </c>
      <c r="H279" t="str">
        <f>Intro!$B$5</f>
        <v>ecoinvent-3.10-biosphere</v>
      </c>
    </row>
    <row r="280" spans="1:8" x14ac:dyDescent="0.3">
      <c r="A280" t="s">
        <v>398</v>
      </c>
      <c r="D280" s="37">
        <v>1.8076923076923076E-6</v>
      </c>
      <c r="E280" t="s">
        <v>8</v>
      </c>
      <c r="F280" t="s">
        <v>39</v>
      </c>
      <c r="G280" t="s">
        <v>154</v>
      </c>
      <c r="H280" t="str">
        <f>Intro!$B$5</f>
        <v>ecoinvent-3.10-biosphere</v>
      </c>
    </row>
    <row r="281" spans="1:8" x14ac:dyDescent="0.3">
      <c r="A281" t="s">
        <v>398</v>
      </c>
      <c r="D281" s="37">
        <v>4.6153846153846146E-8</v>
      </c>
      <c r="E281" t="s">
        <v>8</v>
      </c>
      <c r="F281" t="s">
        <v>39</v>
      </c>
      <c r="G281" t="s">
        <v>405</v>
      </c>
      <c r="H281" t="str">
        <f>Intro!$B$5</f>
        <v>ecoinvent-3.10-biosphere</v>
      </c>
    </row>
    <row r="282" spans="1:8" x14ac:dyDescent="0.3">
      <c r="A282" t="s">
        <v>410</v>
      </c>
      <c r="D282" s="37">
        <v>2.5769230769230769E-3</v>
      </c>
      <c r="E282" t="s">
        <v>8</v>
      </c>
      <c r="F282" t="s">
        <v>39</v>
      </c>
      <c r="G282" t="s">
        <v>154</v>
      </c>
      <c r="H282" t="str">
        <f>Intro!$B$5</f>
        <v>ecoinvent-3.10-biosphere</v>
      </c>
    </row>
    <row r="283" spans="1:8" x14ac:dyDescent="0.3">
      <c r="A283" t="s">
        <v>397</v>
      </c>
      <c r="D283" s="37">
        <v>2.4999999999999999E-7</v>
      </c>
      <c r="E283" t="s">
        <v>8</v>
      </c>
      <c r="F283" t="s">
        <v>39</v>
      </c>
      <c r="G283" t="s">
        <v>405</v>
      </c>
      <c r="H283" t="str">
        <f>Intro!$B$5</f>
        <v>ecoinvent-3.10-biosphere</v>
      </c>
    </row>
    <row r="284" spans="1:8" x14ac:dyDescent="0.3">
      <c r="A284" t="s">
        <v>397</v>
      </c>
      <c r="D284" s="37">
        <v>9.2307692307692295E-4</v>
      </c>
      <c r="E284" t="s">
        <v>8</v>
      </c>
      <c r="F284" t="s">
        <v>39</v>
      </c>
      <c r="G284" t="s">
        <v>154</v>
      </c>
      <c r="H284" t="str">
        <f>Intro!$B$5</f>
        <v>ecoinvent-3.10-biosphere</v>
      </c>
    </row>
    <row r="285" spans="1:8" x14ac:dyDescent="0.3">
      <c r="A285" t="s">
        <v>400</v>
      </c>
      <c r="D285" s="37">
        <v>5.384615384615385E-8</v>
      </c>
      <c r="E285" t="s">
        <v>8</v>
      </c>
      <c r="F285" t="s">
        <v>39</v>
      </c>
      <c r="G285" t="s">
        <v>154</v>
      </c>
      <c r="H285" t="str">
        <f>Intro!$B$5</f>
        <v>ecoinvent-3.10-biosphere</v>
      </c>
    </row>
    <row r="286" spans="1:8" x14ac:dyDescent="0.3">
      <c r="A286" t="s">
        <v>400</v>
      </c>
      <c r="D286" s="37">
        <v>5.769230769230769E-10</v>
      </c>
      <c r="E286" t="s">
        <v>8</v>
      </c>
      <c r="F286" t="s">
        <v>39</v>
      </c>
      <c r="G286" t="s">
        <v>405</v>
      </c>
      <c r="H286" t="str">
        <f>Intro!$B$5</f>
        <v>ecoinvent-3.10-biosphere</v>
      </c>
    </row>
    <row r="287" spans="1:8" x14ac:dyDescent="0.3">
      <c r="A287" t="s">
        <v>401</v>
      </c>
      <c r="D287" s="37">
        <v>1.1153846153846153E-5</v>
      </c>
      <c r="E287" t="s">
        <v>8</v>
      </c>
      <c r="F287" t="s">
        <v>39</v>
      </c>
      <c r="G287" t="s">
        <v>154</v>
      </c>
      <c r="H287" t="str">
        <f>Intro!$B$5</f>
        <v>ecoinvent-3.10-biosphere</v>
      </c>
    </row>
    <row r="288" spans="1:8" x14ac:dyDescent="0.3">
      <c r="A288" t="s">
        <v>411</v>
      </c>
      <c r="D288" s="37">
        <v>1.9615384615384617E-4</v>
      </c>
      <c r="E288" t="s">
        <v>8</v>
      </c>
      <c r="F288" t="s">
        <v>39</v>
      </c>
      <c r="G288" t="s">
        <v>154</v>
      </c>
      <c r="H288" t="str">
        <f>Intro!$B$5</f>
        <v>ecoinvent-3.10-biosphere</v>
      </c>
    </row>
    <row r="289" spans="1:8" x14ac:dyDescent="0.3">
      <c r="A289" t="s">
        <v>411</v>
      </c>
      <c r="D289" s="37">
        <v>9.9999999999999991E-5</v>
      </c>
      <c r="E289" t="s">
        <v>8</v>
      </c>
      <c r="F289" t="s">
        <v>39</v>
      </c>
      <c r="G289" t="s">
        <v>405</v>
      </c>
      <c r="H289" t="str">
        <f>Intro!$B$5</f>
        <v>ecoinvent-3.10-biosphere</v>
      </c>
    </row>
    <row r="290" spans="1:8" x14ac:dyDescent="0.3">
      <c r="A290" t="s">
        <v>412</v>
      </c>
      <c r="D290" s="37">
        <v>4.2307692307692303E-9</v>
      </c>
      <c r="E290" t="s">
        <v>8</v>
      </c>
      <c r="F290" t="s">
        <v>39</v>
      </c>
      <c r="G290" t="s">
        <v>405</v>
      </c>
      <c r="H290" t="str">
        <f>Intro!$B$5</f>
        <v>ecoinvent-3.10-biosphere</v>
      </c>
    </row>
    <row r="291" spans="1:8" x14ac:dyDescent="0.3">
      <c r="A291" t="s">
        <v>421</v>
      </c>
      <c r="D291" s="37">
        <v>1.0769230769230769E-5</v>
      </c>
      <c r="E291" t="s">
        <v>8</v>
      </c>
      <c r="F291" t="s">
        <v>39</v>
      </c>
      <c r="G291" t="s">
        <v>154</v>
      </c>
      <c r="H291" t="str">
        <f>Intro!$B$5</f>
        <v>ecoinvent-3.10-biosphere</v>
      </c>
    </row>
    <row r="292" spans="1:8" x14ac:dyDescent="0.3">
      <c r="A292" t="s">
        <v>423</v>
      </c>
      <c r="D292" s="37">
        <v>2.5384615384615385E-9</v>
      </c>
      <c r="E292" t="s">
        <v>8</v>
      </c>
      <c r="F292" t="s">
        <v>39</v>
      </c>
      <c r="G292" t="s">
        <v>154</v>
      </c>
      <c r="H292" t="str">
        <f>Intro!$B$5</f>
        <v>ecoinvent-3.10-biosphere</v>
      </c>
    </row>
    <row r="293" spans="1:8" x14ac:dyDescent="0.3">
      <c r="A293" t="s">
        <v>413</v>
      </c>
      <c r="D293" s="37">
        <v>7.3076923076923081E-2</v>
      </c>
      <c r="E293" t="s">
        <v>8</v>
      </c>
      <c r="F293" t="s">
        <v>39</v>
      </c>
      <c r="G293" t="s">
        <v>154</v>
      </c>
      <c r="H293" t="str">
        <f>Intro!$B$5</f>
        <v>ecoinvent-3.10-biosphere</v>
      </c>
    </row>
    <row r="294" spans="1:8" x14ac:dyDescent="0.3">
      <c r="A294" t="s">
        <v>413</v>
      </c>
      <c r="D294" s="37">
        <v>3.4999999999999996E-2</v>
      </c>
      <c r="E294" t="s">
        <v>8</v>
      </c>
      <c r="F294" t="s">
        <v>39</v>
      </c>
      <c r="G294" t="s">
        <v>405</v>
      </c>
      <c r="H294" t="str">
        <f>Intro!$B$5</f>
        <v>ecoinvent-3.10-biosphere</v>
      </c>
    </row>
    <row r="295" spans="1:8" x14ac:dyDescent="0.3">
      <c r="A295" t="s">
        <v>330</v>
      </c>
      <c r="D295" s="37">
        <v>3.8461538461538459E-3</v>
      </c>
      <c r="E295" t="s">
        <v>8</v>
      </c>
      <c r="F295" t="s">
        <v>39</v>
      </c>
      <c r="G295" t="s">
        <v>154</v>
      </c>
      <c r="H295" t="str">
        <f>Intro!$B$5</f>
        <v>ecoinvent-3.10-biosphere</v>
      </c>
    </row>
    <row r="296" spans="1:8" x14ac:dyDescent="0.3">
      <c r="A296" t="s">
        <v>414</v>
      </c>
      <c r="D296" s="37">
        <v>2.6153846153846154E-4</v>
      </c>
      <c r="E296" t="s">
        <v>8</v>
      </c>
      <c r="F296" t="s">
        <v>39</v>
      </c>
      <c r="G296" t="s">
        <v>154</v>
      </c>
      <c r="H296" t="str">
        <f>Intro!$B$5</f>
        <v>ecoinvent-3.10-biosphere</v>
      </c>
    </row>
    <row r="297" spans="1:8" x14ac:dyDescent="0.3">
      <c r="A297" t="s">
        <v>415</v>
      </c>
      <c r="D297" s="37">
        <v>1.5769230769230768E-6</v>
      </c>
      <c r="E297" t="s">
        <v>8</v>
      </c>
      <c r="F297" t="s">
        <v>39</v>
      </c>
      <c r="G297" t="s">
        <v>405</v>
      </c>
      <c r="H297" t="str">
        <f>Intro!$B$5</f>
        <v>ecoinvent-3.10-biosphere</v>
      </c>
    </row>
    <row r="298" spans="1:8" x14ac:dyDescent="0.3">
      <c r="A298" t="s">
        <v>415</v>
      </c>
      <c r="D298" s="37">
        <v>7.6923076923076915E-7</v>
      </c>
      <c r="E298" t="s">
        <v>8</v>
      </c>
      <c r="F298" t="s">
        <v>39</v>
      </c>
      <c r="G298" t="s">
        <v>154</v>
      </c>
      <c r="H298" t="str">
        <f>Intro!$B$5</f>
        <v>ecoinvent-3.10-biosphere</v>
      </c>
    </row>
    <row r="299" spans="1:8" x14ac:dyDescent="0.3">
      <c r="A299" t="s">
        <v>422</v>
      </c>
      <c r="D299" s="37">
        <v>2.5384615384615387E-7</v>
      </c>
      <c r="E299" t="s">
        <v>8</v>
      </c>
      <c r="F299" t="s">
        <v>39</v>
      </c>
      <c r="G299" t="s">
        <v>154</v>
      </c>
      <c r="H299" t="str">
        <f>Intro!$B$5</f>
        <v>ecoinvent-3.10-biosphere</v>
      </c>
    </row>
    <row r="300" spans="1:8" x14ac:dyDescent="0.3">
      <c r="A300" t="s">
        <v>54</v>
      </c>
      <c r="D300" s="37">
        <v>6.1538461538461538E-3</v>
      </c>
      <c r="E300" t="s">
        <v>43</v>
      </c>
      <c r="F300" t="s">
        <v>39</v>
      </c>
      <c r="G300" t="s">
        <v>331</v>
      </c>
      <c r="H300" t="str">
        <f>Intro!$B$5</f>
        <v>ecoinvent-3.10-biosphere</v>
      </c>
    </row>
    <row r="301" spans="1:8" x14ac:dyDescent="0.3">
      <c r="A301" t="s">
        <v>54</v>
      </c>
      <c r="D301" s="37">
        <v>7.3076923076923076E-3</v>
      </c>
      <c r="E301" t="s">
        <v>43</v>
      </c>
      <c r="F301" t="s">
        <v>39</v>
      </c>
      <c r="G301" t="s">
        <v>405</v>
      </c>
      <c r="H301" t="str">
        <f>Intro!$B$5</f>
        <v>ecoinvent-3.10-biosphere</v>
      </c>
    </row>
    <row r="302" spans="1:8" x14ac:dyDescent="0.3">
      <c r="A302" t="s">
        <v>54</v>
      </c>
      <c r="D302" s="37">
        <v>4.9999999999999992E-3</v>
      </c>
      <c r="E302" t="s">
        <v>43</v>
      </c>
      <c r="F302" t="s">
        <v>39</v>
      </c>
      <c r="G302" t="s">
        <v>331</v>
      </c>
      <c r="H302" t="str">
        <f>Intro!$B$5</f>
        <v>ecoinvent-3.10-biosphere</v>
      </c>
    </row>
    <row r="303" spans="1:8" x14ac:dyDescent="0.3">
      <c r="A303" t="s">
        <v>402</v>
      </c>
      <c r="D303" s="37">
        <v>6.5384615384615385E-7</v>
      </c>
      <c r="E303" t="s">
        <v>8</v>
      </c>
      <c r="F303" t="s">
        <v>39</v>
      </c>
      <c r="G303" t="s">
        <v>154</v>
      </c>
      <c r="H303" t="str">
        <f>Intro!$B$5</f>
        <v>ecoinvent-3.10-biosphere</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24D4-2E6F-41D5-89DB-3F789653CF27}">
  <dimension ref="A1:S87"/>
  <sheetViews>
    <sheetView zoomScale="85" zoomScaleNormal="85" workbookViewId="0">
      <selection activeCell="K84" sqref="K84"/>
    </sheetView>
  </sheetViews>
  <sheetFormatPr defaultColWidth="8.88671875" defaultRowHeight="14.4" x14ac:dyDescent="0.3"/>
  <cols>
    <col min="1" max="1" width="46.44140625" style="6" customWidth="1"/>
    <col min="2" max="2" width="33.33203125" style="6" customWidth="1"/>
    <col min="3" max="3" width="9.6640625" style="6" customWidth="1"/>
    <col min="5" max="5" width="8.88671875" style="6"/>
    <col min="6" max="6" width="13.88671875" style="6" bestFit="1" customWidth="1"/>
    <col min="7" max="7" width="10.109375" style="6" bestFit="1" customWidth="1"/>
    <col min="8" max="8" width="20.6640625" bestFit="1" customWidth="1"/>
    <col min="9" max="9" width="11.88671875" customWidth="1"/>
    <col min="10" max="10" width="10.109375" customWidth="1"/>
    <col min="11" max="11" width="9.5546875" bestFit="1" customWidth="1"/>
    <col min="12" max="12" width="9.88671875" bestFit="1" customWidth="1"/>
    <col min="13" max="14" width="8.88671875" style="6"/>
    <col min="19" max="19" width="21.88671875" style="6" customWidth="1"/>
  </cols>
  <sheetData>
    <row r="1" spans="1:14" x14ac:dyDescent="0.3">
      <c r="A1" s="5" t="s">
        <v>1</v>
      </c>
      <c r="B1" s="5" t="s">
        <v>155</v>
      </c>
    </row>
    <row r="2" spans="1:14" x14ac:dyDescent="0.3">
      <c r="A2" s="5" t="s">
        <v>6</v>
      </c>
      <c r="B2" s="6" t="s">
        <v>156</v>
      </c>
    </row>
    <row r="3" spans="1:14" x14ac:dyDescent="0.3">
      <c r="A3" s="5" t="s">
        <v>3</v>
      </c>
      <c r="B3" s="6" t="s">
        <v>4</v>
      </c>
    </row>
    <row r="4" spans="1:14" x14ac:dyDescent="0.3">
      <c r="A4" s="5" t="s">
        <v>5</v>
      </c>
      <c r="B4" s="6">
        <v>1</v>
      </c>
    </row>
    <row r="5" spans="1:14" x14ac:dyDescent="0.3">
      <c r="A5" s="5" t="s">
        <v>7</v>
      </c>
      <c r="B5" s="6" t="s">
        <v>8</v>
      </c>
    </row>
    <row r="6" spans="1:14" x14ac:dyDescent="0.3">
      <c r="A6" s="5" t="s">
        <v>2</v>
      </c>
      <c r="B6" s="6" t="s">
        <v>20</v>
      </c>
    </row>
    <row r="7" spans="1:14" x14ac:dyDescent="0.3">
      <c r="A7" s="5" t="s">
        <v>9</v>
      </c>
    </row>
    <row r="8" spans="1:14" s="1" customFormat="1" x14ac:dyDescent="0.3">
      <c r="A8" s="5" t="s">
        <v>10</v>
      </c>
      <c r="B8" s="5" t="s">
        <v>6</v>
      </c>
      <c r="C8" s="5" t="s">
        <v>3</v>
      </c>
      <c r="D8" s="5" t="s">
        <v>11</v>
      </c>
      <c r="E8" s="5" t="s">
        <v>7</v>
      </c>
      <c r="F8" s="5" t="s">
        <v>13</v>
      </c>
      <c r="G8" s="5" t="s">
        <v>12</v>
      </c>
      <c r="H8" s="5" t="s">
        <v>0</v>
      </c>
      <c r="I8" s="42" t="s">
        <v>656</v>
      </c>
      <c r="J8" s="42" t="s">
        <v>657</v>
      </c>
      <c r="K8" s="42" t="s">
        <v>658</v>
      </c>
      <c r="L8" s="42" t="s">
        <v>659</v>
      </c>
      <c r="M8" s="5" t="s">
        <v>2</v>
      </c>
      <c r="N8" s="5"/>
    </row>
    <row r="9" spans="1:14" x14ac:dyDescent="0.3">
      <c r="A9" s="6" t="s">
        <v>155</v>
      </c>
      <c r="B9" s="6" t="s">
        <v>156</v>
      </c>
      <c r="C9" s="6" t="s">
        <v>4</v>
      </c>
      <c r="D9" s="15">
        <v>1</v>
      </c>
      <c r="E9" s="6" t="s">
        <v>8</v>
      </c>
      <c r="F9" s="6" t="s">
        <v>14</v>
      </c>
      <c r="H9" s="6" t="str">
        <f>Intro!$B$3</f>
        <v>LIB raw materials</v>
      </c>
      <c r="I9" s="6"/>
      <c r="J9" s="6"/>
      <c r="K9" s="6"/>
      <c r="L9" s="6"/>
    </row>
    <row r="10" spans="1:14" x14ac:dyDescent="0.3">
      <c r="A10" s="6" t="s">
        <v>157</v>
      </c>
      <c r="B10" s="6" t="s">
        <v>158</v>
      </c>
      <c r="C10" s="6" t="s">
        <v>4</v>
      </c>
      <c r="D10" s="15">
        <f>1010/1000</f>
        <v>1.01</v>
      </c>
      <c r="E10" s="6" t="s">
        <v>8</v>
      </c>
      <c r="F10" s="6" t="s">
        <v>15</v>
      </c>
      <c r="H10" s="6" t="str">
        <f>Intro!$B$3</f>
        <v>LIB raw materials</v>
      </c>
      <c r="I10" s="6"/>
      <c r="J10" s="6"/>
      <c r="K10" s="6"/>
      <c r="L10" s="6"/>
      <c r="M10" s="6" t="s">
        <v>34</v>
      </c>
    </row>
    <row r="11" spans="1:14" x14ac:dyDescent="0.3">
      <c r="A11" s="6" t="s">
        <v>27</v>
      </c>
      <c r="B11" s="6" t="s">
        <v>29</v>
      </c>
      <c r="C11" s="6" t="s">
        <v>4</v>
      </c>
      <c r="D11" s="15">
        <f>4550/1000</f>
        <v>4.55</v>
      </c>
      <c r="E11" s="6" t="s">
        <v>28</v>
      </c>
      <c r="F11" s="6" t="s">
        <v>15</v>
      </c>
      <c r="H11" s="6" t="str">
        <f>Intro!$B$4</f>
        <v>ecoinvent-3.10-cutoff</v>
      </c>
      <c r="I11" s="6">
        <v>5</v>
      </c>
      <c r="J11" s="15">
        <f>D11</f>
        <v>4.55</v>
      </c>
      <c r="K11" s="15">
        <f>J11*(1-0.1)</f>
        <v>4.0949999999999998</v>
      </c>
      <c r="L11" s="15">
        <f>J11*(1+0.1)</f>
        <v>5.0049999999999999</v>
      </c>
      <c r="M11" s="6" t="s">
        <v>680</v>
      </c>
    </row>
    <row r="12" spans="1:14" x14ac:dyDescent="0.3">
      <c r="A12" s="6" t="s">
        <v>31</v>
      </c>
      <c r="B12" s="6" t="s">
        <v>31</v>
      </c>
      <c r="C12" s="6" t="s">
        <v>18</v>
      </c>
      <c r="D12" s="15">
        <f>0.249/1000*43.4</f>
        <v>1.08066E-2</v>
      </c>
      <c r="E12" s="6" t="s">
        <v>30</v>
      </c>
      <c r="F12" s="6" t="s">
        <v>15</v>
      </c>
      <c r="H12" s="6" t="str">
        <f>Intro!$B$4</f>
        <v>ecoinvent-3.10-cutoff</v>
      </c>
      <c r="I12" s="6">
        <v>5</v>
      </c>
      <c r="J12" s="15">
        <f>D12</f>
        <v>1.08066E-2</v>
      </c>
      <c r="K12" s="15">
        <f>J12*(1-0.1)</f>
        <v>9.7259400000000006E-3</v>
      </c>
      <c r="L12" s="15">
        <f>J12*(1+0.1)</f>
        <v>1.188726E-2</v>
      </c>
      <c r="M12" s="6" t="s">
        <v>672</v>
      </c>
    </row>
    <row r="13" spans="1:14" x14ac:dyDescent="0.3">
      <c r="A13" s="6" t="s">
        <v>32</v>
      </c>
      <c r="B13" s="6" t="s">
        <v>33</v>
      </c>
      <c r="C13" s="6" t="s">
        <v>24</v>
      </c>
      <c r="D13" s="15">
        <f>1.5/1000</f>
        <v>1.5E-3</v>
      </c>
      <c r="E13" s="6" t="s">
        <v>8</v>
      </c>
      <c r="F13" s="6" t="s">
        <v>15</v>
      </c>
      <c r="H13" s="6" t="str">
        <f>Intro!$B$4</f>
        <v>ecoinvent-3.10-cutoff</v>
      </c>
      <c r="I13" s="6">
        <v>5</v>
      </c>
      <c r="J13" s="15">
        <f>D13</f>
        <v>1.5E-3</v>
      </c>
      <c r="K13" s="15">
        <f>J13*(1-0.15)</f>
        <v>1.2750000000000001E-3</v>
      </c>
      <c r="L13" s="15">
        <f>J13*(1+0.15)</f>
        <v>1.725E-3</v>
      </c>
      <c r="M13" s="6" t="s">
        <v>681</v>
      </c>
      <c r="N13"/>
    </row>
    <row r="14" spans="1:14" x14ac:dyDescent="0.3">
      <c r="A14" s="6" t="s">
        <v>35</v>
      </c>
      <c r="B14" s="6" t="s">
        <v>36</v>
      </c>
      <c r="C14" s="6" t="s">
        <v>24</v>
      </c>
      <c r="D14" s="15">
        <f>50/1000</f>
        <v>0.05</v>
      </c>
      <c r="E14" s="6" t="s">
        <v>8</v>
      </c>
      <c r="F14" s="6" t="s">
        <v>15</v>
      </c>
      <c r="H14" s="6" t="str">
        <f>Intro!$B$4</f>
        <v>ecoinvent-3.10-cutoff</v>
      </c>
      <c r="I14" s="6">
        <v>5</v>
      </c>
      <c r="J14" s="15">
        <f>D14</f>
        <v>0.05</v>
      </c>
      <c r="K14" s="15">
        <f>J14*(1-0.1)</f>
        <v>4.5000000000000005E-2</v>
      </c>
      <c r="L14" s="15">
        <f>J14*(1+0.1)</f>
        <v>5.5000000000000007E-2</v>
      </c>
      <c r="M14" s="6" t="s">
        <v>682</v>
      </c>
    </row>
    <row r="15" spans="1:14" x14ac:dyDescent="0.3">
      <c r="A15" s="6" t="s">
        <v>23</v>
      </c>
      <c r="B15" s="6" t="s">
        <v>25</v>
      </c>
      <c r="C15" s="6" t="s">
        <v>24</v>
      </c>
      <c r="D15" s="15">
        <f>1780/1000</f>
        <v>1.78</v>
      </c>
      <c r="E15" s="6" t="s">
        <v>17</v>
      </c>
      <c r="F15" s="6" t="s">
        <v>15</v>
      </c>
      <c r="H15" s="6" t="str">
        <f>Intro!$B$4</f>
        <v>ecoinvent-3.10-cutoff</v>
      </c>
      <c r="I15" s="6"/>
      <c r="J15" s="6"/>
      <c r="K15" s="6"/>
      <c r="L15" s="6"/>
      <c r="M15" s="6" t="s">
        <v>26</v>
      </c>
    </row>
    <row r="16" spans="1:14" x14ac:dyDescent="0.3">
      <c r="A16" s="6" t="s">
        <v>37</v>
      </c>
      <c r="D16" s="15">
        <f>62.407/1000</f>
        <v>6.2406999999999997E-2</v>
      </c>
      <c r="E16" s="6" t="s">
        <v>8</v>
      </c>
      <c r="F16" s="6" t="s">
        <v>39</v>
      </c>
      <c r="G16" s="6" t="s">
        <v>38</v>
      </c>
      <c r="H16" s="6" t="str">
        <f>Intro!$B$5</f>
        <v>ecoinvent-3.10-biosphere</v>
      </c>
      <c r="I16" s="6"/>
      <c r="J16" s="6"/>
      <c r="K16" s="6"/>
      <c r="L16" s="6"/>
      <c r="M16" s="6" t="s">
        <v>40</v>
      </c>
    </row>
    <row r="17" spans="1:19" x14ac:dyDescent="0.3">
      <c r="A17" s="6" t="s">
        <v>41</v>
      </c>
      <c r="D17" s="15">
        <f>1.5/1000</f>
        <v>1.5E-3</v>
      </c>
      <c r="E17" s="6" t="s">
        <v>8</v>
      </c>
      <c r="F17" s="6" t="s">
        <v>39</v>
      </c>
      <c r="G17" s="6" t="s">
        <v>38</v>
      </c>
      <c r="H17" s="6" t="str">
        <f>Intro!$B$5</f>
        <v>ecoinvent-3.10-biosphere</v>
      </c>
      <c r="I17" s="6"/>
      <c r="J17" s="6"/>
      <c r="K17" s="6"/>
      <c r="L17" s="6"/>
      <c r="M17" s="6" t="s">
        <v>42</v>
      </c>
    </row>
    <row r="18" spans="1:19" s="4" customFormat="1" x14ac:dyDescent="0.3">
      <c r="A18" s="8"/>
      <c r="B18" s="8"/>
      <c r="C18" s="8"/>
      <c r="E18" s="8"/>
      <c r="F18" s="8"/>
      <c r="G18" s="8"/>
      <c r="M18" s="8"/>
      <c r="N18" s="8"/>
      <c r="S18" s="8"/>
    </row>
    <row r="19" spans="1:19" x14ac:dyDescent="0.3">
      <c r="A19" s="5" t="s">
        <v>1</v>
      </c>
      <c r="B19" s="5" t="s">
        <v>157</v>
      </c>
    </row>
    <row r="20" spans="1:19" x14ac:dyDescent="0.3">
      <c r="A20" s="5" t="s">
        <v>6</v>
      </c>
      <c r="B20" s="6" t="s">
        <v>158</v>
      </c>
    </row>
    <row r="21" spans="1:19" x14ac:dyDescent="0.3">
      <c r="A21" s="5" t="s">
        <v>3</v>
      </c>
      <c r="B21" s="6" t="s">
        <v>4</v>
      </c>
    </row>
    <row r="22" spans="1:19" x14ac:dyDescent="0.3">
      <c r="A22" s="5" t="s">
        <v>5</v>
      </c>
      <c r="B22" s="6">
        <v>1</v>
      </c>
    </row>
    <row r="23" spans="1:19" x14ac:dyDescent="0.3">
      <c r="A23" s="5" t="s">
        <v>7</v>
      </c>
      <c r="B23" s="6" t="s">
        <v>8</v>
      </c>
    </row>
    <row r="24" spans="1:19" x14ac:dyDescent="0.3">
      <c r="A24" s="5" t="s">
        <v>2</v>
      </c>
      <c r="B24" s="6" t="s">
        <v>22</v>
      </c>
    </row>
    <row r="25" spans="1:19" x14ac:dyDescent="0.3">
      <c r="A25" s="5" t="s">
        <v>9</v>
      </c>
    </row>
    <row r="26" spans="1:19" s="1" customFormat="1" x14ac:dyDescent="0.3">
      <c r="A26" s="5" t="s">
        <v>10</v>
      </c>
      <c r="B26" s="5" t="s">
        <v>6</v>
      </c>
      <c r="C26" s="5" t="s">
        <v>3</v>
      </c>
      <c r="D26" s="5" t="s">
        <v>11</v>
      </c>
      <c r="E26" s="5" t="s">
        <v>7</v>
      </c>
      <c r="F26" s="5" t="s">
        <v>13</v>
      </c>
      <c r="G26" s="5" t="s">
        <v>12</v>
      </c>
      <c r="H26" s="5" t="s">
        <v>0</v>
      </c>
      <c r="I26" s="42" t="s">
        <v>656</v>
      </c>
      <c r="J26" s="42" t="s">
        <v>657</v>
      </c>
      <c r="K26" s="42" t="s">
        <v>658</v>
      </c>
      <c r="L26" s="42" t="s">
        <v>659</v>
      </c>
      <c r="M26" s="5" t="s">
        <v>2</v>
      </c>
      <c r="N26" s="5"/>
    </row>
    <row r="27" spans="1:19" x14ac:dyDescent="0.3">
      <c r="A27" s="6" t="s">
        <v>157</v>
      </c>
      <c r="B27" s="6" t="s">
        <v>158</v>
      </c>
      <c r="C27" s="6" t="s">
        <v>4</v>
      </c>
      <c r="D27" s="15">
        <v>1</v>
      </c>
      <c r="E27" s="6" t="s">
        <v>8</v>
      </c>
      <c r="F27" s="6" t="s">
        <v>14</v>
      </c>
      <c r="H27" s="6" t="str">
        <f>Intro!$B$3</f>
        <v>LIB raw materials</v>
      </c>
      <c r="I27" s="6"/>
      <c r="J27" s="6"/>
      <c r="K27" s="6"/>
      <c r="L27" s="6"/>
    </row>
    <row r="28" spans="1:19" x14ac:dyDescent="0.3">
      <c r="A28" s="6" t="s">
        <v>53</v>
      </c>
      <c r="B28" s="6" t="s">
        <v>159</v>
      </c>
      <c r="C28" s="6" t="s">
        <v>4</v>
      </c>
      <c r="D28" s="15">
        <f>1130/1000</f>
        <v>1.1299999999999999</v>
      </c>
      <c r="E28" s="6" t="s">
        <v>8</v>
      </c>
      <c r="F28" s="6" t="s">
        <v>15</v>
      </c>
      <c r="H28" s="6" t="str">
        <f>Intro!$B$3</f>
        <v>LIB raw materials</v>
      </c>
      <c r="I28" s="6">
        <v>5</v>
      </c>
      <c r="J28" s="15">
        <f t="shared" ref="J28:J36" si="0">D28</f>
        <v>1.1299999999999999</v>
      </c>
      <c r="K28" s="15">
        <f>J28*(1-0.02)</f>
        <v>1.1073999999999999</v>
      </c>
      <c r="L28" s="15">
        <f>J28*(1+0.02)</f>
        <v>1.1525999999999998</v>
      </c>
      <c r="M28" s="6" t="s">
        <v>674</v>
      </c>
    </row>
    <row r="29" spans="1:19" x14ac:dyDescent="0.3">
      <c r="A29" s="6" t="s">
        <v>27</v>
      </c>
      <c r="B29" s="6" t="s">
        <v>29</v>
      </c>
      <c r="C29" s="6" t="s">
        <v>4</v>
      </c>
      <c r="D29" s="15">
        <f>305/1000</f>
        <v>0.30499999999999999</v>
      </c>
      <c r="E29" s="6" t="s">
        <v>28</v>
      </c>
      <c r="F29" s="6" t="s">
        <v>15</v>
      </c>
      <c r="H29" s="6" t="str">
        <f>Intro!$B$4</f>
        <v>ecoinvent-3.10-cutoff</v>
      </c>
      <c r="I29" s="6">
        <v>5</v>
      </c>
      <c r="J29" s="15">
        <f t="shared" si="0"/>
        <v>0.30499999999999999</v>
      </c>
      <c r="K29" s="15">
        <f>J29*(1-0.1)</f>
        <v>0.27450000000000002</v>
      </c>
      <c r="L29" s="15">
        <f>J29*(1+0.1)</f>
        <v>0.33550000000000002</v>
      </c>
      <c r="M29" s="6" t="s">
        <v>671</v>
      </c>
    </row>
    <row r="30" spans="1:19" x14ac:dyDescent="0.3">
      <c r="A30" s="6" t="s">
        <v>31</v>
      </c>
      <c r="B30" s="6" t="s">
        <v>31</v>
      </c>
      <c r="C30" s="6" t="s">
        <v>18</v>
      </c>
      <c r="D30" s="15">
        <f>0.249/1000*43.4</f>
        <v>1.08066E-2</v>
      </c>
      <c r="E30" s="6" t="s">
        <v>30</v>
      </c>
      <c r="F30" s="6" t="s">
        <v>15</v>
      </c>
      <c r="H30" s="6" t="str">
        <f>Intro!$B$4</f>
        <v>ecoinvent-3.10-cutoff</v>
      </c>
      <c r="I30" s="6">
        <v>5</v>
      </c>
      <c r="J30" s="15">
        <f t="shared" si="0"/>
        <v>1.08066E-2</v>
      </c>
      <c r="K30" s="15">
        <f>J30*(1-0.1)</f>
        <v>9.7259400000000006E-3</v>
      </c>
      <c r="L30" s="15">
        <f>J30*(1+0.1)</f>
        <v>1.188726E-2</v>
      </c>
      <c r="M30" s="6" t="s">
        <v>672</v>
      </c>
    </row>
    <row r="31" spans="1:19" x14ac:dyDescent="0.3">
      <c r="A31" s="6" t="s">
        <v>79</v>
      </c>
      <c r="B31" s="6" t="s">
        <v>80</v>
      </c>
      <c r="C31" s="6" t="s">
        <v>24</v>
      </c>
      <c r="D31" s="15">
        <f>1050/1000</f>
        <v>1.05</v>
      </c>
      <c r="E31" s="6" t="s">
        <v>30</v>
      </c>
      <c r="F31" s="6" t="s">
        <v>15</v>
      </c>
      <c r="H31" s="6" t="str">
        <f>Intro!$B$4</f>
        <v>ecoinvent-3.10-cutoff</v>
      </c>
      <c r="I31" s="6">
        <v>5</v>
      </c>
      <c r="J31" s="15">
        <f t="shared" si="0"/>
        <v>1.05</v>
      </c>
      <c r="K31" s="15">
        <f>J31*(1-0.1)</f>
        <v>0.94500000000000006</v>
      </c>
      <c r="L31" s="15">
        <f>J31*(1+0.1)</f>
        <v>1.1550000000000002</v>
      </c>
      <c r="M31" s="6" t="s">
        <v>673</v>
      </c>
      <c r="O31" s="6"/>
      <c r="P31" s="6"/>
      <c r="Q31" s="6"/>
      <c r="S31"/>
    </row>
    <row r="32" spans="1:19" x14ac:dyDescent="0.3">
      <c r="A32" s="6" t="s">
        <v>252</v>
      </c>
      <c r="B32" s="6" t="s">
        <v>44</v>
      </c>
      <c r="C32" s="6" t="s">
        <v>24</v>
      </c>
      <c r="D32" s="15">
        <f>180/1000</f>
        <v>0.18</v>
      </c>
      <c r="E32" s="6" t="s">
        <v>8</v>
      </c>
      <c r="F32" s="6" t="s">
        <v>15</v>
      </c>
      <c r="H32" s="6" t="str">
        <f>Intro!$B$4</f>
        <v>ecoinvent-3.10-cutoff</v>
      </c>
      <c r="I32" s="6">
        <v>5</v>
      </c>
      <c r="J32" s="15">
        <f t="shared" si="0"/>
        <v>0.18</v>
      </c>
      <c r="K32" s="15">
        <f>J32*(1-0.05)</f>
        <v>0.17099999999999999</v>
      </c>
      <c r="L32" s="15">
        <f>J32*(1+0.05)</f>
        <v>0.189</v>
      </c>
      <c r="M32" s="6" t="s">
        <v>675</v>
      </c>
    </row>
    <row r="33" spans="1:19" x14ac:dyDescent="0.3">
      <c r="A33" s="6" t="s">
        <v>45</v>
      </c>
      <c r="B33" s="6" t="s">
        <v>46</v>
      </c>
      <c r="C33" s="6" t="s">
        <v>24</v>
      </c>
      <c r="D33" s="15">
        <f>200/1000</f>
        <v>0.2</v>
      </c>
      <c r="E33" s="6" t="s">
        <v>8</v>
      </c>
      <c r="F33" s="6" t="s">
        <v>15</v>
      </c>
      <c r="H33" s="6" t="str">
        <f>Intro!$B$4</f>
        <v>ecoinvent-3.10-cutoff</v>
      </c>
      <c r="I33" s="6">
        <v>5</v>
      </c>
      <c r="J33" s="15">
        <f t="shared" si="0"/>
        <v>0.2</v>
      </c>
      <c r="K33" s="15">
        <f>J33*(1-0.05)</f>
        <v>0.19</v>
      </c>
      <c r="L33" s="15">
        <f>J33*(1+0.05)</f>
        <v>0.21000000000000002</v>
      </c>
      <c r="M33" s="6" t="s">
        <v>676</v>
      </c>
    </row>
    <row r="34" spans="1:19" x14ac:dyDescent="0.3">
      <c r="A34" s="6" t="s">
        <v>47</v>
      </c>
      <c r="B34" s="6" t="s">
        <v>48</v>
      </c>
      <c r="C34" s="6" t="s">
        <v>4</v>
      </c>
      <c r="D34" s="15">
        <f>100/1000</f>
        <v>0.1</v>
      </c>
      <c r="E34" s="6" t="s">
        <v>8</v>
      </c>
      <c r="F34" s="6" t="s">
        <v>15</v>
      </c>
      <c r="H34" s="6" t="str">
        <f>Intro!$B$4</f>
        <v>ecoinvent-3.10-cutoff</v>
      </c>
      <c r="I34" s="6">
        <v>5</v>
      </c>
      <c r="J34" s="15">
        <f t="shared" si="0"/>
        <v>0.1</v>
      </c>
      <c r="K34" s="15">
        <f>J34*(1-0.05)</f>
        <v>9.5000000000000001E-2</v>
      </c>
      <c r="L34" s="15">
        <f>J34*(1+0.05)</f>
        <v>0.10500000000000001</v>
      </c>
      <c r="M34" s="6" t="s">
        <v>677</v>
      </c>
    </row>
    <row r="35" spans="1:19" x14ac:dyDescent="0.3">
      <c r="A35" s="6" t="s">
        <v>49</v>
      </c>
      <c r="B35" s="6" t="s">
        <v>50</v>
      </c>
      <c r="C35" s="6" t="s">
        <v>24</v>
      </c>
      <c r="D35" s="15">
        <f>25*1000/1000</f>
        <v>25</v>
      </c>
      <c r="E35" s="6" t="s">
        <v>8</v>
      </c>
      <c r="F35" s="6" t="s">
        <v>15</v>
      </c>
      <c r="H35" s="6" t="str">
        <f>Intro!$B$4</f>
        <v>ecoinvent-3.10-cutoff</v>
      </c>
      <c r="I35" s="6">
        <v>5</v>
      </c>
      <c r="J35" s="15">
        <f t="shared" si="0"/>
        <v>25</v>
      </c>
      <c r="K35" s="15">
        <f>J35*(1-0.1)</f>
        <v>22.5</v>
      </c>
      <c r="L35" s="15">
        <f>J35*(1+0.1)</f>
        <v>27.500000000000004</v>
      </c>
      <c r="M35" s="6" t="s">
        <v>678</v>
      </c>
    </row>
    <row r="36" spans="1:19" x14ac:dyDescent="0.3">
      <c r="A36" s="6" t="s">
        <v>51</v>
      </c>
      <c r="B36" s="6" t="s">
        <v>52</v>
      </c>
      <c r="C36" s="6" t="s">
        <v>24</v>
      </c>
      <c r="D36" s="15">
        <f>400/1000</f>
        <v>0.4</v>
      </c>
      <c r="E36" s="6" t="s">
        <v>8</v>
      </c>
      <c r="F36" s="6" t="s">
        <v>15</v>
      </c>
      <c r="H36" s="6" t="str">
        <f>Intro!$B$4</f>
        <v>ecoinvent-3.10-cutoff</v>
      </c>
      <c r="I36" s="6">
        <v>5</v>
      </c>
      <c r="J36" s="15">
        <f t="shared" si="0"/>
        <v>0.4</v>
      </c>
      <c r="K36" s="15">
        <f>J36*(1-0.15)</f>
        <v>0.34</v>
      </c>
      <c r="L36" s="15">
        <f>J36*(1+0.15)</f>
        <v>0.45999999999999996</v>
      </c>
      <c r="M36" s="6" t="s">
        <v>679</v>
      </c>
    </row>
    <row r="37" spans="1:19" x14ac:dyDescent="0.3">
      <c r="A37" s="6" t="s">
        <v>56</v>
      </c>
      <c r="B37" s="6" t="s">
        <v>57</v>
      </c>
      <c r="C37" s="6" t="s">
        <v>24</v>
      </c>
      <c r="D37" s="15">
        <f>-24.773/1000</f>
        <v>-2.4773E-2</v>
      </c>
      <c r="E37" s="6" t="s">
        <v>43</v>
      </c>
      <c r="F37" s="6" t="s">
        <v>15</v>
      </c>
      <c r="H37" s="6" t="str">
        <f>Intro!$B$4</f>
        <v>ecoinvent-3.10-cutoff</v>
      </c>
      <c r="I37" s="6"/>
      <c r="J37" s="6"/>
      <c r="K37" s="6"/>
      <c r="L37" s="6"/>
    </row>
    <row r="38" spans="1:19" x14ac:dyDescent="0.3">
      <c r="A38" s="6" t="s">
        <v>54</v>
      </c>
      <c r="D38" s="14">
        <f>320.145/1000/1000</f>
        <v>3.2014499999999998E-4</v>
      </c>
      <c r="E38" s="6" t="s">
        <v>43</v>
      </c>
      <c r="F38" s="6" t="s">
        <v>39</v>
      </c>
      <c r="G38" s="6" t="s">
        <v>38</v>
      </c>
      <c r="H38" s="6" t="str">
        <f>Intro!$B$5</f>
        <v>ecoinvent-3.10-biosphere</v>
      </c>
      <c r="I38" s="6"/>
      <c r="J38" s="6"/>
      <c r="K38" s="6"/>
      <c r="L38" s="6"/>
      <c r="M38" s="6" t="s">
        <v>55</v>
      </c>
    </row>
    <row r="39" spans="1:19" s="4" customFormat="1" x14ac:dyDescent="0.3">
      <c r="A39" s="8"/>
      <c r="B39" s="8"/>
      <c r="C39" s="8"/>
      <c r="E39" s="8"/>
      <c r="F39" s="8"/>
      <c r="G39" s="8"/>
      <c r="M39" s="8"/>
      <c r="N39" s="8"/>
      <c r="S39" s="8"/>
    </row>
    <row r="40" spans="1:19" x14ac:dyDescent="0.3">
      <c r="A40" s="5" t="s">
        <v>1</v>
      </c>
      <c r="B40" s="5" t="s">
        <v>53</v>
      </c>
    </row>
    <row r="41" spans="1:19" x14ac:dyDescent="0.3">
      <c r="A41" s="5" t="s">
        <v>6</v>
      </c>
      <c r="B41" s="6" t="s">
        <v>159</v>
      </c>
    </row>
    <row r="42" spans="1:19" x14ac:dyDescent="0.3">
      <c r="A42" s="5" t="s">
        <v>3</v>
      </c>
      <c r="B42" s="6" t="s">
        <v>4</v>
      </c>
    </row>
    <row r="43" spans="1:19" x14ac:dyDescent="0.3">
      <c r="A43" s="5" t="s">
        <v>5</v>
      </c>
      <c r="B43" s="6">
        <v>1</v>
      </c>
    </row>
    <row r="44" spans="1:19" x14ac:dyDescent="0.3">
      <c r="A44" s="5" t="s">
        <v>7</v>
      </c>
      <c r="B44" s="6" t="s">
        <v>8</v>
      </c>
    </row>
    <row r="45" spans="1:19" x14ac:dyDescent="0.3">
      <c r="A45" s="5" t="s">
        <v>21</v>
      </c>
      <c r="B45" s="6" t="s">
        <v>22</v>
      </c>
    </row>
    <row r="46" spans="1:19" x14ac:dyDescent="0.3">
      <c r="A46" s="5" t="s">
        <v>9</v>
      </c>
    </row>
    <row r="47" spans="1:19" s="1" customFormat="1" x14ac:dyDescent="0.3">
      <c r="A47" s="5" t="s">
        <v>10</v>
      </c>
      <c r="B47" s="5" t="s">
        <v>6</v>
      </c>
      <c r="C47" s="5" t="s">
        <v>3</v>
      </c>
      <c r="D47" s="5" t="s">
        <v>11</v>
      </c>
      <c r="E47" s="5" t="s">
        <v>7</v>
      </c>
      <c r="F47" s="5" t="s">
        <v>13</v>
      </c>
      <c r="G47" s="5" t="s">
        <v>12</v>
      </c>
      <c r="H47" s="5" t="s">
        <v>0</v>
      </c>
      <c r="I47" s="42" t="s">
        <v>656</v>
      </c>
      <c r="J47" s="42" t="s">
        <v>657</v>
      </c>
      <c r="K47" s="42" t="s">
        <v>658</v>
      </c>
      <c r="L47" s="42" t="s">
        <v>659</v>
      </c>
      <c r="M47" s="5" t="s">
        <v>2</v>
      </c>
      <c r="N47" s="5"/>
    </row>
    <row r="48" spans="1:19" x14ac:dyDescent="0.3">
      <c r="A48" s="6" t="s">
        <v>53</v>
      </c>
      <c r="B48" s="6" t="s">
        <v>159</v>
      </c>
      <c r="C48" s="6" t="s">
        <v>4</v>
      </c>
      <c r="D48" s="15">
        <v>1</v>
      </c>
      <c r="E48" s="6" t="s">
        <v>8</v>
      </c>
      <c r="F48" s="6" t="s">
        <v>14</v>
      </c>
      <c r="H48" s="6" t="str">
        <f>Intro!$B$3</f>
        <v>LIB raw materials</v>
      </c>
      <c r="I48" s="6"/>
      <c r="J48" s="6"/>
      <c r="K48" s="6"/>
      <c r="L48" s="6"/>
      <c r="S48" s="60"/>
    </row>
    <row r="49" spans="1:19" x14ac:dyDescent="0.3">
      <c r="A49" s="6" t="s">
        <v>58</v>
      </c>
      <c r="B49" s="6" t="s">
        <v>59</v>
      </c>
      <c r="C49" s="6" t="s">
        <v>4</v>
      </c>
      <c r="D49" s="15">
        <f>2220/1000</f>
        <v>2.2200000000000002</v>
      </c>
      <c r="E49" s="6" t="s">
        <v>8</v>
      </c>
      <c r="F49" s="6" t="s">
        <v>15</v>
      </c>
      <c r="H49" s="6" t="str">
        <f>Intro!$B$3</f>
        <v>LIB raw materials</v>
      </c>
      <c r="I49" s="6">
        <v>5</v>
      </c>
      <c r="J49" s="15">
        <f>D49</f>
        <v>2.2200000000000002</v>
      </c>
      <c r="K49" s="15">
        <f>J49*(1-0.02)</f>
        <v>2.1756000000000002</v>
      </c>
      <c r="L49" s="15">
        <f>J49*(1+0.02)</f>
        <v>2.2644000000000002</v>
      </c>
      <c r="M49" s="6" t="s">
        <v>670</v>
      </c>
    </row>
    <row r="50" spans="1:19" x14ac:dyDescent="0.3">
      <c r="A50" s="6" t="s">
        <v>27</v>
      </c>
      <c r="B50" s="6" t="s">
        <v>29</v>
      </c>
      <c r="C50" s="6" t="s">
        <v>4</v>
      </c>
      <c r="D50" s="15">
        <f>2100/1000</f>
        <v>2.1</v>
      </c>
      <c r="E50" s="6" t="s">
        <v>28</v>
      </c>
      <c r="F50" s="6" t="s">
        <v>15</v>
      </c>
      <c r="H50" s="6" t="str">
        <f>Intro!$B$4</f>
        <v>ecoinvent-3.10-cutoff</v>
      </c>
      <c r="I50" s="6">
        <v>5</v>
      </c>
      <c r="J50" s="15">
        <f>D50</f>
        <v>2.1</v>
      </c>
      <c r="K50" s="15">
        <f>J50*(1-0.1)</f>
        <v>1.8900000000000001</v>
      </c>
      <c r="L50" s="15">
        <f>J50*(1+0.1)</f>
        <v>2.3100000000000005</v>
      </c>
      <c r="M50" s="6" t="s">
        <v>668</v>
      </c>
    </row>
    <row r="51" spans="1:19" x14ac:dyDescent="0.3">
      <c r="A51" s="6" t="s">
        <v>31</v>
      </c>
      <c r="B51" s="6" t="s">
        <v>31</v>
      </c>
      <c r="C51" s="6" t="s">
        <v>18</v>
      </c>
      <c r="D51" s="15">
        <f>0.415/1000*43.4</f>
        <v>1.8010999999999999E-2</v>
      </c>
      <c r="E51" s="6" t="s">
        <v>30</v>
      </c>
      <c r="F51" s="6" t="s">
        <v>15</v>
      </c>
      <c r="H51" s="6" t="str">
        <f>Intro!$B$4</f>
        <v>ecoinvent-3.10-cutoff</v>
      </c>
      <c r="I51" s="6">
        <v>5</v>
      </c>
      <c r="J51" s="15">
        <f>D51</f>
        <v>1.8010999999999999E-2</v>
      </c>
      <c r="K51" s="15">
        <f>J51*(1-0.1)</f>
        <v>1.6209899999999999E-2</v>
      </c>
      <c r="L51" s="15">
        <f>J51*(1+0.1)</f>
        <v>1.9812099999999999E-2</v>
      </c>
      <c r="M51" s="6" t="s">
        <v>669</v>
      </c>
    </row>
    <row r="52" spans="1:19" s="4" customFormat="1" x14ac:dyDescent="0.3">
      <c r="A52" s="8"/>
      <c r="B52" s="8"/>
      <c r="C52" s="8"/>
      <c r="E52" s="8"/>
      <c r="F52" s="8"/>
      <c r="G52" s="8"/>
      <c r="M52" s="8"/>
      <c r="N52" s="8"/>
      <c r="S52" s="8"/>
    </row>
    <row r="53" spans="1:19" x14ac:dyDescent="0.3">
      <c r="A53" s="5" t="s">
        <v>1</v>
      </c>
      <c r="B53" s="5" t="s">
        <v>58</v>
      </c>
    </row>
    <row r="54" spans="1:19" x14ac:dyDescent="0.3">
      <c r="A54" s="5" t="s">
        <v>6</v>
      </c>
      <c r="B54" s="6" t="s">
        <v>59</v>
      </c>
    </row>
    <row r="55" spans="1:19" x14ac:dyDescent="0.3">
      <c r="A55" s="5" t="s">
        <v>3</v>
      </c>
      <c r="B55" s="6" t="s">
        <v>4</v>
      </c>
    </row>
    <row r="56" spans="1:19" x14ac:dyDescent="0.3">
      <c r="A56" s="5" t="s">
        <v>5</v>
      </c>
      <c r="B56" s="6">
        <v>1</v>
      </c>
    </row>
    <row r="57" spans="1:19" x14ac:dyDescent="0.3">
      <c r="A57" s="5" t="s">
        <v>7</v>
      </c>
      <c r="B57" s="6" t="s">
        <v>8</v>
      </c>
    </row>
    <row r="58" spans="1:19" x14ac:dyDescent="0.3">
      <c r="A58" s="5" t="s">
        <v>2</v>
      </c>
      <c r="B58" s="6" t="s">
        <v>60</v>
      </c>
    </row>
    <row r="59" spans="1:19" x14ac:dyDescent="0.3">
      <c r="A59" s="5" t="s">
        <v>9</v>
      </c>
    </row>
    <row r="60" spans="1:19" s="1" customFormat="1" x14ac:dyDescent="0.3">
      <c r="A60" s="5" t="s">
        <v>10</v>
      </c>
      <c r="B60" s="5" t="s">
        <v>6</v>
      </c>
      <c r="C60" s="5" t="s">
        <v>3</v>
      </c>
      <c r="D60" s="5" t="s">
        <v>11</v>
      </c>
      <c r="E60" s="5" t="s">
        <v>7</v>
      </c>
      <c r="F60" s="5" t="s">
        <v>13</v>
      </c>
      <c r="G60" s="5" t="s">
        <v>12</v>
      </c>
      <c r="H60" s="5" t="s">
        <v>0</v>
      </c>
      <c r="I60" s="42" t="s">
        <v>656</v>
      </c>
      <c r="J60" s="42" t="s">
        <v>657</v>
      </c>
      <c r="K60" s="42" t="s">
        <v>658</v>
      </c>
      <c r="L60" s="42" t="s">
        <v>659</v>
      </c>
      <c r="M60" s="5" t="s">
        <v>2</v>
      </c>
      <c r="N60" s="5"/>
    </row>
    <row r="61" spans="1:19" x14ac:dyDescent="0.3">
      <c r="A61" s="6" t="s">
        <v>58</v>
      </c>
      <c r="B61" s="6" t="s">
        <v>59</v>
      </c>
      <c r="C61" s="6" t="s">
        <v>4</v>
      </c>
      <c r="D61" s="15">
        <v>1</v>
      </c>
      <c r="E61" s="6" t="s">
        <v>8</v>
      </c>
      <c r="F61" s="6" t="s">
        <v>14</v>
      </c>
      <c r="H61" s="6" t="str">
        <f>Intro!$B$3</f>
        <v>LIB raw materials</v>
      </c>
      <c r="I61" s="6"/>
      <c r="J61" s="6"/>
      <c r="K61" s="6"/>
      <c r="L61" s="6"/>
    </row>
    <row r="62" spans="1:19" x14ac:dyDescent="0.3">
      <c r="A62" s="6" t="s">
        <v>61</v>
      </c>
      <c r="B62" s="6" t="s">
        <v>62</v>
      </c>
      <c r="C62" s="6" t="s">
        <v>4</v>
      </c>
      <c r="D62" s="15">
        <f>9590/1000</f>
        <v>9.59</v>
      </c>
      <c r="E62" s="6" t="s">
        <v>8</v>
      </c>
      <c r="F62" s="6" t="s">
        <v>15</v>
      </c>
      <c r="H62" s="6" t="str">
        <f>Intro!$B$3</f>
        <v>LIB raw materials</v>
      </c>
      <c r="I62" s="6"/>
      <c r="J62" s="15"/>
      <c r="K62" s="15"/>
      <c r="L62" s="15"/>
      <c r="M62" s="6" t="s">
        <v>63</v>
      </c>
    </row>
    <row r="63" spans="1:19" x14ac:dyDescent="0.3">
      <c r="A63" s="6" t="s">
        <v>27</v>
      </c>
      <c r="B63" s="6" t="s">
        <v>29</v>
      </c>
      <c r="C63" s="6" t="s">
        <v>4</v>
      </c>
      <c r="D63" s="15">
        <f>506/1000</f>
        <v>0.50600000000000001</v>
      </c>
      <c r="E63" s="6" t="s">
        <v>28</v>
      </c>
      <c r="F63" s="6" t="s">
        <v>15</v>
      </c>
      <c r="H63" s="6" t="str">
        <f>Intro!$B$4</f>
        <v>ecoinvent-3.10-cutoff</v>
      </c>
      <c r="I63" s="6">
        <v>5</v>
      </c>
      <c r="J63" s="15">
        <f>D63</f>
        <v>0.50600000000000001</v>
      </c>
      <c r="K63" s="15">
        <f>J63*(1-0.1)</f>
        <v>0.45540000000000003</v>
      </c>
      <c r="L63" s="15">
        <f>J63*(1+0.1)</f>
        <v>0.55660000000000009</v>
      </c>
      <c r="M63" s="6" t="s">
        <v>663</v>
      </c>
    </row>
    <row r="64" spans="1:19" x14ac:dyDescent="0.3">
      <c r="A64" s="6" t="s">
        <v>178</v>
      </c>
      <c r="B64" s="6" t="s">
        <v>179</v>
      </c>
      <c r="C64" s="6" t="s">
        <v>24</v>
      </c>
      <c r="D64" s="15">
        <f>50*28.9/1000</f>
        <v>1.4450000000000001</v>
      </c>
      <c r="E64" s="6" t="s">
        <v>30</v>
      </c>
      <c r="F64" s="6" t="s">
        <v>15</v>
      </c>
      <c r="H64" s="6" t="str">
        <f>Intro!$B$4</f>
        <v>ecoinvent-3.10-cutoff</v>
      </c>
      <c r="I64" s="6">
        <v>5</v>
      </c>
      <c r="J64" s="15">
        <f>D64</f>
        <v>1.4450000000000001</v>
      </c>
      <c r="K64" s="15">
        <f>J64*(1-0.1)</f>
        <v>1.3005</v>
      </c>
      <c r="L64" s="15">
        <f>J64*(1+0.1)</f>
        <v>1.5895000000000001</v>
      </c>
      <c r="M64" s="6" t="s">
        <v>664</v>
      </c>
    </row>
    <row r="65" spans="1:19" x14ac:dyDescent="0.3">
      <c r="A65" s="6" t="s">
        <v>31</v>
      </c>
      <c r="B65" s="6" t="s">
        <v>31</v>
      </c>
      <c r="C65" s="6" t="s">
        <v>18</v>
      </c>
      <c r="D65" s="15">
        <f>0.996*43.4/1000</f>
        <v>4.3226399999999998E-2</v>
      </c>
      <c r="E65" s="6" t="s">
        <v>30</v>
      </c>
      <c r="F65" s="6" t="s">
        <v>15</v>
      </c>
      <c r="H65" s="6" t="str">
        <f>Intro!$B$4</f>
        <v>ecoinvent-3.10-cutoff</v>
      </c>
      <c r="I65" s="6">
        <v>5</v>
      </c>
      <c r="J65" s="15">
        <f>D65</f>
        <v>4.3226399999999998E-2</v>
      </c>
      <c r="K65" s="15">
        <f>J65*(1-0.1)</f>
        <v>3.8903760000000003E-2</v>
      </c>
      <c r="L65" s="15">
        <f>J65*(1+0.1)</f>
        <v>4.7549040000000001E-2</v>
      </c>
      <c r="M65" s="6" t="s">
        <v>665</v>
      </c>
    </row>
    <row r="66" spans="1:19" x14ac:dyDescent="0.3">
      <c r="A66" s="6" t="s">
        <v>456</v>
      </c>
      <c r="B66" s="6" t="s">
        <v>457</v>
      </c>
      <c r="C66" s="6" t="s">
        <v>24</v>
      </c>
      <c r="D66" s="15">
        <f>1.551/1000</f>
        <v>1.5509999999999999E-3</v>
      </c>
      <c r="E66" s="6" t="s">
        <v>8</v>
      </c>
      <c r="F66" s="6" t="s">
        <v>15</v>
      </c>
      <c r="H66" s="6" t="str">
        <f>Intro!$B$3</f>
        <v>LIB raw materials</v>
      </c>
      <c r="I66" s="6">
        <v>5</v>
      </c>
      <c r="J66" s="15">
        <f>D66</f>
        <v>1.5509999999999999E-3</v>
      </c>
      <c r="K66" s="15">
        <f>J66*(1-0.1)</f>
        <v>1.3958999999999998E-3</v>
      </c>
      <c r="L66" s="15">
        <f>J66*(1+0.1)</f>
        <v>1.7060999999999999E-3</v>
      </c>
      <c r="M66" s="6" t="s">
        <v>666</v>
      </c>
    </row>
    <row r="67" spans="1:19" x14ac:dyDescent="0.3">
      <c r="A67" s="6" t="s">
        <v>49</v>
      </c>
      <c r="B67" s="6" t="s">
        <v>50</v>
      </c>
      <c r="C67" s="6" t="s">
        <v>24</v>
      </c>
      <c r="D67" s="15">
        <f>22.027*1000/1000</f>
        <v>22.027000000000001</v>
      </c>
      <c r="E67" s="6" t="s">
        <v>8</v>
      </c>
      <c r="F67" s="6" t="s">
        <v>15</v>
      </c>
      <c r="H67" s="6" t="str">
        <f>Intro!$B$4</f>
        <v>ecoinvent-3.10-cutoff</v>
      </c>
      <c r="I67" s="6">
        <v>5</v>
      </c>
      <c r="J67" s="15">
        <f>D67</f>
        <v>22.027000000000001</v>
      </c>
      <c r="K67" s="15">
        <f>J67*(1-0.05)</f>
        <v>20.925650000000001</v>
      </c>
      <c r="L67" s="15">
        <f>J67*(1+0.05)</f>
        <v>23.128350000000001</v>
      </c>
      <c r="M67" s="6" t="s">
        <v>667</v>
      </c>
    </row>
    <row r="68" spans="1:19" x14ac:dyDescent="0.3">
      <c r="A68" s="6" t="s">
        <v>56</v>
      </c>
      <c r="B68" s="6" t="s">
        <v>57</v>
      </c>
      <c r="C68" s="6" t="s">
        <v>24</v>
      </c>
      <c r="D68" s="15">
        <f>-21.707/1000</f>
        <v>-2.1707000000000001E-2</v>
      </c>
      <c r="E68" s="6" t="s">
        <v>43</v>
      </c>
      <c r="F68" s="6" t="s">
        <v>15</v>
      </c>
      <c r="H68" s="6" t="str">
        <f>Intro!$B$4</f>
        <v>ecoinvent-3.10-cutoff</v>
      </c>
      <c r="I68" s="6"/>
      <c r="J68" s="6"/>
      <c r="K68" s="6"/>
      <c r="L68" s="6"/>
      <c r="M68" s="6" t="s">
        <v>66</v>
      </c>
    </row>
    <row r="69" spans="1:19" x14ac:dyDescent="0.3">
      <c r="A69" s="6" t="s">
        <v>67</v>
      </c>
      <c r="B69" s="6" t="s">
        <v>68</v>
      </c>
      <c r="C69" s="6" t="s">
        <v>18</v>
      </c>
      <c r="D69" s="15">
        <f>-8596/1000</f>
        <v>-8.5960000000000001</v>
      </c>
      <c r="E69" s="6" t="s">
        <v>8</v>
      </c>
      <c r="F69" s="6" t="s">
        <v>15</v>
      </c>
      <c r="H69" s="6" t="str">
        <f>Intro!$B$4</f>
        <v>ecoinvent-3.10-cutoff</v>
      </c>
      <c r="I69" s="6"/>
      <c r="J69" s="6"/>
      <c r="K69" s="6"/>
      <c r="L69" s="6"/>
    </row>
    <row r="70" spans="1:19" x14ac:dyDescent="0.3">
      <c r="A70" s="6" t="s">
        <v>23</v>
      </c>
      <c r="B70" s="6" t="s">
        <v>25</v>
      </c>
      <c r="C70" s="6" t="s">
        <v>24</v>
      </c>
      <c r="D70" s="15">
        <f>(2*D62)/1000</f>
        <v>1.9179999999999999E-2</v>
      </c>
      <c r="E70" s="6" t="s">
        <v>17</v>
      </c>
      <c r="F70" s="6" t="s">
        <v>15</v>
      </c>
      <c r="H70" s="6" t="str">
        <f>Intro!$B$4</f>
        <v>ecoinvent-3.10-cutoff</v>
      </c>
      <c r="I70" s="6"/>
      <c r="J70" s="6"/>
      <c r="K70" s="6"/>
      <c r="L70" s="6"/>
      <c r="M70" s="6" t="s">
        <v>69</v>
      </c>
    </row>
    <row r="71" spans="1:19" x14ac:dyDescent="0.3">
      <c r="A71" s="6" t="s">
        <v>54</v>
      </c>
      <c r="D71" s="15">
        <f>320.145/1000</f>
        <v>0.32014499999999996</v>
      </c>
      <c r="E71" s="6" t="s">
        <v>43</v>
      </c>
      <c r="F71" s="6" t="s">
        <v>39</v>
      </c>
      <c r="G71" s="6" t="s">
        <v>38</v>
      </c>
      <c r="H71" s="6" t="str">
        <f>Intro!$B$5</f>
        <v>ecoinvent-3.10-biosphere</v>
      </c>
      <c r="I71" s="6"/>
      <c r="J71" s="6"/>
      <c r="K71" s="6"/>
      <c r="L71" s="6"/>
      <c r="M71" s="6" t="s">
        <v>55</v>
      </c>
    </row>
    <row r="72" spans="1:19" s="4" customFormat="1" x14ac:dyDescent="0.3">
      <c r="A72" s="8"/>
      <c r="B72" s="8"/>
      <c r="C72" s="8"/>
      <c r="E72" s="8"/>
      <c r="F72" s="8"/>
      <c r="G72" s="8"/>
      <c r="M72" s="8"/>
      <c r="N72" s="8"/>
      <c r="S72" s="8"/>
    </row>
    <row r="73" spans="1:19" x14ac:dyDescent="0.3">
      <c r="A73" s="5" t="s">
        <v>1</v>
      </c>
      <c r="B73" s="5" t="s">
        <v>61</v>
      </c>
    </row>
    <row r="74" spans="1:19" x14ac:dyDescent="0.3">
      <c r="A74" s="5" t="s">
        <v>6</v>
      </c>
      <c r="B74" s="6" t="s">
        <v>62</v>
      </c>
    </row>
    <row r="75" spans="1:19" x14ac:dyDescent="0.3">
      <c r="A75" s="5" t="s">
        <v>3</v>
      </c>
      <c r="B75" s="6" t="s">
        <v>4</v>
      </c>
    </row>
    <row r="76" spans="1:19" x14ac:dyDescent="0.3">
      <c r="A76" s="5" t="s">
        <v>5</v>
      </c>
      <c r="B76" s="6">
        <v>1</v>
      </c>
    </row>
    <row r="77" spans="1:19" x14ac:dyDescent="0.3">
      <c r="A77" s="5" t="s">
        <v>7</v>
      </c>
      <c r="B77" s="6" t="s">
        <v>8</v>
      </c>
    </row>
    <row r="78" spans="1:19" x14ac:dyDescent="0.3">
      <c r="A78" s="5" t="s">
        <v>2</v>
      </c>
      <c r="B78" s="6" t="s">
        <v>70</v>
      </c>
    </row>
    <row r="79" spans="1:19" x14ac:dyDescent="0.3">
      <c r="A79" s="5" t="s">
        <v>9</v>
      </c>
    </row>
    <row r="80" spans="1:19" s="1" customFormat="1" x14ac:dyDescent="0.3">
      <c r="A80" s="5" t="s">
        <v>10</v>
      </c>
      <c r="B80" s="5" t="s">
        <v>6</v>
      </c>
      <c r="C80" s="5" t="s">
        <v>3</v>
      </c>
      <c r="D80" s="5" t="s">
        <v>11</v>
      </c>
      <c r="E80" s="5" t="s">
        <v>7</v>
      </c>
      <c r="F80" s="5" t="s">
        <v>13</v>
      </c>
      <c r="G80" s="5" t="s">
        <v>12</v>
      </c>
      <c r="H80" s="5" t="s">
        <v>0</v>
      </c>
      <c r="I80" s="42" t="s">
        <v>656</v>
      </c>
      <c r="J80" s="42" t="s">
        <v>657</v>
      </c>
      <c r="K80" s="42" t="s">
        <v>658</v>
      </c>
      <c r="L80" s="42" t="s">
        <v>659</v>
      </c>
      <c r="M80" s="5" t="s">
        <v>2</v>
      </c>
      <c r="N80" s="5"/>
    </row>
    <row r="81" spans="1:13" x14ac:dyDescent="0.3">
      <c r="A81" s="6" t="s">
        <v>61</v>
      </c>
      <c r="B81" s="6" t="s">
        <v>62</v>
      </c>
      <c r="C81" s="6" t="s">
        <v>4</v>
      </c>
      <c r="D81" s="15">
        <v>1</v>
      </c>
      <c r="E81" s="6" t="s">
        <v>8</v>
      </c>
      <c r="F81" s="6" t="s">
        <v>14</v>
      </c>
      <c r="H81" s="6" t="str">
        <f>Intro!$B$3</f>
        <v>LIB raw materials</v>
      </c>
      <c r="I81" s="6"/>
      <c r="J81" s="6"/>
      <c r="K81" s="6"/>
      <c r="L81" s="6"/>
    </row>
    <row r="82" spans="1:13" x14ac:dyDescent="0.3">
      <c r="A82" s="6" t="s">
        <v>27</v>
      </c>
      <c r="B82" s="6" t="s">
        <v>29</v>
      </c>
      <c r="C82" s="6" t="s">
        <v>4</v>
      </c>
      <c r="D82" s="15">
        <f>8.7/1000</f>
        <v>8.6999999999999994E-3</v>
      </c>
      <c r="E82" s="6" t="s">
        <v>28</v>
      </c>
      <c r="F82" s="6" t="s">
        <v>15</v>
      </c>
      <c r="H82" s="6" t="str">
        <f>Intro!$B$4</f>
        <v>ecoinvent-3.10-cutoff</v>
      </c>
      <c r="I82" s="6">
        <v>5</v>
      </c>
      <c r="J82" s="15">
        <f>D82</f>
        <v>8.6999999999999994E-3</v>
      </c>
      <c r="K82" s="15">
        <f>J82*(1-0.1)</f>
        <v>7.8300000000000002E-3</v>
      </c>
      <c r="L82" s="15">
        <f>J82*(1+0.1)</f>
        <v>9.5700000000000004E-3</v>
      </c>
      <c r="M82" s="6" t="s">
        <v>660</v>
      </c>
    </row>
    <row r="83" spans="1:13" x14ac:dyDescent="0.3">
      <c r="A83" s="6" t="s">
        <v>31</v>
      </c>
      <c r="B83" s="6" t="s">
        <v>31</v>
      </c>
      <c r="C83" s="6" t="s">
        <v>18</v>
      </c>
      <c r="D83" s="15">
        <f>2.241*43.4/1000</f>
        <v>9.7259399999999996E-2</v>
      </c>
      <c r="E83" s="6" t="s">
        <v>30</v>
      </c>
      <c r="F83" s="6" t="s">
        <v>15</v>
      </c>
      <c r="H83" s="6" t="str">
        <f>Intro!$B$4</f>
        <v>ecoinvent-3.10-cutoff</v>
      </c>
      <c r="I83" s="6">
        <v>5</v>
      </c>
      <c r="J83" s="15">
        <f>D83</f>
        <v>9.7259399999999996E-2</v>
      </c>
      <c r="K83" s="15">
        <f>J83*(1-0.1)</f>
        <v>8.7533459999999993E-2</v>
      </c>
      <c r="L83" s="15">
        <f>J83*(1+0.1)</f>
        <v>0.10698534</v>
      </c>
      <c r="M83" s="6" t="s">
        <v>661</v>
      </c>
    </row>
    <row r="84" spans="1:13" x14ac:dyDescent="0.3">
      <c r="A84" s="6" t="s">
        <v>71</v>
      </c>
      <c r="B84" s="6" t="s">
        <v>72</v>
      </c>
      <c r="C84" s="6" t="s">
        <v>18</v>
      </c>
      <c r="D84" s="14">
        <f>0.248/1000</f>
        <v>2.4800000000000001E-4</v>
      </c>
      <c r="E84" s="6" t="s">
        <v>8</v>
      </c>
      <c r="F84" s="6" t="s">
        <v>15</v>
      </c>
      <c r="H84" s="6" t="str">
        <f>Intro!$B$4</f>
        <v>ecoinvent-3.10-cutoff</v>
      </c>
      <c r="I84" s="6">
        <v>5</v>
      </c>
      <c r="J84" s="14">
        <f>D84</f>
        <v>2.4800000000000001E-4</v>
      </c>
      <c r="K84" s="14">
        <f>J84*(1-0.05)</f>
        <v>2.3560000000000001E-4</v>
      </c>
      <c r="L84" s="14">
        <f>J84*(1+0.05)</f>
        <v>2.6040000000000004E-4</v>
      </c>
      <c r="M84" s="6" t="s">
        <v>662</v>
      </c>
    </row>
    <row r="85" spans="1:13" x14ac:dyDescent="0.3">
      <c r="A85" s="6" t="s">
        <v>54</v>
      </c>
      <c r="D85" s="14">
        <f>0.113/1000/1000</f>
        <v>1.1300000000000001E-7</v>
      </c>
      <c r="E85" s="6" t="s">
        <v>43</v>
      </c>
      <c r="F85" s="6" t="s">
        <v>39</v>
      </c>
      <c r="G85" s="6" t="s">
        <v>38</v>
      </c>
      <c r="H85" s="6" t="str">
        <f>Intro!$B$5</f>
        <v>ecoinvent-3.10-biosphere</v>
      </c>
      <c r="I85" s="6"/>
      <c r="J85" s="6"/>
      <c r="K85" s="6"/>
      <c r="L85" s="6"/>
      <c r="M85" s="6" t="s">
        <v>73</v>
      </c>
    </row>
    <row r="86" spans="1:13" x14ac:dyDescent="0.3">
      <c r="A86" s="6" t="s">
        <v>74</v>
      </c>
      <c r="D86" s="14">
        <f>0.138/1000</f>
        <v>1.3800000000000002E-4</v>
      </c>
      <c r="E86" s="6" t="s">
        <v>8</v>
      </c>
      <c r="F86" s="6" t="s">
        <v>39</v>
      </c>
      <c r="G86" s="6" t="s">
        <v>38</v>
      </c>
      <c r="H86" s="6" t="str">
        <f>Intro!$B$5</f>
        <v>ecoinvent-3.10-biosphere</v>
      </c>
      <c r="I86" s="6"/>
      <c r="J86" s="6"/>
      <c r="K86" s="6"/>
      <c r="L86" s="6"/>
      <c r="M86" s="6" t="s">
        <v>73</v>
      </c>
    </row>
    <row r="87" spans="1:13" x14ac:dyDescent="0.3">
      <c r="A87" s="6" t="s">
        <v>176</v>
      </c>
      <c r="D87" s="15">
        <f>5/1000</f>
        <v>5.0000000000000001E-3</v>
      </c>
      <c r="E87" s="6" t="s">
        <v>8</v>
      </c>
      <c r="F87" s="6" t="s">
        <v>39</v>
      </c>
      <c r="G87" s="6" t="s">
        <v>38</v>
      </c>
      <c r="H87" s="6" t="str">
        <f>Intro!$B$5</f>
        <v>ecoinvent-3.10-biosphere</v>
      </c>
      <c r="I87" s="6"/>
      <c r="J87" s="6"/>
      <c r="K87" s="6"/>
      <c r="L87" s="6"/>
      <c r="M87" s="6" t="s">
        <v>75</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CCAE1-AADE-4D85-A6C2-DF07BF45D505}">
  <dimension ref="A1:Q97"/>
  <sheetViews>
    <sheetView topLeftCell="A16" zoomScale="85" zoomScaleNormal="85" workbookViewId="0">
      <selection activeCell="I1" sqref="I1:I1048576"/>
    </sheetView>
  </sheetViews>
  <sheetFormatPr defaultRowHeight="14.4" x14ac:dyDescent="0.3"/>
  <cols>
    <col min="1" max="1" width="42.88671875" bestFit="1" customWidth="1"/>
    <col min="2" max="2" width="37.88671875" customWidth="1"/>
    <col min="3" max="3" width="8.109375" bestFit="1" customWidth="1"/>
    <col min="4" max="4" width="9.5546875" bestFit="1" customWidth="1"/>
    <col min="5" max="5" width="13.5546875" bestFit="1" customWidth="1"/>
    <col min="6" max="6" width="13.88671875" bestFit="1" customWidth="1"/>
    <col min="7" max="7" width="10.109375" bestFit="1" customWidth="1"/>
    <col min="8" max="8" width="24.88671875" bestFit="1" customWidth="1"/>
    <col min="9" max="9" width="15.6640625" customWidth="1"/>
    <col min="10" max="10" width="13.6640625" bestFit="1" customWidth="1"/>
    <col min="11" max="11" width="48.6640625" bestFit="1" customWidth="1"/>
  </cols>
  <sheetData>
    <row r="1" spans="1:17" x14ac:dyDescent="0.3">
      <c r="A1" s="5" t="s">
        <v>1</v>
      </c>
      <c r="B1" s="5" t="s">
        <v>490</v>
      </c>
      <c r="C1" s="6"/>
      <c r="E1" s="6"/>
      <c r="F1" s="6"/>
      <c r="G1" s="6"/>
      <c r="K1" s="6"/>
      <c r="L1" s="6"/>
      <c r="Q1" s="6"/>
    </row>
    <row r="2" spans="1:17" x14ac:dyDescent="0.3">
      <c r="A2" s="5" t="s">
        <v>6</v>
      </c>
      <c r="B2" s="6" t="s">
        <v>507</v>
      </c>
      <c r="C2" s="6"/>
      <c r="E2" s="6"/>
      <c r="F2" s="6"/>
      <c r="G2" s="6"/>
      <c r="K2" s="6"/>
      <c r="L2" s="6"/>
      <c r="Q2" s="6"/>
    </row>
    <row r="3" spans="1:17" x14ac:dyDescent="0.3">
      <c r="A3" s="5" t="s">
        <v>3</v>
      </c>
      <c r="B3" s="6" t="s">
        <v>4</v>
      </c>
      <c r="C3" s="6"/>
      <c r="E3" s="6"/>
      <c r="F3" s="6"/>
      <c r="G3" s="6"/>
      <c r="K3" s="6"/>
      <c r="L3" s="6"/>
      <c r="Q3" s="6"/>
    </row>
    <row r="4" spans="1:17" x14ac:dyDescent="0.3">
      <c r="A4" s="5" t="s">
        <v>5</v>
      </c>
      <c r="B4" s="6">
        <v>1</v>
      </c>
      <c r="C4" s="6"/>
      <c r="E4" s="6"/>
      <c r="F4" s="6"/>
      <c r="G4" s="6"/>
      <c r="K4" s="6"/>
      <c r="L4" s="6"/>
      <c r="Q4" s="6"/>
    </row>
    <row r="5" spans="1:17" x14ac:dyDescent="0.3">
      <c r="A5" s="5" t="s">
        <v>7</v>
      </c>
      <c r="B5" s="6" t="s">
        <v>8</v>
      </c>
      <c r="C5" s="6"/>
      <c r="E5" s="6"/>
      <c r="F5" s="6"/>
      <c r="G5" s="6"/>
      <c r="K5" s="6"/>
      <c r="L5" s="6"/>
      <c r="Q5" s="6"/>
    </row>
    <row r="6" spans="1:17" x14ac:dyDescent="0.3">
      <c r="A6" s="5" t="s">
        <v>2</v>
      </c>
      <c r="B6" s="6" t="s">
        <v>747</v>
      </c>
      <c r="C6" s="6"/>
      <c r="E6" s="6"/>
      <c r="F6" s="6"/>
      <c r="G6" s="6"/>
      <c r="K6" s="6"/>
      <c r="L6" s="6"/>
      <c r="Q6" s="6"/>
    </row>
    <row r="7" spans="1:17" x14ac:dyDescent="0.3">
      <c r="A7" s="5" t="s">
        <v>9</v>
      </c>
      <c r="B7" s="6"/>
      <c r="C7" s="6"/>
      <c r="E7" s="6"/>
      <c r="F7" s="6"/>
      <c r="G7" s="6"/>
      <c r="K7" s="6"/>
      <c r="L7" s="6"/>
      <c r="Q7" s="6"/>
    </row>
    <row r="8" spans="1:17" s="1" customFormat="1" x14ac:dyDescent="0.3">
      <c r="A8" s="5" t="s">
        <v>10</v>
      </c>
      <c r="B8" s="5" t="s">
        <v>6</v>
      </c>
      <c r="C8" s="5" t="s">
        <v>3</v>
      </c>
      <c r="D8" s="5" t="s">
        <v>11</v>
      </c>
      <c r="E8" s="5" t="s">
        <v>7</v>
      </c>
      <c r="F8" s="5" t="s">
        <v>13</v>
      </c>
      <c r="G8" s="5" t="s">
        <v>12</v>
      </c>
      <c r="H8" s="5" t="s">
        <v>0</v>
      </c>
      <c r="I8" s="42" t="s">
        <v>656</v>
      </c>
      <c r="J8" s="42" t="s">
        <v>691</v>
      </c>
      <c r="K8" s="5" t="s">
        <v>2</v>
      </c>
      <c r="L8" s="5"/>
    </row>
    <row r="9" spans="1:17" x14ac:dyDescent="0.3">
      <c r="A9" s="6" t="s">
        <v>490</v>
      </c>
      <c r="B9" s="6" t="s">
        <v>507</v>
      </c>
      <c r="C9" s="6" t="s">
        <v>4</v>
      </c>
      <c r="D9" s="15">
        <v>1</v>
      </c>
      <c r="E9" s="6" t="s">
        <v>8</v>
      </c>
      <c r="F9" s="6" t="s">
        <v>14</v>
      </c>
      <c r="G9" s="6"/>
      <c r="H9" s="6" t="str">
        <f>Intro!$B$3</f>
        <v>LIB raw materials</v>
      </c>
      <c r="I9" s="6"/>
      <c r="J9" s="6"/>
      <c r="K9" s="6"/>
      <c r="L9" s="6"/>
      <c r="Q9" s="6"/>
    </row>
    <row r="10" spans="1:17" s="29" customFormat="1" x14ac:dyDescent="0.3">
      <c r="A10" s="27" t="s">
        <v>487</v>
      </c>
      <c r="B10" s="27" t="s">
        <v>488</v>
      </c>
      <c r="C10" s="27" t="s">
        <v>4</v>
      </c>
      <c r="D10" s="51">
        <v>0.97</v>
      </c>
      <c r="E10" s="27" t="s">
        <v>8</v>
      </c>
      <c r="F10" s="27" t="s">
        <v>15</v>
      </c>
      <c r="G10" s="27"/>
      <c r="H10" s="6" t="str">
        <f>Intro!$B$3</f>
        <v>LIB raw materials</v>
      </c>
      <c r="I10" s="27">
        <v>0</v>
      </c>
      <c r="J10" t="s">
        <v>732</v>
      </c>
      <c r="K10" s="27" t="s">
        <v>493</v>
      </c>
      <c r="L10" s="27"/>
      <c r="Q10" s="27"/>
    </row>
    <row r="11" spans="1:17" x14ac:dyDescent="0.3">
      <c r="A11" t="s">
        <v>491</v>
      </c>
      <c r="B11" t="s">
        <v>492</v>
      </c>
      <c r="C11" s="6" t="s">
        <v>4</v>
      </c>
      <c r="D11" s="51">
        <v>0.05</v>
      </c>
      <c r="E11" s="27" t="s">
        <v>8</v>
      </c>
      <c r="F11" s="27" t="s">
        <v>15</v>
      </c>
      <c r="H11" s="6" t="str">
        <f>Intro!$B$4</f>
        <v>ecoinvent-3.10-cutoff</v>
      </c>
      <c r="I11" s="27">
        <v>0</v>
      </c>
      <c r="J11" t="s">
        <v>733</v>
      </c>
      <c r="K11" s="27" t="s">
        <v>494</v>
      </c>
    </row>
    <row r="12" spans="1:17" x14ac:dyDescent="0.3">
      <c r="A12" s="6" t="s">
        <v>27</v>
      </c>
      <c r="B12" s="6" t="s">
        <v>29</v>
      </c>
      <c r="C12" s="6" t="s">
        <v>4</v>
      </c>
      <c r="D12" s="15">
        <f>0.17+0.21+0.05</f>
        <v>0.43</v>
      </c>
      <c r="E12" s="6" t="s">
        <v>28</v>
      </c>
      <c r="F12" s="6" t="s">
        <v>15</v>
      </c>
      <c r="G12" s="6"/>
      <c r="H12" s="6" t="str">
        <f>Intro!$B$4</f>
        <v>ecoinvent-3.10-cutoff</v>
      </c>
      <c r="I12" s="27">
        <v>0</v>
      </c>
      <c r="J12" t="s">
        <v>732</v>
      </c>
      <c r="K12" s="6" t="s">
        <v>495</v>
      </c>
      <c r="L12" s="6"/>
      <c r="Q12" s="6"/>
    </row>
    <row r="13" spans="1:17" x14ac:dyDescent="0.3">
      <c r="A13" s="6" t="s">
        <v>79</v>
      </c>
      <c r="B13" s="6" t="s">
        <v>80</v>
      </c>
      <c r="C13" s="6" t="s">
        <v>24</v>
      </c>
      <c r="D13" s="15">
        <f>2.15*3.6</f>
        <v>7.74</v>
      </c>
      <c r="E13" s="6" t="s">
        <v>30</v>
      </c>
      <c r="F13" s="6" t="s">
        <v>15</v>
      </c>
      <c r="G13" s="6"/>
      <c r="H13" s="6" t="str">
        <f>Intro!$B$4</f>
        <v>ecoinvent-3.10-cutoff</v>
      </c>
      <c r="I13" s="27">
        <v>0</v>
      </c>
      <c r="J13" t="s">
        <v>733</v>
      </c>
      <c r="K13" s="6" t="s">
        <v>496</v>
      </c>
      <c r="L13" s="6"/>
      <c r="M13" s="6"/>
      <c r="N13" s="6"/>
      <c r="O13" s="6"/>
    </row>
    <row r="14" spans="1:17" x14ac:dyDescent="0.3">
      <c r="A14" s="6" t="s">
        <v>498</v>
      </c>
      <c r="B14" s="6" t="s">
        <v>499</v>
      </c>
      <c r="C14" s="6" t="s">
        <v>24</v>
      </c>
      <c r="D14" s="15">
        <v>0.02</v>
      </c>
      <c r="E14" s="27" t="s">
        <v>8</v>
      </c>
      <c r="F14" s="27" t="s">
        <v>15</v>
      </c>
      <c r="H14" s="6" t="str">
        <f>Intro!$B$4</f>
        <v>ecoinvent-3.10-cutoff</v>
      </c>
      <c r="I14" s="27">
        <v>0</v>
      </c>
      <c r="J14" t="s">
        <v>733</v>
      </c>
      <c r="K14" s="6" t="s">
        <v>500</v>
      </c>
      <c r="L14" s="6"/>
      <c r="M14" s="6"/>
      <c r="N14" s="6"/>
      <c r="O14" s="6"/>
    </row>
    <row r="15" spans="1:17" x14ac:dyDescent="0.3">
      <c r="A15" s="6" t="s">
        <v>501</v>
      </c>
      <c r="B15" s="6" t="s">
        <v>502</v>
      </c>
      <c r="C15" s="6" t="s">
        <v>18</v>
      </c>
      <c r="D15" s="15">
        <v>1E-3</v>
      </c>
      <c r="E15" s="27" t="s">
        <v>8</v>
      </c>
      <c r="F15" s="27" t="s">
        <v>15</v>
      </c>
      <c r="G15" s="6"/>
      <c r="H15" s="6" t="str">
        <f>Intro!$B$4</f>
        <v>ecoinvent-3.10-cutoff</v>
      </c>
      <c r="I15" s="27">
        <v>0</v>
      </c>
      <c r="J15" t="s">
        <v>733</v>
      </c>
      <c r="K15" s="6" t="s">
        <v>505</v>
      </c>
      <c r="L15" s="6"/>
      <c r="M15" s="6"/>
      <c r="N15" s="6"/>
      <c r="O15" s="6"/>
    </row>
    <row r="16" spans="1:17" x14ac:dyDescent="0.3">
      <c r="A16" s="6" t="s">
        <v>503</v>
      </c>
      <c r="B16" s="6" t="s">
        <v>504</v>
      </c>
      <c r="C16" s="6" t="s">
        <v>18</v>
      </c>
      <c r="D16" s="15">
        <v>0.02</v>
      </c>
      <c r="E16" s="27" t="s">
        <v>8</v>
      </c>
      <c r="F16" s="27" t="s">
        <v>15</v>
      </c>
      <c r="G16" s="6"/>
      <c r="H16" s="6" t="str">
        <f>Intro!$B$4</f>
        <v>ecoinvent-3.10-cutoff</v>
      </c>
      <c r="I16" s="27">
        <v>0</v>
      </c>
      <c r="J16" t="s">
        <v>733</v>
      </c>
      <c r="K16" s="6" t="s">
        <v>506</v>
      </c>
      <c r="L16" s="6"/>
      <c r="M16" s="6"/>
      <c r="N16" s="6"/>
      <c r="O16" s="6"/>
    </row>
    <row r="17" spans="1:17" x14ac:dyDescent="0.3">
      <c r="A17" s="6" t="s">
        <v>37</v>
      </c>
      <c r="B17" s="6"/>
      <c r="C17" s="6"/>
      <c r="D17" s="15">
        <f>0.07/1.02</f>
        <v>6.8627450980392163E-2</v>
      </c>
      <c r="E17" s="6" t="s">
        <v>8</v>
      </c>
      <c r="F17" s="6" t="s">
        <v>39</v>
      </c>
      <c r="G17" s="6" t="s">
        <v>38</v>
      </c>
      <c r="H17" s="6" t="str">
        <f>Intro!$B$5</f>
        <v>ecoinvent-3.10-biosphere</v>
      </c>
      <c r="I17" s="27">
        <v>0</v>
      </c>
      <c r="J17" t="s">
        <v>732</v>
      </c>
      <c r="K17" s="6" t="s">
        <v>497</v>
      </c>
    </row>
    <row r="18" spans="1:17" s="4" customFormat="1" x14ac:dyDescent="0.3">
      <c r="A18" s="8"/>
      <c r="B18" s="8"/>
      <c r="C18" s="8"/>
      <c r="E18" s="8"/>
      <c r="F18" s="8"/>
      <c r="G18" s="8"/>
      <c r="K18" s="8"/>
      <c r="L18" s="8"/>
      <c r="Q18" s="8"/>
    </row>
    <row r="19" spans="1:17" x14ac:dyDescent="0.3">
      <c r="A19" s="5" t="s">
        <v>1</v>
      </c>
      <c r="B19" s="5" t="s">
        <v>487</v>
      </c>
      <c r="C19" s="6"/>
      <c r="E19" s="6"/>
      <c r="F19" s="6"/>
      <c r="G19" s="6"/>
      <c r="K19" s="6"/>
      <c r="L19" s="6"/>
      <c r="Q19" s="6"/>
    </row>
    <row r="20" spans="1:17" x14ac:dyDescent="0.3">
      <c r="A20" s="5" t="s">
        <v>6</v>
      </c>
      <c r="B20" s="6" t="s">
        <v>488</v>
      </c>
      <c r="C20" s="6"/>
      <c r="E20" s="6"/>
      <c r="F20" s="6"/>
      <c r="G20" s="6"/>
      <c r="K20" s="6"/>
      <c r="L20" s="6"/>
      <c r="Q20" s="6"/>
    </row>
    <row r="21" spans="1:17" x14ac:dyDescent="0.3">
      <c r="A21" s="5" t="s">
        <v>3</v>
      </c>
      <c r="B21" s="6" t="s">
        <v>4</v>
      </c>
      <c r="C21" s="6"/>
      <c r="E21" s="6"/>
      <c r="F21" s="6"/>
      <c r="G21" s="6"/>
      <c r="K21" s="6"/>
      <c r="L21" s="6"/>
      <c r="Q21" s="6"/>
    </row>
    <row r="22" spans="1:17" x14ac:dyDescent="0.3">
      <c r="A22" s="5" t="s">
        <v>5</v>
      </c>
      <c r="B22" s="6">
        <v>1</v>
      </c>
      <c r="C22" s="6"/>
      <c r="E22" s="6"/>
      <c r="F22" s="6"/>
      <c r="G22" s="6"/>
      <c r="K22" s="6"/>
      <c r="L22" s="6"/>
      <c r="Q22" s="6"/>
    </row>
    <row r="23" spans="1:17" x14ac:dyDescent="0.3">
      <c r="A23" s="5" t="s">
        <v>7</v>
      </c>
      <c r="B23" s="6" t="s">
        <v>8</v>
      </c>
      <c r="C23" s="6"/>
      <c r="E23" s="6"/>
      <c r="F23" s="6"/>
      <c r="G23" s="6"/>
      <c r="K23" s="6"/>
      <c r="L23" s="6"/>
      <c r="Q23" s="6"/>
    </row>
    <row r="24" spans="1:17" x14ac:dyDescent="0.3">
      <c r="A24" s="5" t="s">
        <v>2</v>
      </c>
      <c r="B24" s="6" t="s">
        <v>746</v>
      </c>
      <c r="C24" s="6"/>
      <c r="E24" s="6"/>
      <c r="F24" s="6"/>
      <c r="G24" s="6"/>
      <c r="K24" s="6"/>
      <c r="L24" s="6"/>
      <c r="Q24" s="6"/>
    </row>
    <row r="25" spans="1:17" x14ac:dyDescent="0.3">
      <c r="A25" s="5" t="s">
        <v>9</v>
      </c>
      <c r="B25" s="6"/>
      <c r="C25" s="6"/>
      <c r="E25" s="6"/>
      <c r="F25" s="6"/>
      <c r="G25" s="6"/>
      <c r="K25" s="6"/>
      <c r="L25" s="6"/>
      <c r="Q25" s="6"/>
    </row>
    <row r="26" spans="1:17" s="1" customFormat="1" x14ac:dyDescent="0.3">
      <c r="A26" s="5" t="s">
        <v>10</v>
      </c>
      <c r="B26" s="5" t="s">
        <v>6</v>
      </c>
      <c r="C26" s="5" t="s">
        <v>3</v>
      </c>
      <c r="D26" s="5" t="s">
        <v>11</v>
      </c>
      <c r="E26" s="5" t="s">
        <v>7</v>
      </c>
      <c r="F26" s="5" t="s">
        <v>13</v>
      </c>
      <c r="G26" s="5" t="s">
        <v>12</v>
      </c>
      <c r="H26" s="5" t="s">
        <v>0</v>
      </c>
      <c r="I26" s="42" t="s">
        <v>656</v>
      </c>
      <c r="J26" s="42" t="s">
        <v>691</v>
      </c>
      <c r="K26" s="5" t="s">
        <v>2</v>
      </c>
      <c r="L26" s="5"/>
    </row>
    <row r="27" spans="1:17" x14ac:dyDescent="0.3">
      <c r="A27" s="6" t="s">
        <v>487</v>
      </c>
      <c r="B27" s="6" t="s">
        <v>488</v>
      </c>
      <c r="C27" s="6" t="s">
        <v>4</v>
      </c>
      <c r="D27" s="15">
        <v>1</v>
      </c>
      <c r="E27" s="6" t="s">
        <v>8</v>
      </c>
      <c r="F27" s="6" t="s">
        <v>14</v>
      </c>
      <c r="G27" s="6"/>
      <c r="H27" s="6" t="str">
        <f>Intro!$B$3</f>
        <v>LIB raw materials</v>
      </c>
      <c r="I27" s="6"/>
      <c r="J27" s="6"/>
      <c r="K27" s="6"/>
      <c r="L27" s="6"/>
      <c r="Q27" s="6"/>
    </row>
    <row r="28" spans="1:17" s="29" customFormat="1" x14ac:dyDescent="0.3">
      <c r="A28" s="27" t="s">
        <v>486</v>
      </c>
      <c r="B28" s="27" t="s">
        <v>485</v>
      </c>
      <c r="C28" s="27" t="s">
        <v>4</v>
      </c>
      <c r="D28" s="51">
        <f>1/0.6</f>
        <v>1.6666666666666667</v>
      </c>
      <c r="E28" s="27" t="s">
        <v>8</v>
      </c>
      <c r="F28" s="27" t="s">
        <v>15</v>
      </c>
      <c r="G28" s="27"/>
      <c r="H28" s="6" t="str">
        <f>Intro!$B$3</f>
        <v>LIB raw materials</v>
      </c>
      <c r="I28" s="27">
        <v>0</v>
      </c>
      <c r="J28" t="s">
        <v>733</v>
      </c>
      <c r="K28" s="27" t="s">
        <v>489</v>
      </c>
      <c r="L28" s="27"/>
      <c r="Q28" s="27"/>
    </row>
    <row r="29" spans="1:17" x14ac:dyDescent="0.3">
      <c r="A29" s="6" t="s">
        <v>27</v>
      </c>
      <c r="B29" s="6" t="s">
        <v>29</v>
      </c>
      <c r="C29" s="6" t="s">
        <v>4</v>
      </c>
      <c r="D29" s="15">
        <f>3.33</f>
        <v>3.33</v>
      </c>
      <c r="E29" s="6" t="s">
        <v>28</v>
      </c>
      <c r="F29" s="6" t="s">
        <v>15</v>
      </c>
      <c r="G29" s="6"/>
      <c r="H29" s="6" t="str">
        <f>Intro!$B$4</f>
        <v>ecoinvent-3.10-cutoff</v>
      </c>
      <c r="I29" s="27">
        <v>0</v>
      </c>
      <c r="J29" t="s">
        <v>732</v>
      </c>
      <c r="K29" s="6" t="s">
        <v>533</v>
      </c>
      <c r="L29" s="6"/>
      <c r="Q29" s="6"/>
    </row>
    <row r="30" spans="1:17" x14ac:dyDescent="0.3">
      <c r="A30" s="6" t="s">
        <v>79</v>
      </c>
      <c r="B30" s="6" t="s">
        <v>80</v>
      </c>
      <c r="C30" s="6" t="s">
        <v>24</v>
      </c>
      <c r="D30" s="15">
        <f>0.27*3.6</f>
        <v>0.97200000000000009</v>
      </c>
      <c r="E30" s="6" t="s">
        <v>30</v>
      </c>
      <c r="F30" s="6" t="s">
        <v>15</v>
      </c>
      <c r="G30" s="6"/>
      <c r="H30" s="6" t="str">
        <f>Intro!$B$4</f>
        <v>ecoinvent-3.10-cutoff</v>
      </c>
      <c r="I30" s="27">
        <v>0</v>
      </c>
      <c r="J30" t="s">
        <v>733</v>
      </c>
      <c r="K30" s="6" t="s">
        <v>534</v>
      </c>
      <c r="L30" s="6"/>
      <c r="M30" s="6"/>
      <c r="N30" s="6"/>
      <c r="O30" s="6"/>
    </row>
    <row r="31" spans="1:17" s="4" customFormat="1" x14ac:dyDescent="0.3">
      <c r="A31" s="8"/>
      <c r="B31" s="8"/>
      <c r="C31" s="8"/>
      <c r="E31" s="8"/>
      <c r="F31" s="8"/>
      <c r="G31" s="8"/>
      <c r="K31" s="8"/>
      <c r="L31" s="8"/>
      <c r="Q31" s="8"/>
    </row>
    <row r="32" spans="1:17" x14ac:dyDescent="0.3">
      <c r="A32" s="5" t="s">
        <v>1</v>
      </c>
      <c r="B32" s="5" t="s">
        <v>486</v>
      </c>
      <c r="C32" s="6"/>
      <c r="E32" s="6"/>
      <c r="F32" s="6"/>
      <c r="G32" s="6"/>
      <c r="K32" s="6"/>
      <c r="L32" s="6"/>
      <c r="Q32" s="6"/>
    </row>
    <row r="33" spans="1:17" x14ac:dyDescent="0.3">
      <c r="A33" s="5" t="s">
        <v>6</v>
      </c>
      <c r="B33" s="6" t="s">
        <v>485</v>
      </c>
      <c r="C33" s="6"/>
      <c r="E33" s="6"/>
      <c r="F33" s="6"/>
      <c r="G33" s="6"/>
      <c r="K33" s="6"/>
      <c r="L33" s="6"/>
      <c r="Q33" s="6"/>
    </row>
    <row r="34" spans="1:17" x14ac:dyDescent="0.3">
      <c r="A34" s="5" t="s">
        <v>3</v>
      </c>
      <c r="B34" s="6" t="s">
        <v>4</v>
      </c>
      <c r="C34" s="6"/>
      <c r="E34" s="6"/>
      <c r="F34" s="6"/>
      <c r="G34" s="6"/>
      <c r="K34" s="6"/>
      <c r="L34" s="6"/>
      <c r="Q34" s="6"/>
    </row>
    <row r="35" spans="1:17" x14ac:dyDescent="0.3">
      <c r="A35" s="5" t="s">
        <v>5</v>
      </c>
      <c r="B35" s="6">
        <v>1</v>
      </c>
      <c r="C35" s="6"/>
      <c r="E35" s="6"/>
      <c r="F35" s="6"/>
      <c r="G35" s="6"/>
      <c r="K35" s="6"/>
      <c r="L35" s="6"/>
      <c r="Q35" s="6"/>
    </row>
    <row r="36" spans="1:17" x14ac:dyDescent="0.3">
      <c r="A36" s="5" t="s">
        <v>7</v>
      </c>
      <c r="B36" s="6" t="s">
        <v>8</v>
      </c>
      <c r="C36" s="6"/>
      <c r="E36" s="6"/>
      <c r="F36" s="6"/>
      <c r="G36" s="6"/>
      <c r="K36" s="6"/>
      <c r="L36" s="6"/>
      <c r="Q36" s="6"/>
    </row>
    <row r="37" spans="1:17" x14ac:dyDescent="0.3">
      <c r="A37" s="5" t="s">
        <v>2</v>
      </c>
      <c r="B37" s="6" t="s">
        <v>745</v>
      </c>
      <c r="C37" s="6"/>
      <c r="E37" s="6"/>
      <c r="F37" s="6"/>
      <c r="G37" s="6"/>
      <c r="K37" s="6"/>
      <c r="L37" s="6"/>
      <c r="Q37" s="6"/>
    </row>
    <row r="38" spans="1:17" x14ac:dyDescent="0.3">
      <c r="A38" s="5" t="s">
        <v>9</v>
      </c>
      <c r="B38" s="6"/>
      <c r="C38" s="6"/>
      <c r="E38" s="6"/>
      <c r="F38" s="6"/>
      <c r="G38" s="6"/>
      <c r="K38" s="6"/>
      <c r="L38" s="6"/>
      <c r="Q38" s="6"/>
    </row>
    <row r="39" spans="1:17" s="1" customFormat="1" x14ac:dyDescent="0.3">
      <c r="A39" s="5" t="s">
        <v>10</v>
      </c>
      <c r="B39" s="5" t="s">
        <v>6</v>
      </c>
      <c r="C39" s="5" t="s">
        <v>3</v>
      </c>
      <c r="D39" s="5" t="s">
        <v>11</v>
      </c>
      <c r="E39" s="5" t="s">
        <v>7</v>
      </c>
      <c r="F39" s="5" t="s">
        <v>13</v>
      </c>
      <c r="G39" s="5" t="s">
        <v>12</v>
      </c>
      <c r="H39" s="5" t="s">
        <v>0</v>
      </c>
      <c r="I39" s="42" t="s">
        <v>656</v>
      </c>
      <c r="J39" s="42" t="s">
        <v>691</v>
      </c>
      <c r="K39" s="5" t="s">
        <v>2</v>
      </c>
      <c r="L39" s="5"/>
    </row>
    <row r="40" spans="1:17" x14ac:dyDescent="0.3">
      <c r="A40" s="6" t="s">
        <v>486</v>
      </c>
      <c r="B40" s="6" t="s">
        <v>485</v>
      </c>
      <c r="C40" s="6" t="s">
        <v>4</v>
      </c>
      <c r="D40" s="15">
        <v>1</v>
      </c>
      <c r="E40" s="6" t="s">
        <v>8</v>
      </c>
      <c r="F40" s="6" t="s">
        <v>14</v>
      </c>
      <c r="G40" s="6"/>
      <c r="H40" s="6" t="str">
        <f>Intro!$B$3</f>
        <v>LIB raw materials</v>
      </c>
      <c r="I40" s="6"/>
      <c r="J40" s="6"/>
      <c r="K40" s="6"/>
      <c r="L40" s="6"/>
      <c r="Q40" s="6"/>
    </row>
    <row r="41" spans="1:17" s="29" customFormat="1" x14ac:dyDescent="0.3">
      <c r="A41" s="27" t="s">
        <v>483</v>
      </c>
      <c r="B41" s="27" t="s">
        <v>484</v>
      </c>
      <c r="C41" s="27" t="s">
        <v>4</v>
      </c>
      <c r="D41" s="51">
        <f>1/0.998</f>
        <v>1.002004008016032</v>
      </c>
      <c r="E41" s="27" t="s">
        <v>8</v>
      </c>
      <c r="F41" s="27" t="s">
        <v>15</v>
      </c>
      <c r="G41" s="27"/>
      <c r="H41" s="6" t="str">
        <f>Intro!$B$3</f>
        <v>LIB raw materials</v>
      </c>
      <c r="I41" s="27">
        <v>0</v>
      </c>
      <c r="J41" t="s">
        <v>732</v>
      </c>
      <c r="K41" s="27" t="s">
        <v>532</v>
      </c>
      <c r="L41" s="27"/>
      <c r="Q41" s="27"/>
    </row>
    <row r="42" spans="1:17" s="29" customFormat="1" x14ac:dyDescent="0.3">
      <c r="A42" s="6" t="s">
        <v>520</v>
      </c>
      <c r="B42" s="6" t="s">
        <v>519</v>
      </c>
      <c r="C42" s="29" t="s">
        <v>4</v>
      </c>
      <c r="D42" s="51">
        <v>0.93</v>
      </c>
      <c r="E42" s="27" t="s">
        <v>8</v>
      </c>
      <c r="F42" s="27" t="s">
        <v>15</v>
      </c>
      <c r="G42" s="27"/>
      <c r="H42" s="6" t="str">
        <f>Intro!$B$3</f>
        <v>LIB raw materials</v>
      </c>
      <c r="I42" s="27">
        <v>0</v>
      </c>
      <c r="J42" t="s">
        <v>732</v>
      </c>
      <c r="K42" s="27" t="s">
        <v>527</v>
      </c>
    </row>
    <row r="43" spans="1:17" s="29" customFormat="1" x14ac:dyDescent="0.3">
      <c r="A43" s="27" t="s">
        <v>390</v>
      </c>
      <c r="B43" s="27" t="s">
        <v>389</v>
      </c>
      <c r="C43" s="27" t="s">
        <v>4</v>
      </c>
      <c r="D43" s="52">
        <f>0.49*28.6</f>
        <v>14.014000000000001</v>
      </c>
      <c r="E43" s="27" t="s">
        <v>30</v>
      </c>
      <c r="F43" s="27" t="s">
        <v>15</v>
      </c>
      <c r="G43" s="27"/>
      <c r="H43" s="27" t="str">
        <f>Intro!$B$4</f>
        <v>ecoinvent-3.10-cutoff</v>
      </c>
      <c r="I43" s="27">
        <v>0</v>
      </c>
      <c r="J43" t="s">
        <v>732</v>
      </c>
      <c r="K43" s="27" t="s">
        <v>528</v>
      </c>
    </row>
    <row r="44" spans="1:17" x14ac:dyDescent="0.3">
      <c r="A44" s="6" t="s">
        <v>27</v>
      </c>
      <c r="B44" s="6" t="s">
        <v>29</v>
      </c>
      <c r="C44" s="6" t="s">
        <v>4</v>
      </c>
      <c r="D44" s="26">
        <v>16</v>
      </c>
      <c r="E44" s="6" t="s">
        <v>28</v>
      </c>
      <c r="F44" s="6" t="s">
        <v>15</v>
      </c>
      <c r="G44" s="6"/>
      <c r="H44" s="6" t="str">
        <f>Intro!$B$4</f>
        <v>ecoinvent-3.10-cutoff</v>
      </c>
      <c r="I44" s="27">
        <v>0</v>
      </c>
      <c r="J44" t="s">
        <v>733</v>
      </c>
      <c r="K44" s="6" t="s">
        <v>529</v>
      </c>
      <c r="L44" s="6"/>
      <c r="Q44" s="6"/>
    </row>
    <row r="45" spans="1:17" s="29" customFormat="1" x14ac:dyDescent="0.3">
      <c r="A45" s="29" t="s">
        <v>508</v>
      </c>
      <c r="B45" s="29" t="s">
        <v>211</v>
      </c>
      <c r="C45" s="29" t="s">
        <v>24</v>
      </c>
      <c r="D45" s="51">
        <f>0.26</f>
        <v>0.26</v>
      </c>
      <c r="E45" s="27" t="s">
        <v>8</v>
      </c>
      <c r="F45" s="27" t="s">
        <v>15</v>
      </c>
      <c r="G45" s="27"/>
      <c r="H45" s="27" t="str">
        <f>Intro!$B$4</f>
        <v>ecoinvent-3.10-cutoff</v>
      </c>
      <c r="I45" s="27">
        <v>0</v>
      </c>
      <c r="J45" t="s">
        <v>732</v>
      </c>
      <c r="K45" s="27" t="s">
        <v>530</v>
      </c>
    </row>
    <row r="46" spans="1:17" x14ac:dyDescent="0.3">
      <c r="A46" s="6" t="s">
        <v>37</v>
      </c>
      <c r="B46" s="6"/>
      <c r="C46" s="6"/>
      <c r="D46" s="15">
        <f>0.72</f>
        <v>0.72</v>
      </c>
      <c r="E46" s="6" t="s">
        <v>8</v>
      </c>
      <c r="F46" s="6" t="s">
        <v>39</v>
      </c>
      <c r="G46" s="6" t="s">
        <v>38</v>
      </c>
      <c r="H46" s="6" t="str">
        <f>Intro!$B$5</f>
        <v>ecoinvent-3.10-biosphere</v>
      </c>
      <c r="I46" s="27">
        <v>0</v>
      </c>
      <c r="J46" t="s">
        <v>732</v>
      </c>
      <c r="K46" s="6" t="s">
        <v>531</v>
      </c>
    </row>
    <row r="47" spans="1:17" s="4" customFormat="1" x14ac:dyDescent="0.3">
      <c r="A47" s="8"/>
      <c r="B47" s="8"/>
      <c r="C47" s="8"/>
      <c r="E47" s="8"/>
      <c r="F47" s="8"/>
      <c r="G47" s="8"/>
      <c r="K47" s="8"/>
      <c r="L47" s="8"/>
      <c r="Q47" s="8"/>
    </row>
    <row r="48" spans="1:17" x14ac:dyDescent="0.3">
      <c r="A48" s="5" t="s">
        <v>1</v>
      </c>
      <c r="B48" s="5" t="s">
        <v>520</v>
      </c>
      <c r="C48" s="6"/>
      <c r="E48" s="6"/>
      <c r="F48" s="6"/>
      <c r="G48" s="6"/>
      <c r="K48" s="6"/>
      <c r="L48" s="6"/>
      <c r="Q48" s="6"/>
    </row>
    <row r="49" spans="1:17" x14ac:dyDescent="0.3">
      <c r="A49" s="5" t="s">
        <v>6</v>
      </c>
      <c r="B49" s="6" t="s">
        <v>519</v>
      </c>
      <c r="C49" s="6"/>
      <c r="E49" s="6"/>
      <c r="F49" s="6"/>
      <c r="G49" s="6"/>
      <c r="K49" s="6"/>
      <c r="L49" s="6"/>
      <c r="Q49" s="6"/>
    </row>
    <row r="50" spans="1:17" x14ac:dyDescent="0.3">
      <c r="A50" s="5" t="s">
        <v>3</v>
      </c>
      <c r="B50" s="6" t="s">
        <v>4</v>
      </c>
      <c r="C50" s="6"/>
      <c r="E50" s="6"/>
      <c r="F50" s="6"/>
      <c r="G50" s="6"/>
      <c r="K50" s="6"/>
      <c r="L50" s="6"/>
      <c r="Q50" s="6"/>
    </row>
    <row r="51" spans="1:17" x14ac:dyDescent="0.3">
      <c r="A51" s="5" t="s">
        <v>5</v>
      </c>
      <c r="B51" s="6">
        <v>1</v>
      </c>
      <c r="C51" s="6"/>
      <c r="E51" s="6"/>
      <c r="F51" s="6"/>
      <c r="G51" s="6"/>
      <c r="K51" s="6"/>
      <c r="L51" s="6"/>
      <c r="Q51" s="6"/>
    </row>
    <row r="52" spans="1:17" x14ac:dyDescent="0.3">
      <c r="A52" s="5" t="s">
        <v>7</v>
      </c>
      <c r="B52" s="6" t="s">
        <v>8</v>
      </c>
      <c r="C52" s="6"/>
      <c r="E52" s="6"/>
      <c r="F52" s="6"/>
      <c r="G52" s="6"/>
      <c r="K52" s="6"/>
      <c r="L52" s="6"/>
      <c r="Q52" s="6"/>
    </row>
    <row r="53" spans="1:17" x14ac:dyDescent="0.3">
      <c r="A53" s="5" t="s">
        <v>2</v>
      </c>
      <c r="B53" s="6" t="s">
        <v>740</v>
      </c>
      <c r="C53" s="6"/>
      <c r="E53" s="6"/>
      <c r="F53" s="6"/>
      <c r="G53" s="6"/>
      <c r="K53" s="6"/>
      <c r="L53" s="6"/>
      <c r="Q53" s="6"/>
    </row>
    <row r="54" spans="1:17" x14ac:dyDescent="0.3">
      <c r="A54" s="5" t="s">
        <v>9</v>
      </c>
      <c r="B54" s="6"/>
      <c r="C54" s="6"/>
      <c r="E54" s="6"/>
      <c r="F54" s="6"/>
      <c r="G54" s="6"/>
      <c r="K54" s="6"/>
      <c r="L54" s="6"/>
      <c r="Q54" s="6"/>
    </row>
    <row r="55" spans="1:17" s="1" customFormat="1" x14ac:dyDescent="0.3">
      <c r="A55" s="5" t="s">
        <v>10</v>
      </c>
      <c r="B55" s="5" t="s">
        <v>6</v>
      </c>
      <c r="C55" s="5" t="s">
        <v>3</v>
      </c>
      <c r="D55" s="5" t="s">
        <v>11</v>
      </c>
      <c r="E55" s="5" t="s">
        <v>7</v>
      </c>
      <c r="F55" s="5" t="s">
        <v>13</v>
      </c>
      <c r="G55" s="5" t="s">
        <v>12</v>
      </c>
      <c r="H55" s="5" t="s">
        <v>0</v>
      </c>
      <c r="I55" s="42" t="s">
        <v>656</v>
      </c>
      <c r="J55" s="42" t="s">
        <v>691</v>
      </c>
      <c r="K55" s="5" t="s">
        <v>2</v>
      </c>
      <c r="L55" s="5"/>
    </row>
    <row r="56" spans="1:17" x14ac:dyDescent="0.3">
      <c r="A56" s="6" t="s">
        <v>520</v>
      </c>
      <c r="B56" s="6" t="s">
        <v>519</v>
      </c>
      <c r="C56" s="6" t="s">
        <v>4</v>
      </c>
      <c r="D56" s="15">
        <v>1</v>
      </c>
      <c r="E56" s="6" t="s">
        <v>8</v>
      </c>
      <c r="F56" s="6" t="s">
        <v>14</v>
      </c>
      <c r="G56" s="6"/>
      <c r="H56" s="6" t="str">
        <f>Intro!$B$3</f>
        <v>LIB raw materials</v>
      </c>
      <c r="I56" s="6"/>
      <c r="J56" s="6"/>
      <c r="K56" s="6"/>
      <c r="L56" s="6"/>
      <c r="Q56" s="6"/>
    </row>
    <row r="57" spans="1:17" s="29" customFormat="1" x14ac:dyDescent="0.3">
      <c r="A57" s="27" t="s">
        <v>511</v>
      </c>
      <c r="B57" s="27" t="s">
        <v>512</v>
      </c>
      <c r="C57" s="27" t="s">
        <v>4</v>
      </c>
      <c r="D57" s="51">
        <f>1.108*0.74</f>
        <v>0.81992000000000009</v>
      </c>
      <c r="E57" s="27" t="s">
        <v>8</v>
      </c>
      <c r="F57" s="27" t="s">
        <v>15</v>
      </c>
      <c r="G57" s="27"/>
      <c r="H57" s="27" t="str">
        <f>Intro!$B$3</f>
        <v>LIB raw materials</v>
      </c>
      <c r="I57" s="27">
        <v>0</v>
      </c>
      <c r="J57" t="s">
        <v>741</v>
      </c>
      <c r="K57" s="27" t="s">
        <v>526</v>
      </c>
      <c r="L57" s="27"/>
      <c r="Q57" s="27"/>
    </row>
    <row r="58" spans="1:17" s="29" customFormat="1" x14ac:dyDescent="0.3">
      <c r="A58" s="27" t="s">
        <v>491</v>
      </c>
      <c r="B58" s="27" t="s">
        <v>492</v>
      </c>
      <c r="C58" s="27" t="s">
        <v>4</v>
      </c>
      <c r="D58" s="51">
        <v>0.20499999999999999</v>
      </c>
      <c r="E58" s="27" t="s">
        <v>8</v>
      </c>
      <c r="F58" s="27" t="s">
        <v>15</v>
      </c>
      <c r="G58" s="27"/>
      <c r="H58" s="27" t="str">
        <f>Intro!$B$4</f>
        <v>ecoinvent-3.10-cutoff</v>
      </c>
      <c r="I58" s="27">
        <v>0</v>
      </c>
      <c r="J58" t="s">
        <v>741</v>
      </c>
      <c r="K58" s="27"/>
      <c r="L58" s="27"/>
      <c r="Q58" s="27"/>
    </row>
    <row r="59" spans="1:17" s="29" customFormat="1" x14ac:dyDescent="0.3">
      <c r="A59" s="27" t="s">
        <v>27</v>
      </c>
      <c r="B59" s="27" t="s">
        <v>29</v>
      </c>
      <c r="C59" s="27" t="s">
        <v>4</v>
      </c>
      <c r="D59" s="51">
        <v>2.5</v>
      </c>
      <c r="E59" s="27" t="s">
        <v>28</v>
      </c>
      <c r="F59" s="27" t="s">
        <v>15</v>
      </c>
      <c r="G59" s="27"/>
      <c r="H59" s="27" t="str">
        <f>Intro!$B$4</f>
        <v>ecoinvent-3.10-cutoff</v>
      </c>
      <c r="I59" s="27">
        <v>0</v>
      </c>
      <c r="J59" t="s">
        <v>739</v>
      </c>
      <c r="K59" s="27" t="s">
        <v>522</v>
      </c>
      <c r="L59" s="27"/>
      <c r="Q59" s="27"/>
    </row>
    <row r="60" spans="1:17" s="29" customFormat="1" x14ac:dyDescent="0.3">
      <c r="A60" s="27" t="s">
        <v>76</v>
      </c>
      <c r="B60" s="27"/>
      <c r="C60" s="27"/>
      <c r="D60" s="51">
        <f>(2482+17866)/1000000</f>
        <v>2.0348000000000002E-2</v>
      </c>
      <c r="E60" s="27" t="s">
        <v>8</v>
      </c>
      <c r="F60" s="27" t="s">
        <v>39</v>
      </c>
      <c r="G60" s="27" t="s">
        <v>38</v>
      </c>
      <c r="H60" s="27" t="str">
        <f>Intro!$B$5</f>
        <v>ecoinvent-3.10-biosphere</v>
      </c>
      <c r="I60" s="27">
        <v>0</v>
      </c>
      <c r="J60" t="s">
        <v>743</v>
      </c>
      <c r="K60" s="27" t="s">
        <v>523</v>
      </c>
    </row>
    <row r="61" spans="1:17" s="29" customFormat="1" x14ac:dyDescent="0.3">
      <c r="A61" s="27" t="s">
        <v>77</v>
      </c>
      <c r="B61" s="27"/>
      <c r="C61" s="27"/>
      <c r="D61" s="28">
        <f>(73.9)/1000000</f>
        <v>7.3900000000000007E-5</v>
      </c>
      <c r="E61" s="27" t="s">
        <v>8</v>
      </c>
      <c r="F61" s="27" t="s">
        <v>39</v>
      </c>
      <c r="G61" s="27" t="s">
        <v>38</v>
      </c>
      <c r="H61" s="27" t="str">
        <f>Intro!$B$5</f>
        <v>ecoinvent-3.10-biosphere</v>
      </c>
      <c r="I61" s="27">
        <v>0</v>
      </c>
      <c r="J61" t="s">
        <v>743</v>
      </c>
      <c r="K61" s="27" t="s">
        <v>524</v>
      </c>
    </row>
    <row r="62" spans="1:17" s="29" customFormat="1" x14ac:dyDescent="0.3">
      <c r="A62" s="27" t="s">
        <v>74</v>
      </c>
      <c r="B62" s="27"/>
      <c r="C62" s="27"/>
      <c r="D62" s="28">
        <f>(229)/1000000</f>
        <v>2.2900000000000001E-4</v>
      </c>
      <c r="E62" s="27" t="s">
        <v>8</v>
      </c>
      <c r="F62" s="27" t="s">
        <v>39</v>
      </c>
      <c r="G62" s="27" t="s">
        <v>38</v>
      </c>
      <c r="H62" s="27" t="str">
        <f>Intro!$B$5</f>
        <v>ecoinvent-3.10-biosphere</v>
      </c>
      <c r="I62" s="27">
        <v>0</v>
      </c>
      <c r="J62" t="s">
        <v>743</v>
      </c>
      <c r="K62" s="27" t="s">
        <v>525</v>
      </c>
    </row>
    <row r="63" spans="1:17" s="4" customFormat="1" x14ac:dyDescent="0.3">
      <c r="A63" s="8"/>
      <c r="B63" s="8"/>
      <c r="C63" s="8"/>
      <c r="E63" s="8"/>
      <c r="F63" s="8"/>
      <c r="G63" s="8"/>
      <c r="K63" s="8"/>
      <c r="L63" s="8"/>
      <c r="Q63" s="8"/>
    </row>
    <row r="64" spans="1:17" x14ac:dyDescent="0.3">
      <c r="A64" s="5" t="s">
        <v>1</v>
      </c>
      <c r="B64" s="5" t="s">
        <v>483</v>
      </c>
      <c r="C64" s="6"/>
      <c r="E64" s="6"/>
      <c r="F64" s="6"/>
      <c r="G64" s="6"/>
      <c r="K64" s="6"/>
      <c r="L64" s="6"/>
      <c r="Q64" s="6"/>
    </row>
    <row r="65" spans="1:17" x14ac:dyDescent="0.3">
      <c r="A65" s="5" t="s">
        <v>6</v>
      </c>
      <c r="B65" s="6" t="s">
        <v>484</v>
      </c>
      <c r="C65" s="6"/>
      <c r="E65" s="6"/>
      <c r="F65" s="6"/>
      <c r="G65" s="6"/>
      <c r="K65" s="6"/>
      <c r="L65" s="6"/>
      <c r="Q65" s="6"/>
    </row>
    <row r="66" spans="1:17" x14ac:dyDescent="0.3">
      <c r="A66" s="5" t="s">
        <v>3</v>
      </c>
      <c r="B66" s="6" t="s">
        <v>4</v>
      </c>
      <c r="C66" s="6"/>
      <c r="E66" s="6"/>
      <c r="F66" s="6"/>
      <c r="G66" s="6"/>
      <c r="K66" s="6"/>
      <c r="L66" s="6"/>
      <c r="Q66" s="6"/>
    </row>
    <row r="67" spans="1:17" x14ac:dyDescent="0.3">
      <c r="A67" s="5" t="s">
        <v>5</v>
      </c>
      <c r="B67" s="6">
        <v>1</v>
      </c>
      <c r="C67" s="6"/>
      <c r="E67" s="6"/>
      <c r="F67" s="6"/>
      <c r="G67" s="6"/>
      <c r="K67" s="6"/>
      <c r="L67" s="6"/>
      <c r="Q67" s="6"/>
    </row>
    <row r="68" spans="1:17" x14ac:dyDescent="0.3">
      <c r="A68" s="5" t="s">
        <v>7</v>
      </c>
      <c r="B68" s="6" t="s">
        <v>8</v>
      </c>
      <c r="C68" s="6"/>
      <c r="E68" s="6"/>
      <c r="F68" s="6"/>
      <c r="G68" s="6"/>
      <c r="K68" s="6"/>
      <c r="L68" s="6"/>
      <c r="Q68" s="6"/>
    </row>
    <row r="69" spans="1:17" x14ac:dyDescent="0.3">
      <c r="A69" s="5" t="s">
        <v>2</v>
      </c>
      <c r="B69" s="6" t="s">
        <v>734</v>
      </c>
      <c r="C69" s="6"/>
      <c r="E69" s="6"/>
      <c r="F69" s="6"/>
      <c r="G69" s="6"/>
      <c r="K69" s="6"/>
      <c r="L69" s="6"/>
      <c r="Q69" s="6"/>
    </row>
    <row r="70" spans="1:17" x14ac:dyDescent="0.3">
      <c r="A70" s="5" t="s">
        <v>9</v>
      </c>
      <c r="B70" s="6"/>
      <c r="C70" s="6"/>
      <c r="E70" s="6"/>
      <c r="F70" s="6"/>
      <c r="G70" s="6"/>
      <c r="K70" s="6"/>
      <c r="L70" s="6"/>
      <c r="Q70" s="6"/>
    </row>
    <row r="71" spans="1:17" s="1" customFormat="1" x14ac:dyDescent="0.3">
      <c r="A71" s="5" t="s">
        <v>10</v>
      </c>
      <c r="B71" s="5" t="s">
        <v>6</v>
      </c>
      <c r="C71" s="5" t="s">
        <v>3</v>
      </c>
      <c r="D71" s="5" t="s">
        <v>11</v>
      </c>
      <c r="E71" s="5" t="s">
        <v>7</v>
      </c>
      <c r="F71" s="5" t="s">
        <v>13</v>
      </c>
      <c r="G71" s="5" t="s">
        <v>12</v>
      </c>
      <c r="H71" s="5" t="s">
        <v>0</v>
      </c>
      <c r="I71" s="42" t="s">
        <v>656</v>
      </c>
      <c r="J71" s="42" t="s">
        <v>691</v>
      </c>
      <c r="K71" s="5" t="s">
        <v>2</v>
      </c>
      <c r="L71" s="5"/>
    </row>
    <row r="72" spans="1:17" x14ac:dyDescent="0.3">
      <c r="A72" s="6" t="s">
        <v>483</v>
      </c>
      <c r="B72" s="6" t="s">
        <v>484</v>
      </c>
      <c r="C72" s="6" t="s">
        <v>4</v>
      </c>
      <c r="D72" s="15">
        <v>1</v>
      </c>
      <c r="E72" s="6" t="s">
        <v>8</v>
      </c>
      <c r="F72" s="6" t="s">
        <v>14</v>
      </c>
      <c r="G72" s="6"/>
      <c r="H72" s="6" t="str">
        <f>Intro!$B$3</f>
        <v>LIB raw materials</v>
      </c>
      <c r="I72" s="6"/>
      <c r="J72" s="6"/>
      <c r="K72" s="6"/>
      <c r="L72" s="6"/>
      <c r="Q72" s="6"/>
    </row>
    <row r="73" spans="1:17" s="29" customFormat="1" x14ac:dyDescent="0.3">
      <c r="A73" s="6" t="s">
        <v>511</v>
      </c>
      <c r="B73" s="6" t="s">
        <v>512</v>
      </c>
      <c r="C73" s="27" t="s">
        <v>4</v>
      </c>
      <c r="D73" s="51">
        <f>2.03/1.62</f>
        <v>1.2530864197530862</v>
      </c>
      <c r="E73" s="27" t="s">
        <v>8</v>
      </c>
      <c r="F73" s="27" t="s">
        <v>15</v>
      </c>
      <c r="G73" s="27"/>
      <c r="H73" s="6" t="str">
        <f>Intro!$B$3</f>
        <v>LIB raw materials</v>
      </c>
      <c r="I73" s="27">
        <v>0</v>
      </c>
      <c r="J73" t="s">
        <v>732</v>
      </c>
      <c r="K73" s="27" t="s">
        <v>510</v>
      </c>
      <c r="L73" s="27"/>
      <c r="Q73" s="27"/>
    </row>
    <row r="74" spans="1:17" x14ac:dyDescent="0.3">
      <c r="A74" s="6" t="s">
        <v>27</v>
      </c>
      <c r="B74" s="6" t="s">
        <v>29</v>
      </c>
      <c r="C74" s="6" t="s">
        <v>4</v>
      </c>
      <c r="D74" s="15">
        <f>1.88</f>
        <v>1.88</v>
      </c>
      <c r="E74" s="6" t="s">
        <v>28</v>
      </c>
      <c r="F74" s="6" t="s">
        <v>15</v>
      </c>
      <c r="G74" s="6"/>
      <c r="H74" s="6" t="str">
        <f>Intro!$B$4</f>
        <v>ecoinvent-3.10-cutoff</v>
      </c>
      <c r="I74" s="6">
        <v>0</v>
      </c>
      <c r="J74" t="s">
        <v>733</v>
      </c>
      <c r="K74" s="6" t="s">
        <v>535</v>
      </c>
      <c r="L74" s="6"/>
      <c r="Q74" s="6"/>
    </row>
    <row r="75" spans="1:17" x14ac:dyDescent="0.3">
      <c r="A75" s="6" t="s">
        <v>79</v>
      </c>
      <c r="B75" s="6" t="s">
        <v>80</v>
      </c>
      <c r="C75" s="6" t="s">
        <v>24</v>
      </c>
      <c r="D75" s="15">
        <f>0.21*3.6</f>
        <v>0.75600000000000001</v>
      </c>
      <c r="E75" s="6" t="s">
        <v>30</v>
      </c>
      <c r="F75" s="6" t="s">
        <v>15</v>
      </c>
      <c r="G75" s="6"/>
      <c r="H75" s="6" t="str">
        <f>Intro!$B$4</f>
        <v>ecoinvent-3.10-cutoff</v>
      </c>
      <c r="I75" s="6">
        <v>0</v>
      </c>
      <c r="J75" t="s">
        <v>733</v>
      </c>
      <c r="K75" s="6" t="s">
        <v>536</v>
      </c>
      <c r="L75" s="6"/>
      <c r="M75" s="6"/>
      <c r="N75" s="6"/>
      <c r="O75" s="6"/>
    </row>
    <row r="76" spans="1:17" s="4" customFormat="1" x14ac:dyDescent="0.3">
      <c r="A76" s="8"/>
      <c r="B76" s="8"/>
      <c r="C76" s="8"/>
      <c r="E76" s="8"/>
      <c r="F76" s="8"/>
      <c r="G76" s="8"/>
      <c r="K76" s="8"/>
      <c r="L76" s="8"/>
      <c r="Q76" s="8"/>
    </row>
    <row r="77" spans="1:17" x14ac:dyDescent="0.3">
      <c r="A77" s="5" t="s">
        <v>1</v>
      </c>
      <c r="B77" s="5" t="s">
        <v>511</v>
      </c>
      <c r="C77" s="6"/>
      <c r="E77" s="6"/>
      <c r="F77" s="6"/>
      <c r="G77" s="6"/>
      <c r="K77" s="6"/>
      <c r="L77" s="6"/>
      <c r="Q77" s="6"/>
    </row>
    <row r="78" spans="1:17" x14ac:dyDescent="0.3">
      <c r="A78" s="5" t="s">
        <v>6</v>
      </c>
      <c r="B78" s="6" t="s">
        <v>512</v>
      </c>
      <c r="C78" s="6"/>
      <c r="E78" s="6"/>
      <c r="F78" s="6"/>
      <c r="G78" s="6"/>
      <c r="K78" s="6"/>
      <c r="L78" s="6"/>
      <c r="Q78" s="6"/>
    </row>
    <row r="79" spans="1:17" x14ac:dyDescent="0.3">
      <c r="A79" s="5" t="s">
        <v>3</v>
      </c>
      <c r="B79" s="6" t="s">
        <v>4</v>
      </c>
      <c r="C79" s="6"/>
      <c r="E79" s="6"/>
      <c r="F79" s="6"/>
      <c r="G79" s="6"/>
      <c r="K79" s="6"/>
      <c r="L79" s="6"/>
      <c r="Q79" s="6"/>
    </row>
    <row r="80" spans="1:17" x14ac:dyDescent="0.3">
      <c r="A80" s="5" t="s">
        <v>5</v>
      </c>
      <c r="B80" s="6">
        <v>1</v>
      </c>
      <c r="C80" s="6"/>
      <c r="E80" s="6"/>
      <c r="F80" s="6"/>
      <c r="G80" s="6"/>
      <c r="K80" s="6"/>
      <c r="L80" s="6"/>
      <c r="Q80" s="6"/>
    </row>
    <row r="81" spans="1:17" x14ac:dyDescent="0.3">
      <c r="A81" s="5" t="s">
        <v>7</v>
      </c>
      <c r="B81" s="6" t="s">
        <v>8</v>
      </c>
      <c r="C81" s="6"/>
      <c r="E81" s="6"/>
      <c r="F81" s="6"/>
      <c r="G81" s="6"/>
      <c r="K81" s="6"/>
      <c r="L81" s="6"/>
      <c r="Q81" s="6"/>
    </row>
    <row r="82" spans="1:17" x14ac:dyDescent="0.3">
      <c r="A82" s="5" t="s">
        <v>2</v>
      </c>
      <c r="B82" s="6" t="s">
        <v>727</v>
      </c>
      <c r="C82" s="6"/>
      <c r="E82" s="6"/>
      <c r="F82" s="6"/>
      <c r="G82" s="6"/>
      <c r="K82" s="6"/>
      <c r="L82" s="6"/>
      <c r="Q82" s="6"/>
    </row>
    <row r="83" spans="1:17" x14ac:dyDescent="0.3">
      <c r="A83" s="5" t="s">
        <v>9</v>
      </c>
      <c r="B83" s="6"/>
      <c r="C83" s="6"/>
      <c r="E83" s="6"/>
      <c r="F83" s="6"/>
      <c r="G83" s="6"/>
      <c r="K83" s="6"/>
      <c r="L83" s="6"/>
      <c r="Q83" s="6"/>
    </row>
    <row r="84" spans="1:17" s="1" customFormat="1" x14ac:dyDescent="0.3">
      <c r="A84" s="5" t="s">
        <v>10</v>
      </c>
      <c r="B84" s="5" t="s">
        <v>6</v>
      </c>
      <c r="C84" s="5" t="s">
        <v>3</v>
      </c>
      <c r="D84" s="5" t="s">
        <v>11</v>
      </c>
      <c r="E84" s="5" t="s">
        <v>7</v>
      </c>
      <c r="F84" s="5" t="s">
        <v>13</v>
      </c>
      <c r="G84" s="5" t="s">
        <v>12</v>
      </c>
      <c r="H84" s="5" t="s">
        <v>0</v>
      </c>
      <c r="I84" s="42" t="s">
        <v>656</v>
      </c>
      <c r="J84" s="42" t="s">
        <v>691</v>
      </c>
      <c r="K84" s="5" t="s">
        <v>2</v>
      </c>
      <c r="L84" s="5"/>
    </row>
    <row r="85" spans="1:17" x14ac:dyDescent="0.3">
      <c r="A85" s="6" t="s">
        <v>511</v>
      </c>
      <c r="B85" s="6" t="s">
        <v>512</v>
      </c>
      <c r="C85" s="6" t="s">
        <v>4</v>
      </c>
      <c r="D85" s="15">
        <v>1</v>
      </c>
      <c r="E85" s="6" t="s">
        <v>8</v>
      </c>
      <c r="F85" s="6" t="s">
        <v>14</v>
      </c>
      <c r="G85" s="6"/>
      <c r="H85" s="6" t="str">
        <f>Intro!$B$3</f>
        <v>LIB raw materials</v>
      </c>
      <c r="I85" s="6"/>
      <c r="J85" s="6"/>
      <c r="K85" s="6"/>
      <c r="L85" s="6"/>
      <c r="Q85" s="6"/>
    </row>
    <row r="86" spans="1:17" s="29" customFormat="1" x14ac:dyDescent="0.3">
      <c r="A86" s="27" t="s">
        <v>465</v>
      </c>
      <c r="B86" s="27" t="s">
        <v>466</v>
      </c>
      <c r="C86" s="27" t="s">
        <v>18</v>
      </c>
      <c r="D86" s="51">
        <f>679282/504660</f>
        <v>1.346019101969643</v>
      </c>
      <c r="E86" s="27" t="s">
        <v>8</v>
      </c>
      <c r="F86" s="27" t="s">
        <v>15</v>
      </c>
      <c r="G86" s="27"/>
      <c r="H86" s="27" t="str">
        <f>Intro!$B$4</f>
        <v>ecoinvent-3.10-cutoff</v>
      </c>
      <c r="I86" s="27">
        <v>0</v>
      </c>
      <c r="J86" t="s">
        <v>728</v>
      </c>
      <c r="K86" s="27" t="s">
        <v>521</v>
      </c>
      <c r="L86" s="27"/>
      <c r="Q86" s="27"/>
    </row>
    <row r="87" spans="1:17" s="29" customFormat="1" x14ac:dyDescent="0.3">
      <c r="A87" s="27" t="s">
        <v>273</v>
      </c>
      <c r="B87" s="27" t="s">
        <v>179</v>
      </c>
      <c r="C87" s="27" t="s">
        <v>24</v>
      </c>
      <c r="D87" s="51">
        <f>5995*3.6/504660</f>
        <v>4.2765426227559147E-2</v>
      </c>
      <c r="E87" s="27" t="s">
        <v>30</v>
      </c>
      <c r="F87" s="27" t="s">
        <v>15</v>
      </c>
      <c r="G87" s="27"/>
      <c r="H87" s="27" t="str">
        <f>Intro!$B$4</f>
        <v>ecoinvent-3.10-cutoff</v>
      </c>
      <c r="I87" s="27">
        <v>0</v>
      </c>
      <c r="J87" t="s">
        <v>728</v>
      </c>
      <c r="K87" s="27" t="s">
        <v>514</v>
      </c>
      <c r="L87" s="27"/>
      <c r="Q87" s="27"/>
    </row>
    <row r="88" spans="1:17" x14ac:dyDescent="0.3">
      <c r="A88" t="s">
        <v>99</v>
      </c>
      <c r="B88" t="s">
        <v>100</v>
      </c>
      <c r="C88" s="6" t="s">
        <v>24</v>
      </c>
      <c r="D88" s="51">
        <f>20010/504660</f>
        <v>3.9650457733919869E-2</v>
      </c>
      <c r="E88" s="27" t="s">
        <v>8</v>
      </c>
      <c r="F88" s="27" t="s">
        <v>15</v>
      </c>
      <c r="G88" s="27"/>
      <c r="H88" s="27" t="str">
        <f>Intro!$B$4</f>
        <v>ecoinvent-3.10-cutoff</v>
      </c>
      <c r="I88" s="27">
        <v>0</v>
      </c>
      <c r="J88" t="s">
        <v>728</v>
      </c>
      <c r="K88" s="27" t="s">
        <v>513</v>
      </c>
    </row>
    <row r="89" spans="1:17" x14ac:dyDescent="0.3">
      <c r="A89" t="s">
        <v>306</v>
      </c>
      <c r="B89" t="s">
        <v>307</v>
      </c>
      <c r="C89" s="6" t="s">
        <v>24</v>
      </c>
      <c r="D89" s="51">
        <f>1039/504660</f>
        <v>2.058811873340467E-3</v>
      </c>
      <c r="E89" s="27" t="s">
        <v>8</v>
      </c>
      <c r="F89" s="27" t="s">
        <v>15</v>
      </c>
      <c r="G89" s="27"/>
      <c r="H89" s="27" t="str">
        <f>Intro!$B$4</f>
        <v>ecoinvent-3.10-cutoff</v>
      </c>
      <c r="I89" s="27">
        <v>0</v>
      </c>
      <c r="J89" t="s">
        <v>728</v>
      </c>
      <c r="K89" s="27" t="s">
        <v>729</v>
      </c>
    </row>
    <row r="90" spans="1:17" x14ac:dyDescent="0.3">
      <c r="A90" s="6" t="s">
        <v>49</v>
      </c>
      <c r="B90" s="6" t="s">
        <v>50</v>
      </c>
      <c r="C90" s="6" t="s">
        <v>24</v>
      </c>
      <c r="D90" s="51">
        <f>498772/504660</f>
        <v>0.9883327388736971</v>
      </c>
      <c r="E90" s="6" t="s">
        <v>8</v>
      </c>
      <c r="F90" s="6" t="s">
        <v>15</v>
      </c>
      <c r="G90" s="6"/>
      <c r="H90" s="6" t="str">
        <f>Intro!$B$4</f>
        <v>ecoinvent-3.10-cutoff</v>
      </c>
      <c r="I90" s="27">
        <v>0</v>
      </c>
      <c r="J90" t="s">
        <v>728</v>
      </c>
      <c r="K90" s="27" t="s">
        <v>515</v>
      </c>
    </row>
    <row r="91" spans="1:17" x14ac:dyDescent="0.3">
      <c r="A91" s="6" t="s">
        <v>37</v>
      </c>
      <c r="B91" s="6"/>
      <c r="C91" s="6"/>
      <c r="D91" s="51">
        <f>365061/504660</f>
        <v>0.72338009749138033</v>
      </c>
      <c r="E91" s="6" t="s">
        <v>8</v>
      </c>
      <c r="F91" s="6" t="s">
        <v>39</v>
      </c>
      <c r="G91" s="6" t="s">
        <v>38</v>
      </c>
      <c r="H91" s="6" t="str">
        <f>Intro!$B$5</f>
        <v>ecoinvent-3.10-biosphere</v>
      </c>
      <c r="I91" s="27">
        <v>0</v>
      </c>
      <c r="J91" t="s">
        <v>728</v>
      </c>
      <c r="K91" s="27" t="s">
        <v>516</v>
      </c>
    </row>
    <row r="92" spans="1:17" x14ac:dyDescent="0.3">
      <c r="A92" s="6" t="s">
        <v>128</v>
      </c>
      <c r="B92" s="6"/>
      <c r="C92" s="6"/>
      <c r="D92" s="28">
        <f>146/504660</f>
        <v>2.8930368961280862E-4</v>
      </c>
      <c r="E92" s="6" t="s">
        <v>8</v>
      </c>
      <c r="F92" s="6" t="s">
        <v>39</v>
      </c>
      <c r="G92" s="6" t="s">
        <v>38</v>
      </c>
      <c r="H92" s="6" t="str">
        <f>Intro!$B$5</f>
        <v>ecoinvent-3.10-biosphere</v>
      </c>
      <c r="I92" s="27">
        <v>0</v>
      </c>
      <c r="J92" t="s">
        <v>728</v>
      </c>
      <c r="K92" s="27" t="s">
        <v>517</v>
      </c>
    </row>
    <row r="93" spans="1:17" x14ac:dyDescent="0.3">
      <c r="A93" t="s">
        <v>175</v>
      </c>
      <c r="D93" s="28">
        <f>60*180000*24*365*0.9/1000000000/504660</f>
        <v>1.6872191178218999E-4</v>
      </c>
      <c r="E93" s="6" t="s">
        <v>8</v>
      </c>
      <c r="F93" s="6" t="s">
        <v>39</v>
      </c>
      <c r="G93" s="6" t="s">
        <v>38</v>
      </c>
      <c r="H93" s="6" t="str">
        <f>Intro!$B$5</f>
        <v>ecoinvent-3.10-biosphere</v>
      </c>
      <c r="I93" s="27">
        <v>0</v>
      </c>
      <c r="J93" t="s">
        <v>728</v>
      </c>
      <c r="K93" s="27" t="s">
        <v>518</v>
      </c>
    </row>
    <row r="97" spans="4:4" x14ac:dyDescent="0.3">
      <c r="D97" s="3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F318-8C53-4B11-8704-083389C4343A}">
  <dimension ref="A1:O97"/>
  <sheetViews>
    <sheetView zoomScale="85" zoomScaleNormal="85" workbookViewId="0">
      <selection activeCell="D35" sqref="D35"/>
    </sheetView>
  </sheetViews>
  <sheetFormatPr defaultRowHeight="14.4" x14ac:dyDescent="0.3"/>
  <cols>
    <col min="1" max="1" width="72.33203125" customWidth="1"/>
    <col min="2" max="2" width="27.6640625" customWidth="1"/>
    <col min="3" max="3" width="12.33203125" bestFit="1" customWidth="1"/>
    <col min="4" max="4" width="10.33203125" bestFit="1" customWidth="1"/>
    <col min="5" max="5" width="13.5546875" bestFit="1" customWidth="1"/>
    <col min="8" max="8" width="20.44140625" bestFit="1" customWidth="1"/>
  </cols>
  <sheetData>
    <row r="1" spans="1:15" x14ac:dyDescent="0.3">
      <c r="A1" s="5" t="s">
        <v>1</v>
      </c>
      <c r="B1" s="5" t="s">
        <v>456</v>
      </c>
      <c r="C1" s="6"/>
      <c r="E1" s="6"/>
      <c r="F1" s="6"/>
      <c r="G1" s="6"/>
      <c r="I1" s="6"/>
      <c r="J1" s="6"/>
      <c r="O1" s="6"/>
    </row>
    <row r="2" spans="1:15" x14ac:dyDescent="0.3">
      <c r="A2" s="5" t="s">
        <v>6</v>
      </c>
      <c r="B2" s="6" t="s">
        <v>457</v>
      </c>
      <c r="C2" s="6"/>
      <c r="E2" s="6"/>
      <c r="F2" s="6"/>
      <c r="G2" s="6"/>
      <c r="I2" s="6"/>
      <c r="J2" s="6"/>
      <c r="O2" s="6"/>
    </row>
    <row r="3" spans="1:15" x14ac:dyDescent="0.3">
      <c r="A3" s="5" t="s">
        <v>3</v>
      </c>
      <c r="B3" s="6" t="s">
        <v>24</v>
      </c>
      <c r="C3" s="6"/>
      <c r="E3" s="6"/>
      <c r="F3" s="6"/>
      <c r="G3" s="6"/>
      <c r="I3" s="6"/>
      <c r="J3" s="6"/>
      <c r="O3" s="6"/>
    </row>
    <row r="4" spans="1:15" x14ac:dyDescent="0.3">
      <c r="A4" s="5" t="s">
        <v>5</v>
      </c>
      <c r="B4" s="6">
        <v>1</v>
      </c>
      <c r="C4" s="6"/>
      <c r="E4" s="6"/>
      <c r="F4" s="6"/>
      <c r="G4" s="6"/>
      <c r="I4" s="6"/>
      <c r="J4" s="6"/>
      <c r="O4" s="6"/>
    </row>
    <row r="5" spans="1:15" x14ac:dyDescent="0.3">
      <c r="A5" s="5" t="s">
        <v>7</v>
      </c>
      <c r="B5" s="6" t="s">
        <v>8</v>
      </c>
      <c r="C5" s="6"/>
      <c r="E5" s="6"/>
      <c r="F5" s="6"/>
      <c r="G5" s="6"/>
      <c r="I5" s="6"/>
      <c r="J5" s="6"/>
      <c r="O5" s="6"/>
    </row>
    <row r="6" spans="1:15" x14ac:dyDescent="0.3">
      <c r="A6" s="5" t="s">
        <v>2</v>
      </c>
      <c r="B6" s="6" t="s">
        <v>458</v>
      </c>
      <c r="C6" s="6"/>
      <c r="E6" s="6"/>
      <c r="F6" s="6"/>
      <c r="G6" s="6"/>
      <c r="I6" s="6"/>
      <c r="J6" s="6"/>
      <c r="O6" s="6"/>
    </row>
    <row r="7" spans="1:15" x14ac:dyDescent="0.3">
      <c r="A7" s="5" t="s">
        <v>9</v>
      </c>
      <c r="B7" s="6"/>
      <c r="C7" s="6"/>
      <c r="E7" s="6"/>
      <c r="F7" s="6"/>
      <c r="G7" s="6"/>
      <c r="I7" s="6"/>
      <c r="J7" s="6"/>
      <c r="O7" s="6"/>
    </row>
    <row r="8" spans="1:15" s="1" customFormat="1" x14ac:dyDescent="0.3">
      <c r="A8" s="5" t="s">
        <v>10</v>
      </c>
      <c r="B8" s="5" t="s">
        <v>6</v>
      </c>
      <c r="C8" s="5" t="s">
        <v>3</v>
      </c>
      <c r="D8" s="5" t="s">
        <v>11</v>
      </c>
      <c r="E8" s="5" t="s">
        <v>7</v>
      </c>
      <c r="F8" s="5" t="s">
        <v>13</v>
      </c>
      <c r="G8" s="5" t="s">
        <v>12</v>
      </c>
      <c r="H8" s="5" t="s">
        <v>0</v>
      </c>
      <c r="I8" s="5" t="s">
        <v>2</v>
      </c>
      <c r="J8" s="5"/>
    </row>
    <row r="9" spans="1:15" x14ac:dyDescent="0.3">
      <c r="A9" s="6" t="s">
        <v>456</v>
      </c>
      <c r="B9" s="6" t="s">
        <v>457</v>
      </c>
      <c r="C9" s="6" t="s">
        <v>24</v>
      </c>
      <c r="D9" s="15">
        <v>1</v>
      </c>
      <c r="E9" s="6" t="s">
        <v>8</v>
      </c>
      <c r="F9" s="6" t="s">
        <v>14</v>
      </c>
      <c r="G9" s="6"/>
      <c r="H9" s="6" t="str">
        <f>Intro!$B$3</f>
        <v>LIB raw materials</v>
      </c>
      <c r="I9" s="6"/>
      <c r="J9" s="6"/>
      <c r="O9" s="6"/>
    </row>
    <row r="10" spans="1:15" x14ac:dyDescent="0.3">
      <c r="A10" s="6" t="s">
        <v>64</v>
      </c>
      <c r="B10" s="6" t="s">
        <v>65</v>
      </c>
      <c r="C10" s="6" t="s">
        <v>24</v>
      </c>
      <c r="D10" s="15">
        <v>1</v>
      </c>
      <c r="E10" s="6" t="s">
        <v>8</v>
      </c>
      <c r="F10" s="6" t="s">
        <v>15</v>
      </c>
      <c r="G10" s="6"/>
      <c r="H10" s="29" t="str">
        <f>Intro!$B$4</f>
        <v>ecoinvent-3.10-cutoff</v>
      </c>
      <c r="I10" s="6"/>
      <c r="J10" s="6"/>
      <c r="O10" s="6"/>
    </row>
    <row r="11" spans="1:15" s="4" customFormat="1" x14ac:dyDescent="0.3">
      <c r="A11" s="8"/>
      <c r="B11" s="8"/>
      <c r="C11" s="8"/>
      <c r="D11" s="8"/>
      <c r="E11" s="8"/>
      <c r="F11" s="8"/>
      <c r="G11" s="8"/>
      <c r="H11" s="8"/>
    </row>
    <row r="12" spans="1:15" x14ac:dyDescent="0.3">
      <c r="A12" s="5" t="s">
        <v>1</v>
      </c>
      <c r="B12" s="5" t="s">
        <v>256</v>
      </c>
      <c r="C12" s="5"/>
      <c r="D12" s="5"/>
      <c r="E12" s="5"/>
      <c r="F12" s="5"/>
      <c r="G12" s="5"/>
      <c r="H12" s="5"/>
      <c r="I12" s="1"/>
    </row>
    <row r="13" spans="1:15" x14ac:dyDescent="0.3">
      <c r="A13" s="5" t="s">
        <v>6</v>
      </c>
      <c r="B13" s="6" t="s">
        <v>236</v>
      </c>
      <c r="C13" s="6"/>
      <c r="D13" s="6"/>
      <c r="E13" s="6"/>
      <c r="F13" s="6"/>
      <c r="G13" s="6"/>
      <c r="H13" s="6"/>
    </row>
    <row r="14" spans="1:15" x14ac:dyDescent="0.3">
      <c r="A14" s="5" t="s">
        <v>3</v>
      </c>
      <c r="B14" s="6" t="s">
        <v>4</v>
      </c>
      <c r="C14" s="6"/>
      <c r="D14" s="6"/>
      <c r="E14" s="6"/>
      <c r="F14" s="6"/>
      <c r="G14" s="6"/>
      <c r="H14" s="6"/>
    </row>
    <row r="15" spans="1:15" x14ac:dyDescent="0.3">
      <c r="A15" s="5" t="s">
        <v>11</v>
      </c>
      <c r="B15" s="6">
        <v>1</v>
      </c>
      <c r="C15" s="6"/>
      <c r="D15" s="6"/>
      <c r="E15" s="6"/>
      <c r="F15" s="6"/>
      <c r="G15" s="6"/>
      <c r="H15" s="6"/>
    </row>
    <row r="16" spans="1:15" x14ac:dyDescent="0.3">
      <c r="A16" s="5" t="s">
        <v>7</v>
      </c>
      <c r="B16" s="6" t="s">
        <v>30</v>
      </c>
      <c r="C16" s="6"/>
      <c r="D16" s="6"/>
      <c r="E16" s="6"/>
      <c r="F16" s="6"/>
      <c r="G16" s="6"/>
      <c r="H16" s="6"/>
    </row>
    <row r="17" spans="1:13" x14ac:dyDescent="0.3">
      <c r="A17" s="5" t="s">
        <v>2</v>
      </c>
      <c r="B17" s="6" t="s">
        <v>257</v>
      </c>
      <c r="C17" s="6"/>
      <c r="D17" s="6"/>
      <c r="E17" s="6"/>
      <c r="F17" s="6"/>
      <c r="G17" s="6"/>
      <c r="H17" s="6"/>
    </row>
    <row r="18" spans="1:13" x14ac:dyDescent="0.3">
      <c r="A18" s="5" t="s">
        <v>9</v>
      </c>
      <c r="B18" s="6"/>
      <c r="C18" s="6"/>
      <c r="D18" s="6"/>
      <c r="E18" s="6"/>
      <c r="F18" s="6"/>
      <c r="G18" s="6"/>
      <c r="H18" s="6"/>
    </row>
    <row r="19" spans="1:13" x14ac:dyDescent="0.3">
      <c r="A19" s="5" t="s">
        <v>10</v>
      </c>
      <c r="B19" s="5" t="s">
        <v>6</v>
      </c>
      <c r="C19" s="5" t="s">
        <v>3</v>
      </c>
      <c r="D19" s="5" t="s">
        <v>11</v>
      </c>
      <c r="E19" s="5" t="s">
        <v>7</v>
      </c>
      <c r="F19" s="5" t="s">
        <v>13</v>
      </c>
      <c r="G19" s="5" t="s">
        <v>12</v>
      </c>
      <c r="H19" s="5" t="s">
        <v>0</v>
      </c>
      <c r="I19" s="5" t="s">
        <v>2</v>
      </c>
    </row>
    <row r="20" spans="1:13" x14ac:dyDescent="0.3">
      <c r="A20" s="6" t="s">
        <v>256</v>
      </c>
      <c r="B20" s="6" t="s">
        <v>236</v>
      </c>
      <c r="C20" s="6" t="s">
        <v>4</v>
      </c>
      <c r="D20" s="15">
        <v>1</v>
      </c>
      <c r="E20" s="6" t="s">
        <v>30</v>
      </c>
      <c r="F20" s="6" t="s">
        <v>14</v>
      </c>
      <c r="G20" s="6"/>
      <c r="H20" s="6" t="str">
        <f>Intro!$B$3</f>
        <v>LIB raw materials</v>
      </c>
    </row>
    <row r="21" spans="1:13" x14ac:dyDescent="0.3">
      <c r="A21" s="6" t="s">
        <v>27</v>
      </c>
      <c r="B21" s="6" t="s">
        <v>29</v>
      </c>
      <c r="C21" s="6" t="s">
        <v>4</v>
      </c>
      <c r="D21" s="16">
        <v>8.0799999999999952E-3</v>
      </c>
      <c r="E21" s="6" t="s">
        <v>28</v>
      </c>
      <c r="F21" s="6" t="s">
        <v>15</v>
      </c>
      <c r="G21" s="6"/>
      <c r="H21" s="6" t="str">
        <f>Intro!$B$4</f>
        <v>ecoinvent-3.10-cutoff</v>
      </c>
    </row>
    <row r="22" spans="1:13" x14ac:dyDescent="0.3">
      <c r="A22" s="6" t="s">
        <v>79</v>
      </c>
      <c r="B22" s="6" t="s">
        <v>80</v>
      </c>
      <c r="C22" s="6" t="s">
        <v>24</v>
      </c>
      <c r="D22" s="15">
        <v>1.2809120000000001</v>
      </c>
      <c r="E22" s="6" t="s">
        <v>30</v>
      </c>
      <c r="F22" s="6" t="s">
        <v>15</v>
      </c>
      <c r="G22" s="6"/>
      <c r="H22" s="6" t="str">
        <f>Intro!$B$4</f>
        <v>ecoinvent-3.10-cutoff</v>
      </c>
      <c r="I22" s="6"/>
      <c r="J22" s="6"/>
      <c r="K22" s="6"/>
      <c r="L22" s="6"/>
      <c r="M22" s="6"/>
    </row>
    <row r="23" spans="1:13" x14ac:dyDescent="0.3">
      <c r="A23" s="6" t="s">
        <v>167</v>
      </c>
      <c r="B23" s="6" t="s">
        <v>50</v>
      </c>
      <c r="C23" s="6" t="s">
        <v>18</v>
      </c>
      <c r="D23" s="15">
        <v>6.1818181818181731E-2</v>
      </c>
      <c r="E23" s="6" t="s">
        <v>8</v>
      </c>
      <c r="F23" s="6" t="s">
        <v>15</v>
      </c>
      <c r="G23" s="6"/>
      <c r="H23" s="6" t="str">
        <f>Intro!$B$4</f>
        <v>ecoinvent-3.10-cutoff</v>
      </c>
    </row>
    <row r="24" spans="1:13" s="4" customFormat="1" x14ac:dyDescent="0.3">
      <c r="A24" s="8"/>
      <c r="B24" s="8"/>
      <c r="C24" s="8"/>
      <c r="D24" s="8"/>
      <c r="E24" s="8"/>
      <c r="F24" s="8"/>
      <c r="G24" s="8"/>
      <c r="H24" s="8"/>
    </row>
    <row r="25" spans="1:13" x14ac:dyDescent="0.3">
      <c r="A25" s="5" t="s">
        <v>1</v>
      </c>
      <c r="B25" s="5" t="s">
        <v>787</v>
      </c>
      <c r="C25" s="5"/>
      <c r="D25" s="5"/>
      <c r="E25" s="5"/>
      <c r="F25" s="5"/>
      <c r="G25" s="5"/>
      <c r="H25" s="5"/>
      <c r="I25" s="1"/>
    </row>
    <row r="26" spans="1:13" x14ac:dyDescent="0.3">
      <c r="A26" s="5" t="s">
        <v>6</v>
      </c>
      <c r="B26" s="6" t="s">
        <v>779</v>
      </c>
      <c r="C26" s="6"/>
      <c r="D26" s="6"/>
      <c r="E26" s="6"/>
      <c r="F26" s="6"/>
      <c r="G26" s="6"/>
      <c r="H26" s="6"/>
    </row>
    <row r="27" spans="1:13" x14ac:dyDescent="0.3">
      <c r="A27" s="5" t="s">
        <v>3</v>
      </c>
      <c r="B27" s="6" t="s">
        <v>18</v>
      </c>
      <c r="C27" s="6"/>
      <c r="D27" s="6"/>
      <c r="E27" s="6"/>
      <c r="F27" s="6"/>
      <c r="G27" s="6"/>
      <c r="H27" s="6"/>
    </row>
    <row r="28" spans="1:13" x14ac:dyDescent="0.3">
      <c r="A28" s="5" t="s">
        <v>11</v>
      </c>
      <c r="B28" s="6">
        <v>1</v>
      </c>
      <c r="C28" s="6"/>
      <c r="D28" s="6"/>
      <c r="E28" s="6"/>
      <c r="F28" s="6"/>
      <c r="G28" s="6"/>
      <c r="H28" s="6"/>
    </row>
    <row r="29" spans="1:13" x14ac:dyDescent="0.3">
      <c r="A29" s="5" t="s">
        <v>7</v>
      </c>
      <c r="B29" s="6" t="s">
        <v>28</v>
      </c>
      <c r="C29" s="6"/>
      <c r="D29" s="6"/>
      <c r="E29" s="6"/>
      <c r="F29" s="6"/>
      <c r="G29" s="6"/>
      <c r="H29" s="6"/>
    </row>
    <row r="30" spans="1:13" x14ac:dyDescent="0.3">
      <c r="A30" s="5" t="s">
        <v>2</v>
      </c>
      <c r="B30" s="6" t="s">
        <v>786</v>
      </c>
      <c r="C30" s="6"/>
      <c r="D30" s="6"/>
      <c r="E30" s="6"/>
      <c r="F30" s="6"/>
      <c r="G30" s="6"/>
      <c r="H30" s="6"/>
    </row>
    <row r="31" spans="1:13" x14ac:dyDescent="0.3">
      <c r="A31" s="5" t="s">
        <v>9</v>
      </c>
      <c r="B31" s="6"/>
      <c r="C31" s="6"/>
      <c r="D31" s="6"/>
      <c r="E31" s="6"/>
      <c r="F31" s="6"/>
      <c r="G31" s="6"/>
      <c r="H31" s="6"/>
    </row>
    <row r="32" spans="1:13" x14ac:dyDescent="0.3">
      <c r="A32" s="5" t="s">
        <v>10</v>
      </c>
      <c r="B32" s="5" t="s">
        <v>6</v>
      </c>
      <c r="C32" s="5" t="s">
        <v>3</v>
      </c>
      <c r="D32" s="5" t="s">
        <v>11</v>
      </c>
      <c r="E32" s="5" t="s">
        <v>7</v>
      </c>
      <c r="F32" s="5" t="s">
        <v>13</v>
      </c>
      <c r="G32" s="5" t="s">
        <v>12</v>
      </c>
      <c r="H32" s="5" t="s">
        <v>0</v>
      </c>
      <c r="I32" s="5" t="s">
        <v>2</v>
      </c>
    </row>
    <row r="33" spans="1:12" x14ac:dyDescent="0.3">
      <c r="A33" s="6" t="s">
        <v>787</v>
      </c>
      <c r="B33" s="6" t="s">
        <v>779</v>
      </c>
      <c r="C33" s="6" t="s">
        <v>18</v>
      </c>
      <c r="D33" s="15">
        <v>1</v>
      </c>
      <c r="E33" s="6" t="s">
        <v>28</v>
      </c>
      <c r="F33" s="6" t="s">
        <v>14</v>
      </c>
      <c r="G33" s="6"/>
      <c r="H33" s="6" t="str">
        <f>Intro!$B$3</f>
        <v>LIB raw materials</v>
      </c>
    </row>
    <row r="34" spans="1:12" x14ac:dyDescent="0.3">
      <c r="A34" s="6" t="s">
        <v>778</v>
      </c>
      <c r="B34" s="6" t="s">
        <v>779</v>
      </c>
      <c r="C34" s="6" t="s">
        <v>24</v>
      </c>
      <c r="D34" s="15">
        <f>1-D35</f>
        <v>0.75555555555555554</v>
      </c>
      <c r="E34" s="6" t="s">
        <v>28</v>
      </c>
      <c r="F34" s="6" t="s">
        <v>15</v>
      </c>
      <c r="G34" s="6"/>
      <c r="H34" s="6" t="str">
        <f>Intro!$B$4</f>
        <v>ecoinvent-3.10-cutoff</v>
      </c>
    </row>
    <row r="35" spans="1:12" x14ac:dyDescent="0.3">
      <c r="A35" s="6" t="s">
        <v>788</v>
      </c>
      <c r="B35" s="6" t="s">
        <v>779</v>
      </c>
      <c r="C35" s="6" t="s">
        <v>18</v>
      </c>
      <c r="D35" s="15">
        <f>(22/90)</f>
        <v>0.24444444444444444</v>
      </c>
      <c r="E35" s="6" t="s">
        <v>28</v>
      </c>
      <c r="F35" s="6" t="s">
        <v>15</v>
      </c>
      <c r="H35" s="6" t="str">
        <f>Intro!$B$3</f>
        <v>LIB raw materials</v>
      </c>
      <c r="I35" t="s">
        <v>785</v>
      </c>
    </row>
    <row r="36" spans="1:12" s="4" customFormat="1" x14ac:dyDescent="0.3">
      <c r="A36" s="8"/>
      <c r="B36" s="8"/>
      <c r="C36" s="8"/>
      <c r="D36" s="8"/>
      <c r="E36" s="8"/>
      <c r="F36" s="8"/>
      <c r="G36" s="8"/>
      <c r="H36" s="8"/>
    </row>
    <row r="37" spans="1:12" x14ac:dyDescent="0.3">
      <c r="A37" s="5" t="s">
        <v>1</v>
      </c>
      <c r="B37" s="5" t="s">
        <v>788</v>
      </c>
      <c r="C37" s="5"/>
      <c r="D37" s="5"/>
      <c r="E37" s="5"/>
      <c r="F37" s="5"/>
      <c r="G37" s="5"/>
      <c r="H37" s="5"/>
      <c r="I37" s="1"/>
    </row>
    <row r="38" spans="1:12" x14ac:dyDescent="0.3">
      <c r="A38" s="5" t="s">
        <v>6</v>
      </c>
      <c r="B38" s="6" t="s">
        <v>779</v>
      </c>
      <c r="C38" s="6"/>
      <c r="D38" s="6"/>
      <c r="E38" s="6"/>
      <c r="F38" s="6"/>
      <c r="G38" s="6"/>
      <c r="H38" s="6"/>
    </row>
    <row r="39" spans="1:12" x14ac:dyDescent="0.3">
      <c r="A39" s="5" t="s">
        <v>3</v>
      </c>
      <c r="B39" s="6" t="s">
        <v>18</v>
      </c>
      <c r="C39" s="6"/>
      <c r="D39" s="6"/>
      <c r="E39" s="6"/>
      <c r="F39" s="6"/>
      <c r="G39" s="6"/>
      <c r="H39" s="6"/>
    </row>
    <row r="40" spans="1:12" x14ac:dyDescent="0.3">
      <c r="A40" s="5" t="s">
        <v>11</v>
      </c>
      <c r="B40" s="6">
        <v>1</v>
      </c>
      <c r="C40" s="6"/>
      <c r="D40" s="6"/>
      <c r="E40" s="6"/>
      <c r="F40" s="6"/>
      <c r="G40" s="6"/>
      <c r="H40" s="6"/>
    </row>
    <row r="41" spans="1:12" x14ac:dyDescent="0.3">
      <c r="A41" s="5" t="s">
        <v>7</v>
      </c>
      <c r="B41" s="6" t="s">
        <v>28</v>
      </c>
      <c r="C41" s="6"/>
      <c r="D41" s="6"/>
      <c r="E41" s="6"/>
      <c r="F41" s="6"/>
      <c r="G41" s="6"/>
      <c r="H41" s="6"/>
    </row>
    <row r="42" spans="1:12" ht="16.8" x14ac:dyDescent="0.3">
      <c r="A42" s="5" t="s">
        <v>2</v>
      </c>
      <c r="B42" s="6" t="s">
        <v>790</v>
      </c>
      <c r="C42" s="6"/>
      <c r="D42" s="6"/>
      <c r="E42" s="6"/>
      <c r="F42" s="6"/>
      <c r="G42" s="6"/>
      <c r="H42" s="6"/>
      <c r="L42" s="78"/>
    </row>
    <row r="43" spans="1:12" x14ac:dyDescent="0.3">
      <c r="A43" s="5" t="s">
        <v>9</v>
      </c>
      <c r="B43" s="6"/>
      <c r="C43" s="6"/>
      <c r="D43" s="6"/>
      <c r="E43" s="6"/>
      <c r="F43" s="6"/>
      <c r="G43" s="6"/>
      <c r="H43" s="6"/>
    </row>
    <row r="44" spans="1:12" ht="16.8" x14ac:dyDescent="0.3">
      <c r="A44" s="5" t="s">
        <v>10</v>
      </c>
      <c r="B44" s="5" t="s">
        <v>6</v>
      </c>
      <c r="C44" s="5" t="s">
        <v>3</v>
      </c>
      <c r="D44" s="5" t="s">
        <v>11</v>
      </c>
      <c r="E44" s="5" t="s">
        <v>7</v>
      </c>
      <c r="F44" s="5" t="s">
        <v>13</v>
      </c>
      <c r="G44" s="5" t="s">
        <v>12</v>
      </c>
      <c r="H44" s="5" t="s">
        <v>0</v>
      </c>
      <c r="I44" s="5" t="s">
        <v>2</v>
      </c>
      <c r="L44" s="78"/>
    </row>
    <row r="45" spans="1:12" ht="16.8" x14ac:dyDescent="0.4">
      <c r="A45" s="6" t="s">
        <v>788</v>
      </c>
      <c r="B45" s="6" t="s">
        <v>779</v>
      </c>
      <c r="C45" s="6" t="s">
        <v>18</v>
      </c>
      <c r="D45" s="15">
        <v>1</v>
      </c>
      <c r="E45" s="6" t="s">
        <v>28</v>
      </c>
      <c r="F45" s="6" t="s">
        <v>14</v>
      </c>
      <c r="G45" s="6"/>
      <c r="H45" s="6" t="str">
        <f>Intro!$B$3</f>
        <v>LIB raw materials</v>
      </c>
      <c r="L45" s="79"/>
    </row>
    <row r="46" spans="1:12" x14ac:dyDescent="0.3">
      <c r="A46" s="6" t="s">
        <v>778</v>
      </c>
      <c r="B46" s="6" t="s">
        <v>779</v>
      </c>
      <c r="C46" s="6" t="s">
        <v>24</v>
      </c>
      <c r="D46" s="15">
        <f>1/0.9</f>
        <v>1.1111111111111112</v>
      </c>
      <c r="E46" s="6" t="s">
        <v>28</v>
      </c>
      <c r="F46" s="6" t="s">
        <v>15</v>
      </c>
      <c r="G46" s="6"/>
      <c r="H46" s="6" t="str">
        <f>Intro!$B$4</f>
        <v>ecoinvent-3.10-cutoff</v>
      </c>
      <c r="I46" t="s">
        <v>789</v>
      </c>
    </row>
    <row r="47" spans="1:12" ht="16.8" x14ac:dyDescent="0.4">
      <c r="A47" t="s">
        <v>780</v>
      </c>
      <c r="B47" t="s">
        <v>781</v>
      </c>
      <c r="C47" t="s">
        <v>18</v>
      </c>
      <c r="D47" s="14">
        <v>2.81E-3</v>
      </c>
      <c r="E47" s="6" t="s">
        <v>8</v>
      </c>
      <c r="F47" s="6" t="s">
        <v>15</v>
      </c>
      <c r="G47" s="6"/>
      <c r="H47" s="6" t="str">
        <f>Intro!$B$4</f>
        <v>ecoinvent-3.10-cutoff</v>
      </c>
      <c r="L47" s="79"/>
    </row>
    <row r="48" spans="1:12" ht="16.8" x14ac:dyDescent="0.4">
      <c r="A48" s="6" t="s">
        <v>791</v>
      </c>
      <c r="B48" s="6" t="s">
        <v>792</v>
      </c>
      <c r="C48" s="6" t="s">
        <v>18</v>
      </c>
      <c r="D48" s="14">
        <v>9.8800000000000003E-5</v>
      </c>
      <c r="E48" s="6" t="s">
        <v>8</v>
      </c>
      <c r="F48" s="6" t="s">
        <v>15</v>
      </c>
      <c r="G48" s="6"/>
      <c r="H48" s="6" t="str">
        <f>Intro!$B$4</f>
        <v>ecoinvent-3.10-cutoff</v>
      </c>
      <c r="L48" s="79"/>
    </row>
    <row r="49" spans="1:12" ht="16.8" x14ac:dyDescent="0.4">
      <c r="A49" t="s">
        <v>794</v>
      </c>
      <c r="B49" t="s">
        <v>793</v>
      </c>
      <c r="C49" t="s">
        <v>18</v>
      </c>
      <c r="D49" s="14">
        <v>9.0100000000000001E-6</v>
      </c>
      <c r="E49" t="s">
        <v>194</v>
      </c>
      <c r="F49" s="6" t="s">
        <v>15</v>
      </c>
      <c r="G49" s="6"/>
      <c r="H49" s="6" t="str">
        <f>Intro!$B$4</f>
        <v>ecoinvent-3.10-cutoff</v>
      </c>
      <c r="L49" s="79"/>
    </row>
    <row r="50" spans="1:12" ht="16.8" x14ac:dyDescent="0.4">
      <c r="A50" t="s">
        <v>795</v>
      </c>
      <c r="B50" t="s">
        <v>796</v>
      </c>
      <c r="C50" t="s">
        <v>18</v>
      </c>
      <c r="D50" s="14">
        <v>1.09E-3</v>
      </c>
      <c r="E50" s="6" t="s">
        <v>8</v>
      </c>
      <c r="F50" s="6" t="s">
        <v>15</v>
      </c>
      <c r="G50" s="6"/>
      <c r="H50" s="6" t="str">
        <f>Intro!$B$4</f>
        <v>ecoinvent-3.10-cutoff</v>
      </c>
      <c r="L50" s="79"/>
    </row>
    <row r="51" spans="1:12" ht="16.8" x14ac:dyDescent="0.4">
      <c r="A51" t="s">
        <v>797</v>
      </c>
      <c r="B51" t="s">
        <v>798</v>
      </c>
      <c r="C51" t="s">
        <v>18</v>
      </c>
      <c r="D51" s="14">
        <v>1.09E-3</v>
      </c>
      <c r="E51" s="6" t="s">
        <v>8</v>
      </c>
      <c r="F51" s="6" t="s">
        <v>15</v>
      </c>
      <c r="G51" s="6"/>
      <c r="H51" s="6" t="str">
        <f>Intro!$B$4</f>
        <v>ecoinvent-3.10-cutoff</v>
      </c>
      <c r="L51" s="79"/>
    </row>
    <row r="52" spans="1:12" ht="16.8" x14ac:dyDescent="0.4">
      <c r="A52" t="s">
        <v>799</v>
      </c>
      <c r="B52" t="s">
        <v>800</v>
      </c>
      <c r="C52" t="s">
        <v>18</v>
      </c>
      <c r="D52" s="14">
        <v>9.8800000000000003E-5</v>
      </c>
      <c r="E52" s="6" t="s">
        <v>7</v>
      </c>
      <c r="F52" s="6" t="s">
        <v>15</v>
      </c>
      <c r="G52" s="6"/>
      <c r="H52" s="6" t="str">
        <f>Intro!$B$4</f>
        <v>ecoinvent-3.10-cutoff</v>
      </c>
      <c r="L52" s="79"/>
    </row>
    <row r="53" spans="1:12" ht="16.8" x14ac:dyDescent="0.4">
      <c r="A53" t="s">
        <v>142</v>
      </c>
      <c r="B53" t="s">
        <v>143</v>
      </c>
      <c r="C53" t="s">
        <v>24</v>
      </c>
      <c r="D53" s="14">
        <v>3.4399999999999999E-3</v>
      </c>
      <c r="E53" t="s">
        <v>17</v>
      </c>
      <c r="F53" s="6" t="s">
        <v>15</v>
      </c>
      <c r="G53" s="6"/>
      <c r="H53" s="6" t="str">
        <f>Intro!$B$4</f>
        <v>ecoinvent-3.10-cutoff</v>
      </c>
      <c r="L53" s="79"/>
    </row>
    <row r="54" spans="1:12" ht="16.8" x14ac:dyDescent="0.4">
      <c r="A54" t="s">
        <v>23</v>
      </c>
      <c r="B54" t="s">
        <v>25</v>
      </c>
      <c r="C54" t="s">
        <v>24</v>
      </c>
      <c r="D54" s="14">
        <v>8.5899999999999995E-4</v>
      </c>
      <c r="E54" t="s">
        <v>17</v>
      </c>
      <c r="F54" s="6" t="s">
        <v>15</v>
      </c>
      <c r="G54" s="6"/>
      <c r="H54" s="6" t="str">
        <f>Intro!$B$4</f>
        <v>ecoinvent-3.10-cutoff</v>
      </c>
      <c r="L54" s="79"/>
    </row>
    <row r="55" spans="1:12" s="4" customFormat="1" x14ac:dyDescent="0.3">
      <c r="A55" s="8"/>
      <c r="B55" s="8"/>
      <c r="C55" s="8"/>
      <c r="D55" s="8"/>
      <c r="E55" s="8"/>
      <c r="F55" s="8"/>
      <c r="G55" s="8"/>
      <c r="H55" s="8"/>
    </row>
    <row r="56" spans="1:12" x14ac:dyDescent="0.3">
      <c r="A56" s="5" t="s">
        <v>1</v>
      </c>
      <c r="B56" s="5" t="s">
        <v>475</v>
      </c>
      <c r="C56" s="5"/>
      <c r="D56" s="5"/>
      <c r="E56" s="5"/>
      <c r="F56" s="5"/>
      <c r="G56" s="5"/>
      <c r="H56" s="5"/>
      <c r="I56" s="1"/>
    </row>
    <row r="57" spans="1:12" x14ac:dyDescent="0.3">
      <c r="A57" s="5" t="s">
        <v>6</v>
      </c>
      <c r="B57" s="6" t="s">
        <v>179</v>
      </c>
      <c r="C57" s="6"/>
      <c r="D57" s="6"/>
      <c r="E57" s="6"/>
      <c r="F57" s="6"/>
      <c r="G57" s="6"/>
      <c r="H57" s="6"/>
    </row>
    <row r="58" spans="1:12" x14ac:dyDescent="0.3">
      <c r="A58" s="5" t="s">
        <v>3</v>
      </c>
      <c r="B58" s="6" t="s">
        <v>18</v>
      </c>
      <c r="C58" s="6"/>
      <c r="D58" s="6"/>
      <c r="E58" s="6"/>
      <c r="F58" s="6"/>
      <c r="G58" s="6"/>
      <c r="H58" s="6"/>
    </row>
    <row r="59" spans="1:12" x14ac:dyDescent="0.3">
      <c r="A59" s="5" t="s">
        <v>11</v>
      </c>
      <c r="B59" s="6">
        <v>1</v>
      </c>
      <c r="C59" s="6"/>
      <c r="D59" s="6"/>
      <c r="E59" s="6"/>
      <c r="F59" s="6"/>
      <c r="G59" s="6"/>
      <c r="H59" s="6"/>
    </row>
    <row r="60" spans="1:12" x14ac:dyDescent="0.3">
      <c r="A60" s="5" t="s">
        <v>7</v>
      </c>
      <c r="B60" s="6" t="s">
        <v>30</v>
      </c>
      <c r="C60" s="6"/>
      <c r="D60" s="6"/>
      <c r="E60" s="6"/>
      <c r="F60" s="6"/>
      <c r="G60" s="6"/>
      <c r="H60" s="6"/>
    </row>
    <row r="61" spans="1:12" x14ac:dyDescent="0.3">
      <c r="A61" s="5" t="s">
        <v>2</v>
      </c>
      <c r="B61" s="6" t="s">
        <v>476</v>
      </c>
      <c r="C61" s="6"/>
      <c r="D61" s="6"/>
      <c r="E61" s="6"/>
      <c r="F61" s="6"/>
      <c r="G61" s="6"/>
      <c r="H61" s="6"/>
    </row>
    <row r="62" spans="1:12" x14ac:dyDescent="0.3">
      <c r="A62" s="5" t="s">
        <v>9</v>
      </c>
      <c r="B62" s="6"/>
      <c r="C62" s="6"/>
      <c r="D62" s="6"/>
      <c r="E62" s="6"/>
      <c r="F62" s="6"/>
      <c r="G62" s="6"/>
      <c r="H62" s="6"/>
    </row>
    <row r="63" spans="1:12" x14ac:dyDescent="0.3">
      <c r="A63" s="5" t="s">
        <v>10</v>
      </c>
      <c r="B63" s="5" t="s">
        <v>6</v>
      </c>
      <c r="C63" s="5" t="s">
        <v>3</v>
      </c>
      <c r="D63" s="5" t="s">
        <v>11</v>
      </c>
      <c r="E63" s="5" t="s">
        <v>7</v>
      </c>
      <c r="F63" s="5" t="s">
        <v>13</v>
      </c>
      <c r="G63" s="5" t="s">
        <v>12</v>
      </c>
      <c r="H63" s="5" t="s">
        <v>0</v>
      </c>
      <c r="I63" s="5" t="s">
        <v>2</v>
      </c>
    </row>
    <row r="64" spans="1:12" x14ac:dyDescent="0.3">
      <c r="A64" s="6" t="s">
        <v>475</v>
      </c>
      <c r="B64" s="6" t="s">
        <v>179</v>
      </c>
      <c r="C64" s="6" t="s">
        <v>18</v>
      </c>
      <c r="D64" s="15">
        <v>1</v>
      </c>
      <c r="E64" s="6" t="s">
        <v>30</v>
      </c>
      <c r="F64" s="6" t="s">
        <v>14</v>
      </c>
      <c r="G64" s="6"/>
      <c r="H64" s="6" t="str">
        <f>Intro!$B$3</f>
        <v>LIB raw materials</v>
      </c>
    </row>
    <row r="65" spans="1:8" x14ac:dyDescent="0.3">
      <c r="A65" s="6" t="s">
        <v>27</v>
      </c>
      <c r="B65" s="6" t="s">
        <v>29</v>
      </c>
      <c r="C65" s="6" t="s">
        <v>18</v>
      </c>
      <c r="D65" s="15">
        <f>1/0.9</f>
        <v>1.1111111111111112</v>
      </c>
      <c r="E65" s="6" t="s">
        <v>28</v>
      </c>
      <c r="F65" s="6" t="s">
        <v>15</v>
      </c>
      <c r="G65" s="6"/>
      <c r="H65" s="6" t="str">
        <f>Intro!$B$4</f>
        <v>ecoinvent-3.10-cutoff</v>
      </c>
    </row>
    <row r="70" spans="1:8" x14ac:dyDescent="0.3">
      <c r="C70" s="59"/>
    </row>
    <row r="71" spans="1:8" x14ac:dyDescent="0.3">
      <c r="C71" s="59"/>
    </row>
    <row r="83" spans="2:5" x14ac:dyDescent="0.3">
      <c r="C83" s="37"/>
    </row>
    <row r="85" spans="2:5" x14ac:dyDescent="0.3">
      <c r="B85" s="1"/>
    </row>
    <row r="87" spans="2:5" x14ac:dyDescent="0.3">
      <c r="C87" s="59"/>
    </row>
    <row r="89" spans="2:5" x14ac:dyDescent="0.3">
      <c r="C89" s="82"/>
    </row>
    <row r="91" spans="2:5" x14ac:dyDescent="0.3">
      <c r="B91" s="1"/>
    </row>
    <row r="93" spans="2:5" x14ac:dyDescent="0.3">
      <c r="E93" s="81"/>
    </row>
    <row r="95" spans="2:5" x14ac:dyDescent="0.3">
      <c r="B95" s="1"/>
    </row>
    <row r="97" spans="3:3" x14ac:dyDescent="0.3">
      <c r="C97" s="80"/>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4CD2-1DEA-4938-86B2-15D01FB1D137}">
  <sheetPr>
    <tabColor theme="7" tint="-0.249977111117893"/>
  </sheetPr>
  <dimension ref="A1:K33"/>
  <sheetViews>
    <sheetView zoomScale="70" zoomScaleNormal="70" workbookViewId="0">
      <pane xSplit="2" ySplit="5" topLeftCell="C25" activePane="bottomRight" state="frozen"/>
      <selection pane="topRight" activeCell="C1" sqref="C1"/>
      <selection pane="bottomLeft" activeCell="A6" sqref="A6"/>
      <selection pane="bottomRight" activeCell="D14" sqref="D14"/>
    </sheetView>
  </sheetViews>
  <sheetFormatPr defaultRowHeight="14.4" x14ac:dyDescent="0.3"/>
  <cols>
    <col min="1" max="1" width="22.6640625" customWidth="1"/>
    <col min="2" max="2" width="33.44140625" bestFit="1" customWidth="1"/>
    <col min="3" max="3" width="10.109375" bestFit="1" customWidth="1"/>
    <col min="4" max="4" width="49.6640625" customWidth="1"/>
    <col min="5" max="5" width="35.109375" customWidth="1"/>
    <col min="6" max="6" width="29" customWidth="1"/>
    <col min="7" max="7" width="29.33203125" customWidth="1"/>
    <col min="8" max="8" width="30.5546875" customWidth="1"/>
  </cols>
  <sheetData>
    <row r="1" spans="1:11" x14ac:dyDescent="0.3">
      <c r="A1" t="s">
        <v>81</v>
      </c>
    </row>
    <row r="3" spans="1:11" ht="18" x14ac:dyDescent="0.35">
      <c r="A3" s="61" t="s">
        <v>713</v>
      </c>
      <c r="B3" s="61"/>
      <c r="C3" s="61"/>
    </row>
    <row r="5" spans="1:11" s="63" customFormat="1" x14ac:dyDescent="0.3">
      <c r="A5" s="64" t="s">
        <v>650</v>
      </c>
      <c r="B5" s="64" t="s">
        <v>694</v>
      </c>
      <c r="C5" s="64"/>
      <c r="D5" s="65" t="s">
        <v>651</v>
      </c>
      <c r="E5" s="65" t="s">
        <v>652</v>
      </c>
      <c r="F5" s="65" t="s">
        <v>653</v>
      </c>
      <c r="G5" s="65" t="s">
        <v>654</v>
      </c>
      <c r="H5" s="65" t="s">
        <v>655</v>
      </c>
      <c r="I5" s="62"/>
      <c r="J5" s="62"/>
      <c r="K5" s="62"/>
    </row>
    <row r="6" spans="1:11" s="63" customFormat="1" x14ac:dyDescent="0.3">
      <c r="A6" s="95" t="s">
        <v>218</v>
      </c>
      <c r="B6" s="86" t="s">
        <v>695</v>
      </c>
      <c r="C6" s="70" t="s">
        <v>693</v>
      </c>
      <c r="D6" s="69">
        <v>1</v>
      </c>
      <c r="E6" s="69">
        <v>4</v>
      </c>
      <c r="F6" s="69">
        <v>3</v>
      </c>
      <c r="G6" s="69">
        <v>1</v>
      </c>
      <c r="H6" s="69">
        <v>1</v>
      </c>
      <c r="I6" s="62"/>
      <c r="J6" s="62"/>
      <c r="K6" s="62"/>
    </row>
    <row r="7" spans="1:11" s="63" customFormat="1" ht="28.8" x14ac:dyDescent="0.3">
      <c r="A7" s="96"/>
      <c r="B7" s="86"/>
      <c r="C7" s="66" t="s">
        <v>701</v>
      </c>
      <c r="D7" s="71" t="s">
        <v>719</v>
      </c>
      <c r="E7" s="71" t="s">
        <v>719</v>
      </c>
      <c r="F7" s="71" t="s">
        <v>720</v>
      </c>
      <c r="G7" s="71" t="s">
        <v>719</v>
      </c>
      <c r="H7" s="71" t="s">
        <v>719</v>
      </c>
      <c r="I7" s="62"/>
      <c r="J7" s="62"/>
      <c r="K7" s="62"/>
    </row>
    <row r="8" spans="1:11" x14ac:dyDescent="0.3">
      <c r="A8" s="92" t="s">
        <v>226</v>
      </c>
      <c r="B8" s="86" t="s">
        <v>695</v>
      </c>
      <c r="C8" s="70" t="s">
        <v>693</v>
      </c>
      <c r="D8" s="69">
        <v>1</v>
      </c>
      <c r="E8" s="69">
        <v>4</v>
      </c>
      <c r="F8" s="69">
        <v>3</v>
      </c>
      <c r="G8" s="69">
        <v>1</v>
      </c>
      <c r="H8" s="69">
        <v>1</v>
      </c>
    </row>
    <row r="9" spans="1:11" ht="72" x14ac:dyDescent="0.3">
      <c r="A9" s="93"/>
      <c r="B9" s="86"/>
      <c r="C9" s="66" t="s">
        <v>701</v>
      </c>
      <c r="D9" s="67" t="s">
        <v>699</v>
      </c>
      <c r="E9" s="68" t="s">
        <v>696</v>
      </c>
      <c r="F9" s="67" t="s">
        <v>697</v>
      </c>
      <c r="G9" s="68" t="s">
        <v>696</v>
      </c>
      <c r="H9" s="68" t="s">
        <v>696</v>
      </c>
    </row>
    <row r="10" spans="1:11" x14ac:dyDescent="0.3">
      <c r="A10" s="93"/>
      <c r="B10" s="86" t="s">
        <v>698</v>
      </c>
      <c r="C10" s="70" t="s">
        <v>693</v>
      </c>
      <c r="D10" s="69">
        <v>1</v>
      </c>
      <c r="E10" s="69">
        <v>4</v>
      </c>
      <c r="F10" s="69">
        <v>3</v>
      </c>
      <c r="G10" s="69">
        <v>1</v>
      </c>
      <c r="H10" s="69">
        <v>1</v>
      </c>
    </row>
    <row r="11" spans="1:11" ht="72" x14ac:dyDescent="0.3">
      <c r="A11" s="93"/>
      <c r="B11" s="86"/>
      <c r="C11" s="66" t="s">
        <v>701</v>
      </c>
      <c r="D11" s="67" t="s">
        <v>699</v>
      </c>
      <c r="E11" s="68" t="s">
        <v>696</v>
      </c>
      <c r="F11" s="67" t="s">
        <v>697</v>
      </c>
      <c r="G11" s="68" t="s">
        <v>696</v>
      </c>
      <c r="H11" s="68" t="s">
        <v>696</v>
      </c>
    </row>
    <row r="12" spans="1:11" x14ac:dyDescent="0.3">
      <c r="A12" s="93"/>
      <c r="B12" s="86" t="s">
        <v>191</v>
      </c>
      <c r="C12" s="70" t="s">
        <v>693</v>
      </c>
      <c r="D12" s="69">
        <v>4</v>
      </c>
      <c r="E12" s="69">
        <v>3</v>
      </c>
      <c r="F12" s="69">
        <v>4</v>
      </c>
      <c r="G12" s="69">
        <v>3</v>
      </c>
      <c r="H12" s="69">
        <v>5</v>
      </c>
    </row>
    <row r="13" spans="1:11" ht="28.8" x14ac:dyDescent="0.3">
      <c r="A13" s="94"/>
      <c r="B13" s="86"/>
      <c r="C13" s="66" t="s">
        <v>701</v>
      </c>
      <c r="D13" s="68" t="s">
        <v>700</v>
      </c>
      <c r="E13" s="68" t="s">
        <v>700</v>
      </c>
      <c r="F13" s="68" t="s">
        <v>700</v>
      </c>
      <c r="G13" s="68" t="s">
        <v>700</v>
      </c>
      <c r="H13" s="68" t="s">
        <v>700</v>
      </c>
    </row>
    <row r="14" spans="1:11" ht="43.2" x14ac:dyDescent="0.3">
      <c r="A14" s="92" t="s">
        <v>106</v>
      </c>
      <c r="B14" s="88" t="s">
        <v>469</v>
      </c>
      <c r="C14" s="70" t="s">
        <v>693</v>
      </c>
      <c r="D14" s="73" t="s">
        <v>756</v>
      </c>
      <c r="E14" s="72">
        <v>4</v>
      </c>
      <c r="F14" s="73" t="s">
        <v>757</v>
      </c>
      <c r="G14" s="73" t="s">
        <v>758</v>
      </c>
      <c r="H14" s="73" t="s">
        <v>759</v>
      </c>
    </row>
    <row r="15" spans="1:11" ht="57.6" x14ac:dyDescent="0.3">
      <c r="A15" s="93"/>
      <c r="B15" s="89"/>
      <c r="C15" s="66" t="s">
        <v>701</v>
      </c>
      <c r="D15" s="67" t="s">
        <v>749</v>
      </c>
      <c r="E15" s="67" t="s">
        <v>750</v>
      </c>
      <c r="F15" s="67" t="s">
        <v>751</v>
      </c>
      <c r="G15" s="67" t="s">
        <v>752</v>
      </c>
      <c r="H15" s="67" t="s">
        <v>752</v>
      </c>
    </row>
    <row r="16" spans="1:11" ht="57.6" x14ac:dyDescent="0.3">
      <c r="A16" s="93"/>
      <c r="B16" s="90" t="s">
        <v>471</v>
      </c>
      <c r="C16" s="70" t="s">
        <v>693</v>
      </c>
      <c r="D16" s="73" t="s">
        <v>764</v>
      </c>
      <c r="E16" s="72">
        <v>4</v>
      </c>
      <c r="F16" s="73" t="s">
        <v>765</v>
      </c>
      <c r="G16" s="73" t="s">
        <v>766</v>
      </c>
      <c r="H16" s="73" t="s">
        <v>764</v>
      </c>
    </row>
    <row r="17" spans="1:11" ht="86.4" x14ac:dyDescent="0.3">
      <c r="A17" s="93"/>
      <c r="B17" s="91"/>
      <c r="C17" s="66" t="s">
        <v>701</v>
      </c>
      <c r="D17" s="67" t="s">
        <v>761</v>
      </c>
      <c r="E17" s="67" t="s">
        <v>748</v>
      </c>
      <c r="F17" s="67" t="s">
        <v>762</v>
      </c>
      <c r="G17" s="67" t="s">
        <v>763</v>
      </c>
      <c r="H17" s="67" t="s">
        <v>763</v>
      </c>
    </row>
    <row r="18" spans="1:11" x14ac:dyDescent="0.3">
      <c r="A18" s="93"/>
      <c r="B18" s="90" t="s">
        <v>472</v>
      </c>
      <c r="C18" s="70" t="s">
        <v>693</v>
      </c>
      <c r="D18" s="73">
        <v>2</v>
      </c>
      <c r="E18" s="72">
        <v>4</v>
      </c>
      <c r="F18" s="73">
        <v>3</v>
      </c>
      <c r="G18" s="73">
        <v>1</v>
      </c>
      <c r="H18" s="73">
        <v>1</v>
      </c>
    </row>
    <row r="19" spans="1:11" ht="43.2" x14ac:dyDescent="0.3">
      <c r="A19" s="94"/>
      <c r="B19" s="91"/>
      <c r="C19" s="66" t="s">
        <v>701</v>
      </c>
      <c r="D19" s="76" t="s">
        <v>768</v>
      </c>
      <c r="E19" s="76" t="s">
        <v>768</v>
      </c>
      <c r="F19" s="76" t="s">
        <v>769</v>
      </c>
      <c r="G19" s="76" t="s">
        <v>768</v>
      </c>
      <c r="H19" s="76" t="s">
        <v>768</v>
      </c>
      <c r="K19" s="77"/>
    </row>
    <row r="20" spans="1:11" x14ac:dyDescent="0.3">
      <c r="A20" s="92" t="s">
        <v>107</v>
      </c>
      <c r="B20" s="90" t="s">
        <v>722</v>
      </c>
      <c r="C20" s="70" t="s">
        <v>693</v>
      </c>
      <c r="D20" s="73">
        <v>2</v>
      </c>
      <c r="E20" s="72">
        <v>3</v>
      </c>
      <c r="F20" s="73">
        <v>3</v>
      </c>
      <c r="G20" s="73">
        <v>1</v>
      </c>
      <c r="H20" s="73">
        <v>1</v>
      </c>
      <c r="K20" s="77"/>
    </row>
    <row r="21" spans="1:11" ht="57.6" x14ac:dyDescent="0.3">
      <c r="A21" s="94"/>
      <c r="B21" s="91"/>
      <c r="C21" s="66" t="s">
        <v>701</v>
      </c>
      <c r="D21" s="67" t="s">
        <v>771</v>
      </c>
      <c r="E21" s="67" t="s">
        <v>772</v>
      </c>
      <c r="F21" s="67" t="s">
        <v>773</v>
      </c>
      <c r="G21" s="67" t="s">
        <v>774</v>
      </c>
      <c r="H21" s="67" t="s">
        <v>775</v>
      </c>
      <c r="K21" s="77"/>
    </row>
    <row r="22" spans="1:11" x14ac:dyDescent="0.3">
      <c r="A22" s="87" t="s">
        <v>721</v>
      </c>
      <c r="B22" s="88" t="s">
        <v>511</v>
      </c>
      <c r="C22" s="70" t="s">
        <v>693</v>
      </c>
      <c r="D22" s="69">
        <v>1</v>
      </c>
      <c r="E22" s="69">
        <v>4</v>
      </c>
      <c r="F22" s="69">
        <v>2</v>
      </c>
      <c r="G22" s="69">
        <v>5</v>
      </c>
      <c r="H22" s="69">
        <v>1</v>
      </c>
    </row>
    <row r="23" spans="1:11" ht="43.2" x14ac:dyDescent="0.3">
      <c r="A23" s="87"/>
      <c r="B23" s="89"/>
      <c r="C23" s="66" t="s">
        <v>701</v>
      </c>
      <c r="D23" s="67" t="s">
        <v>725</v>
      </c>
      <c r="E23" s="67" t="s">
        <v>723</v>
      </c>
      <c r="F23" s="67" t="s">
        <v>726</v>
      </c>
      <c r="G23" s="67" t="s">
        <v>724</v>
      </c>
      <c r="H23" s="67" t="s">
        <v>723</v>
      </c>
      <c r="K23" s="74"/>
    </row>
    <row r="24" spans="1:11" ht="28.8" x14ac:dyDescent="0.3">
      <c r="A24" s="87"/>
      <c r="B24" s="88" t="s">
        <v>483</v>
      </c>
      <c r="C24" s="70" t="s">
        <v>693</v>
      </c>
      <c r="D24" s="73" t="s">
        <v>808</v>
      </c>
      <c r="E24" s="73">
        <v>3</v>
      </c>
      <c r="F24" s="72">
        <v>2</v>
      </c>
      <c r="G24" s="72">
        <v>5</v>
      </c>
      <c r="H24" s="72">
        <v>1</v>
      </c>
    </row>
    <row r="25" spans="1:11" ht="100.8" x14ac:dyDescent="0.3">
      <c r="A25" s="87"/>
      <c r="B25" s="89"/>
      <c r="C25" s="66" t="s">
        <v>701</v>
      </c>
      <c r="D25" s="83" t="s">
        <v>809</v>
      </c>
      <c r="E25" s="83" t="s">
        <v>730</v>
      </c>
      <c r="F25" s="83" t="s">
        <v>730</v>
      </c>
      <c r="G25" s="83" t="s">
        <v>731</v>
      </c>
      <c r="H25" s="83" t="s">
        <v>730</v>
      </c>
    </row>
    <row r="26" spans="1:11" ht="43.2" x14ac:dyDescent="0.3">
      <c r="A26" s="87"/>
      <c r="B26" s="86" t="s">
        <v>520</v>
      </c>
      <c r="C26" s="70" t="s">
        <v>693</v>
      </c>
      <c r="D26" s="72">
        <v>3</v>
      </c>
      <c r="E26" s="73">
        <v>5</v>
      </c>
      <c r="F26" s="73" t="s">
        <v>807</v>
      </c>
      <c r="G26" s="72">
        <v>5</v>
      </c>
      <c r="H26" s="72">
        <v>2</v>
      </c>
    </row>
    <row r="27" spans="1:11" ht="86.4" x14ac:dyDescent="0.3">
      <c r="A27" s="87"/>
      <c r="B27" s="86"/>
      <c r="C27" s="66" t="s">
        <v>701</v>
      </c>
      <c r="D27" s="83" t="s">
        <v>735</v>
      </c>
      <c r="E27" s="83" t="s">
        <v>736</v>
      </c>
      <c r="F27" s="83" t="s">
        <v>742</v>
      </c>
      <c r="G27" s="83" t="s">
        <v>737</v>
      </c>
      <c r="H27" s="83" t="s">
        <v>738</v>
      </c>
    </row>
    <row r="28" spans="1:11" ht="43.2" x14ac:dyDescent="0.3">
      <c r="A28" s="87"/>
      <c r="B28" s="86" t="s">
        <v>486</v>
      </c>
      <c r="C28" s="70" t="s">
        <v>693</v>
      </c>
      <c r="D28" s="73" t="s">
        <v>805</v>
      </c>
      <c r="E28" s="73">
        <v>3</v>
      </c>
      <c r="F28" s="72">
        <v>2</v>
      </c>
      <c r="G28" s="72">
        <v>5</v>
      </c>
      <c r="H28" s="72">
        <v>1</v>
      </c>
    </row>
    <row r="29" spans="1:11" ht="129.6" x14ac:dyDescent="0.3">
      <c r="A29" s="87"/>
      <c r="B29" s="86"/>
      <c r="C29" s="66" t="s">
        <v>701</v>
      </c>
      <c r="D29" s="83" t="s">
        <v>804</v>
      </c>
      <c r="E29" s="83" t="s">
        <v>801</v>
      </c>
      <c r="F29" s="83" t="s">
        <v>730</v>
      </c>
      <c r="G29" s="83" t="s">
        <v>731</v>
      </c>
      <c r="H29" s="83" t="s">
        <v>730</v>
      </c>
    </row>
    <row r="30" spans="1:11" ht="28.8" x14ac:dyDescent="0.3">
      <c r="A30" s="87"/>
      <c r="B30" s="86" t="s">
        <v>487</v>
      </c>
      <c r="C30" s="70" t="s">
        <v>693</v>
      </c>
      <c r="D30" s="73" t="s">
        <v>744</v>
      </c>
      <c r="E30" s="73">
        <v>3</v>
      </c>
      <c r="F30" s="72">
        <v>2</v>
      </c>
      <c r="G30" s="72">
        <v>5</v>
      </c>
      <c r="H30" s="72">
        <v>1</v>
      </c>
    </row>
    <row r="31" spans="1:11" ht="86.4" x14ac:dyDescent="0.3">
      <c r="A31" s="87"/>
      <c r="B31" s="86"/>
      <c r="C31" s="66" t="s">
        <v>701</v>
      </c>
      <c r="D31" s="83" t="s">
        <v>802</v>
      </c>
      <c r="E31" s="83" t="s">
        <v>801</v>
      </c>
      <c r="F31" s="83" t="s">
        <v>730</v>
      </c>
      <c r="G31" s="83" t="s">
        <v>731</v>
      </c>
      <c r="H31" s="83" t="s">
        <v>730</v>
      </c>
    </row>
    <row r="32" spans="1:11" ht="28.8" x14ac:dyDescent="0.3">
      <c r="A32" s="87"/>
      <c r="B32" s="86" t="s">
        <v>490</v>
      </c>
      <c r="C32" s="70" t="s">
        <v>693</v>
      </c>
      <c r="D32" s="73" t="s">
        <v>806</v>
      </c>
      <c r="E32" s="73">
        <v>3</v>
      </c>
      <c r="F32" s="72">
        <v>2</v>
      </c>
      <c r="G32" s="72">
        <v>5</v>
      </c>
      <c r="H32" s="72">
        <v>1</v>
      </c>
    </row>
    <row r="33" spans="1:8" ht="172.8" x14ac:dyDescent="0.3">
      <c r="A33" s="87"/>
      <c r="B33" s="86"/>
      <c r="C33" s="66" t="s">
        <v>701</v>
      </c>
      <c r="D33" s="83" t="s">
        <v>803</v>
      </c>
      <c r="E33" s="83" t="s">
        <v>801</v>
      </c>
      <c r="F33" s="83" t="s">
        <v>730</v>
      </c>
      <c r="G33" s="83" t="s">
        <v>731</v>
      </c>
      <c r="H33" s="83" t="s">
        <v>730</v>
      </c>
    </row>
  </sheetData>
  <mergeCells count="19">
    <mergeCell ref="A6:A7"/>
    <mergeCell ref="B6:B7"/>
    <mergeCell ref="B24:B25"/>
    <mergeCell ref="B22:B23"/>
    <mergeCell ref="B8:B9"/>
    <mergeCell ref="B10:B11"/>
    <mergeCell ref="B12:B13"/>
    <mergeCell ref="A8:A13"/>
    <mergeCell ref="B32:B33"/>
    <mergeCell ref="A22:A33"/>
    <mergeCell ref="B14:B15"/>
    <mergeCell ref="B16:B17"/>
    <mergeCell ref="A14:A19"/>
    <mergeCell ref="B18:B19"/>
    <mergeCell ref="A20:A21"/>
    <mergeCell ref="B20:B21"/>
    <mergeCell ref="B26:B27"/>
    <mergeCell ref="B28:B29"/>
    <mergeCell ref="B30:B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vt:lpstr>
      <vt:lpstr>Lithium - Brine</vt:lpstr>
      <vt:lpstr>Lithium - Spodumene</vt:lpstr>
      <vt:lpstr>Cobalt</vt:lpstr>
      <vt:lpstr>Nickel</vt:lpstr>
      <vt:lpstr>Graphite - Natural</vt:lpstr>
      <vt:lpstr>Graphite - Synthetic</vt:lpstr>
      <vt:lpstr>Others</vt:lpstr>
      <vt:lpstr>Pedigree scores</vt:lpstr>
      <vt:lpstr>Datasets for breakdown</vt:lpstr>
      <vt:lpstr>ElecCons</vt:lpstr>
      <vt:lpstr>diesel_cobalt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Marin PELLAN</cp:lastModifiedBy>
  <dcterms:created xsi:type="dcterms:W3CDTF">2015-06-05T18:19:34Z</dcterms:created>
  <dcterms:modified xsi:type="dcterms:W3CDTF">2024-11-11T14:34:23Z</dcterms:modified>
</cp:coreProperties>
</file>