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polymtlca0-my.sharepoint.com/personal/marin_pellan_polymtlus_ca/Documents/Desktop/POST_DOC/Data/Scientific_articles/Greffe2024/14360745/"/>
    </mc:Choice>
  </mc:AlternateContent>
  <xr:revisionPtr revIDLastSave="7" documentId="13_ncr:1_{3E9B99C9-2B0B-4582-B0B2-40D9543F8510}" xr6:coauthVersionLast="47" xr6:coauthVersionMax="47" xr10:uidLastSave="{21785FB2-DEA6-496A-B00D-C222E7C05FD4}"/>
  <bookViews>
    <workbookView xWindow="-23148" yWindow="-108" windowWidth="23256" windowHeight="12456" activeTab="4" xr2:uid="{CF7F93DA-D30F-4B19-8CA9-FE061D3163B1}"/>
  </bookViews>
  <sheets>
    <sheet name="README" sheetId="6" r:id="rId1"/>
    <sheet name="Table" sheetId="1" r:id="rId2"/>
    <sheet name="Charpentier-Poncelet_2022" sheetId="4" r:id="rId3"/>
    <sheet name="Nassar_2022" sheetId="3" r:id="rId4"/>
    <sheet name="Other_sources" sheetId="5" r:id="rId5"/>
    <sheet name="References" sheetId="2" r:id="rId6"/>
  </sheets>
  <definedNames>
    <definedName name="_xlnm._FilterDatabase" localSheetId="2" hidden="1">'Charpentier-Poncelet_2022'!$A$1:$D$62</definedName>
    <definedName name="_xlnm._FilterDatabase" localSheetId="1" hidden="1">Table!$A$1:$X$64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5" l="1"/>
  <c r="E16" i="5"/>
  <c r="C16" i="5"/>
  <c r="M22" i="1"/>
  <c r="M8" i="1"/>
  <c r="M7" i="1"/>
  <c r="M6" i="1"/>
  <c r="M4" i="1"/>
  <c r="M21" i="1"/>
  <c r="M25" i="1"/>
  <c r="B14" i="5"/>
  <c r="E14" i="5"/>
  <c r="C14" i="5"/>
  <c r="B13" i="5"/>
  <c r="B12" i="5"/>
  <c r="B11" i="5"/>
  <c r="B10" i="5"/>
  <c r="B9" i="5"/>
  <c r="M40" i="1"/>
  <c r="M55" i="1"/>
  <c r="M58" i="1"/>
  <c r="B6" i="5"/>
  <c r="M39" i="1" s="1"/>
  <c r="B5" i="5" l="1"/>
  <c r="H17" i="1" s="1"/>
  <c r="C4" i="5"/>
  <c r="B4" i="5" s="1"/>
  <c r="E4" i="5"/>
  <c r="C3" i="5"/>
  <c r="E3" i="5"/>
  <c r="E2" i="5"/>
  <c r="B2" i="5" s="1"/>
  <c r="M31" i="1" s="1"/>
  <c r="C3" i="1"/>
  <c r="C22" i="1"/>
  <c r="B3" i="5" l="1"/>
  <c r="M54" i="1" s="1"/>
  <c r="H35" i="1"/>
  <c r="H28" i="1"/>
  <c r="H15" i="1"/>
  <c r="H16" i="1"/>
  <c r="H30" i="1"/>
  <c r="H57" i="1"/>
  <c r="H20" i="1"/>
  <c r="H62" i="1"/>
  <c r="H51" i="1"/>
  <c r="H24" i="1"/>
  <c r="H9" i="1"/>
  <c r="H42" i="1"/>
  <c r="H54" i="1"/>
  <c r="H61" i="1"/>
  <c r="C31" i="1"/>
  <c r="C47" i="1"/>
  <c r="C41" i="1"/>
  <c r="C43" i="1"/>
  <c r="C6" i="1"/>
  <c r="C45" i="1"/>
  <c r="C46" i="1"/>
  <c r="C50" i="1"/>
  <c r="C8" i="1"/>
  <c r="C26" i="1"/>
  <c r="C7" i="1"/>
  <c r="C5" i="1"/>
  <c r="C63" i="1"/>
  <c r="C64" i="1"/>
  <c r="C37" i="1"/>
  <c r="C34" i="1"/>
  <c r="C18" i="1"/>
  <c r="C32" i="1"/>
  <c r="C14" i="1"/>
  <c r="C57" i="1"/>
  <c r="C16" i="1"/>
  <c r="C24" i="1"/>
  <c r="C30" i="1"/>
  <c r="C62" i="1"/>
  <c r="C61" i="1"/>
  <c r="C15" i="1"/>
  <c r="C60" i="1"/>
  <c r="C2" i="1"/>
  <c r="C54" i="1"/>
  <c r="C20" i="1"/>
  <c r="C52" i="1"/>
  <c r="C51" i="1"/>
  <c r="C17" i="1"/>
  <c r="C28" i="1"/>
  <c r="C35" i="1"/>
  <c r="C19" i="1"/>
  <c r="C42" i="1"/>
  <c r="C12" i="1"/>
  <c r="C29" i="1"/>
  <c r="C33" i="1"/>
  <c r="C9" i="1"/>
  <c r="C38" i="1"/>
  <c r="C44" i="1"/>
  <c r="C27" i="1"/>
  <c r="C10" i="1"/>
  <c r="C56" i="1"/>
  <c r="C59" i="1"/>
  <c r="C53" i="1"/>
  <c r="C25" i="1"/>
  <c r="C4" i="1"/>
  <c r="C49" i="1"/>
  <c r="C55" i="1"/>
  <c r="C21" i="1"/>
  <c r="C23" i="1"/>
  <c r="C48" i="1"/>
  <c r="C40" i="1"/>
  <c r="E3" i="3" l="1"/>
  <c r="E4" i="3"/>
  <c r="E5" i="3"/>
  <c r="E6" i="3"/>
  <c r="E7" i="3"/>
  <c r="E8" i="3"/>
  <c r="E9" i="3"/>
  <c r="E10" i="3"/>
  <c r="E11" i="3"/>
  <c r="E12" i="3"/>
  <c r="E13" i="3"/>
  <c r="E14" i="3"/>
  <c r="E15" i="3"/>
  <c r="E16" i="3"/>
  <c r="E17" i="3"/>
  <c r="E18" i="3"/>
  <c r="E19" i="3"/>
  <c r="E20" i="3"/>
  <c r="E21" i="3"/>
  <c r="E22" i="3"/>
  <c r="E23" i="3"/>
  <c r="E24" i="3"/>
  <c r="E25" i="3"/>
  <c r="E26" i="3"/>
  <c r="E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Titouan Greffe</author>
  </authors>
  <commentList>
    <comment ref="M1" authorId="0" shapeId="0" xr:uid="{99E6DC10-612F-4D32-90D4-5C56FDFC1421}">
      <text>
        <r>
          <rPr>
            <b/>
            <sz val="9"/>
            <color indexed="81"/>
            <rFont val="Tahoma"/>
            <family val="2"/>
          </rPr>
          <t>Titouan Greffe:</t>
        </r>
        <r>
          <rPr>
            <sz val="9"/>
            <color indexed="81"/>
            <rFont val="Tahoma"/>
            <family val="2"/>
          </rPr>
          <t xml:space="preserve">
Data used in this article</t>
        </r>
      </text>
    </comment>
  </commentList>
</comments>
</file>

<file path=xl/sharedStrings.xml><?xml version="1.0" encoding="utf-8"?>
<sst xmlns="http://schemas.openxmlformats.org/spreadsheetml/2006/main" count="1018" uniqueCount="321">
  <si>
    <t>Element</t>
  </si>
  <si>
    <t>P</t>
  </si>
  <si>
    <t>U</t>
  </si>
  <si>
    <t>He</t>
  </si>
  <si>
    <t>Al</t>
  </si>
  <si>
    <t>Crude oil</t>
  </si>
  <si>
    <t>NG</t>
  </si>
  <si>
    <t>Coal</t>
  </si>
  <si>
    <t>Pb</t>
  </si>
  <si>
    <t>Mg</t>
  </si>
  <si>
    <t>Sb</t>
  </si>
  <si>
    <t>Pd</t>
  </si>
  <si>
    <t>Pt</t>
  </si>
  <si>
    <t>B</t>
  </si>
  <si>
    <t>Rh</t>
  </si>
  <si>
    <t>Ru</t>
  </si>
  <si>
    <t>Si</t>
  </si>
  <si>
    <t>Cd</t>
  </si>
  <si>
    <t>Ir</t>
  </si>
  <si>
    <t>Bi</t>
  </si>
  <si>
    <t>Au</t>
  </si>
  <si>
    <t>Zn</t>
  </si>
  <si>
    <t>Zr</t>
  </si>
  <si>
    <t>Ni</t>
  </si>
  <si>
    <t>Nb</t>
  </si>
  <si>
    <t>Fe</t>
  </si>
  <si>
    <t>Mn</t>
  </si>
  <si>
    <t>Cu</t>
  </si>
  <si>
    <t>Tm</t>
  </si>
  <si>
    <t>Er</t>
  </si>
  <si>
    <t>Ho</t>
  </si>
  <si>
    <t>Lu</t>
  </si>
  <si>
    <t>Yb</t>
  </si>
  <si>
    <t>Y</t>
  </si>
  <si>
    <t>Dy</t>
  </si>
  <si>
    <t>W</t>
  </si>
  <si>
    <t>Ag</t>
  </si>
  <si>
    <t>Tb</t>
  </si>
  <si>
    <t>Gd</t>
  </si>
  <si>
    <t>Sn</t>
  </si>
  <si>
    <t>Sm</t>
  </si>
  <si>
    <t>Eu</t>
  </si>
  <si>
    <t>La</t>
  </si>
  <si>
    <t>Nd</t>
  </si>
  <si>
    <t>Ga</t>
  </si>
  <si>
    <t>Pr</t>
  </si>
  <si>
    <t>Cr</t>
  </si>
  <si>
    <t>Li</t>
  </si>
  <si>
    <t>Mo</t>
  </si>
  <si>
    <t>Ce</t>
  </si>
  <si>
    <t>Os</t>
  </si>
  <si>
    <t>Re</t>
  </si>
  <si>
    <t>K</t>
  </si>
  <si>
    <t>Co</t>
  </si>
  <si>
    <t>Ti</t>
  </si>
  <si>
    <t>V</t>
  </si>
  <si>
    <t>Ta</t>
  </si>
  <si>
    <t>In</t>
  </si>
  <si>
    <t>As</t>
  </si>
  <si>
    <t>Se</t>
  </si>
  <si>
    <t>Te</t>
  </si>
  <si>
    <t>Ge</t>
  </si>
  <si>
    <t>Hf</t>
  </si>
  <si>
    <t>Sc</t>
  </si>
  <si>
    <t>Stages considered for RR</t>
  </si>
  <si>
    <t>RR (%)</t>
  </si>
  <si>
    <t>Spatial coverage</t>
  </si>
  <si>
    <t>Temporal coverage</t>
  </si>
  <si>
    <t>Reference</t>
  </si>
  <si>
    <t>Charpentier Poncelet A, Helbig C, Loubet P, et al (2022) Losses and lifetimes of metals in the economy. Nat Sustain 5:717–726. https://doi.org/10.1038/s41893-022-00895-8</t>
  </si>
  <si>
    <t>#</t>
  </si>
  <si>
    <t>Citation</t>
  </si>
  <si>
    <t xml:space="preserve">Aluminum </t>
  </si>
  <si>
    <t xml:space="preserve">Chromium </t>
  </si>
  <si>
    <t xml:space="preserve">Cobalt </t>
  </si>
  <si>
    <t xml:space="preserve">Copper </t>
  </si>
  <si>
    <t xml:space="preserve">Gallium </t>
  </si>
  <si>
    <t xml:space="preserve">Gold </t>
  </si>
  <si>
    <t xml:space="preserve">Iridium </t>
  </si>
  <si>
    <t xml:space="preserve">Iron </t>
  </si>
  <si>
    <t xml:space="preserve">Lithium </t>
  </si>
  <si>
    <t xml:space="preserve">Magnesium </t>
  </si>
  <si>
    <t>Molybdenu</t>
  </si>
  <si>
    <t xml:space="preserve">Palladium </t>
  </si>
  <si>
    <t xml:space="preserve">Platinum </t>
  </si>
  <si>
    <t xml:space="preserve">Rhodium </t>
  </si>
  <si>
    <t xml:space="preserve">Ruthenium </t>
  </si>
  <si>
    <t xml:space="preserve">Silicon </t>
  </si>
  <si>
    <t xml:space="preserve">Silver </t>
  </si>
  <si>
    <t xml:space="preserve">Tantalum </t>
  </si>
  <si>
    <t xml:space="preserve">Tin </t>
  </si>
  <si>
    <t xml:space="preserve">Titanium </t>
  </si>
  <si>
    <t xml:space="preserve">Tungsten </t>
  </si>
  <si>
    <t xml:space="preserve">Vanadium </t>
  </si>
  <si>
    <t xml:space="preserve">Zinc </t>
  </si>
  <si>
    <t xml:space="preserve">Zirconium </t>
  </si>
  <si>
    <t xml:space="preserve">Concentrat or recovery rate </t>
  </si>
  <si>
    <t xml:space="preserve">Smelter/ refinery recovery rate </t>
  </si>
  <si>
    <t>Total</t>
  </si>
  <si>
    <t>Concentrates and Smelting/Refining</t>
  </si>
  <si>
    <t>World</t>
  </si>
  <si>
    <t/>
  </si>
  <si>
    <t>[2]: Nassar et al. 2022</t>
  </si>
  <si>
    <t>number_element</t>
  </si>
  <si>
    <t>production yield</t>
  </si>
  <si>
    <t>comment</t>
  </si>
  <si>
    <t>03_Li</t>
  </si>
  <si>
    <t>Calculated using the share of production from brines and from ores and their respective estimated yields. See supporting information for details.</t>
  </si>
  <si>
    <t>04_Be</t>
  </si>
  <si>
    <t>Calculated based on US production, which represents over 50% of the global production (Lederer et al., 2016)</t>
  </si>
  <si>
    <t>05_B</t>
  </si>
  <si>
    <t>Estimate considering an extraction yield of 80% and refining yield of 97%  (Althaus et al., 2007, Graedel et al., 2015)</t>
  </si>
  <si>
    <t>12_Mg</t>
  </si>
  <si>
    <t>Estimated based on Graedel et al., 2015; Ramakrishnan and Koltun, 2004; Harraz, 2017. See supporting information for details.</t>
  </si>
  <si>
    <t>13_Al</t>
  </si>
  <si>
    <t>Value from Helbig et al. (2020), based on Bertram et al. (2017)</t>
  </si>
  <si>
    <t>14_Si</t>
  </si>
  <si>
    <t>Estimate based on the yield of 85% for a well-operated furnace (Ali et al., 2018)</t>
  </si>
  <si>
    <t>21_Sc</t>
  </si>
  <si>
    <t>Estimate based on current production of scandium and the content of scandium in red mud. See supporting information for details.</t>
  </si>
  <si>
    <t>22_Ti</t>
  </si>
  <si>
    <t>Calculated considering 90% mining yield and 95% refining yield (Graedel et al., 2015)</t>
  </si>
  <si>
    <t>23_V</t>
  </si>
  <si>
    <t>Calculated considering statistics for China (Zhang et al., 2014) and US (Goonan, 2011b), weighted accordingly with their respective share of global production in 2019 (USGS, 2020). See Supporting information for details.</t>
  </si>
  <si>
    <t>24_Cr</t>
  </si>
  <si>
    <t>Value from Helbig et al. (2020), based on Johnson et al. (2006)</t>
  </si>
  <si>
    <t>25_Mn</t>
  </si>
  <si>
    <t>Estimate based on a literature review. See supporting information for details.</t>
  </si>
  <si>
    <t>26_Fe</t>
  </si>
  <si>
    <t>Value from Helbig et al. (2020), based on Wang et al. (2007)</t>
  </si>
  <si>
    <t>27_Co</t>
  </si>
  <si>
    <t>Value from Helbig et al. (2020), based on Harper et al. (2012)</t>
  </si>
  <si>
    <t>28_Ni</t>
  </si>
  <si>
    <t>Value from Helbig et al. (2020), based on Reck and Rotter (2012)</t>
  </si>
  <si>
    <t>29_Cu</t>
  </si>
  <si>
    <t>Value from Helbig et al. (2020), based on Glöser-Chahoud (2017). The works of Glöser-Chahoud were published in a scientific article (Glöser et al., 2013), and we considered this value to be as relevant in our uncertainty assessment (U1=1).</t>
  </si>
  <si>
    <t>30_Zn</t>
  </si>
  <si>
    <t>Value from Helbig et al. (2020), based on Meylan and Reck (2017)</t>
  </si>
  <si>
    <t>31_Ga</t>
  </si>
  <si>
    <t>Value from Helbig et al. (2020), based on Licht et al. (2015). Currently uncertainty distribution value is fixed.</t>
  </si>
  <si>
    <t>32_Ge</t>
  </si>
  <si>
    <t>Value from Helbig et al. (2020), based on Licht et al. (2015)</t>
  </si>
  <si>
    <t>33_As</t>
  </si>
  <si>
    <t>Calculated based an arsenic SFA for China (Shi et al., 2017). China processes most of the world's arsenic.</t>
  </si>
  <si>
    <t>34_Se</t>
  </si>
  <si>
    <t>Value from Helbig et al. (2020), based on Kavlak and Graedel (2013a)</t>
  </si>
  <si>
    <t>38_Sr</t>
  </si>
  <si>
    <t>Based on an informed estimate of Panousi et al. (2016)</t>
  </si>
  <si>
    <t>39_Y</t>
  </si>
  <si>
    <t>Calculated using the grouped methodogy for REEs, detailed in section 2.4.3.1 of the Supporting information.</t>
  </si>
  <si>
    <t>40_Zr</t>
  </si>
  <si>
    <t>Calculated considering average losses of 10% at the concentration and refining stages (Iluka, 2020), and assuming 5% extraction losses</t>
  </si>
  <si>
    <t>41_Nb</t>
  </si>
  <si>
    <t>Nuss et al., 2014</t>
  </si>
  <si>
    <t>42_Mo</t>
  </si>
  <si>
    <t>Henckens et al., 2018</t>
  </si>
  <si>
    <t>44_Ru</t>
  </si>
  <si>
    <t>Calculated using a mining yield of 85% (for all PGEs) and statistics reported by Nassar (2013)</t>
  </si>
  <si>
    <t>45_Rh</t>
  </si>
  <si>
    <t>46_Pd</t>
  </si>
  <si>
    <t>47_Ag</t>
  </si>
  <si>
    <t>Value from Helbig et al. (2020), based on Johnson et al. (2005)</t>
  </si>
  <si>
    <t>48_Cd</t>
  </si>
  <si>
    <t>Average value from US (Llewellyn, 1994) and Australian statistics (Kwonpongsagoon et al., 2007)</t>
  </si>
  <si>
    <t>49_In</t>
  </si>
  <si>
    <t>The value of 54% from Helbig et al. (2020), as calculated based on Licht et al. (2015), was revised to 30% given other available information (Lokanc et al., 2015; Mikolajczak and Peng, 2018).</t>
  </si>
  <si>
    <t>50_Sn</t>
  </si>
  <si>
    <t>Value from Helbig et al. (2020), based on Izard and Müller (2010)</t>
  </si>
  <si>
    <t>51_Sb</t>
  </si>
  <si>
    <t>Averaged value from an MFA for China (Chu et al., 2019), producing more than 50% of global antimony, as well as global production yields (Haarman, 2015; Panousi et al., 2016)</t>
  </si>
  <si>
    <t>52_Te</t>
  </si>
  <si>
    <t>Value from Helbig et al. (2020), based on Kavlak and Graedel (2013b)</t>
  </si>
  <si>
    <t>56_Ba</t>
  </si>
  <si>
    <t>Panousi et al., 2016</t>
  </si>
  <si>
    <t>57_La</t>
  </si>
  <si>
    <t>58_Ce</t>
  </si>
  <si>
    <t>59_Pr</t>
  </si>
  <si>
    <t>60_Nd</t>
  </si>
  <si>
    <t>62_Sm</t>
  </si>
  <si>
    <t>63_Eu</t>
  </si>
  <si>
    <t>64_Gd</t>
  </si>
  <si>
    <t>65_Tb</t>
  </si>
  <si>
    <t>66_Dy</t>
  </si>
  <si>
    <t>67_Ho</t>
  </si>
  <si>
    <t>68_Er</t>
  </si>
  <si>
    <t>69_Tm</t>
  </si>
  <si>
    <t>70_Yb</t>
  </si>
  <si>
    <t>71_Lu</t>
  </si>
  <si>
    <t>72_Hf</t>
  </si>
  <si>
    <t>Estimate based on the average hafnium content of zirconium minerals and production statistics in 2016. See supporting information for details.</t>
  </si>
  <si>
    <t>73_Ta</t>
  </si>
  <si>
    <t>Value from Helbig et al. (2020), based on Nassar (2017)</t>
  </si>
  <si>
    <t>74_W</t>
  </si>
  <si>
    <t>Value from Helbig et al. (2020), based on Meylan et al. (2015)</t>
  </si>
  <si>
    <t>75_Re</t>
  </si>
  <si>
    <t>76_Os</t>
  </si>
  <si>
    <t>77_Ir</t>
  </si>
  <si>
    <t>78_Pt</t>
  </si>
  <si>
    <t>79_Au</t>
  </si>
  <si>
    <t>Best estimate based on the literature survey realized for gold. We estimated an extraction yield of 85%, concentration yield of 87.5%, and refining yield of 98.5%. See supporting information for details.</t>
  </si>
  <si>
    <t>80_Hg</t>
  </si>
  <si>
    <t>Calculated based on Panousi et al., 2016</t>
  </si>
  <si>
    <t>81_Tl</t>
  </si>
  <si>
    <t>82_Pb</t>
  </si>
  <si>
    <t>Value from Helbig et al. (2020), based on Mao et al. (2008a)</t>
  </si>
  <si>
    <t>83_Bi</t>
  </si>
  <si>
    <t>Estimate from Panousi et al., 2016</t>
  </si>
  <si>
    <t>Be</t>
  </si>
  <si>
    <t>Sr</t>
  </si>
  <si>
    <t>Ba</t>
  </si>
  <si>
    <t>Hg</t>
  </si>
  <si>
    <t>Tl</t>
  </si>
  <si>
    <t>Mining and refining</t>
  </si>
  <si>
    <t>1927-2005</t>
  </si>
  <si>
    <t>Reference used in this article</t>
  </si>
  <si>
    <t>[3]: Nassar et al. 2022b</t>
  </si>
  <si>
    <t>Nassar NT, Lederer GW, Brainard J, et al (2022a) The rock-to-metal ratio—a foundational metric for understanding mine wastes. Environ Sci Technol In review: https://doi.org/10.1021/acs.est.1c07875</t>
  </si>
  <si>
    <t>Nassar NT, Kim H, Frenzel M, et al (2022b) Global tellurium supply potential from electrolytic copper refining. Resour Conserv Recycl 184:106434. https://doi.org/10.1016/j.resconrec.2022.106434</t>
  </si>
  <si>
    <t>Concentration, smelting furnace, converter&amp;anode furnace, electrolytic refinery and byproduct plant</t>
  </si>
  <si>
    <t>None</t>
  </si>
  <si>
    <t>&lt;2019</t>
  </si>
  <si>
    <t>China</t>
  </si>
  <si>
    <t>World*</t>
  </si>
  <si>
    <t>2011-2013</t>
  </si>
  <si>
    <t>2022-2021</t>
  </si>
  <si>
    <t>Beneficiation RR</t>
  </si>
  <si>
    <t>Smelting RR</t>
  </si>
  <si>
    <t>Guo T, Geng Y, Song X, et al (2023) Tracing magnesium flows in China: A dynamic material flow analysis. Resour Policy 83:103627. https://doi.org/10.1016/j.resourpol.2023.103627</t>
  </si>
  <si>
    <t>Fig. 2 of [4]</t>
  </si>
  <si>
    <t>2002-2021</t>
  </si>
  <si>
    <t>[4]: Guo et al. 2023</t>
  </si>
  <si>
    <t>U.S.G.S Minneral Commodity Summaries 2023. Retrieved from https://pubs.usgs.gov/periodicals/mcs2023/mcs2023.pdf [2023-09-25]</t>
  </si>
  <si>
    <t>Since Chinese smelters process more than 86.9% of Mg metal in 2021-2022 [5] and more than 62% of Mg compounds [5], we considered fig.2 of [4] as more representative data of Mg losses along supply chains.</t>
  </si>
  <si>
    <t>Reason for the choice of data</t>
  </si>
  <si>
    <t>Mining RR</t>
  </si>
  <si>
    <t>Concentration and refining RR</t>
  </si>
  <si>
    <t>Gao C, Xu Y, Geng Y, Xiao S (2022) Uncovering terbium metabolism in China: A dynamic material flow analysis. Resour Policy 79:103017. https://doi.org/10.1016/j.resourpol.2022.103017</t>
  </si>
  <si>
    <t>Fig. 2 of [6]</t>
  </si>
  <si>
    <t>2011-2020</t>
  </si>
  <si>
    <t>Zheng B, Zhang YW, Geng Y, et al (2022) Investigating lanthanum flows and stocks in China: A dynamic material flow analysis. J Clean Prod 368:133204. https://doi.org/10.1016/j.jclepro.2022.133204</t>
  </si>
  <si>
    <t>Table S6 pS9 of [7]</t>
  </si>
  <si>
    <t>[6]: Gao et al. 2022</t>
  </si>
  <si>
    <t>REEs</t>
  </si>
  <si>
    <t>Nassar NT, Lederer GW, Padilla AJ, et al (2023) Rock-to-metal ratios of the rare earth elements. J Clean Prod 405:136958. https://doi.org/10.1016/j.jclepro.2023.136958</t>
  </si>
  <si>
    <t>Table S6 of [8]</t>
  </si>
  <si>
    <t>[8]: Nassar et al. 2023</t>
  </si>
  <si>
    <t>Farjana SH, Huda N, Mahmud MAP, Lang C (2018) Comparative life-cycle assessment of uranium extraction processes. J Clean Prod 202:666–683. https://doi.org/10.1016/j.jclepro.2018.08.105</t>
  </si>
  <si>
    <t>[9]</t>
  </si>
  <si>
    <t>Morocco</t>
  </si>
  <si>
    <t>Houssini K, Geng Y, Liu J-Y, et al (2023) Measuring anthropogenic phosphorus cycles to promote resource recovery and circularity in Morocco. Resour Policy 81:103415. https://doi.org/10.1016/j.resourpol.2023.103415</t>
  </si>
  <si>
    <t>[10]: Houssini et al. (2023)</t>
  </si>
  <si>
    <t>[9]: Farjana et al. (2018)</t>
  </si>
  <si>
    <t>Section 2.3.1 of [10] for Beneficiation and Fig. 3 of [10] for Smelting</t>
  </si>
  <si>
    <t>Copper electrolytic refining production pathway from fig. 9 of [3]</t>
  </si>
  <si>
    <t>Liu W, Cui Z, Tian J, Chen L (2018) Dynamic analysis of lead stocks and flows in China from 1990 to 2015. J Clean Prod 205:86–94. https://doi.org/10.1016/j.jclepro.2018.09.088</t>
  </si>
  <si>
    <t>[11]: Liu et al. (2018)</t>
  </si>
  <si>
    <t>Dressing_RR</t>
  </si>
  <si>
    <t>Fig. S1 of [11]</t>
  </si>
  <si>
    <t>We use data from fig. S1 of [11] (Pb production in China in 2015) since China is the leading lead producer (43% of global production in 2021 [5]) and that is more recent than data from in SI3 of [1] valid for year 2000 (global level).</t>
  </si>
  <si>
    <t>Deposit_type</t>
  </si>
  <si>
    <t>All</t>
  </si>
  <si>
    <t>Brine</t>
  </si>
  <si>
    <t>Spodumene</t>
  </si>
  <si>
    <t>Table S10 of [1]</t>
  </si>
  <si>
    <t>Undetermined</t>
  </si>
  <si>
    <t>Comparision of recovery at various stages of supply chain (and overall) from differents sources of literature</t>
  </si>
  <si>
    <t>Charpentier-Poncelet_2022</t>
  </si>
  <si>
    <t>Nassar_2022</t>
  </si>
  <si>
    <t>Other_sources</t>
  </si>
  <si>
    <t>Data from other sources (all references in "References")</t>
  </si>
  <si>
    <t>References</t>
  </si>
  <si>
    <t>All references used in this file</t>
  </si>
  <si>
    <t>Sheet_name</t>
  </si>
  <si>
    <t>Content of Sheet_name</t>
  </si>
  <si>
    <t>Production pathway</t>
  </si>
  <si>
    <t>Brainard JL (2023) The availability of primary rhenium as a by-product of copper and molybdenum mining. Miner Econ. https://doi.org/10.1007/s13563-023-00392-0</t>
  </si>
  <si>
    <t>Meylan G, Reck BK, Rechberger H, et al (2017) Assessing the Reliability of Material Flow Analysis Results: The Cases of Rhenium, Gallium, and Germanium in the United States Economy. Environ Sci Technol 51:11839–11847. https://doi.org/10.1021/acs.est.7b03086</t>
  </si>
  <si>
    <t>Beneficiation from fig. 1 of [13] and smelting recovery rate is the mid-point value in Table 1 of [12]</t>
  </si>
  <si>
    <t>US-World</t>
  </si>
  <si>
    <t>2015-2020</t>
  </si>
  <si>
    <t>Most representative and recent data</t>
  </si>
  <si>
    <t>&lt;2015</t>
  </si>
  <si>
    <t>Zhou, Y., Rechberger, H., Li, J., Li, Q., Wang, G., Chen, S., 2021. Dynamic analysis of indium flows and stocks in China: 2000–2018. Resour. Conserv. Recycl. 167, 105394. https://doi.org/10.1016/j.resconrec.2021.105394</t>
  </si>
  <si>
    <t>Table 2 of [14] indicates that 60% of indium is recovered at the mining stage, 42% at beneficiation, 50% smelter and 80% at refinery.</t>
  </si>
  <si>
    <t>Mining, beneficiation, smelting and refining</t>
  </si>
  <si>
    <t>[14]: Zhou et al. (2021)</t>
  </si>
  <si>
    <t>2010-2015</t>
  </si>
  <si>
    <t>[1]: Charpentier-Poncelet et al. (2022)</t>
  </si>
  <si>
    <t>2011-2018</t>
  </si>
  <si>
    <t>Rufford TE, Chan KI, Huang SH, May EF (2014) A review of conventional and emerging process technologies for the recovery of helium from natural gas. Adsorpt Sci Technol 32:49–72. https://doi.org/10.1260/0263-6174.32.1.49</t>
  </si>
  <si>
    <t>[15]: Rufford et al. (2014)</t>
  </si>
  <si>
    <t>p62 of [15]</t>
  </si>
  <si>
    <t>Only data available and Morocco is the main producer of phosphate rock</t>
  </si>
  <si>
    <t>Zhu X, Geng Y, Gao Z, et al (2023) Investigating zirconium flows and stocks in China: A dynamic material flow analysis. Resour Policy 80:103139. https://doi.org/10.1016/j.resourpol.2022.103139</t>
  </si>
  <si>
    <t>Chromite</t>
  </si>
  <si>
    <t>Gao Z, Geng Y, Xiao S, Zhuang M (2022) Mapping the Global Anthropogenic Chromium Cycle: Implications for Resource Efficiency and Potential Supply Risk. Environ Sci Technol 56:10904–10915. https://doi.org/10.1021/acs.est.2c00709</t>
  </si>
  <si>
    <t>Table S4 of [17]</t>
  </si>
  <si>
    <t>Assumption</t>
  </si>
  <si>
    <t>China is the leading producer of Tb [5]</t>
  </si>
  <si>
    <t>[12]: Brainard (2023) and [13]: Meylan et al. (2018)</t>
  </si>
  <si>
    <t>Data from supporting information of [1]</t>
  </si>
  <si>
    <t>Data from supporting information of [2]</t>
  </si>
  <si>
    <t>Recovery rate only</t>
  </si>
  <si>
    <r>
      <rPr>
        <b/>
        <sz val="11"/>
        <color theme="1"/>
        <rFont val="Calibri"/>
        <family val="2"/>
        <scheme val="minor"/>
      </rPr>
      <t>Title of the articl</t>
    </r>
    <r>
      <rPr>
        <sz val="11"/>
        <color theme="1"/>
        <rFont val="Calibri"/>
        <family val="2"/>
        <scheme val="minor"/>
      </rPr>
      <t>e: Byproduct-to-host ratios to assess the accessibility of mineral resources</t>
    </r>
  </si>
  <si>
    <t>Affiliations</t>
  </si>
  <si>
    <t>a CIRAIG, Institute of Environmental Sciences, UQAM, Montreal, Quebec H2X 3Y7, Canada
b Helmholtz-Zentrum Dresden-Rossendorf, Helmholtz Institute Freiberg for Resource Technology (HIF), Chemnitzer Str. 40, 09599 Freiberg, Germany
c School of Geography, Earth and Atmospheric Sciences, Faculty of Science, The University of Melbourne, Melbourne, Australia
d Environmental Engineering, School of Engineering, RMIT University, 124 La Trobe Street, Melbourne, Victoria 3000, Australia
e Key Lab of Urban Environment and Health, Institute of Urban Environment, Chinese Academy of Sciences, Xiamen, 361021, People's Republic of China
f CIRAIG, Mathematical and Industrial Engineering Department, Polytechnique Montreal, C.P. 6079, succ. Centre-Ville, Montréal, Quebec, H3C 3A7, Canada
g Institute of Sustainable Energy, School of Engineering, HES-SO Valais-Wallis, CH-1950 Sion, Switzerland
h CIRAIG, Department of Strategy and Corporate Social Responsibility, ESG, UQAM, Montreal, Quebec H3C 3P8, Canada</t>
  </si>
  <si>
    <r>
      <rPr>
        <b/>
        <sz val="11"/>
        <color theme="1"/>
        <rFont val="Calibri"/>
        <family val="2"/>
        <scheme val="minor"/>
      </rPr>
      <t>Journal</t>
    </r>
    <r>
      <rPr>
        <sz val="11"/>
        <color theme="1"/>
        <rFont val="Calibri"/>
        <family val="2"/>
        <scheme val="minor"/>
      </rPr>
      <t>: Environmental Sciences and Technology</t>
    </r>
  </si>
  <si>
    <t>Table</t>
  </si>
  <si>
    <t>Nickel</t>
  </si>
  <si>
    <t>ORCID authors</t>
  </si>
  <si>
    <t>Titouan Greffe (https://orcid.org/0000-0002-9377-4552)</t>
  </si>
  <si>
    <t>Max Frenzel (https://orcid.org/0000-0001-6625-559X)</t>
  </si>
  <si>
    <t>Timothy Werner (https://orcid.org/0000-0002-0565-4762)</t>
  </si>
  <si>
    <t>Peng Wang (https://orcid.org/0000-0001-7170-1494)</t>
  </si>
  <si>
    <t>Manuele Margni (https://orcid.org/0000-0002-2475-0768)</t>
  </si>
  <si>
    <t>Cécile Bulle (https://orcid.org/0000-0002-7323-046X)</t>
  </si>
  <si>
    <t>Year of publication: 2024</t>
  </si>
  <si>
    <t>*Corresponding author's email: greffe.titouan@courrier.uqam.ca</t>
  </si>
  <si>
    <r>
      <rPr>
        <b/>
        <sz val="11"/>
        <color theme="1"/>
        <rFont val="Calibri"/>
        <family val="2"/>
        <scheme val="minor"/>
      </rPr>
      <t>Authors</t>
    </r>
    <r>
      <rPr>
        <sz val="11"/>
        <color theme="1"/>
        <rFont val="Calibri"/>
        <family val="2"/>
        <scheme val="minor"/>
      </rPr>
      <t>: Titouan Greffe</t>
    </r>
    <r>
      <rPr>
        <vertAlign val="superscript"/>
        <sz val="11"/>
        <color theme="1"/>
        <rFont val="Calibri"/>
        <family val="2"/>
        <scheme val="minor"/>
      </rPr>
      <t>a*</t>
    </r>
    <r>
      <rPr>
        <sz val="11"/>
        <color theme="1"/>
        <rFont val="Calibri"/>
        <family val="2"/>
        <scheme val="minor"/>
      </rPr>
      <t>, Max Frenzel</t>
    </r>
    <r>
      <rPr>
        <vertAlign val="superscript"/>
        <sz val="11"/>
        <color theme="1"/>
        <rFont val="Calibri"/>
        <family val="2"/>
        <scheme val="minor"/>
      </rPr>
      <t>b</t>
    </r>
    <r>
      <rPr>
        <sz val="11"/>
        <color theme="1"/>
        <rFont val="Calibri"/>
        <family val="2"/>
        <scheme val="minor"/>
      </rPr>
      <t>, Timothy Werner</t>
    </r>
    <r>
      <rPr>
        <vertAlign val="superscript"/>
        <sz val="11"/>
        <color theme="1"/>
        <rFont val="Calibri"/>
        <family val="2"/>
        <scheme val="minor"/>
      </rPr>
      <t>c</t>
    </r>
    <r>
      <rPr>
        <sz val="11"/>
        <color theme="1"/>
        <rFont val="Calibri"/>
        <family val="2"/>
        <scheme val="minor"/>
      </rPr>
      <t>, Gavin Mudd</t>
    </r>
    <r>
      <rPr>
        <vertAlign val="superscript"/>
        <sz val="11"/>
        <color theme="1"/>
        <rFont val="Calibri"/>
        <family val="2"/>
        <scheme val="minor"/>
      </rPr>
      <t>d</t>
    </r>
    <r>
      <rPr>
        <sz val="11"/>
        <color theme="1"/>
        <rFont val="Calibri"/>
        <family val="2"/>
        <scheme val="minor"/>
      </rPr>
      <t>, Peng Wang</t>
    </r>
    <r>
      <rPr>
        <vertAlign val="superscript"/>
        <sz val="11"/>
        <color theme="1"/>
        <rFont val="Calibri"/>
        <family val="2"/>
        <scheme val="minor"/>
      </rPr>
      <t>e</t>
    </r>
    <r>
      <rPr>
        <sz val="11"/>
        <color theme="1"/>
        <rFont val="Calibri"/>
        <family val="2"/>
        <scheme val="minor"/>
      </rPr>
      <t>, Manuele Margni</t>
    </r>
    <r>
      <rPr>
        <vertAlign val="superscript"/>
        <sz val="11"/>
        <color theme="1"/>
        <rFont val="Calibri"/>
        <family val="2"/>
        <scheme val="minor"/>
      </rPr>
      <t>f,g</t>
    </r>
    <r>
      <rPr>
        <sz val="11"/>
        <color theme="1"/>
        <rFont val="Calibri"/>
        <family val="2"/>
        <scheme val="minor"/>
      </rPr>
      <t>, Cécile Bulle</t>
    </r>
    <r>
      <rPr>
        <vertAlign val="superscript"/>
        <sz val="11"/>
        <color theme="1"/>
        <rFont val="Calibri"/>
        <family val="2"/>
        <scheme val="minor"/>
      </rPr>
      <t>a,h</t>
    </r>
  </si>
  <si>
    <t>Gavin Mudd (https://orcid.org/0000-0001-7115-1330)</t>
  </si>
  <si>
    <t>https://doi.org/10.1021/acs.est.4c05293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</si>
</sst>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quot;$&quot;_ ;_ * \(#,##0.00\)\ &quot;$&quot;_ ;_ * &quot;-&quot;??_)\ &quot;$&quot;_ ;_ @_ "/>
    <numFmt numFmtId="165"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rgb="FF000000"/>
      <name val="Calibri"/>
      <family val="2"/>
    </font>
    <font>
      <b/>
      <i/>
      <sz val="11"/>
      <color rgb="FF000000"/>
      <name val="Calibri"/>
      <family val="2"/>
    </font>
    <font>
      <sz val="11"/>
      <name val="Calibri"/>
      <family val="2"/>
    </font>
    <font>
      <sz val="11"/>
      <color theme="1"/>
      <name val="Calibri"/>
      <family val="2"/>
    </font>
    <font>
      <sz val="11"/>
      <color rgb="FF000000"/>
      <name val="Calibri"/>
      <family val="2"/>
    </font>
    <font>
      <b/>
      <sz val="11"/>
      <name val="Calibri"/>
      <family val="2"/>
      <scheme val="minor"/>
    </font>
    <font>
      <sz val="9"/>
      <color indexed="81"/>
      <name val="Tahoma"/>
      <family val="2"/>
    </font>
    <font>
      <b/>
      <sz val="9"/>
      <color indexed="81"/>
      <name val="Tahoma"/>
      <family val="2"/>
    </font>
    <font>
      <vertAlign val="superscript"/>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13" fillId="0" borderId="0" applyNumberFormat="0" applyFill="0" applyBorder="0" applyAlignment="0" applyProtection="0"/>
  </cellStyleXfs>
  <cellXfs count="60">
    <xf numFmtId="0" fontId="0" fillId="0" borderId="0" xfId="0"/>
    <xf numFmtId="9" fontId="2" fillId="0" borderId="0" xfId="1" applyFont="1" applyAlignment="1">
      <alignment horizontal="center"/>
    </xf>
    <xf numFmtId="0" fontId="0" fillId="0" borderId="0" xfId="0" applyAlignment="1">
      <alignment horizontal="center"/>
    </xf>
    <xf numFmtId="9" fontId="1" fillId="0" borderId="0" xfId="1" applyAlignment="1">
      <alignment horizontal="center"/>
    </xf>
    <xf numFmtId="0" fontId="2" fillId="0" borderId="0" xfId="0" applyFont="1" applyAlignment="1">
      <alignment horizontal="center"/>
    </xf>
    <xf numFmtId="0" fontId="0" fillId="0" borderId="0" xfId="0" applyAlignment="1">
      <alignment vertical="center"/>
    </xf>
    <xf numFmtId="9" fontId="0" fillId="0" borderId="1" xfId="0" applyNumberFormat="1"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xf>
    <xf numFmtId="9" fontId="0" fillId="0" borderId="0" xfId="1" applyFont="1" applyAlignment="1">
      <alignment horizontal="center"/>
    </xf>
    <xf numFmtId="0" fontId="4" fillId="0" borderId="1" xfId="0" applyFont="1" applyBorder="1"/>
    <xf numFmtId="0" fontId="5" fillId="0" borderId="1" xfId="0" applyFont="1" applyBorder="1"/>
    <xf numFmtId="0" fontId="6" fillId="0" borderId="1" xfId="0" applyFont="1" applyBorder="1"/>
    <xf numFmtId="9" fontId="7" fillId="0" borderId="0" xfId="0" applyNumberFormat="1" applyFont="1"/>
    <xf numFmtId="0" fontId="7" fillId="0" borderId="0" xfId="0" applyFont="1"/>
    <xf numFmtId="0" fontId="8" fillId="0" borderId="0" xfId="0" applyFont="1"/>
    <xf numFmtId="0" fontId="7" fillId="0" borderId="1" xfId="0" applyFont="1" applyBorder="1"/>
    <xf numFmtId="10" fontId="7" fillId="0" borderId="0" xfId="0" applyNumberFormat="1" applyFont="1"/>
    <xf numFmtId="0" fontId="6" fillId="0" borderId="0" xfId="0" applyFont="1"/>
    <xf numFmtId="9" fontId="7" fillId="0" borderId="0" xfId="1" applyFont="1" applyFill="1" applyBorder="1"/>
    <xf numFmtId="165" fontId="7" fillId="0" borderId="0" xfId="0" applyNumberFormat="1" applyFont="1"/>
    <xf numFmtId="10" fontId="0" fillId="0" borderId="0" xfId="0" applyNumberFormat="1" applyAlignment="1">
      <alignment horizontal="center"/>
    </xf>
    <xf numFmtId="9" fontId="0" fillId="0" borderId="0" xfId="0" applyNumberFormat="1" applyAlignment="1">
      <alignment horizontal="center"/>
    </xf>
    <xf numFmtId="10" fontId="0" fillId="0" borderId="0" xfId="1" applyNumberFormat="1" applyFont="1" applyAlignment="1">
      <alignment horizontal="center"/>
    </xf>
    <xf numFmtId="0" fontId="2" fillId="0" borderId="0" xfId="0" applyFont="1"/>
    <xf numFmtId="165" fontId="0" fillId="0" borderId="0" xfId="0" applyNumberFormat="1" applyAlignment="1">
      <alignment horizontal="center"/>
    </xf>
    <xf numFmtId="0" fontId="4" fillId="0" borderId="2" xfId="0" applyFont="1" applyBorder="1"/>
    <xf numFmtId="9" fontId="7" fillId="0" borderId="0" xfId="1" applyFont="1" applyFill="1" applyBorder="1" applyAlignment="1">
      <alignment horizontal="center"/>
    </xf>
    <xf numFmtId="9" fontId="1" fillId="0" borderId="0" xfId="1" applyAlignment="1">
      <alignment horizontal="left"/>
    </xf>
    <xf numFmtId="165" fontId="1" fillId="0" borderId="0" xfId="1" applyNumberFormat="1" applyAlignment="1">
      <alignment horizontal="center"/>
    </xf>
    <xf numFmtId="0" fontId="6" fillId="0" borderId="0" xfId="0" applyFont="1" applyAlignment="1">
      <alignment horizontal="left"/>
    </xf>
    <xf numFmtId="0" fontId="0" fillId="0" borderId="0" xfId="0" applyAlignment="1">
      <alignment horizontal="left"/>
    </xf>
    <xf numFmtId="9" fontId="1" fillId="0" borderId="0" xfId="2" applyNumberFormat="1" applyAlignment="1">
      <alignment horizontal="center"/>
    </xf>
    <xf numFmtId="0" fontId="2" fillId="2" borderId="0" xfId="0" applyFont="1" applyFill="1" applyAlignment="1">
      <alignment horizontal="center"/>
    </xf>
    <xf numFmtId="0" fontId="2" fillId="2" borderId="0" xfId="0" applyFont="1" applyFill="1" applyAlignment="1">
      <alignment horizontal="left"/>
    </xf>
    <xf numFmtId="0" fontId="0" fillId="2" borderId="0" xfId="0" applyFill="1"/>
    <xf numFmtId="9" fontId="0" fillId="2" borderId="0" xfId="1" applyFont="1" applyFill="1" applyAlignment="1">
      <alignment horizontal="center"/>
    </xf>
    <xf numFmtId="0" fontId="0" fillId="2" borderId="0" xfId="0" applyFill="1" applyAlignment="1">
      <alignment horizontal="center"/>
    </xf>
    <xf numFmtId="165" fontId="0" fillId="2" borderId="0" xfId="1" applyNumberFormat="1" applyFont="1" applyFill="1" applyAlignment="1">
      <alignment horizontal="center"/>
    </xf>
    <xf numFmtId="0" fontId="0" fillId="2" borderId="0" xfId="0" applyFill="1" applyAlignment="1">
      <alignment horizontal="left"/>
    </xf>
    <xf numFmtId="10" fontId="0" fillId="2" borderId="0" xfId="0" applyNumberFormat="1" applyFill="1" applyAlignment="1">
      <alignment horizontal="center"/>
    </xf>
    <xf numFmtId="165" fontId="0" fillId="2" borderId="0" xfId="0" applyNumberFormat="1" applyFill="1" applyAlignment="1">
      <alignment horizontal="center"/>
    </xf>
    <xf numFmtId="9" fontId="0" fillId="2" borderId="0" xfId="0" applyNumberFormat="1" applyFill="1" applyAlignment="1">
      <alignment horizontal="center"/>
    </xf>
    <xf numFmtId="9" fontId="1" fillId="2" borderId="0" xfId="1" applyFill="1" applyAlignment="1">
      <alignment horizontal="center"/>
    </xf>
    <xf numFmtId="0" fontId="2" fillId="3" borderId="0" xfId="0" applyFont="1" applyFill="1" applyAlignment="1">
      <alignment horizontal="center"/>
    </xf>
    <xf numFmtId="0" fontId="0" fillId="3" borderId="0" xfId="0" applyFill="1" applyAlignment="1">
      <alignment horizontal="center"/>
    </xf>
    <xf numFmtId="165" fontId="0" fillId="3" borderId="0" xfId="1" applyNumberFormat="1" applyFont="1" applyFill="1" applyAlignment="1">
      <alignment horizontal="center"/>
    </xf>
    <xf numFmtId="0" fontId="0" fillId="3" borderId="0" xfId="0" applyFill="1" applyAlignment="1">
      <alignment horizontal="left"/>
    </xf>
    <xf numFmtId="0" fontId="2" fillId="4" borderId="0" xfId="0" applyFont="1" applyFill="1" applyAlignment="1">
      <alignment horizontal="center"/>
    </xf>
    <xf numFmtId="0" fontId="0" fillId="4" borderId="0" xfId="0" applyFill="1"/>
    <xf numFmtId="9" fontId="0" fillId="4" borderId="0" xfId="1" applyFont="1" applyFill="1" applyAlignment="1">
      <alignment horizontal="center"/>
    </xf>
    <xf numFmtId="0" fontId="0" fillId="4" borderId="0" xfId="0" applyFill="1" applyAlignment="1">
      <alignment horizontal="center"/>
    </xf>
    <xf numFmtId="0" fontId="2" fillId="2" borderId="3" xfId="0" applyFont="1" applyFill="1" applyBorder="1" applyAlignment="1">
      <alignment horizontal="left"/>
    </xf>
    <xf numFmtId="0" fontId="0" fillId="2" borderId="3" xfId="0"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9" fillId="0" borderId="0" xfId="0" applyFont="1" applyAlignment="1">
      <alignment horizontal="center"/>
    </xf>
    <xf numFmtId="10" fontId="0" fillId="2" borderId="0" xfId="1" applyNumberFormat="1" applyFont="1" applyFill="1" applyAlignment="1">
      <alignment horizontal="center"/>
    </xf>
    <xf numFmtId="0" fontId="0" fillId="0" borderId="0" xfId="0" applyAlignment="1">
      <alignment wrapText="1"/>
    </xf>
    <xf numFmtId="0" fontId="13" fillId="0" borderId="0" xfId="3" applyAlignment="1">
      <alignment horizontal="center"/>
    </xf>
  </cellXfs>
  <cellStyles count="4">
    <cellStyle name="Currency" xfId="2" builtinId="4"/>
    <cellStyle name="Hyperlink" xfId="3" builtinId="8"/>
    <cellStyle name="Normal" xfId="0" builtinId="0"/>
    <cellStyle name="Percent" xfId="1" builtinId="5"/>
  </cellStyles>
  <dxfs count="3">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21/acs.est.4c05293"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20D09-4A04-43D1-BB7A-1755C72A2CBC}">
  <dimension ref="A1:B28"/>
  <sheetViews>
    <sheetView topLeftCell="A4" workbookViewId="0">
      <selection activeCell="C4" sqref="C4"/>
    </sheetView>
  </sheetViews>
  <sheetFormatPr defaultColWidth="11.5546875" defaultRowHeight="14.4" x14ac:dyDescent="0.3"/>
  <cols>
    <col min="1" max="1" width="81.6640625" customWidth="1"/>
  </cols>
  <sheetData>
    <row r="1" spans="1:1" x14ac:dyDescent="0.3">
      <c r="A1" t="s">
        <v>303</v>
      </c>
    </row>
    <row r="2" spans="1:1" ht="16.2" x14ac:dyDescent="0.3">
      <c r="A2" t="s">
        <v>318</v>
      </c>
    </row>
    <row r="3" spans="1:1" x14ac:dyDescent="0.3">
      <c r="A3" t="s">
        <v>304</v>
      </c>
    </row>
    <row r="4" spans="1:1" ht="216" x14ac:dyDescent="0.3">
      <c r="A4" s="58" t="s">
        <v>305</v>
      </c>
    </row>
    <row r="5" spans="1:1" x14ac:dyDescent="0.3">
      <c r="A5" t="s">
        <v>317</v>
      </c>
    </row>
    <row r="7" spans="1:1" x14ac:dyDescent="0.3">
      <c r="A7" s="59" t="s">
        <v>320</v>
      </c>
    </row>
    <row r="9" spans="1:1" x14ac:dyDescent="0.3">
      <c r="A9" t="s">
        <v>316</v>
      </c>
    </row>
    <row r="10" spans="1:1" x14ac:dyDescent="0.3">
      <c r="A10" t="s">
        <v>306</v>
      </c>
    </row>
    <row r="12" spans="1:1" x14ac:dyDescent="0.3">
      <c r="A12" s="24" t="s">
        <v>309</v>
      </c>
    </row>
    <row r="13" spans="1:1" x14ac:dyDescent="0.3">
      <c r="A13" t="s">
        <v>310</v>
      </c>
    </row>
    <row r="14" spans="1:1" x14ac:dyDescent="0.3">
      <c r="A14" t="s">
        <v>311</v>
      </c>
    </row>
    <row r="15" spans="1:1" x14ac:dyDescent="0.3">
      <c r="A15" t="s">
        <v>312</v>
      </c>
    </row>
    <row r="16" spans="1:1" x14ac:dyDescent="0.3">
      <c r="A16" t="s">
        <v>319</v>
      </c>
    </row>
    <row r="17" spans="1:2" x14ac:dyDescent="0.3">
      <c r="A17" t="s">
        <v>313</v>
      </c>
    </row>
    <row r="18" spans="1:2" x14ac:dyDescent="0.3">
      <c r="A18" t="s">
        <v>314</v>
      </c>
    </row>
    <row r="19" spans="1:2" x14ac:dyDescent="0.3">
      <c r="A19" t="s">
        <v>315</v>
      </c>
    </row>
    <row r="23" spans="1:2" x14ac:dyDescent="0.3">
      <c r="A23" s="24" t="s">
        <v>272</v>
      </c>
      <c r="B23" s="24" t="s">
        <v>273</v>
      </c>
    </row>
    <row r="24" spans="1:2" x14ac:dyDescent="0.3">
      <c r="A24" t="s">
        <v>307</v>
      </c>
      <c r="B24" t="s">
        <v>265</v>
      </c>
    </row>
    <row r="25" spans="1:2" x14ac:dyDescent="0.3">
      <c r="A25" t="s">
        <v>266</v>
      </c>
      <c r="B25" t="s">
        <v>300</v>
      </c>
    </row>
    <row r="26" spans="1:2" x14ac:dyDescent="0.3">
      <c r="A26" t="s">
        <v>267</v>
      </c>
      <c r="B26" t="s">
        <v>301</v>
      </c>
    </row>
    <row r="27" spans="1:2" x14ac:dyDescent="0.3">
      <c r="A27" t="s">
        <v>268</v>
      </c>
      <c r="B27" t="s">
        <v>269</v>
      </c>
    </row>
    <row r="28" spans="1:2" x14ac:dyDescent="0.3">
      <c r="A28" t="s">
        <v>270</v>
      </c>
      <c r="B28" t="s">
        <v>271</v>
      </c>
    </row>
  </sheetData>
  <hyperlinks>
    <hyperlink ref="A7" r:id="rId1" xr:uid="{88CCC95E-01CF-4418-B851-DC885DE7C7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6F094-3754-435F-83D5-87C0FAE3DDC2}">
  <dimension ref="A1:X64"/>
  <sheetViews>
    <sheetView topLeftCell="I46" workbookViewId="0">
      <selection activeCell="Q31" sqref="Q31"/>
    </sheetView>
  </sheetViews>
  <sheetFormatPr defaultColWidth="11.5546875" defaultRowHeight="14.4" x14ac:dyDescent="0.3"/>
  <cols>
    <col min="1" max="1" width="11.44140625" style="24"/>
    <col min="2" max="2" width="23" style="45" bestFit="1" customWidth="1"/>
    <col min="3" max="3" width="11.44140625" style="45"/>
    <col min="4" max="4" width="15.44140625" style="45" bestFit="1" customWidth="1"/>
    <col min="5" max="5" width="18" style="45" bestFit="1" customWidth="1"/>
    <col min="6" max="6" width="32.33203125" style="45" bestFit="1" customWidth="1"/>
    <col min="7" max="7" width="30.5546875" style="55" bestFit="1" customWidth="1"/>
    <col min="8" max="8" width="11.44140625" style="49"/>
    <col min="9" max="9" width="15.44140625" style="49" bestFit="1" customWidth="1"/>
    <col min="10" max="10" width="11.44140625" style="49"/>
    <col min="11" max="11" width="19.109375" style="49" bestFit="1" customWidth="1"/>
    <col min="12" max="12" width="18.6640625" style="53" customWidth="1"/>
    <col min="13" max="13" width="10.88671875" style="35" bestFit="1" customWidth="1"/>
    <col min="14" max="14" width="19.33203125" style="37" bestFit="1" customWidth="1"/>
    <col min="15" max="15" width="21.77734375" style="37" bestFit="1" customWidth="1"/>
    <col min="16" max="16" width="43" style="35" bestFit="1" customWidth="1"/>
    <col min="17" max="17" width="204.44140625" style="35" bestFit="1" customWidth="1"/>
  </cols>
  <sheetData>
    <row r="1" spans="1:17" x14ac:dyDescent="0.3">
      <c r="A1" s="1" t="s">
        <v>0</v>
      </c>
      <c r="B1" s="44" t="s">
        <v>64</v>
      </c>
      <c r="C1" s="44" t="s">
        <v>65</v>
      </c>
      <c r="D1" s="44" t="s">
        <v>66</v>
      </c>
      <c r="E1" s="44" t="s">
        <v>67</v>
      </c>
      <c r="F1" s="44" t="s">
        <v>68</v>
      </c>
      <c r="G1" s="54" t="s">
        <v>64</v>
      </c>
      <c r="H1" s="48" t="s">
        <v>65</v>
      </c>
      <c r="I1" s="48" t="s">
        <v>66</v>
      </c>
      <c r="J1" s="48" t="s">
        <v>67</v>
      </c>
      <c r="K1" s="48" t="s">
        <v>68</v>
      </c>
      <c r="L1" s="52" t="s">
        <v>64</v>
      </c>
      <c r="M1" s="33" t="s">
        <v>65</v>
      </c>
      <c r="N1" s="33" t="s">
        <v>66</v>
      </c>
      <c r="O1" s="33" t="s">
        <v>67</v>
      </c>
      <c r="P1" s="33" t="s">
        <v>214</v>
      </c>
      <c r="Q1" s="34" t="s">
        <v>233</v>
      </c>
    </row>
    <row r="2" spans="1:17" x14ac:dyDescent="0.3">
      <c r="A2" s="1" t="s">
        <v>36</v>
      </c>
      <c r="B2" s="45" t="s">
        <v>212</v>
      </c>
      <c r="C2" s="46">
        <f>IFERROR(VLOOKUP($A2,'Charpentier-Poncelet_2022'!$B:$C,2,FALSE),"")</f>
        <v>0.8425655976676385</v>
      </c>
      <c r="D2" s="45" t="s">
        <v>100</v>
      </c>
      <c r="E2" s="45">
        <v>1997</v>
      </c>
      <c r="F2" s="47" t="s">
        <v>287</v>
      </c>
      <c r="G2" s="55" t="s">
        <v>99</v>
      </c>
      <c r="H2" s="50">
        <v>0.65549999999999997</v>
      </c>
      <c r="I2" s="51" t="s">
        <v>100</v>
      </c>
      <c r="J2" s="51">
        <v>2018</v>
      </c>
      <c r="K2" s="49" t="s">
        <v>102</v>
      </c>
      <c r="L2" s="53" t="s">
        <v>99</v>
      </c>
      <c r="M2" s="36">
        <v>0.65549999999999997</v>
      </c>
      <c r="N2" s="37" t="s">
        <v>100</v>
      </c>
      <c r="O2" s="37">
        <v>2018</v>
      </c>
      <c r="P2" s="35" t="s">
        <v>102</v>
      </c>
      <c r="Q2" s="35" t="s">
        <v>280</v>
      </c>
    </row>
    <row r="3" spans="1:17" x14ac:dyDescent="0.3">
      <c r="A3" s="1" t="s">
        <v>4</v>
      </c>
      <c r="B3" s="45" t="s">
        <v>212</v>
      </c>
      <c r="C3" s="46">
        <f>IFERROR(VLOOKUP($A3,'Charpentier-Poncelet_2022'!$B:$C,2,FALSE),"")</f>
        <v>0.87929656274979995</v>
      </c>
      <c r="D3" s="45" t="s">
        <v>100</v>
      </c>
      <c r="E3" s="45">
        <v>2014</v>
      </c>
      <c r="F3" s="47" t="s">
        <v>287</v>
      </c>
      <c r="G3" s="55" t="s">
        <v>99</v>
      </c>
      <c r="H3" s="50">
        <v>0.93099999999999994</v>
      </c>
      <c r="I3" s="51" t="s">
        <v>100</v>
      </c>
      <c r="J3" s="51">
        <v>2018</v>
      </c>
      <c r="K3" s="49" t="s">
        <v>102</v>
      </c>
      <c r="L3" s="53" t="s">
        <v>99</v>
      </c>
      <c r="M3" s="36">
        <v>0.93099999999999994</v>
      </c>
      <c r="N3" s="37" t="s">
        <v>100</v>
      </c>
      <c r="O3" s="37">
        <v>2018</v>
      </c>
      <c r="P3" s="35" t="s">
        <v>102</v>
      </c>
      <c r="Q3" s="35" t="s">
        <v>280</v>
      </c>
    </row>
    <row r="4" spans="1:17" x14ac:dyDescent="0.3">
      <c r="A4" s="4" t="s">
        <v>58</v>
      </c>
      <c r="B4" s="45" t="s">
        <v>212</v>
      </c>
      <c r="C4" s="46">
        <f>IFERROR(VLOOKUP($A4,'Charpentier-Poncelet_2022'!$B:$C,2,FALSE),"")</f>
        <v>8.4343116045257224E-2</v>
      </c>
      <c r="D4" s="45" t="s">
        <v>221</v>
      </c>
      <c r="E4" s="45">
        <v>2010</v>
      </c>
      <c r="F4" s="47" t="s">
        <v>287</v>
      </c>
      <c r="H4" s="50" t="s">
        <v>101</v>
      </c>
      <c r="L4" s="53" t="s">
        <v>212</v>
      </c>
      <c r="M4" s="38">
        <f>IFERROR(VLOOKUP($A4,'Charpentier-Poncelet_2022'!$B:$C,2,FALSE),"")</f>
        <v>8.4343116045257224E-2</v>
      </c>
      <c r="N4" s="37" t="s">
        <v>221</v>
      </c>
      <c r="O4" s="37">
        <v>2010</v>
      </c>
      <c r="P4" s="39" t="s">
        <v>287</v>
      </c>
      <c r="Q4" s="35" t="s">
        <v>280</v>
      </c>
    </row>
    <row r="5" spans="1:17" x14ac:dyDescent="0.3">
      <c r="A5" s="1" t="s">
        <v>20</v>
      </c>
      <c r="B5" s="45" t="s">
        <v>212</v>
      </c>
      <c r="C5" s="46">
        <f>IFERROR(VLOOKUP($A5,'Charpentier-Poncelet_2022'!$B:$C,2,FALSE),"")</f>
        <v>0.73259375000000004</v>
      </c>
      <c r="D5" s="45" t="s">
        <v>100</v>
      </c>
      <c r="E5" s="45" t="s">
        <v>288</v>
      </c>
      <c r="F5" s="47" t="s">
        <v>287</v>
      </c>
      <c r="G5" s="55" t="s">
        <v>99</v>
      </c>
      <c r="H5" s="50">
        <v>0.747</v>
      </c>
      <c r="I5" s="51" t="s">
        <v>100</v>
      </c>
      <c r="J5" s="51">
        <v>2018</v>
      </c>
      <c r="K5" s="49" t="s">
        <v>102</v>
      </c>
      <c r="L5" s="53" t="s">
        <v>99</v>
      </c>
      <c r="M5" s="36">
        <v>0.747</v>
      </c>
      <c r="N5" s="37" t="s">
        <v>100</v>
      </c>
      <c r="O5" s="37">
        <v>2018</v>
      </c>
      <c r="P5" s="35" t="s">
        <v>102</v>
      </c>
      <c r="Q5" s="35" t="s">
        <v>280</v>
      </c>
    </row>
    <row r="6" spans="1:17" x14ac:dyDescent="0.3">
      <c r="A6" s="4" t="s">
        <v>13</v>
      </c>
      <c r="B6" s="45" t="s">
        <v>212</v>
      </c>
      <c r="C6" s="46">
        <f>IFERROR(VLOOKUP($A6,'Charpentier-Poncelet_2022'!$B:$C,2,FALSE),"")</f>
        <v>0.77600000000000002</v>
      </c>
      <c r="D6" s="45" t="s">
        <v>100</v>
      </c>
      <c r="E6" s="45">
        <v>2008</v>
      </c>
      <c r="F6" s="47" t="s">
        <v>287</v>
      </c>
      <c r="H6" s="50" t="s">
        <v>101</v>
      </c>
      <c r="L6" s="53" t="s">
        <v>212</v>
      </c>
      <c r="M6" s="38">
        <f>IFERROR(VLOOKUP($A6,'Charpentier-Poncelet_2022'!$B:$C,2,FALSE),"")</f>
        <v>0.77600000000000002</v>
      </c>
      <c r="N6" s="37" t="s">
        <v>100</v>
      </c>
      <c r="O6" s="37">
        <v>2008</v>
      </c>
      <c r="P6" s="39" t="s">
        <v>287</v>
      </c>
      <c r="Q6" s="35" t="s">
        <v>280</v>
      </c>
    </row>
    <row r="7" spans="1:17" x14ac:dyDescent="0.3">
      <c r="A7" s="1" t="s">
        <v>19</v>
      </c>
      <c r="B7" s="45" t="s">
        <v>212</v>
      </c>
      <c r="C7" s="46">
        <f>IFERROR(VLOOKUP($A7,'Charpentier-Poncelet_2022'!$B:$C,2,FALSE),"")</f>
        <v>0.75</v>
      </c>
      <c r="F7" s="47" t="s">
        <v>287</v>
      </c>
      <c r="H7" s="50" t="s">
        <v>101</v>
      </c>
      <c r="L7" s="53" t="s">
        <v>212</v>
      </c>
      <c r="M7" s="38">
        <f>IFERROR(VLOOKUP($A7,'Charpentier-Poncelet_2022'!$B:$C,2,FALSE),"")</f>
        <v>0.75</v>
      </c>
      <c r="P7" s="39" t="s">
        <v>287</v>
      </c>
      <c r="Q7" s="35" t="s">
        <v>280</v>
      </c>
    </row>
    <row r="8" spans="1:17" x14ac:dyDescent="0.3">
      <c r="A8" s="4" t="s">
        <v>17</v>
      </c>
      <c r="B8" s="45" t="s">
        <v>212</v>
      </c>
      <c r="C8" s="46">
        <f>IFERROR(VLOOKUP($A8,'Charpentier-Poncelet_2022'!$B:$C,2,FALSE),"")</f>
        <v>0.76275975333501123</v>
      </c>
      <c r="F8" s="47" t="s">
        <v>287</v>
      </c>
      <c r="H8" s="50" t="s">
        <v>101</v>
      </c>
      <c r="L8" s="53" t="s">
        <v>212</v>
      </c>
      <c r="M8" s="38">
        <f>IFERROR(VLOOKUP($A8,'Charpentier-Poncelet_2022'!$B:$C,2,FALSE),"")</f>
        <v>0.76275975333501123</v>
      </c>
      <c r="P8" s="39" t="s">
        <v>287</v>
      </c>
      <c r="Q8" s="35" t="s">
        <v>280</v>
      </c>
    </row>
    <row r="9" spans="1:17" x14ac:dyDescent="0.3">
      <c r="A9" s="56" t="s">
        <v>49</v>
      </c>
      <c r="B9" s="45" t="s">
        <v>212</v>
      </c>
      <c r="C9" s="46">
        <f>IFERROR(VLOOKUP($A9,'Charpentier-Poncelet_2022'!$B:$C,2,FALSE),"")</f>
        <v>0.58151300579436283</v>
      </c>
      <c r="D9" s="45" t="s">
        <v>100</v>
      </c>
      <c r="E9" s="45" t="s">
        <v>281</v>
      </c>
      <c r="F9" s="47" t="s">
        <v>287</v>
      </c>
      <c r="G9" s="55" t="s">
        <v>99</v>
      </c>
      <c r="H9" s="50">
        <f>Other_sources!$B$5</f>
        <v>0.54900000000000004</v>
      </c>
      <c r="I9" s="51" t="s">
        <v>100</v>
      </c>
      <c r="J9" s="51">
        <v>2018</v>
      </c>
      <c r="K9" s="49" t="s">
        <v>245</v>
      </c>
      <c r="L9" s="53" t="s">
        <v>212</v>
      </c>
      <c r="M9" s="36">
        <v>0.58151300579436283</v>
      </c>
      <c r="N9" s="37" t="s">
        <v>100</v>
      </c>
      <c r="O9" s="37" t="s">
        <v>281</v>
      </c>
      <c r="P9" s="35" t="s">
        <v>287</v>
      </c>
      <c r="Q9" s="35" t="s">
        <v>280</v>
      </c>
    </row>
    <row r="10" spans="1:17" x14ac:dyDescent="0.3">
      <c r="A10" s="1" t="s">
        <v>53</v>
      </c>
      <c r="B10" s="45" t="s">
        <v>212</v>
      </c>
      <c r="C10" s="46">
        <f>IFERROR(VLOOKUP($A10,'Charpentier-Poncelet_2022'!$B:$C,2,FALSE),"")</f>
        <v>0.43934656568697839</v>
      </c>
      <c r="D10" s="45" t="s">
        <v>100</v>
      </c>
      <c r="E10" s="45">
        <v>2005</v>
      </c>
      <c r="F10" s="47" t="s">
        <v>287</v>
      </c>
      <c r="G10" s="55" t="s">
        <v>99</v>
      </c>
      <c r="H10" s="50">
        <v>0.49500000000000005</v>
      </c>
      <c r="I10" s="51" t="s">
        <v>100</v>
      </c>
      <c r="J10" s="51">
        <v>2018</v>
      </c>
      <c r="K10" s="49" t="s">
        <v>102</v>
      </c>
      <c r="L10" s="53" t="s">
        <v>99</v>
      </c>
      <c r="M10" s="36">
        <v>0.49500000000000005</v>
      </c>
      <c r="N10" s="37" t="s">
        <v>100</v>
      </c>
      <c r="O10" s="37">
        <v>2018</v>
      </c>
      <c r="P10" s="35" t="s">
        <v>102</v>
      </c>
      <c r="Q10" s="35" t="s">
        <v>280</v>
      </c>
    </row>
    <row r="11" spans="1:17" x14ac:dyDescent="0.3">
      <c r="A11" s="4" t="s">
        <v>7</v>
      </c>
      <c r="H11" s="50" t="s">
        <v>101</v>
      </c>
      <c r="M11" s="42">
        <v>0.95</v>
      </c>
      <c r="P11" s="35" t="s">
        <v>297</v>
      </c>
    </row>
    <row r="12" spans="1:17" x14ac:dyDescent="0.3">
      <c r="A12" s="1" t="s">
        <v>46</v>
      </c>
      <c r="B12" s="45" t="s">
        <v>212</v>
      </c>
      <c r="C12" s="46">
        <f>IFERROR(VLOOKUP($A12,'Charpentier-Poncelet_2022'!$B:$C,2,FALSE),"")</f>
        <v>0.75144508670520227</v>
      </c>
      <c r="D12" s="45" t="s">
        <v>100</v>
      </c>
      <c r="E12" s="45">
        <v>2000</v>
      </c>
      <c r="F12" s="47" t="s">
        <v>287</v>
      </c>
      <c r="G12" s="55" t="s">
        <v>99</v>
      </c>
      <c r="H12" s="50">
        <v>0.59400000000000008</v>
      </c>
      <c r="I12" s="51" t="s">
        <v>100</v>
      </c>
      <c r="J12" s="51">
        <v>2018</v>
      </c>
      <c r="K12" s="49" t="s">
        <v>102</v>
      </c>
      <c r="L12" s="53" t="s">
        <v>99</v>
      </c>
      <c r="M12" s="36">
        <v>0.59400000000000008</v>
      </c>
      <c r="N12" s="37" t="s">
        <v>100</v>
      </c>
      <c r="O12" s="37">
        <v>2018</v>
      </c>
      <c r="P12" s="35" t="s">
        <v>102</v>
      </c>
      <c r="Q12" s="35" t="s">
        <v>280</v>
      </c>
    </row>
    <row r="13" spans="1:17" x14ac:dyDescent="0.3">
      <c r="A13" s="4" t="s">
        <v>5</v>
      </c>
      <c r="H13" s="50" t="s">
        <v>101</v>
      </c>
      <c r="M13" s="42">
        <v>0.95</v>
      </c>
      <c r="P13" s="35" t="s">
        <v>297</v>
      </c>
    </row>
    <row r="14" spans="1:17" x14ac:dyDescent="0.3">
      <c r="A14" s="1" t="s">
        <v>27</v>
      </c>
      <c r="B14" s="45" t="s">
        <v>212</v>
      </c>
      <c r="C14" s="46">
        <f>IFERROR(VLOOKUP($A14,'Charpentier-Poncelet_2022'!$B:$C,2,FALSE),"")</f>
        <v>0.8347457627118644</v>
      </c>
      <c r="D14" s="45" t="s">
        <v>100</v>
      </c>
      <c r="E14" s="45">
        <v>2011</v>
      </c>
      <c r="F14" s="47" t="s">
        <v>287</v>
      </c>
      <c r="G14" s="55" t="s">
        <v>99</v>
      </c>
      <c r="H14" s="50">
        <v>0.68400000000000005</v>
      </c>
      <c r="I14" s="51" t="s">
        <v>100</v>
      </c>
      <c r="J14" s="51">
        <v>2018</v>
      </c>
      <c r="K14" s="49" t="s">
        <v>102</v>
      </c>
      <c r="L14" s="53" t="s">
        <v>99</v>
      </c>
      <c r="M14" s="36">
        <v>0.68400000000000005</v>
      </c>
      <c r="N14" s="37" t="s">
        <v>100</v>
      </c>
      <c r="O14" s="37">
        <v>2018</v>
      </c>
      <c r="P14" s="35" t="s">
        <v>102</v>
      </c>
      <c r="Q14" s="35" t="s">
        <v>280</v>
      </c>
    </row>
    <row r="15" spans="1:17" x14ac:dyDescent="0.3">
      <c r="A15" s="56" t="s">
        <v>34</v>
      </c>
      <c r="B15" s="45" t="s">
        <v>212</v>
      </c>
      <c r="C15" s="46">
        <f>IFERROR(VLOOKUP($A15,'Charpentier-Poncelet_2022'!$B:$C,2,FALSE),"")</f>
        <v>0.6621811901957797</v>
      </c>
      <c r="D15" s="45" t="s">
        <v>100</v>
      </c>
      <c r="E15" s="45" t="s">
        <v>281</v>
      </c>
      <c r="F15" s="47" t="s">
        <v>287</v>
      </c>
      <c r="G15" s="55" t="s">
        <v>99</v>
      </c>
      <c r="H15" s="50">
        <f>Other_sources!$B$5</f>
        <v>0.54900000000000004</v>
      </c>
      <c r="I15" s="51" t="s">
        <v>100</v>
      </c>
      <c r="J15" s="51">
        <v>2018</v>
      </c>
      <c r="K15" s="49" t="s">
        <v>245</v>
      </c>
      <c r="L15" s="53" t="s">
        <v>212</v>
      </c>
      <c r="M15" s="36">
        <v>0.6621811901957797</v>
      </c>
      <c r="N15" s="37" t="s">
        <v>100</v>
      </c>
      <c r="O15" s="37" t="s">
        <v>281</v>
      </c>
      <c r="P15" s="35" t="s">
        <v>287</v>
      </c>
      <c r="Q15" s="35" t="s">
        <v>280</v>
      </c>
    </row>
    <row r="16" spans="1:17" x14ac:dyDescent="0.3">
      <c r="A16" s="56" t="s">
        <v>29</v>
      </c>
      <c r="B16" s="45" t="s">
        <v>212</v>
      </c>
      <c r="C16" s="46">
        <f>IFERROR(VLOOKUP($A16,'Charpentier-Poncelet_2022'!$B:$C,2,FALSE),"")</f>
        <v>0.66749104784218516</v>
      </c>
      <c r="D16" s="45" t="s">
        <v>100</v>
      </c>
      <c r="E16" s="45" t="s">
        <v>281</v>
      </c>
      <c r="F16" s="47" t="s">
        <v>287</v>
      </c>
      <c r="G16" s="55" t="s">
        <v>99</v>
      </c>
      <c r="H16" s="50">
        <f>Other_sources!$B$5</f>
        <v>0.54900000000000004</v>
      </c>
      <c r="I16" s="51" t="s">
        <v>100</v>
      </c>
      <c r="J16" s="51">
        <v>2018</v>
      </c>
      <c r="K16" s="49" t="s">
        <v>245</v>
      </c>
      <c r="L16" s="53" t="s">
        <v>212</v>
      </c>
      <c r="M16" s="36">
        <v>0.66749104784218516</v>
      </c>
      <c r="N16" s="37" t="s">
        <v>100</v>
      </c>
      <c r="O16" s="37" t="s">
        <v>281</v>
      </c>
      <c r="P16" s="35" t="s">
        <v>287</v>
      </c>
      <c r="Q16" s="35" t="s">
        <v>280</v>
      </c>
    </row>
    <row r="17" spans="1:24" x14ac:dyDescent="0.3">
      <c r="A17" s="56" t="s">
        <v>41</v>
      </c>
      <c r="B17" s="45" t="s">
        <v>212</v>
      </c>
      <c r="C17" s="46">
        <f>IFERROR(VLOOKUP($A17,'Charpentier-Poncelet_2022'!$B:$C,2,FALSE),"")</f>
        <v>0.61816718448448926</v>
      </c>
      <c r="D17" s="45" t="s">
        <v>100</v>
      </c>
      <c r="E17" s="45" t="s">
        <v>281</v>
      </c>
      <c r="F17" s="47" t="s">
        <v>287</v>
      </c>
      <c r="G17" s="55" t="s">
        <v>99</v>
      </c>
      <c r="H17" s="50">
        <f>Other_sources!$B$5</f>
        <v>0.54900000000000004</v>
      </c>
      <c r="I17" s="51" t="s">
        <v>100</v>
      </c>
      <c r="J17" s="51">
        <v>2018</v>
      </c>
      <c r="K17" s="49" t="s">
        <v>245</v>
      </c>
      <c r="L17" s="53" t="s">
        <v>212</v>
      </c>
      <c r="M17" s="36">
        <v>0.61816718448448926</v>
      </c>
      <c r="N17" s="37" t="s">
        <v>100</v>
      </c>
      <c r="O17" s="37" t="s">
        <v>281</v>
      </c>
      <c r="P17" s="35" t="s">
        <v>287</v>
      </c>
      <c r="Q17" s="35" t="s">
        <v>280</v>
      </c>
    </row>
    <row r="18" spans="1:24" x14ac:dyDescent="0.3">
      <c r="A18" s="1" t="s">
        <v>25</v>
      </c>
      <c r="B18" s="45" t="s">
        <v>212</v>
      </c>
      <c r="C18" s="46">
        <f>IFERROR(VLOOKUP($A18,'Charpentier-Poncelet_2022'!$B:$C,2,FALSE),"")</f>
        <v>0.87408949011446413</v>
      </c>
      <c r="D18" s="45" t="s">
        <v>100</v>
      </c>
      <c r="E18" s="45">
        <v>2000</v>
      </c>
      <c r="F18" s="47" t="s">
        <v>287</v>
      </c>
      <c r="G18" s="55" t="s">
        <v>99</v>
      </c>
      <c r="H18" s="50">
        <v>0.70840000000000003</v>
      </c>
      <c r="I18" s="51" t="s">
        <v>100</v>
      </c>
      <c r="J18" s="51">
        <v>2018</v>
      </c>
      <c r="K18" s="49" t="s">
        <v>102</v>
      </c>
      <c r="L18" s="53" t="s">
        <v>99</v>
      </c>
      <c r="M18" s="36">
        <v>0.70840000000000003</v>
      </c>
      <c r="N18" s="37" t="s">
        <v>100</v>
      </c>
      <c r="O18" s="37">
        <v>2018</v>
      </c>
      <c r="P18" s="35" t="s">
        <v>102</v>
      </c>
      <c r="Q18" s="35" t="s">
        <v>280</v>
      </c>
    </row>
    <row r="19" spans="1:24" x14ac:dyDescent="0.3">
      <c r="A19" s="1" t="s">
        <v>44</v>
      </c>
      <c r="B19" s="45" t="s">
        <v>212</v>
      </c>
      <c r="C19" s="46">
        <f>IFERROR(VLOOKUP($A19,'Charpentier-Poncelet_2022'!$B:$C,2,FALSE),"")</f>
        <v>1.796919566457502E-2</v>
      </c>
      <c r="D19" s="45" t="s">
        <v>100</v>
      </c>
      <c r="E19" s="45">
        <v>2011</v>
      </c>
      <c r="F19" s="47" t="s">
        <v>287</v>
      </c>
      <c r="G19" s="55" t="s">
        <v>99</v>
      </c>
      <c r="H19" s="50">
        <v>0.59849999999999992</v>
      </c>
      <c r="I19" s="51" t="s">
        <v>100</v>
      </c>
      <c r="J19" s="51">
        <v>2018</v>
      </c>
      <c r="K19" s="49" t="s">
        <v>102</v>
      </c>
      <c r="L19" s="53" t="s">
        <v>99</v>
      </c>
      <c r="M19" s="36">
        <v>0.59849999999999992</v>
      </c>
      <c r="N19" s="37" t="s">
        <v>100</v>
      </c>
      <c r="O19" s="37">
        <v>2018</v>
      </c>
      <c r="P19" s="35" t="s">
        <v>102</v>
      </c>
      <c r="Q19" s="35" t="s">
        <v>280</v>
      </c>
    </row>
    <row r="20" spans="1:24" x14ac:dyDescent="0.3">
      <c r="A20" s="56" t="s">
        <v>38</v>
      </c>
      <c r="B20" s="45" t="s">
        <v>212</v>
      </c>
      <c r="C20" s="46">
        <f>IFERROR(VLOOKUP($A20,'Charpentier-Poncelet_2022'!$B:$C,2,FALSE),"")</f>
        <v>0.63985820553182704</v>
      </c>
      <c r="D20" s="45" t="s">
        <v>100</v>
      </c>
      <c r="E20" s="45" t="s">
        <v>281</v>
      </c>
      <c r="F20" s="47" t="s">
        <v>287</v>
      </c>
      <c r="G20" s="55" t="s">
        <v>99</v>
      </c>
      <c r="H20" s="50">
        <f>Other_sources!$B$5</f>
        <v>0.54900000000000004</v>
      </c>
      <c r="I20" s="51" t="s">
        <v>100</v>
      </c>
      <c r="J20" s="51">
        <v>2018</v>
      </c>
      <c r="K20" s="49" t="s">
        <v>245</v>
      </c>
      <c r="L20" s="53" t="s">
        <v>212</v>
      </c>
      <c r="M20" s="36">
        <v>0.63985820553182704</v>
      </c>
      <c r="N20" s="37" t="s">
        <v>100</v>
      </c>
      <c r="O20" s="37" t="s">
        <v>281</v>
      </c>
      <c r="P20" s="35" t="s">
        <v>287</v>
      </c>
      <c r="Q20" s="35" t="s">
        <v>280</v>
      </c>
    </row>
    <row r="21" spans="1:24" x14ac:dyDescent="0.3">
      <c r="A21" s="4" t="s">
        <v>61</v>
      </c>
      <c r="B21" s="45" t="s">
        <v>212</v>
      </c>
      <c r="C21" s="46">
        <f>IFERROR(VLOOKUP($A21,'Charpentier-Poncelet_2022'!$B:$C,2,FALSE),"")</f>
        <v>6.5774804905239679E-3</v>
      </c>
      <c r="D21" s="45" t="s">
        <v>100</v>
      </c>
      <c r="E21" s="45">
        <v>2011</v>
      </c>
      <c r="F21" s="47" t="s">
        <v>287</v>
      </c>
      <c r="H21" s="50" t="s">
        <v>101</v>
      </c>
      <c r="L21" s="53" t="s">
        <v>212</v>
      </c>
      <c r="M21" s="38">
        <f>IFERROR(VLOOKUP($A21,'Charpentier-Poncelet_2022'!$B:$C,2,FALSE),"")</f>
        <v>6.5774804905239679E-3</v>
      </c>
      <c r="N21" s="37" t="s">
        <v>100</v>
      </c>
      <c r="O21" s="37">
        <v>2011</v>
      </c>
      <c r="P21" s="39" t="s">
        <v>287</v>
      </c>
      <c r="Q21" s="35" t="s">
        <v>280</v>
      </c>
    </row>
    <row r="22" spans="1:24" x14ac:dyDescent="0.3">
      <c r="A22" s="4" t="s">
        <v>3</v>
      </c>
      <c r="C22" s="46" t="str">
        <f>IFERROR(VLOOKUP($A22,'Charpentier-Poncelet_2022'!$B:$C,2,FALSE),"")</f>
        <v/>
      </c>
      <c r="H22" s="50" t="s">
        <v>101</v>
      </c>
      <c r="L22" s="53" t="s">
        <v>302</v>
      </c>
      <c r="M22" s="42">
        <f>Other_sources!B15</f>
        <v>0.95</v>
      </c>
      <c r="P22" s="35" t="s">
        <v>290</v>
      </c>
      <c r="Q22" s="35" t="s">
        <v>280</v>
      </c>
    </row>
    <row r="23" spans="1:24" x14ac:dyDescent="0.3">
      <c r="A23" s="4" t="s">
        <v>62</v>
      </c>
      <c r="B23" s="45" t="s">
        <v>212</v>
      </c>
      <c r="C23" s="46">
        <f>IFERROR(VLOOKUP($A23,'Charpentier-Poncelet_2022'!$B:$C,2,FALSE),"")</f>
        <v>2.717391304347826E-3</v>
      </c>
      <c r="F23" s="47" t="s">
        <v>287</v>
      </c>
      <c r="H23" s="50" t="s">
        <v>101</v>
      </c>
      <c r="L23" s="53" t="s">
        <v>212</v>
      </c>
      <c r="M23" s="38">
        <v>2.717391304347826E-3</v>
      </c>
      <c r="P23" s="35" t="s">
        <v>287</v>
      </c>
      <c r="Q23" s="35" t="s">
        <v>280</v>
      </c>
    </row>
    <row r="24" spans="1:24" x14ac:dyDescent="0.3">
      <c r="A24" s="56" t="s">
        <v>30</v>
      </c>
      <c r="B24" s="45" t="s">
        <v>212</v>
      </c>
      <c r="C24" s="46">
        <f>IFERROR(VLOOKUP($A24,'Charpentier-Poncelet_2022'!$B:$C,2,FALSE),"")</f>
        <v>0.66738632907361728</v>
      </c>
      <c r="F24" s="47" t="s">
        <v>287</v>
      </c>
      <c r="G24" s="55" t="s">
        <v>99</v>
      </c>
      <c r="H24" s="50">
        <f>Other_sources!$B$5</f>
        <v>0.54900000000000004</v>
      </c>
      <c r="I24" s="51" t="s">
        <v>100</v>
      </c>
      <c r="J24" s="51">
        <v>2018</v>
      </c>
      <c r="K24" s="49" t="s">
        <v>245</v>
      </c>
      <c r="L24" s="53" t="s">
        <v>212</v>
      </c>
      <c r="M24" s="36">
        <v>0.66738632907361728</v>
      </c>
      <c r="P24" s="35" t="s">
        <v>287</v>
      </c>
      <c r="Q24" s="35" t="s">
        <v>280</v>
      </c>
    </row>
    <row r="25" spans="1:24" x14ac:dyDescent="0.3">
      <c r="A25" s="56" t="s">
        <v>57</v>
      </c>
      <c r="B25" s="45" t="s">
        <v>212</v>
      </c>
      <c r="C25" s="46">
        <f>IFERROR(VLOOKUP($A25,'Charpentier-Poncelet_2022'!$B:$C,2,FALSE),"")</f>
        <v>0.3</v>
      </c>
      <c r="F25" s="47" t="s">
        <v>287</v>
      </c>
      <c r="H25" s="50" t="s">
        <v>101</v>
      </c>
      <c r="L25" s="53" t="s">
        <v>284</v>
      </c>
      <c r="M25" s="40">
        <f>Other_sources!B14</f>
        <v>0.1008</v>
      </c>
      <c r="N25" s="37" t="s">
        <v>100</v>
      </c>
      <c r="O25" s="37" t="s">
        <v>279</v>
      </c>
      <c r="P25" s="35" t="s">
        <v>285</v>
      </c>
      <c r="Q25" s="35" t="s">
        <v>280</v>
      </c>
    </row>
    <row r="26" spans="1:24" x14ac:dyDescent="0.3">
      <c r="A26" s="1" t="s">
        <v>18</v>
      </c>
      <c r="B26" s="45" t="s">
        <v>212</v>
      </c>
      <c r="C26" s="46">
        <f>IFERROR(VLOOKUP($A26,'Charpentier-Poncelet_2022'!$B:$C,2,FALSE),"")</f>
        <v>0.57576959999999999</v>
      </c>
      <c r="D26" s="45" t="s">
        <v>100</v>
      </c>
      <c r="E26" s="45" t="s">
        <v>286</v>
      </c>
      <c r="F26" s="47" t="s">
        <v>287</v>
      </c>
      <c r="G26" s="55" t="s">
        <v>99</v>
      </c>
      <c r="H26" s="50">
        <v>0.75439999999999996</v>
      </c>
      <c r="I26" s="51" t="s">
        <v>100</v>
      </c>
      <c r="J26" s="51">
        <v>2018</v>
      </c>
      <c r="K26" s="49" t="s">
        <v>102</v>
      </c>
      <c r="L26" s="53" t="s">
        <v>99</v>
      </c>
      <c r="M26" s="36">
        <v>0.75439999999999996</v>
      </c>
      <c r="N26" s="37" t="s">
        <v>100</v>
      </c>
      <c r="O26" s="37">
        <v>2018</v>
      </c>
      <c r="P26" s="35" t="s">
        <v>102</v>
      </c>
      <c r="Q26" s="35" t="s">
        <v>280</v>
      </c>
    </row>
    <row r="27" spans="1:24" x14ac:dyDescent="0.3">
      <c r="A27" s="4" t="s">
        <v>52</v>
      </c>
      <c r="C27" s="46" t="str">
        <f>IFERROR(VLOOKUP($A27,'Charpentier-Poncelet_2022'!$B:$C,2,FALSE),"")</f>
        <v/>
      </c>
      <c r="H27" s="50" t="s">
        <v>101</v>
      </c>
      <c r="M27" s="42">
        <v>0.5</v>
      </c>
      <c r="P27" s="35" t="s">
        <v>297</v>
      </c>
    </row>
    <row r="28" spans="1:24" x14ac:dyDescent="0.3">
      <c r="A28" s="56" t="s">
        <v>42</v>
      </c>
      <c r="B28" s="45" t="s">
        <v>212</v>
      </c>
      <c r="C28" s="46">
        <f>IFERROR(VLOOKUP($A28,'Charpentier-Poncelet_2022'!$B:$C,2,FALSE),"")</f>
        <v>0.60009236780630426</v>
      </c>
      <c r="D28" s="45" t="s">
        <v>100</v>
      </c>
      <c r="E28" s="45" t="s">
        <v>281</v>
      </c>
      <c r="F28" s="47" t="s">
        <v>287</v>
      </c>
      <c r="G28" s="55" t="s">
        <v>99</v>
      </c>
      <c r="H28" s="50">
        <f>Other_sources!$B$5</f>
        <v>0.54900000000000004</v>
      </c>
      <c r="I28" s="51" t="s">
        <v>100</v>
      </c>
      <c r="J28" s="51">
        <v>2018</v>
      </c>
      <c r="K28" s="49" t="s">
        <v>245</v>
      </c>
      <c r="L28" s="53" t="s">
        <v>212</v>
      </c>
      <c r="M28" s="36">
        <v>0.60009236780630426</v>
      </c>
      <c r="N28" s="37" t="s">
        <v>100</v>
      </c>
      <c r="O28" s="37" t="s">
        <v>281</v>
      </c>
      <c r="P28" s="35" t="s">
        <v>287</v>
      </c>
      <c r="Q28" s="35" t="s">
        <v>280</v>
      </c>
    </row>
    <row r="29" spans="1:24" x14ac:dyDescent="0.3">
      <c r="A29" s="1" t="s">
        <v>47</v>
      </c>
      <c r="B29" s="45" t="s">
        <v>212</v>
      </c>
      <c r="C29" s="46">
        <f>IFERROR(VLOOKUP($A29,'Charpentier-Poncelet_2022'!$B:$C,2,FALSE),"")</f>
        <v>0.69917047091553863</v>
      </c>
      <c r="D29" s="45" t="s">
        <v>100</v>
      </c>
      <c r="E29" s="45">
        <v>2008</v>
      </c>
      <c r="F29" s="47" t="s">
        <v>287</v>
      </c>
      <c r="G29" s="55" t="s">
        <v>99</v>
      </c>
      <c r="H29" s="50">
        <v>0.59400000000000008</v>
      </c>
      <c r="I29" s="51" t="s">
        <v>100</v>
      </c>
      <c r="J29" s="51">
        <v>2018</v>
      </c>
      <c r="K29" s="49" t="s">
        <v>102</v>
      </c>
      <c r="L29" s="53" t="s">
        <v>99</v>
      </c>
      <c r="M29" s="36">
        <v>0.59400000000000008</v>
      </c>
      <c r="N29" s="37" t="s">
        <v>100</v>
      </c>
      <c r="O29" s="37">
        <v>2018</v>
      </c>
      <c r="P29" s="35" t="s">
        <v>102</v>
      </c>
      <c r="Q29" s="35" t="s">
        <v>280</v>
      </c>
    </row>
    <row r="30" spans="1:24" x14ac:dyDescent="0.3">
      <c r="A30" s="56" t="s">
        <v>31</v>
      </c>
      <c r="B30" s="45" t="s">
        <v>212</v>
      </c>
      <c r="C30" s="46">
        <f>IFERROR(VLOOKUP($A30,'Charpentier-Poncelet_2022'!$B:$C,2,FALSE),"")</f>
        <v>0.66629720892829547</v>
      </c>
      <c r="D30" s="45" t="s">
        <v>100</v>
      </c>
      <c r="E30" s="45" t="s">
        <v>281</v>
      </c>
      <c r="F30" s="47" t="s">
        <v>287</v>
      </c>
      <c r="G30" s="55" t="s">
        <v>99</v>
      </c>
      <c r="H30" s="50">
        <f>Other_sources!$B$5</f>
        <v>0.54900000000000004</v>
      </c>
      <c r="I30" s="51" t="s">
        <v>100</v>
      </c>
      <c r="J30" s="51">
        <v>2018</v>
      </c>
      <c r="K30" s="49" t="s">
        <v>245</v>
      </c>
      <c r="L30" s="53" t="s">
        <v>212</v>
      </c>
      <c r="M30" s="36">
        <v>0.66629720892829547</v>
      </c>
      <c r="N30" s="37" t="s">
        <v>100</v>
      </c>
      <c r="O30" s="37" t="s">
        <v>281</v>
      </c>
      <c r="P30" s="35" t="s">
        <v>287</v>
      </c>
      <c r="Q30" s="35" t="s">
        <v>280</v>
      </c>
      <c r="V30" s="4"/>
      <c r="W30" s="4"/>
      <c r="X30" s="4"/>
    </row>
    <row r="31" spans="1:24" x14ac:dyDescent="0.3">
      <c r="A31" s="1" t="s">
        <v>9</v>
      </c>
      <c r="B31" s="45" t="s">
        <v>212</v>
      </c>
      <c r="C31" s="46">
        <f>IFERROR(VLOOKUP($A31,'Charpentier-Poncelet_2022'!$B:$C,2,FALSE),"")</f>
        <v>0.67925000000000002</v>
      </c>
      <c r="D31" s="45" t="s">
        <v>100</v>
      </c>
      <c r="E31" s="45">
        <v>2008</v>
      </c>
      <c r="F31" s="47" t="s">
        <v>287</v>
      </c>
      <c r="G31" s="55" t="s">
        <v>99</v>
      </c>
      <c r="H31" s="50">
        <v>0.873</v>
      </c>
      <c r="I31" s="51" t="s">
        <v>100</v>
      </c>
      <c r="J31" s="51">
        <v>2018</v>
      </c>
      <c r="K31" s="49" t="s">
        <v>102</v>
      </c>
      <c r="M31" s="41">
        <f>Other_sources!B2</f>
        <v>0.69871437412245385</v>
      </c>
      <c r="N31" s="37" t="s">
        <v>221</v>
      </c>
      <c r="O31" s="37" t="s">
        <v>229</v>
      </c>
      <c r="P31" s="35" t="s">
        <v>230</v>
      </c>
      <c r="Q31" s="35" t="s">
        <v>232</v>
      </c>
    </row>
    <row r="32" spans="1:24" x14ac:dyDescent="0.3">
      <c r="A32" s="4" t="s">
        <v>26</v>
      </c>
      <c r="B32" s="45" t="s">
        <v>212</v>
      </c>
      <c r="C32" s="46">
        <f>IFERROR(VLOOKUP($A32,'Charpentier-Poncelet_2022'!$B:$C,2,FALSE),"")</f>
        <v>0.7</v>
      </c>
      <c r="D32" s="45" t="s">
        <v>222</v>
      </c>
      <c r="E32" s="45" t="s">
        <v>219</v>
      </c>
      <c r="F32" s="47" t="s">
        <v>287</v>
      </c>
      <c r="H32" s="50" t="s">
        <v>101</v>
      </c>
      <c r="L32" s="53" t="s">
        <v>212</v>
      </c>
      <c r="M32" s="36">
        <v>0.7</v>
      </c>
      <c r="N32" s="37" t="s">
        <v>222</v>
      </c>
      <c r="O32" s="37" t="s">
        <v>219</v>
      </c>
      <c r="P32" s="35" t="s">
        <v>287</v>
      </c>
      <c r="Q32" s="35" t="s">
        <v>280</v>
      </c>
    </row>
    <row r="33" spans="1:17" x14ac:dyDescent="0.3">
      <c r="A33" s="1" t="s">
        <v>48</v>
      </c>
      <c r="B33" s="45" t="s">
        <v>212</v>
      </c>
      <c r="C33" s="46">
        <f>IFERROR(VLOOKUP($A33,'Charpentier-Poncelet_2022'!$B:$C,2,FALSE),"")</f>
        <v>0.6</v>
      </c>
      <c r="F33" s="47" t="s">
        <v>287</v>
      </c>
      <c r="G33" s="55" t="s">
        <v>99</v>
      </c>
      <c r="H33" s="50">
        <v>0.58899999999999997</v>
      </c>
      <c r="I33" s="51" t="s">
        <v>100</v>
      </c>
      <c r="J33" s="51">
        <v>2018</v>
      </c>
      <c r="K33" s="49" t="s">
        <v>102</v>
      </c>
      <c r="L33" s="53" t="s">
        <v>99</v>
      </c>
      <c r="M33" s="36">
        <v>0.58899999999999997</v>
      </c>
      <c r="N33" s="37" t="s">
        <v>100</v>
      </c>
      <c r="O33" s="37">
        <v>2018</v>
      </c>
      <c r="P33" s="35" t="s">
        <v>102</v>
      </c>
      <c r="Q33" s="35" t="s">
        <v>280</v>
      </c>
    </row>
    <row r="34" spans="1:17" x14ac:dyDescent="0.3">
      <c r="A34" s="4" t="s">
        <v>24</v>
      </c>
      <c r="B34" s="45" t="s">
        <v>212</v>
      </c>
      <c r="C34" s="46">
        <f>IFERROR(VLOOKUP($A34,'Charpentier-Poncelet_2022'!$B:$C,2,FALSE),"")</f>
        <v>0.71</v>
      </c>
      <c r="F34" s="47" t="s">
        <v>287</v>
      </c>
      <c r="H34" s="50" t="s">
        <v>101</v>
      </c>
      <c r="L34" s="37" t="s">
        <v>212</v>
      </c>
      <c r="M34" s="38">
        <v>0.71</v>
      </c>
      <c r="P34" s="39" t="s">
        <v>287</v>
      </c>
      <c r="Q34" s="35" t="s">
        <v>280</v>
      </c>
    </row>
    <row r="35" spans="1:17" x14ac:dyDescent="0.3">
      <c r="A35" s="56" t="s">
        <v>43</v>
      </c>
      <c r="B35" s="45" t="s">
        <v>212</v>
      </c>
      <c r="C35" s="46">
        <f>IFERROR(VLOOKUP($A35,'Charpentier-Poncelet_2022'!$B:$C,2,FALSE),"")</f>
        <v>0.59854391398996776</v>
      </c>
      <c r="D35" s="45" t="s">
        <v>100</v>
      </c>
      <c r="E35" s="45" t="s">
        <v>281</v>
      </c>
      <c r="F35" s="47" t="s">
        <v>287</v>
      </c>
      <c r="G35" s="55" t="s">
        <v>99</v>
      </c>
      <c r="H35" s="50">
        <f>Other_sources!$B$5</f>
        <v>0.54900000000000004</v>
      </c>
      <c r="I35" s="51" t="s">
        <v>100</v>
      </c>
      <c r="J35" s="51">
        <v>2018</v>
      </c>
      <c r="K35" s="49" t="s">
        <v>245</v>
      </c>
      <c r="L35" s="53" t="s">
        <v>212</v>
      </c>
      <c r="M35" s="36">
        <v>0.59854391398996776</v>
      </c>
      <c r="N35" s="37" t="s">
        <v>100</v>
      </c>
      <c r="O35" s="37" t="s">
        <v>281</v>
      </c>
      <c r="P35" s="35" t="s">
        <v>287</v>
      </c>
      <c r="Q35" s="35" t="s">
        <v>280</v>
      </c>
    </row>
    <row r="36" spans="1:17" x14ac:dyDescent="0.3">
      <c r="A36" s="4" t="s">
        <v>6</v>
      </c>
      <c r="F36" s="47"/>
      <c r="H36" s="50" t="s">
        <v>101</v>
      </c>
      <c r="M36" s="42">
        <v>0.95</v>
      </c>
      <c r="P36" s="35" t="s">
        <v>297</v>
      </c>
    </row>
    <row r="37" spans="1:17" x14ac:dyDescent="0.3">
      <c r="A37" s="1" t="s">
        <v>23</v>
      </c>
      <c r="B37" s="45" t="s">
        <v>212</v>
      </c>
      <c r="C37" s="46">
        <f>IFERROR(VLOOKUP($A37,'Charpentier-Poncelet_2022'!$B:$C,2,FALSE),"")</f>
        <v>0.78755499685732244</v>
      </c>
      <c r="D37" s="45" t="s">
        <v>100</v>
      </c>
      <c r="E37" s="45">
        <v>2005</v>
      </c>
      <c r="F37" s="47" t="s">
        <v>287</v>
      </c>
      <c r="G37" s="55" t="s">
        <v>99</v>
      </c>
      <c r="H37" s="50">
        <v>0.71100000000000008</v>
      </c>
      <c r="I37" s="51" t="s">
        <v>100</v>
      </c>
      <c r="J37" s="51">
        <v>2018</v>
      </c>
      <c r="K37" s="49" t="s">
        <v>102</v>
      </c>
      <c r="L37" s="53" t="s">
        <v>99</v>
      </c>
      <c r="M37" s="36">
        <v>0.71100000000000008</v>
      </c>
      <c r="N37" s="37" t="s">
        <v>100</v>
      </c>
      <c r="O37" s="37">
        <v>2018</v>
      </c>
      <c r="P37" s="35" t="s">
        <v>102</v>
      </c>
      <c r="Q37" s="35" t="s">
        <v>280</v>
      </c>
    </row>
    <row r="38" spans="1:17" x14ac:dyDescent="0.3">
      <c r="A38" s="4" t="s">
        <v>50</v>
      </c>
      <c r="B38" s="45" t="s">
        <v>212</v>
      </c>
      <c r="C38" s="46">
        <f>IFERROR(VLOOKUP($A38,'Charpentier-Poncelet_2022'!$B:$C,2,FALSE),"")</f>
        <v>0.57576959999999999</v>
      </c>
      <c r="F38" s="47" t="s">
        <v>287</v>
      </c>
      <c r="H38" s="50" t="s">
        <v>101</v>
      </c>
      <c r="L38" s="53" t="s">
        <v>212</v>
      </c>
      <c r="M38" s="36">
        <v>0.57576959999999999</v>
      </c>
      <c r="P38" s="35" t="s">
        <v>287</v>
      </c>
      <c r="Q38" s="35" t="s">
        <v>280</v>
      </c>
    </row>
    <row r="39" spans="1:17" x14ac:dyDescent="0.3">
      <c r="A39" s="4" t="s">
        <v>1</v>
      </c>
      <c r="F39" s="47"/>
      <c r="H39" s="50" t="s">
        <v>101</v>
      </c>
      <c r="M39" s="36">
        <f>Other_sources!B6</f>
        <v>0.64185999999999999</v>
      </c>
      <c r="N39" s="37" t="s">
        <v>248</v>
      </c>
      <c r="O39" s="37">
        <v>2018</v>
      </c>
      <c r="P39" s="35" t="s">
        <v>250</v>
      </c>
      <c r="Q39" s="35" t="s">
        <v>292</v>
      </c>
    </row>
    <row r="40" spans="1:17" x14ac:dyDescent="0.3">
      <c r="A40" s="4" t="s">
        <v>8</v>
      </c>
      <c r="B40" s="45" t="s">
        <v>212</v>
      </c>
      <c r="C40" s="46">
        <f>IFERROR(VLOOKUP($A40,'Charpentier-Poncelet_2022'!$B:$C,2,FALSE),"")</f>
        <v>0.89204545454545459</v>
      </c>
      <c r="D40" s="45" t="s">
        <v>100</v>
      </c>
      <c r="E40" s="45">
        <v>2000</v>
      </c>
      <c r="F40" s="47" t="s">
        <v>287</v>
      </c>
      <c r="H40" s="50" t="s">
        <v>101</v>
      </c>
      <c r="M40" s="42">
        <f>Other_sources!B9</f>
        <v>0.75951000000000002</v>
      </c>
      <c r="N40" s="37" t="s">
        <v>221</v>
      </c>
      <c r="O40" s="37">
        <v>2015</v>
      </c>
      <c r="P40" s="35" t="s">
        <v>255</v>
      </c>
      <c r="Q40" s="35" t="s">
        <v>258</v>
      </c>
    </row>
    <row r="41" spans="1:17" x14ac:dyDescent="0.3">
      <c r="A41" s="1" t="s">
        <v>11</v>
      </c>
      <c r="B41" s="45" t="s">
        <v>212</v>
      </c>
      <c r="C41" s="46">
        <f>IFERROR(VLOOKUP($A41,'Charpentier-Poncelet_2022'!$B:$C,2,FALSE),"")</f>
        <v>0.67917067200000003</v>
      </c>
      <c r="F41" s="47" t="s">
        <v>287</v>
      </c>
      <c r="G41" s="55" t="s">
        <v>99</v>
      </c>
      <c r="H41" s="50">
        <v>0.79679999999999995</v>
      </c>
      <c r="I41" s="51" t="s">
        <v>100</v>
      </c>
      <c r="J41" s="51">
        <v>2018</v>
      </c>
      <c r="K41" s="49" t="s">
        <v>102</v>
      </c>
      <c r="L41" s="53" t="s">
        <v>99</v>
      </c>
      <c r="M41" s="36">
        <v>0.79679999999999995</v>
      </c>
      <c r="N41" s="37" t="s">
        <v>100</v>
      </c>
      <c r="O41" s="37">
        <v>2018</v>
      </c>
      <c r="P41" s="35" t="s">
        <v>102</v>
      </c>
      <c r="Q41" s="35" t="s">
        <v>280</v>
      </c>
    </row>
    <row r="42" spans="1:17" x14ac:dyDescent="0.3">
      <c r="A42" s="56" t="s">
        <v>45</v>
      </c>
      <c r="B42" s="45" t="s">
        <v>212</v>
      </c>
      <c r="C42" s="46">
        <f>IFERROR(VLOOKUP($A42,'Charpentier-Poncelet_2022'!$B:$C,2,FALSE),"")</f>
        <v>0.5954249168234127</v>
      </c>
      <c r="D42" s="45" t="s">
        <v>100</v>
      </c>
      <c r="E42" s="45" t="s">
        <v>281</v>
      </c>
      <c r="F42" s="47" t="s">
        <v>287</v>
      </c>
      <c r="G42" s="55" t="s">
        <v>99</v>
      </c>
      <c r="H42" s="50">
        <f>Other_sources!$B$5</f>
        <v>0.54900000000000004</v>
      </c>
      <c r="I42" s="51" t="s">
        <v>100</v>
      </c>
      <c r="J42" s="51">
        <v>2018</v>
      </c>
      <c r="K42" s="49" t="s">
        <v>245</v>
      </c>
      <c r="L42" s="53" t="s">
        <v>212</v>
      </c>
      <c r="M42" s="36">
        <v>0.5954249168234127</v>
      </c>
      <c r="N42" s="37" t="s">
        <v>100</v>
      </c>
      <c r="O42" s="37" t="s">
        <v>281</v>
      </c>
      <c r="P42" s="35" t="s">
        <v>287</v>
      </c>
      <c r="Q42" s="35" t="s">
        <v>280</v>
      </c>
    </row>
    <row r="43" spans="1:17" x14ac:dyDescent="0.3">
      <c r="A43" s="1" t="s">
        <v>12</v>
      </c>
      <c r="B43" s="45" t="s">
        <v>212</v>
      </c>
      <c r="C43" s="46">
        <f>IFERROR(VLOOKUP($A43,'Charpentier-Poncelet_2022'!$B:$C,2,FALSE),"")</f>
        <v>0.68191896000000007</v>
      </c>
      <c r="F43" s="47" t="s">
        <v>287</v>
      </c>
      <c r="G43" s="55" t="s">
        <v>99</v>
      </c>
      <c r="H43" s="50">
        <v>0.77760000000000007</v>
      </c>
      <c r="I43" s="51" t="s">
        <v>100</v>
      </c>
      <c r="J43" s="51">
        <v>2018</v>
      </c>
      <c r="K43" s="49" t="s">
        <v>102</v>
      </c>
      <c r="L43" s="53" t="s">
        <v>99</v>
      </c>
      <c r="M43" s="36">
        <v>0.77760000000000007</v>
      </c>
      <c r="N43" s="37" t="s">
        <v>100</v>
      </c>
      <c r="O43" s="37">
        <v>2018</v>
      </c>
      <c r="P43" s="35" t="s">
        <v>102</v>
      </c>
      <c r="Q43" s="35" t="s">
        <v>280</v>
      </c>
    </row>
    <row r="44" spans="1:17" x14ac:dyDescent="0.3">
      <c r="A44" s="4" t="s">
        <v>51</v>
      </c>
      <c r="B44" s="45" t="s">
        <v>212</v>
      </c>
      <c r="C44" s="46">
        <f>IFERROR(VLOOKUP($A44,'Charpentier-Poncelet_2022'!$B:$C,2,FALSE),"")</f>
        <v>0.50393700787401574</v>
      </c>
      <c r="D44" s="45" t="s">
        <v>100</v>
      </c>
      <c r="E44" s="45">
        <v>2018</v>
      </c>
      <c r="F44" s="47" t="s">
        <v>287</v>
      </c>
      <c r="H44" s="50" t="s">
        <v>101</v>
      </c>
      <c r="L44" s="53" t="s">
        <v>212</v>
      </c>
      <c r="M44" s="42">
        <v>0.33</v>
      </c>
      <c r="N44" s="37" t="s">
        <v>100</v>
      </c>
      <c r="O44" s="37">
        <v>2018</v>
      </c>
      <c r="P44" s="35" t="s">
        <v>299</v>
      </c>
      <c r="Q44" s="35" t="s">
        <v>280</v>
      </c>
    </row>
    <row r="45" spans="1:17" x14ac:dyDescent="0.3">
      <c r="A45" s="1" t="s">
        <v>14</v>
      </c>
      <c r="B45" s="45" t="s">
        <v>212</v>
      </c>
      <c r="C45" s="46">
        <f>IFERROR(VLOOKUP($A45,'Charpentier-Poncelet_2022'!$B:$C,2,FALSE),"")</f>
        <v>0.61975199999999997</v>
      </c>
      <c r="F45" s="47" t="s">
        <v>287</v>
      </c>
      <c r="G45" s="55" t="s">
        <v>99</v>
      </c>
      <c r="H45" s="50">
        <v>0.77079999999999993</v>
      </c>
      <c r="I45" s="51" t="s">
        <v>100</v>
      </c>
      <c r="J45" s="51">
        <v>2018</v>
      </c>
      <c r="K45" s="49" t="s">
        <v>102</v>
      </c>
      <c r="L45" s="53" t="s">
        <v>99</v>
      </c>
      <c r="M45" s="36">
        <v>0.77079999999999993</v>
      </c>
      <c r="N45" s="37" t="s">
        <v>100</v>
      </c>
      <c r="O45" s="37">
        <v>2018</v>
      </c>
      <c r="P45" s="35" t="s">
        <v>102</v>
      </c>
      <c r="Q45" s="35" t="s">
        <v>280</v>
      </c>
    </row>
    <row r="46" spans="1:17" x14ac:dyDescent="0.3">
      <c r="A46" s="1" t="s">
        <v>15</v>
      </c>
      <c r="B46" s="45" t="s">
        <v>212</v>
      </c>
      <c r="C46" s="46">
        <f>IFERROR(VLOOKUP($A46,'Charpentier-Poncelet_2022'!$B:$C,2,FALSE),"")</f>
        <v>0.62607599999999997</v>
      </c>
      <c r="F46" s="47" t="s">
        <v>287</v>
      </c>
      <c r="G46" s="55" t="s">
        <v>99</v>
      </c>
      <c r="H46" s="50">
        <v>0.76949999999999996</v>
      </c>
      <c r="I46" s="51" t="s">
        <v>100</v>
      </c>
      <c r="J46" s="51">
        <v>2018</v>
      </c>
      <c r="K46" s="49" t="s">
        <v>102</v>
      </c>
      <c r="L46" s="53" t="s">
        <v>99</v>
      </c>
      <c r="M46" s="36">
        <v>0.76949999999999996</v>
      </c>
      <c r="N46" s="37" t="s">
        <v>100</v>
      </c>
      <c r="O46" s="37">
        <v>2018</v>
      </c>
      <c r="P46" s="35" t="s">
        <v>102</v>
      </c>
      <c r="Q46" s="35" t="s">
        <v>280</v>
      </c>
    </row>
    <row r="47" spans="1:17" x14ac:dyDescent="0.3">
      <c r="A47" s="4" t="s">
        <v>10</v>
      </c>
      <c r="B47" s="45" t="s">
        <v>212</v>
      </c>
      <c r="C47" s="46">
        <f>IFERROR(VLOOKUP($A47,'Charpentier-Poncelet_2022'!$B:$C,2,FALSE),"")</f>
        <v>0.83044444444444443</v>
      </c>
      <c r="D47" s="45" t="s">
        <v>100</v>
      </c>
      <c r="E47" s="45" t="s">
        <v>223</v>
      </c>
      <c r="F47" s="47" t="s">
        <v>287</v>
      </c>
      <c r="H47" s="50" t="s">
        <v>101</v>
      </c>
      <c r="L47" s="53" t="s">
        <v>212</v>
      </c>
      <c r="M47" s="36">
        <v>0.83044444444444443</v>
      </c>
      <c r="N47" s="37" t="s">
        <v>100</v>
      </c>
      <c r="O47" s="37" t="s">
        <v>223</v>
      </c>
      <c r="P47" s="35" t="s">
        <v>287</v>
      </c>
      <c r="Q47" s="35" t="s">
        <v>280</v>
      </c>
    </row>
    <row r="48" spans="1:17" x14ac:dyDescent="0.3">
      <c r="A48" s="4" t="s">
        <v>63</v>
      </c>
      <c r="B48" s="45" t="s">
        <v>212</v>
      </c>
      <c r="C48" s="46">
        <f>IFERROR(VLOOKUP($A48,'Charpentier-Poncelet_2022'!$B:$C,2,FALSE),"")</f>
        <v>1.2609976827064825E-3</v>
      </c>
      <c r="D48" s="45" t="s">
        <v>100</v>
      </c>
      <c r="E48" s="45">
        <v>2018</v>
      </c>
      <c r="F48" s="47" t="s">
        <v>287</v>
      </c>
      <c r="H48" s="50" t="s">
        <v>101</v>
      </c>
      <c r="L48" s="53" t="s">
        <v>212</v>
      </c>
      <c r="M48" s="57">
        <v>1.2609976827064825E-3</v>
      </c>
      <c r="N48" s="37" t="s">
        <v>100</v>
      </c>
      <c r="O48" s="37">
        <v>2018</v>
      </c>
      <c r="P48" s="35" t="s">
        <v>287</v>
      </c>
      <c r="Q48" s="35" t="s">
        <v>280</v>
      </c>
    </row>
    <row r="49" spans="1:17" x14ac:dyDescent="0.3">
      <c r="A49" s="4" t="s">
        <v>59</v>
      </c>
      <c r="B49" s="45" t="s">
        <v>212</v>
      </c>
      <c r="C49" s="46">
        <f>IFERROR(VLOOKUP($A49,'Charpentier-Poncelet_2022'!$B:$C,2,FALSE),"")</f>
        <v>4.4998140572703613E-2</v>
      </c>
      <c r="D49" s="45" t="s">
        <v>100</v>
      </c>
      <c r="E49" s="45">
        <v>2010</v>
      </c>
      <c r="F49" s="47" t="s">
        <v>287</v>
      </c>
      <c r="H49" s="50" t="s">
        <v>101</v>
      </c>
      <c r="L49" s="53" t="s">
        <v>212</v>
      </c>
      <c r="M49" s="36">
        <v>4.4998140572703613E-2</v>
      </c>
      <c r="N49" s="37" t="s">
        <v>100</v>
      </c>
      <c r="O49" s="37">
        <v>2010</v>
      </c>
      <c r="P49" s="35" t="s">
        <v>287</v>
      </c>
      <c r="Q49" s="35" t="s">
        <v>280</v>
      </c>
    </row>
    <row r="50" spans="1:17" x14ac:dyDescent="0.3">
      <c r="A50" s="1" t="s">
        <v>16</v>
      </c>
      <c r="B50" s="45" t="s">
        <v>212</v>
      </c>
      <c r="C50" s="46">
        <f>IFERROR(VLOOKUP($A50,'Charpentier-Poncelet_2022'!$B:$C,2,FALSE),"")</f>
        <v>0.8</v>
      </c>
      <c r="D50" s="45" t="s">
        <v>222</v>
      </c>
      <c r="E50" s="45" t="s">
        <v>219</v>
      </c>
      <c r="F50" s="47" t="s">
        <v>287</v>
      </c>
      <c r="G50" s="55" t="s">
        <v>99</v>
      </c>
      <c r="H50" s="50">
        <v>0.76800000000000002</v>
      </c>
      <c r="I50" s="51" t="s">
        <v>100</v>
      </c>
      <c r="J50" s="51">
        <v>2018</v>
      </c>
      <c r="K50" s="49" t="s">
        <v>102</v>
      </c>
      <c r="L50" s="53" t="s">
        <v>99</v>
      </c>
      <c r="M50" s="36">
        <v>0.76800000000000002</v>
      </c>
      <c r="N50" s="37" t="s">
        <v>100</v>
      </c>
      <c r="O50" s="37">
        <v>2018</v>
      </c>
      <c r="P50" s="35" t="s">
        <v>102</v>
      </c>
      <c r="Q50" s="35" t="s">
        <v>280</v>
      </c>
    </row>
    <row r="51" spans="1:17" x14ac:dyDescent="0.3">
      <c r="A51" s="56" t="s">
        <v>40</v>
      </c>
      <c r="B51" s="45" t="s">
        <v>212</v>
      </c>
      <c r="C51" s="46">
        <f>IFERROR(VLOOKUP($A51,'Charpentier-Poncelet_2022'!$B:$C,2,FALSE),"")</f>
        <v>0.62769185869621547</v>
      </c>
      <c r="D51" s="45" t="s">
        <v>100</v>
      </c>
      <c r="E51" s="45" t="s">
        <v>281</v>
      </c>
      <c r="F51" s="47" t="s">
        <v>287</v>
      </c>
      <c r="G51" s="55" t="s">
        <v>99</v>
      </c>
      <c r="H51" s="50">
        <f>Other_sources!$B$5</f>
        <v>0.54900000000000004</v>
      </c>
      <c r="I51" s="51" t="s">
        <v>100</v>
      </c>
      <c r="J51" s="51">
        <v>2018</v>
      </c>
      <c r="K51" s="49" t="s">
        <v>245</v>
      </c>
      <c r="L51" s="53" t="s">
        <v>212</v>
      </c>
      <c r="M51" s="36">
        <v>0.62769185869621547</v>
      </c>
      <c r="N51" s="37" t="s">
        <v>100</v>
      </c>
      <c r="O51" s="37" t="s">
        <v>281</v>
      </c>
      <c r="P51" s="35" t="s">
        <v>287</v>
      </c>
      <c r="Q51" s="35" t="s">
        <v>280</v>
      </c>
    </row>
    <row r="52" spans="1:17" x14ac:dyDescent="0.3">
      <c r="A52" s="1" t="s">
        <v>39</v>
      </c>
      <c r="B52" s="45" t="s">
        <v>212</v>
      </c>
      <c r="C52" s="46">
        <f>IFERROR(VLOOKUP($A52,'Charpentier-Poncelet_2022'!$B:$C,2,FALSE),"")</f>
        <v>0.88235294117647056</v>
      </c>
      <c r="D52" s="45" t="s">
        <v>100</v>
      </c>
      <c r="E52" s="45" t="s">
        <v>213</v>
      </c>
      <c r="F52" s="47" t="s">
        <v>287</v>
      </c>
      <c r="G52" s="55" t="s">
        <v>99</v>
      </c>
      <c r="H52" s="50">
        <v>0.63700000000000001</v>
      </c>
      <c r="I52" s="51" t="s">
        <v>100</v>
      </c>
      <c r="J52" s="51">
        <v>2018</v>
      </c>
      <c r="K52" s="49" t="s">
        <v>102</v>
      </c>
      <c r="L52" s="53" t="s">
        <v>99</v>
      </c>
      <c r="M52" s="36">
        <v>0.63700000000000001</v>
      </c>
      <c r="N52" s="37" t="s">
        <v>100</v>
      </c>
      <c r="O52" s="37">
        <v>2018</v>
      </c>
      <c r="P52" s="35" t="s">
        <v>102</v>
      </c>
      <c r="Q52" s="35" t="s">
        <v>280</v>
      </c>
    </row>
    <row r="53" spans="1:17" x14ac:dyDescent="0.3">
      <c r="A53" s="1" t="s">
        <v>56</v>
      </c>
      <c r="B53" s="45" t="s">
        <v>212</v>
      </c>
      <c r="C53" s="46">
        <f>IFERROR(VLOOKUP($A53,'Charpentier-Poncelet_2022'!$B:$C,2,FALSE),"")</f>
        <v>0.64768683274021355</v>
      </c>
      <c r="D53" s="45" t="s">
        <v>100</v>
      </c>
      <c r="E53" s="45">
        <v>2015</v>
      </c>
      <c r="F53" s="47" t="s">
        <v>287</v>
      </c>
      <c r="G53" s="55" t="s">
        <v>99</v>
      </c>
      <c r="H53" s="50">
        <v>0.14400000000000002</v>
      </c>
      <c r="I53" s="51" t="s">
        <v>100</v>
      </c>
      <c r="J53" s="51">
        <v>2018</v>
      </c>
      <c r="K53" s="49" t="s">
        <v>102</v>
      </c>
      <c r="L53" s="53" t="s">
        <v>99</v>
      </c>
      <c r="M53" s="36">
        <v>0.14400000000000002</v>
      </c>
      <c r="N53" s="37" t="s">
        <v>100</v>
      </c>
      <c r="O53" s="37">
        <v>2018</v>
      </c>
      <c r="P53" s="35" t="s">
        <v>102</v>
      </c>
      <c r="Q53" s="35" t="s">
        <v>280</v>
      </c>
    </row>
    <row r="54" spans="1:17" x14ac:dyDescent="0.3">
      <c r="A54" s="56" t="s">
        <v>37</v>
      </c>
      <c r="B54" s="45" t="s">
        <v>212</v>
      </c>
      <c r="C54" s="46">
        <f>IFERROR(VLOOKUP($A54,'Charpentier-Poncelet_2022'!$B:$C,2,FALSE),"")</f>
        <v>0.646098758222026</v>
      </c>
      <c r="F54" s="47" t="s">
        <v>287</v>
      </c>
      <c r="G54" s="55" t="s">
        <v>99</v>
      </c>
      <c r="H54" s="50">
        <f>Other_sources!$B$5</f>
        <v>0.54900000000000004</v>
      </c>
      <c r="I54" s="51" t="s">
        <v>100</v>
      </c>
      <c r="J54" s="51">
        <v>2018</v>
      </c>
      <c r="K54" s="49" t="s">
        <v>245</v>
      </c>
      <c r="M54" s="40">
        <f>Other_sources!B3</f>
        <v>0.52787326000000012</v>
      </c>
      <c r="N54" s="37" t="s">
        <v>221</v>
      </c>
      <c r="O54" s="37" t="s">
        <v>238</v>
      </c>
      <c r="P54" s="35" t="s">
        <v>241</v>
      </c>
      <c r="Q54" s="35" t="s">
        <v>298</v>
      </c>
    </row>
    <row r="55" spans="1:17" x14ac:dyDescent="0.3">
      <c r="A55" s="1" t="s">
        <v>60</v>
      </c>
      <c r="B55" s="45" t="s">
        <v>212</v>
      </c>
      <c r="C55" s="46">
        <f>IFERROR(VLOOKUP($A55,'Charpentier-Poncelet_2022'!$B:$C,2,FALSE),"")</f>
        <v>4.5004500450044997E-2</v>
      </c>
      <c r="D55" s="45" t="s">
        <v>100</v>
      </c>
      <c r="E55" s="45">
        <v>2010</v>
      </c>
      <c r="F55" s="47" t="s">
        <v>287</v>
      </c>
      <c r="H55" s="50" t="s">
        <v>101</v>
      </c>
      <c r="L55" s="53" t="s">
        <v>218</v>
      </c>
      <c r="M55" s="40">
        <f>Other_sources!B8</f>
        <v>1.2999999999999999E-2</v>
      </c>
      <c r="N55" s="37" t="s">
        <v>100</v>
      </c>
      <c r="O55" s="37">
        <v>2018</v>
      </c>
      <c r="P55" s="35" t="s">
        <v>215</v>
      </c>
      <c r="Q55" s="35" t="s">
        <v>280</v>
      </c>
    </row>
    <row r="56" spans="1:17" x14ac:dyDescent="0.3">
      <c r="A56" s="1" t="s">
        <v>54</v>
      </c>
      <c r="B56" s="45" t="s">
        <v>212</v>
      </c>
      <c r="C56" s="46">
        <f>IFERROR(VLOOKUP($A56,'Charpentier-Poncelet_2022'!$B:$C,2,FALSE),"")</f>
        <v>0.85499999999999998</v>
      </c>
      <c r="D56" s="45" t="s">
        <v>100</v>
      </c>
      <c r="E56" s="45">
        <v>2008</v>
      </c>
      <c r="F56" s="47" t="s">
        <v>287</v>
      </c>
      <c r="G56" s="55" t="s">
        <v>99</v>
      </c>
      <c r="H56" s="50">
        <v>0.48600000000000004</v>
      </c>
      <c r="I56" s="51" t="s">
        <v>100</v>
      </c>
      <c r="J56" s="51">
        <v>2018</v>
      </c>
      <c r="K56" s="49" t="s">
        <v>102</v>
      </c>
      <c r="L56" s="53" t="s">
        <v>99</v>
      </c>
      <c r="M56" s="36">
        <v>0.48600000000000004</v>
      </c>
      <c r="N56" s="37" t="s">
        <v>100</v>
      </c>
      <c r="O56" s="37">
        <v>2018</v>
      </c>
      <c r="P56" s="35" t="s">
        <v>102</v>
      </c>
      <c r="Q56" s="35" t="s">
        <v>280</v>
      </c>
    </row>
    <row r="57" spans="1:17" x14ac:dyDescent="0.3">
      <c r="A57" s="56" t="s">
        <v>28</v>
      </c>
      <c r="B57" s="45" t="s">
        <v>212</v>
      </c>
      <c r="C57" s="46">
        <f>IFERROR(VLOOKUP($A57,'Charpentier-Poncelet_2022'!$B:$C,2,FALSE),"")</f>
        <v>0.66776874123611263</v>
      </c>
      <c r="D57" s="45" t="s">
        <v>100</v>
      </c>
      <c r="E57" s="45" t="s">
        <v>281</v>
      </c>
      <c r="F57" s="47" t="s">
        <v>287</v>
      </c>
      <c r="G57" s="55" t="s">
        <v>99</v>
      </c>
      <c r="H57" s="50">
        <f>Other_sources!$B$5</f>
        <v>0.54900000000000004</v>
      </c>
      <c r="I57" s="51" t="s">
        <v>100</v>
      </c>
      <c r="J57" s="51">
        <v>2018</v>
      </c>
      <c r="K57" s="49" t="s">
        <v>245</v>
      </c>
      <c r="L57" s="53" t="s">
        <v>212</v>
      </c>
      <c r="M57" s="36">
        <v>0.66776874123611263</v>
      </c>
      <c r="N57" s="37" t="s">
        <v>100</v>
      </c>
      <c r="O57" s="37" t="s">
        <v>281</v>
      </c>
      <c r="P57" s="35" t="s">
        <v>287</v>
      </c>
      <c r="Q57" s="35" t="s">
        <v>280</v>
      </c>
    </row>
    <row r="58" spans="1:17" x14ac:dyDescent="0.3">
      <c r="A58" s="4" t="s">
        <v>2</v>
      </c>
      <c r="F58" s="47"/>
      <c r="H58" s="50" t="s">
        <v>101</v>
      </c>
      <c r="M58" s="43">
        <f>Other_sources!B7</f>
        <v>0.95</v>
      </c>
      <c r="N58" s="37" t="s">
        <v>100</v>
      </c>
      <c r="P58" s="35" t="s">
        <v>251</v>
      </c>
      <c r="Q58" s="35" t="s">
        <v>280</v>
      </c>
    </row>
    <row r="59" spans="1:17" x14ac:dyDescent="0.3">
      <c r="A59" s="1" t="s">
        <v>55</v>
      </c>
      <c r="B59" s="45" t="s">
        <v>212</v>
      </c>
      <c r="C59" s="46">
        <f>IFERROR(VLOOKUP($A59,'Charpentier-Poncelet_2022'!$B:$C,2,FALSE),"")</f>
        <v>0.32871262663701512</v>
      </c>
      <c r="D59" s="45" t="s">
        <v>100</v>
      </c>
      <c r="E59" s="45" t="s">
        <v>220</v>
      </c>
      <c r="F59" s="47" t="s">
        <v>287</v>
      </c>
      <c r="G59" s="55" t="s">
        <v>99</v>
      </c>
      <c r="H59" s="50">
        <v>0.41340000000000005</v>
      </c>
      <c r="I59" s="51" t="s">
        <v>100</v>
      </c>
      <c r="J59" s="51">
        <v>2018</v>
      </c>
      <c r="K59" s="49" t="s">
        <v>102</v>
      </c>
      <c r="L59" s="53" t="s">
        <v>99</v>
      </c>
      <c r="M59" s="36">
        <v>0.41340000000000005</v>
      </c>
      <c r="N59" s="37" t="s">
        <v>100</v>
      </c>
      <c r="O59" s="37">
        <v>2018</v>
      </c>
      <c r="P59" s="35" t="s">
        <v>102</v>
      </c>
      <c r="Q59" s="35" t="s">
        <v>280</v>
      </c>
    </row>
    <row r="60" spans="1:17" x14ac:dyDescent="0.3">
      <c r="A60" s="1" t="s">
        <v>35</v>
      </c>
      <c r="B60" s="45" t="s">
        <v>212</v>
      </c>
      <c r="C60" s="46">
        <f>IFERROR(VLOOKUP($A60,'Charpentier-Poncelet_2022'!$B:$C,2,FALSE),"")</f>
        <v>0.88571428571428568</v>
      </c>
      <c r="D60" s="45" t="s">
        <v>100</v>
      </c>
      <c r="E60" s="45">
        <v>2008</v>
      </c>
      <c r="F60" s="47" t="s">
        <v>287</v>
      </c>
      <c r="G60" s="55" t="s">
        <v>99</v>
      </c>
      <c r="H60" s="50">
        <v>0.65700000000000003</v>
      </c>
      <c r="I60" s="51" t="s">
        <v>100</v>
      </c>
      <c r="J60" s="51">
        <v>2018</v>
      </c>
      <c r="K60" s="49" t="s">
        <v>102</v>
      </c>
      <c r="L60" s="53" t="s">
        <v>99</v>
      </c>
      <c r="M60" s="36">
        <v>0.65700000000000003</v>
      </c>
      <c r="N60" s="37" t="s">
        <v>100</v>
      </c>
      <c r="O60" s="37">
        <v>2018</v>
      </c>
      <c r="P60" s="35" t="s">
        <v>102</v>
      </c>
      <c r="Q60" s="35" t="s">
        <v>280</v>
      </c>
    </row>
    <row r="61" spans="1:17" x14ac:dyDescent="0.3">
      <c r="A61" s="4" t="s">
        <v>33</v>
      </c>
      <c r="B61" s="45" t="s">
        <v>212</v>
      </c>
      <c r="C61" s="46">
        <f>IFERROR(VLOOKUP($A61,'Charpentier-Poncelet_2022'!$B:$C,2,FALSE),"")</f>
        <v>0.66407609108685794</v>
      </c>
      <c r="D61" s="45" t="s">
        <v>100</v>
      </c>
      <c r="E61" s="45" t="s">
        <v>281</v>
      </c>
      <c r="F61" s="47" t="s">
        <v>287</v>
      </c>
      <c r="G61" s="55" t="s">
        <v>99</v>
      </c>
      <c r="H61" s="50">
        <f>Other_sources!$B$5</f>
        <v>0.54900000000000004</v>
      </c>
      <c r="I61" s="51" t="s">
        <v>100</v>
      </c>
      <c r="J61" s="51">
        <v>2018</v>
      </c>
      <c r="K61" s="49" t="s">
        <v>245</v>
      </c>
      <c r="L61" s="53" t="s">
        <v>212</v>
      </c>
      <c r="M61" s="36">
        <v>0.66407609108685794</v>
      </c>
      <c r="N61" s="37" t="s">
        <v>100</v>
      </c>
      <c r="O61" s="37" t="s">
        <v>281</v>
      </c>
      <c r="P61" s="35" t="s">
        <v>287</v>
      </c>
      <c r="Q61" s="35" t="s">
        <v>280</v>
      </c>
    </row>
    <row r="62" spans="1:17" x14ac:dyDescent="0.3">
      <c r="A62" s="56" t="s">
        <v>32</v>
      </c>
      <c r="B62" s="45" t="s">
        <v>212</v>
      </c>
      <c r="C62" s="46">
        <f>IFERROR(VLOOKUP($A62,'Charpentier-Poncelet_2022'!$B:$C,2,FALSE),"")</f>
        <v>0.66627271297591706</v>
      </c>
      <c r="D62" s="45" t="s">
        <v>100</v>
      </c>
      <c r="E62" s="45" t="s">
        <v>281</v>
      </c>
      <c r="F62" s="47" t="s">
        <v>287</v>
      </c>
      <c r="G62" s="55" t="s">
        <v>99</v>
      </c>
      <c r="H62" s="50">
        <f>Other_sources!$B$5</f>
        <v>0.54900000000000004</v>
      </c>
      <c r="I62" s="51" t="s">
        <v>100</v>
      </c>
      <c r="J62" s="51">
        <v>2018</v>
      </c>
      <c r="K62" s="49" t="s">
        <v>245</v>
      </c>
      <c r="L62" s="53" t="s">
        <v>212</v>
      </c>
      <c r="M62" s="36">
        <v>0.66627271297591706</v>
      </c>
      <c r="N62" s="37" t="s">
        <v>100</v>
      </c>
      <c r="O62" s="37" t="s">
        <v>281</v>
      </c>
      <c r="P62" s="35" t="s">
        <v>287</v>
      </c>
      <c r="Q62" s="35" t="s">
        <v>280</v>
      </c>
    </row>
    <row r="63" spans="1:17" x14ac:dyDescent="0.3">
      <c r="A63" s="1" t="s">
        <v>21</v>
      </c>
      <c r="B63" s="45" t="s">
        <v>212</v>
      </c>
      <c r="C63" s="46">
        <f>IFERROR(VLOOKUP($A63,'Charpentier-Poncelet_2022'!$B:$C,2,FALSE),"")</f>
        <v>0.83780160857908847</v>
      </c>
      <c r="D63" s="45" t="s">
        <v>100</v>
      </c>
      <c r="E63" s="45">
        <v>2010</v>
      </c>
      <c r="F63" s="47" t="s">
        <v>287</v>
      </c>
      <c r="G63" s="55" t="s">
        <v>99</v>
      </c>
      <c r="H63" s="50">
        <v>0.747</v>
      </c>
      <c r="I63" s="51" t="s">
        <v>100</v>
      </c>
      <c r="J63" s="51">
        <v>2018</v>
      </c>
      <c r="K63" s="49" t="s">
        <v>102</v>
      </c>
      <c r="L63" s="53" t="s">
        <v>99</v>
      </c>
      <c r="M63" s="36">
        <v>0.747</v>
      </c>
      <c r="N63" s="37" t="s">
        <v>100</v>
      </c>
      <c r="O63" s="37">
        <v>2018</v>
      </c>
      <c r="P63" s="35" t="s">
        <v>102</v>
      </c>
      <c r="Q63" s="35" t="s">
        <v>280</v>
      </c>
    </row>
    <row r="64" spans="1:17" x14ac:dyDescent="0.3">
      <c r="A64" s="1" t="s">
        <v>22</v>
      </c>
      <c r="B64" s="45" t="s">
        <v>212</v>
      </c>
      <c r="C64" s="46">
        <f>IFERROR(VLOOKUP($A64,'Charpentier-Poncelet_2022'!$B:$C,2,FALSE),"")</f>
        <v>0.85499999999999998</v>
      </c>
      <c r="D64" s="45" t="s">
        <v>222</v>
      </c>
      <c r="E64" s="45" t="s">
        <v>219</v>
      </c>
      <c r="F64" s="47" t="s">
        <v>287</v>
      </c>
      <c r="G64" s="55" t="s">
        <v>99</v>
      </c>
      <c r="H64" s="50">
        <v>0.73799999999999999</v>
      </c>
      <c r="I64" s="51" t="s">
        <v>100</v>
      </c>
      <c r="J64" s="51">
        <v>2018</v>
      </c>
      <c r="K64" s="49" t="s">
        <v>102</v>
      </c>
      <c r="L64" s="53" t="s">
        <v>99</v>
      </c>
      <c r="M64" s="36">
        <v>0.73799999999999999</v>
      </c>
      <c r="N64" s="37" t="s">
        <v>100</v>
      </c>
      <c r="O64" s="37">
        <v>2018</v>
      </c>
      <c r="P64" s="35" t="s">
        <v>102</v>
      </c>
      <c r="Q64" s="35" t="s">
        <v>280</v>
      </c>
    </row>
  </sheetData>
  <autoFilter ref="A1:X64" xr:uid="{7ED6F094-3754-435F-83D5-87C0FAE3DDC2}">
    <sortState xmlns:xlrd2="http://schemas.microsoft.com/office/spreadsheetml/2017/richdata2" ref="A2:X64">
      <sortCondition ref="A1:A64"/>
    </sortState>
  </autoFilter>
  <phoneticPr fontId="3" type="noConversion"/>
  <conditionalFormatting sqref="A29:A43">
    <cfRule type="duplicateValues" dxfId="2" priority="1"/>
    <cfRule type="duplicateValues" dxfId="1" priority="2"/>
    <cfRule type="duplicateValues" dxfId="0" priority="3"/>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080FE-07EB-4AB1-AD8D-469DBE465366}">
  <dimension ref="A1:F62"/>
  <sheetViews>
    <sheetView workbookViewId="0">
      <selection activeCell="C24" sqref="C24"/>
    </sheetView>
  </sheetViews>
  <sheetFormatPr defaultColWidth="11.5546875" defaultRowHeight="14.4" x14ac:dyDescent="0.3"/>
  <sheetData>
    <row r="1" spans="1:6" x14ac:dyDescent="0.3">
      <c r="A1" s="10" t="s">
        <v>103</v>
      </c>
      <c r="B1" s="10" t="s">
        <v>0</v>
      </c>
      <c r="C1" s="10" t="s">
        <v>104</v>
      </c>
      <c r="D1" s="11" t="s">
        <v>105</v>
      </c>
      <c r="E1" s="26" t="s">
        <v>234</v>
      </c>
      <c r="F1" s="26" t="s">
        <v>235</v>
      </c>
    </row>
    <row r="2" spans="1:6" x14ac:dyDescent="0.3">
      <c r="A2" s="12" t="s">
        <v>106</v>
      </c>
      <c r="B2" s="18" t="s">
        <v>47</v>
      </c>
      <c r="C2" s="13">
        <v>0.69917047091553863</v>
      </c>
      <c r="D2" s="14" t="s">
        <v>107</v>
      </c>
    </row>
    <row r="3" spans="1:6" x14ac:dyDescent="0.3">
      <c r="A3" s="12" t="s">
        <v>108</v>
      </c>
      <c r="B3" s="18" t="s">
        <v>207</v>
      </c>
      <c r="C3" s="13">
        <v>0.87</v>
      </c>
      <c r="D3" s="15" t="s">
        <v>109</v>
      </c>
    </row>
    <row r="4" spans="1:6" x14ac:dyDescent="0.3">
      <c r="A4" s="12" t="s">
        <v>110</v>
      </c>
      <c r="B4" s="18" t="s">
        <v>13</v>
      </c>
      <c r="C4" s="13">
        <v>0.77600000000000002</v>
      </c>
      <c r="D4" s="14" t="s">
        <v>111</v>
      </c>
    </row>
    <row r="5" spans="1:6" x14ac:dyDescent="0.3">
      <c r="A5" s="12" t="s">
        <v>112</v>
      </c>
      <c r="B5" s="18" t="s">
        <v>9</v>
      </c>
      <c r="C5" s="13">
        <v>0.67925000000000002</v>
      </c>
      <c r="D5" s="14" t="s">
        <v>113</v>
      </c>
    </row>
    <row r="6" spans="1:6" x14ac:dyDescent="0.3">
      <c r="A6" s="16" t="s">
        <v>114</v>
      </c>
      <c r="B6" s="18" t="s">
        <v>4</v>
      </c>
      <c r="C6" s="13">
        <v>0.87929656274979995</v>
      </c>
      <c r="D6" s="15" t="s">
        <v>115</v>
      </c>
    </row>
    <row r="7" spans="1:6" x14ac:dyDescent="0.3">
      <c r="A7" s="12" t="s">
        <v>116</v>
      </c>
      <c r="B7" s="18" t="s">
        <v>16</v>
      </c>
      <c r="C7" s="13">
        <v>0.8</v>
      </c>
      <c r="D7" s="14" t="s">
        <v>117</v>
      </c>
    </row>
    <row r="8" spans="1:6" x14ac:dyDescent="0.3">
      <c r="A8" s="12" t="s">
        <v>118</v>
      </c>
      <c r="B8" s="18" t="s">
        <v>63</v>
      </c>
      <c r="C8" s="17">
        <v>1.2609976827064825E-3</v>
      </c>
      <c r="D8" s="18" t="s">
        <v>119</v>
      </c>
    </row>
    <row r="9" spans="1:6" x14ac:dyDescent="0.3">
      <c r="A9" s="12" t="s">
        <v>120</v>
      </c>
      <c r="B9" s="18" t="s">
        <v>54</v>
      </c>
      <c r="C9" s="19">
        <v>0.85499999999999998</v>
      </c>
      <c r="D9" s="14" t="s">
        <v>121</v>
      </c>
    </row>
    <row r="10" spans="1:6" x14ac:dyDescent="0.3">
      <c r="A10" s="12" t="s">
        <v>122</v>
      </c>
      <c r="B10" s="18" t="s">
        <v>55</v>
      </c>
      <c r="C10" s="13">
        <v>0.32871262663701512</v>
      </c>
      <c r="D10" s="14" t="s">
        <v>123</v>
      </c>
    </row>
    <row r="11" spans="1:6" x14ac:dyDescent="0.3">
      <c r="A11" s="12" t="s">
        <v>124</v>
      </c>
      <c r="B11" s="18" t="s">
        <v>46</v>
      </c>
      <c r="C11" s="13">
        <v>0.75144508670520227</v>
      </c>
      <c r="D11" s="15" t="s">
        <v>125</v>
      </c>
    </row>
    <row r="12" spans="1:6" x14ac:dyDescent="0.3">
      <c r="A12" s="12" t="s">
        <v>126</v>
      </c>
      <c r="B12" s="18" t="s">
        <v>26</v>
      </c>
      <c r="C12" s="13">
        <v>0.7</v>
      </c>
      <c r="D12" s="14" t="s">
        <v>127</v>
      </c>
    </row>
    <row r="13" spans="1:6" x14ac:dyDescent="0.3">
      <c r="A13" s="12" t="s">
        <v>128</v>
      </c>
      <c r="B13" s="18" t="s">
        <v>25</v>
      </c>
      <c r="C13" s="13">
        <v>0.87408949011446413</v>
      </c>
      <c r="D13" s="15" t="s">
        <v>129</v>
      </c>
    </row>
    <row r="14" spans="1:6" x14ac:dyDescent="0.3">
      <c r="A14" s="12" t="s">
        <v>130</v>
      </c>
      <c r="B14" s="18" t="s">
        <v>53</v>
      </c>
      <c r="C14" s="13">
        <v>0.43934656568697839</v>
      </c>
      <c r="D14" s="15" t="s">
        <v>131</v>
      </c>
    </row>
    <row r="15" spans="1:6" x14ac:dyDescent="0.3">
      <c r="A15" s="12" t="s">
        <v>132</v>
      </c>
      <c r="B15" s="18" t="s">
        <v>23</v>
      </c>
      <c r="C15" s="13">
        <v>0.78755499685732244</v>
      </c>
      <c r="D15" s="15" t="s">
        <v>133</v>
      </c>
    </row>
    <row r="16" spans="1:6" x14ac:dyDescent="0.3">
      <c r="A16" s="12" t="s">
        <v>134</v>
      </c>
      <c r="B16" s="18" t="s">
        <v>27</v>
      </c>
      <c r="C16" s="13">
        <v>0.8347457627118644</v>
      </c>
      <c r="D16" s="15" t="s">
        <v>135</v>
      </c>
    </row>
    <row r="17" spans="1:6" x14ac:dyDescent="0.3">
      <c r="A17" s="12" t="s">
        <v>136</v>
      </c>
      <c r="B17" s="18" t="s">
        <v>21</v>
      </c>
      <c r="C17" s="13">
        <v>0.83780160857908847</v>
      </c>
      <c r="D17" s="15" t="s">
        <v>137</v>
      </c>
    </row>
    <row r="18" spans="1:6" x14ac:dyDescent="0.3">
      <c r="A18" s="12" t="s">
        <v>138</v>
      </c>
      <c r="B18" s="18" t="s">
        <v>44</v>
      </c>
      <c r="C18" s="13">
        <v>1.796919566457502E-2</v>
      </c>
      <c r="D18" s="15" t="s">
        <v>139</v>
      </c>
    </row>
    <row r="19" spans="1:6" x14ac:dyDescent="0.3">
      <c r="A19" s="12" t="s">
        <v>140</v>
      </c>
      <c r="B19" s="18" t="s">
        <v>61</v>
      </c>
      <c r="C19" s="13">
        <v>6.5774804905239679E-3</v>
      </c>
      <c r="D19" s="15" t="s">
        <v>141</v>
      </c>
    </row>
    <row r="20" spans="1:6" x14ac:dyDescent="0.3">
      <c r="A20" s="12" t="s">
        <v>142</v>
      </c>
      <c r="B20" s="18" t="s">
        <v>58</v>
      </c>
      <c r="C20" s="13">
        <v>8.4343116045257224E-2</v>
      </c>
      <c r="D20" s="14" t="s">
        <v>143</v>
      </c>
    </row>
    <row r="21" spans="1:6" x14ac:dyDescent="0.3">
      <c r="A21" s="12" t="s">
        <v>144</v>
      </c>
      <c r="B21" s="18" t="s">
        <v>59</v>
      </c>
      <c r="C21" s="13">
        <v>4.4998140572703613E-2</v>
      </c>
      <c r="D21" s="15" t="s">
        <v>145</v>
      </c>
    </row>
    <row r="22" spans="1:6" x14ac:dyDescent="0.3">
      <c r="A22" s="12" t="s">
        <v>146</v>
      </c>
      <c r="B22" s="18" t="s">
        <v>208</v>
      </c>
      <c r="C22" s="13">
        <v>0.8</v>
      </c>
      <c r="D22" s="14" t="s">
        <v>147</v>
      </c>
    </row>
    <row r="23" spans="1:6" x14ac:dyDescent="0.3">
      <c r="A23" s="12" t="s">
        <v>148</v>
      </c>
      <c r="B23" s="18" t="s">
        <v>33</v>
      </c>
      <c r="C23" s="13">
        <v>0.66407609108685794</v>
      </c>
      <c r="D23" s="14" t="s">
        <v>149</v>
      </c>
    </row>
    <row r="24" spans="1:6" x14ac:dyDescent="0.3">
      <c r="A24" s="12" t="s">
        <v>150</v>
      </c>
      <c r="B24" s="30" t="s">
        <v>22</v>
      </c>
      <c r="C24" s="27">
        <v>0.85499999999999998</v>
      </c>
      <c r="D24" s="14" t="s">
        <v>151</v>
      </c>
      <c r="E24" s="22">
        <v>0.95</v>
      </c>
      <c r="F24" s="22">
        <v>0.9</v>
      </c>
    </row>
    <row r="25" spans="1:6" x14ac:dyDescent="0.3">
      <c r="A25" s="12" t="s">
        <v>152</v>
      </c>
      <c r="B25" s="18" t="s">
        <v>24</v>
      </c>
      <c r="C25" s="13">
        <v>0.71</v>
      </c>
      <c r="D25" s="14" t="s">
        <v>153</v>
      </c>
    </row>
    <row r="26" spans="1:6" x14ac:dyDescent="0.3">
      <c r="A26" s="12" t="s">
        <v>154</v>
      </c>
      <c r="B26" s="18" t="s">
        <v>48</v>
      </c>
      <c r="C26" s="19">
        <v>0.6</v>
      </c>
      <c r="D26" s="14" t="s">
        <v>155</v>
      </c>
    </row>
    <row r="27" spans="1:6" x14ac:dyDescent="0.3">
      <c r="A27" s="12" t="s">
        <v>156</v>
      </c>
      <c r="B27" s="18" t="s">
        <v>15</v>
      </c>
      <c r="C27" s="13">
        <v>0.62607599999999997</v>
      </c>
      <c r="D27" s="14" t="s">
        <v>157</v>
      </c>
    </row>
    <row r="28" spans="1:6" x14ac:dyDescent="0.3">
      <c r="A28" s="12" t="s">
        <v>158</v>
      </c>
      <c r="B28" s="18" t="s">
        <v>14</v>
      </c>
      <c r="C28" s="13">
        <v>0.61975199999999997</v>
      </c>
      <c r="D28" s="14" t="s">
        <v>157</v>
      </c>
    </row>
    <row r="29" spans="1:6" x14ac:dyDescent="0.3">
      <c r="A29" s="12" t="s">
        <v>159</v>
      </c>
      <c r="B29" s="18" t="s">
        <v>11</v>
      </c>
      <c r="C29" s="13">
        <v>0.67917067200000003</v>
      </c>
      <c r="D29" s="14" t="s">
        <v>157</v>
      </c>
    </row>
    <row r="30" spans="1:6" x14ac:dyDescent="0.3">
      <c r="A30" s="12" t="s">
        <v>160</v>
      </c>
      <c r="B30" s="18" t="s">
        <v>36</v>
      </c>
      <c r="C30" s="13">
        <v>0.8425655976676385</v>
      </c>
      <c r="D30" s="15" t="s">
        <v>161</v>
      </c>
    </row>
    <row r="31" spans="1:6" x14ac:dyDescent="0.3">
      <c r="A31" s="12" t="s">
        <v>162</v>
      </c>
      <c r="B31" s="18" t="s">
        <v>17</v>
      </c>
      <c r="C31" s="13">
        <v>0.76275975333501123</v>
      </c>
      <c r="D31" s="14" t="s">
        <v>163</v>
      </c>
    </row>
    <row r="32" spans="1:6" x14ac:dyDescent="0.3">
      <c r="A32" s="12" t="s">
        <v>164</v>
      </c>
      <c r="B32" s="18" t="s">
        <v>57</v>
      </c>
      <c r="C32" s="13">
        <v>0.3</v>
      </c>
      <c r="D32" s="18" t="s">
        <v>165</v>
      </c>
    </row>
    <row r="33" spans="1:4" x14ac:dyDescent="0.3">
      <c r="A33" s="12" t="s">
        <v>166</v>
      </c>
      <c r="B33" s="18" t="s">
        <v>39</v>
      </c>
      <c r="C33" s="13">
        <v>0.88235294117647056</v>
      </c>
      <c r="D33" s="15" t="s">
        <v>167</v>
      </c>
    </row>
    <row r="34" spans="1:4" x14ac:dyDescent="0.3">
      <c r="A34" s="12" t="s">
        <v>168</v>
      </c>
      <c r="B34" s="18" t="s">
        <v>10</v>
      </c>
      <c r="C34" s="13">
        <v>0.83044444444444443</v>
      </c>
      <c r="D34" s="14" t="s">
        <v>169</v>
      </c>
    </row>
    <row r="35" spans="1:4" x14ac:dyDescent="0.3">
      <c r="A35" s="12" t="s">
        <v>170</v>
      </c>
      <c r="B35" s="18" t="s">
        <v>60</v>
      </c>
      <c r="C35" s="13">
        <v>4.5004500450044997E-2</v>
      </c>
      <c r="D35" s="15" t="s">
        <v>171</v>
      </c>
    </row>
    <row r="36" spans="1:4" x14ac:dyDescent="0.3">
      <c r="A36" s="12" t="s">
        <v>172</v>
      </c>
      <c r="B36" s="18" t="s">
        <v>209</v>
      </c>
      <c r="C36" s="13">
        <v>0.8</v>
      </c>
      <c r="D36" s="14" t="s">
        <v>173</v>
      </c>
    </row>
    <row r="37" spans="1:4" x14ac:dyDescent="0.3">
      <c r="A37" s="12" t="s">
        <v>174</v>
      </c>
      <c r="B37" s="18" t="s">
        <v>42</v>
      </c>
      <c r="C37" s="13">
        <v>0.60009236780630426</v>
      </c>
      <c r="D37" s="14" t="s">
        <v>149</v>
      </c>
    </row>
    <row r="38" spans="1:4" x14ac:dyDescent="0.3">
      <c r="A38" s="12" t="s">
        <v>175</v>
      </c>
      <c r="B38" s="18" t="s">
        <v>49</v>
      </c>
      <c r="C38" s="13">
        <v>0.58151300579436283</v>
      </c>
      <c r="D38" s="14" t="s">
        <v>149</v>
      </c>
    </row>
    <row r="39" spans="1:4" x14ac:dyDescent="0.3">
      <c r="A39" s="12" t="s">
        <v>176</v>
      </c>
      <c r="B39" s="18" t="s">
        <v>45</v>
      </c>
      <c r="C39" s="13">
        <v>0.5954249168234127</v>
      </c>
      <c r="D39" s="14" t="s">
        <v>149</v>
      </c>
    </row>
    <row r="40" spans="1:4" x14ac:dyDescent="0.3">
      <c r="A40" s="12" t="s">
        <v>177</v>
      </c>
      <c r="B40" s="18" t="s">
        <v>43</v>
      </c>
      <c r="C40" s="13">
        <v>0.59854391398996776</v>
      </c>
      <c r="D40" s="14" t="s">
        <v>149</v>
      </c>
    </row>
    <row r="41" spans="1:4" x14ac:dyDescent="0.3">
      <c r="A41" s="12" t="s">
        <v>178</v>
      </c>
      <c r="B41" s="18" t="s">
        <v>40</v>
      </c>
      <c r="C41" s="13">
        <v>0.62769185869621547</v>
      </c>
      <c r="D41" s="14" t="s">
        <v>149</v>
      </c>
    </row>
    <row r="42" spans="1:4" x14ac:dyDescent="0.3">
      <c r="A42" s="12" t="s">
        <v>179</v>
      </c>
      <c r="B42" s="18" t="s">
        <v>41</v>
      </c>
      <c r="C42" s="13">
        <v>0.61816718448448926</v>
      </c>
      <c r="D42" s="14" t="s">
        <v>149</v>
      </c>
    </row>
    <row r="43" spans="1:4" x14ac:dyDescent="0.3">
      <c r="A43" s="12" t="s">
        <v>180</v>
      </c>
      <c r="B43" s="18" t="s">
        <v>38</v>
      </c>
      <c r="C43" s="13">
        <v>0.63985820553182704</v>
      </c>
      <c r="D43" s="14" t="s">
        <v>149</v>
      </c>
    </row>
    <row r="44" spans="1:4" x14ac:dyDescent="0.3">
      <c r="A44" s="12" t="s">
        <v>181</v>
      </c>
      <c r="B44" s="18" t="s">
        <v>37</v>
      </c>
      <c r="C44" s="13">
        <v>0.646098758222026</v>
      </c>
      <c r="D44" s="14" t="s">
        <v>149</v>
      </c>
    </row>
    <row r="45" spans="1:4" x14ac:dyDescent="0.3">
      <c r="A45" s="12" t="s">
        <v>182</v>
      </c>
      <c r="B45" s="18" t="s">
        <v>34</v>
      </c>
      <c r="C45" s="13">
        <v>0.6621811901957797</v>
      </c>
      <c r="D45" s="14" t="s">
        <v>149</v>
      </c>
    </row>
    <row r="46" spans="1:4" x14ac:dyDescent="0.3">
      <c r="A46" s="12" t="s">
        <v>183</v>
      </c>
      <c r="B46" s="18" t="s">
        <v>30</v>
      </c>
      <c r="C46" s="13">
        <v>0.66738632907361728</v>
      </c>
      <c r="D46" s="14" t="s">
        <v>149</v>
      </c>
    </row>
    <row r="47" spans="1:4" x14ac:dyDescent="0.3">
      <c r="A47" s="12" t="s">
        <v>184</v>
      </c>
      <c r="B47" s="18" t="s">
        <v>29</v>
      </c>
      <c r="C47" s="13">
        <v>0.66749104784218516</v>
      </c>
      <c r="D47" s="14" t="s">
        <v>149</v>
      </c>
    </row>
    <row r="48" spans="1:4" x14ac:dyDescent="0.3">
      <c r="A48" s="12" t="s">
        <v>185</v>
      </c>
      <c r="B48" s="18" t="s">
        <v>28</v>
      </c>
      <c r="C48" s="13">
        <v>0.66776874123611263</v>
      </c>
      <c r="D48" s="14" t="s">
        <v>149</v>
      </c>
    </row>
    <row r="49" spans="1:4" x14ac:dyDescent="0.3">
      <c r="A49" s="12" t="s">
        <v>186</v>
      </c>
      <c r="B49" s="18" t="s">
        <v>32</v>
      </c>
      <c r="C49" s="13">
        <v>0.66627271297591706</v>
      </c>
      <c r="D49" s="14" t="s">
        <v>149</v>
      </c>
    </row>
    <row r="50" spans="1:4" x14ac:dyDescent="0.3">
      <c r="A50" s="12" t="s">
        <v>187</v>
      </c>
      <c r="B50" s="18" t="s">
        <v>31</v>
      </c>
      <c r="C50" s="13">
        <v>0.66629720892829547</v>
      </c>
      <c r="D50" s="14" t="s">
        <v>149</v>
      </c>
    </row>
    <row r="51" spans="1:4" x14ac:dyDescent="0.3">
      <c r="A51" s="12" t="s">
        <v>188</v>
      </c>
      <c r="B51" s="18" t="s">
        <v>62</v>
      </c>
      <c r="C51" s="20">
        <v>2.717391304347826E-3</v>
      </c>
      <c r="D51" s="15" t="s">
        <v>189</v>
      </c>
    </row>
    <row r="52" spans="1:4" x14ac:dyDescent="0.3">
      <c r="A52" s="12" t="s">
        <v>190</v>
      </c>
      <c r="B52" s="18" t="s">
        <v>56</v>
      </c>
      <c r="C52" s="13">
        <v>0.64768683274021355</v>
      </c>
      <c r="D52" s="15" t="s">
        <v>191</v>
      </c>
    </row>
    <row r="53" spans="1:4" x14ac:dyDescent="0.3">
      <c r="A53" s="12" t="s">
        <v>192</v>
      </c>
      <c r="B53" s="18" t="s">
        <v>35</v>
      </c>
      <c r="C53" s="13">
        <v>0.88571428571428568</v>
      </c>
      <c r="D53" s="15" t="s">
        <v>193</v>
      </c>
    </row>
    <row r="54" spans="1:4" x14ac:dyDescent="0.3">
      <c r="A54" s="12" t="s">
        <v>194</v>
      </c>
      <c r="B54" s="18" t="s">
        <v>51</v>
      </c>
      <c r="C54" s="13">
        <v>0.50393700787401574</v>
      </c>
      <c r="D54" s="15" t="s">
        <v>193</v>
      </c>
    </row>
    <row r="55" spans="1:4" x14ac:dyDescent="0.3">
      <c r="A55" s="12" t="s">
        <v>195</v>
      </c>
      <c r="B55" s="18" t="s">
        <v>50</v>
      </c>
      <c r="C55" s="13">
        <v>0.57576959999999999</v>
      </c>
      <c r="D55" s="14" t="s">
        <v>157</v>
      </c>
    </row>
    <row r="56" spans="1:4" x14ac:dyDescent="0.3">
      <c r="A56" s="12" t="s">
        <v>196</v>
      </c>
      <c r="B56" s="18" t="s">
        <v>18</v>
      </c>
      <c r="C56" s="13">
        <v>0.57576959999999999</v>
      </c>
      <c r="D56" s="14" t="s">
        <v>157</v>
      </c>
    </row>
    <row r="57" spans="1:4" x14ac:dyDescent="0.3">
      <c r="A57" s="12" t="s">
        <v>197</v>
      </c>
      <c r="B57" s="18" t="s">
        <v>12</v>
      </c>
      <c r="C57" s="13">
        <v>0.68191896000000007</v>
      </c>
      <c r="D57" s="14" t="s">
        <v>157</v>
      </c>
    </row>
    <row r="58" spans="1:4" x14ac:dyDescent="0.3">
      <c r="A58" s="12" t="s">
        <v>198</v>
      </c>
      <c r="B58" s="18" t="s">
        <v>20</v>
      </c>
      <c r="C58" s="13">
        <v>0.73259375000000004</v>
      </c>
      <c r="D58" s="14" t="s">
        <v>199</v>
      </c>
    </row>
    <row r="59" spans="1:4" x14ac:dyDescent="0.3">
      <c r="A59" s="12" t="s">
        <v>200</v>
      </c>
      <c r="B59" s="18" t="s">
        <v>210</v>
      </c>
      <c r="C59" s="13">
        <v>0.85499999999999998</v>
      </c>
      <c r="D59" s="15" t="s">
        <v>201</v>
      </c>
    </row>
    <row r="60" spans="1:4" x14ac:dyDescent="0.3">
      <c r="A60" s="12" t="s">
        <v>202</v>
      </c>
      <c r="B60" s="18" t="s">
        <v>211</v>
      </c>
      <c r="C60" s="13">
        <v>0.7</v>
      </c>
      <c r="D60" s="15" t="s">
        <v>173</v>
      </c>
    </row>
    <row r="61" spans="1:4" x14ac:dyDescent="0.3">
      <c r="A61" s="12" t="s">
        <v>203</v>
      </c>
      <c r="B61" s="18" t="s">
        <v>8</v>
      </c>
      <c r="C61" s="13">
        <v>0.89204545454545459</v>
      </c>
      <c r="D61" s="15" t="s">
        <v>204</v>
      </c>
    </row>
    <row r="62" spans="1:4" x14ac:dyDescent="0.3">
      <c r="A62" s="12" t="s">
        <v>205</v>
      </c>
      <c r="B62" s="18" t="s">
        <v>19</v>
      </c>
      <c r="C62" s="13">
        <v>0.75</v>
      </c>
      <c r="D62" s="14" t="s">
        <v>206</v>
      </c>
    </row>
  </sheetData>
  <autoFilter ref="A1:D62" xr:uid="{6FF080FE-07EB-4AB1-AD8D-469DBE46536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43409-EA55-481F-8EDB-29DD89ADC5C3}">
  <dimension ref="A1:E26"/>
  <sheetViews>
    <sheetView workbookViewId="0">
      <selection activeCell="A14" sqref="A14"/>
    </sheetView>
  </sheetViews>
  <sheetFormatPr defaultColWidth="11.5546875" defaultRowHeight="14.4" x14ac:dyDescent="0.3"/>
  <sheetData>
    <row r="1" spans="1:5" ht="57.6" x14ac:dyDescent="0.3">
      <c r="C1" s="7" t="s">
        <v>96</v>
      </c>
      <c r="D1" s="7" t="s">
        <v>97</v>
      </c>
      <c r="E1" s="8" t="s">
        <v>98</v>
      </c>
    </row>
    <row r="2" spans="1:5" x14ac:dyDescent="0.3">
      <c r="A2" s="6" t="s">
        <v>72</v>
      </c>
      <c r="B2" s="6" t="s">
        <v>4</v>
      </c>
      <c r="C2" s="6">
        <v>0.95</v>
      </c>
      <c r="D2" s="6">
        <v>0.98</v>
      </c>
      <c r="E2" s="6">
        <f>C2*D2</f>
        <v>0.93099999999999994</v>
      </c>
    </row>
    <row r="3" spans="1:5" x14ac:dyDescent="0.3">
      <c r="A3" s="6" t="s">
        <v>73</v>
      </c>
      <c r="B3" s="6" t="s">
        <v>46</v>
      </c>
      <c r="C3" s="6">
        <v>0.66</v>
      </c>
      <c r="D3" s="6">
        <v>0.9</v>
      </c>
      <c r="E3" s="6">
        <f t="shared" ref="E3:E26" si="0">C3*D3</f>
        <v>0.59400000000000008</v>
      </c>
    </row>
    <row r="4" spans="1:5" x14ac:dyDescent="0.3">
      <c r="A4" s="6" t="s">
        <v>74</v>
      </c>
      <c r="B4" s="6" t="s">
        <v>53</v>
      </c>
      <c r="C4" s="6">
        <v>0.55000000000000004</v>
      </c>
      <c r="D4" s="6">
        <v>0.9</v>
      </c>
      <c r="E4" s="6">
        <f t="shared" si="0"/>
        <v>0.49500000000000005</v>
      </c>
    </row>
    <row r="5" spans="1:5" x14ac:dyDescent="0.3">
      <c r="A5" s="6" t="s">
        <v>75</v>
      </c>
      <c r="B5" s="6" t="s">
        <v>27</v>
      </c>
      <c r="C5" s="6">
        <v>0.76</v>
      </c>
      <c r="D5" s="6">
        <v>0.9</v>
      </c>
      <c r="E5" s="6">
        <f t="shared" si="0"/>
        <v>0.68400000000000005</v>
      </c>
    </row>
    <row r="6" spans="1:5" x14ac:dyDescent="0.3">
      <c r="A6" s="6" t="s">
        <v>76</v>
      </c>
      <c r="B6" s="6" t="s">
        <v>44</v>
      </c>
      <c r="C6" s="6">
        <v>0.63</v>
      </c>
      <c r="D6" s="6">
        <v>0.95</v>
      </c>
      <c r="E6" s="6">
        <f t="shared" si="0"/>
        <v>0.59849999999999992</v>
      </c>
    </row>
    <row r="7" spans="1:5" x14ac:dyDescent="0.3">
      <c r="A7" s="6" t="s">
        <v>77</v>
      </c>
      <c r="B7" s="6" t="s">
        <v>20</v>
      </c>
      <c r="C7" s="6">
        <v>0.83</v>
      </c>
      <c r="D7" s="6">
        <v>0.9</v>
      </c>
      <c r="E7" s="6">
        <f t="shared" si="0"/>
        <v>0.747</v>
      </c>
    </row>
    <row r="8" spans="1:5" x14ac:dyDescent="0.3">
      <c r="A8" s="6" t="s">
        <v>78</v>
      </c>
      <c r="B8" s="6" t="s">
        <v>18</v>
      </c>
      <c r="C8" s="6">
        <v>0.82</v>
      </c>
      <c r="D8" s="6">
        <v>0.92</v>
      </c>
      <c r="E8" s="6">
        <f t="shared" si="0"/>
        <v>0.75439999999999996</v>
      </c>
    </row>
    <row r="9" spans="1:5" x14ac:dyDescent="0.3">
      <c r="A9" s="6" t="s">
        <v>79</v>
      </c>
      <c r="B9" s="6" t="s">
        <v>25</v>
      </c>
      <c r="C9" s="6">
        <v>0.77</v>
      </c>
      <c r="D9" s="6">
        <v>0.92</v>
      </c>
      <c r="E9" s="6">
        <f t="shared" si="0"/>
        <v>0.70840000000000003</v>
      </c>
    </row>
    <row r="10" spans="1:5" x14ac:dyDescent="0.3">
      <c r="A10" s="6" t="s">
        <v>80</v>
      </c>
      <c r="B10" s="6" t="s">
        <v>47</v>
      </c>
      <c r="C10" s="6">
        <v>0.66</v>
      </c>
      <c r="D10" s="6">
        <v>0.9</v>
      </c>
      <c r="E10" s="6">
        <f t="shared" si="0"/>
        <v>0.59400000000000008</v>
      </c>
    </row>
    <row r="11" spans="1:5" x14ac:dyDescent="0.3">
      <c r="A11" s="6" t="s">
        <v>81</v>
      </c>
      <c r="B11" s="6" t="s">
        <v>9</v>
      </c>
      <c r="C11" s="6">
        <v>0.97</v>
      </c>
      <c r="D11" s="6">
        <v>0.9</v>
      </c>
      <c r="E11" s="6">
        <f t="shared" si="0"/>
        <v>0.873</v>
      </c>
    </row>
    <row r="12" spans="1:5" x14ac:dyDescent="0.3">
      <c r="A12" s="6" t="s">
        <v>82</v>
      </c>
      <c r="B12" s="6" t="s">
        <v>48</v>
      </c>
      <c r="C12" s="6">
        <v>0.62</v>
      </c>
      <c r="D12" s="6">
        <v>0.95</v>
      </c>
      <c r="E12" s="6">
        <f t="shared" si="0"/>
        <v>0.58899999999999997</v>
      </c>
    </row>
    <row r="13" spans="1:5" x14ac:dyDescent="0.3">
      <c r="A13" s="6" t="s">
        <v>308</v>
      </c>
      <c r="B13" s="6" t="s">
        <v>23</v>
      </c>
      <c r="C13" s="6">
        <v>0.79</v>
      </c>
      <c r="D13" s="6">
        <v>0.9</v>
      </c>
      <c r="E13" s="6">
        <f t="shared" si="0"/>
        <v>0.71100000000000008</v>
      </c>
    </row>
    <row r="14" spans="1:5" x14ac:dyDescent="0.3">
      <c r="A14" s="6" t="s">
        <v>83</v>
      </c>
      <c r="B14" s="6" t="s">
        <v>11</v>
      </c>
      <c r="C14" s="6">
        <v>0.83</v>
      </c>
      <c r="D14" s="6">
        <v>0.96</v>
      </c>
      <c r="E14" s="6">
        <f t="shared" si="0"/>
        <v>0.79679999999999995</v>
      </c>
    </row>
    <row r="15" spans="1:5" x14ac:dyDescent="0.3">
      <c r="A15" s="6" t="s">
        <v>84</v>
      </c>
      <c r="B15" s="6" t="s">
        <v>12</v>
      </c>
      <c r="C15" s="6">
        <v>0.81</v>
      </c>
      <c r="D15" s="6">
        <v>0.96</v>
      </c>
      <c r="E15" s="6">
        <f t="shared" si="0"/>
        <v>0.77760000000000007</v>
      </c>
    </row>
    <row r="16" spans="1:5" x14ac:dyDescent="0.3">
      <c r="A16" s="6" t="s">
        <v>85</v>
      </c>
      <c r="B16" s="6" t="s">
        <v>14</v>
      </c>
      <c r="C16" s="6">
        <v>0.82</v>
      </c>
      <c r="D16" s="6">
        <v>0.94</v>
      </c>
      <c r="E16" s="6">
        <f t="shared" si="0"/>
        <v>0.77079999999999993</v>
      </c>
    </row>
    <row r="17" spans="1:5" x14ac:dyDescent="0.3">
      <c r="A17" s="6" t="s">
        <v>86</v>
      </c>
      <c r="B17" s="6" t="s">
        <v>15</v>
      </c>
      <c r="C17" s="6">
        <v>0.81</v>
      </c>
      <c r="D17" s="6">
        <v>0.95</v>
      </c>
      <c r="E17" s="6">
        <f t="shared" si="0"/>
        <v>0.76949999999999996</v>
      </c>
    </row>
    <row r="18" spans="1:5" x14ac:dyDescent="0.3">
      <c r="A18" s="6" t="s">
        <v>87</v>
      </c>
      <c r="B18" s="6" t="s">
        <v>16</v>
      </c>
      <c r="C18" s="6">
        <v>0.96</v>
      </c>
      <c r="D18" s="6">
        <v>0.8</v>
      </c>
      <c r="E18" s="6">
        <f t="shared" si="0"/>
        <v>0.76800000000000002</v>
      </c>
    </row>
    <row r="19" spans="1:5" x14ac:dyDescent="0.3">
      <c r="A19" s="6" t="s">
        <v>88</v>
      </c>
      <c r="B19" s="6" t="s">
        <v>36</v>
      </c>
      <c r="C19" s="6">
        <v>0.69</v>
      </c>
      <c r="D19" s="6">
        <v>0.95</v>
      </c>
      <c r="E19" s="6">
        <f t="shared" si="0"/>
        <v>0.65549999999999997</v>
      </c>
    </row>
    <row r="20" spans="1:5" x14ac:dyDescent="0.3">
      <c r="A20" s="6" t="s">
        <v>89</v>
      </c>
      <c r="B20" s="6" t="s">
        <v>56</v>
      </c>
      <c r="C20" s="6">
        <v>0.16</v>
      </c>
      <c r="D20" s="6">
        <v>0.9</v>
      </c>
      <c r="E20" s="6">
        <f t="shared" si="0"/>
        <v>0.14400000000000002</v>
      </c>
    </row>
    <row r="21" spans="1:5" x14ac:dyDescent="0.3">
      <c r="A21" s="6" t="s">
        <v>90</v>
      </c>
      <c r="B21" s="6" t="s">
        <v>39</v>
      </c>
      <c r="C21" s="6">
        <v>0.7</v>
      </c>
      <c r="D21" s="6">
        <v>0.91</v>
      </c>
      <c r="E21" s="6">
        <f t="shared" si="0"/>
        <v>0.63700000000000001</v>
      </c>
    </row>
    <row r="22" spans="1:5" x14ac:dyDescent="0.3">
      <c r="A22" s="6" t="s">
        <v>91</v>
      </c>
      <c r="B22" s="6" t="s">
        <v>54</v>
      </c>
      <c r="C22" s="6">
        <v>0.54</v>
      </c>
      <c r="D22" s="6">
        <v>0.9</v>
      </c>
      <c r="E22" s="6">
        <f t="shared" si="0"/>
        <v>0.48600000000000004</v>
      </c>
    </row>
    <row r="23" spans="1:5" x14ac:dyDescent="0.3">
      <c r="A23" s="6" t="s">
        <v>92</v>
      </c>
      <c r="B23" s="6" t="s">
        <v>35</v>
      </c>
      <c r="C23" s="6">
        <v>0.73</v>
      </c>
      <c r="D23" s="6">
        <v>0.9</v>
      </c>
      <c r="E23" s="6">
        <f t="shared" si="0"/>
        <v>0.65700000000000003</v>
      </c>
    </row>
    <row r="24" spans="1:5" x14ac:dyDescent="0.3">
      <c r="A24" s="6" t="s">
        <v>93</v>
      </c>
      <c r="B24" s="6" t="s">
        <v>55</v>
      </c>
      <c r="C24" s="6">
        <v>0.53</v>
      </c>
      <c r="D24" s="6">
        <v>0.78</v>
      </c>
      <c r="E24" s="6">
        <f t="shared" si="0"/>
        <v>0.41340000000000005</v>
      </c>
    </row>
    <row r="25" spans="1:5" x14ac:dyDescent="0.3">
      <c r="A25" s="6" t="s">
        <v>94</v>
      </c>
      <c r="B25" s="6" t="s">
        <v>21</v>
      </c>
      <c r="C25" s="6">
        <v>0.83</v>
      </c>
      <c r="D25" s="6">
        <v>0.9</v>
      </c>
      <c r="E25" s="6">
        <f t="shared" si="0"/>
        <v>0.747</v>
      </c>
    </row>
    <row r="26" spans="1:5" x14ac:dyDescent="0.3">
      <c r="A26" s="6" t="s">
        <v>95</v>
      </c>
      <c r="B26" s="6" t="s">
        <v>22</v>
      </c>
      <c r="C26" s="6">
        <v>0.82</v>
      </c>
      <c r="D26" s="6">
        <v>0.9</v>
      </c>
      <c r="E26" s="6">
        <f t="shared" si="0"/>
        <v>0.73799999999999999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7DB51-2D69-41F6-A327-087E85B43A42}">
  <dimension ref="A1:J16"/>
  <sheetViews>
    <sheetView tabSelected="1" workbookViewId="0">
      <selection activeCell="G28" sqref="G28"/>
    </sheetView>
  </sheetViews>
  <sheetFormatPr defaultColWidth="11.5546875" defaultRowHeight="14.4" x14ac:dyDescent="0.3"/>
  <cols>
    <col min="6" max="6" width="15.44140625" bestFit="1" customWidth="1"/>
    <col min="7" max="7" width="18" bestFit="1" customWidth="1"/>
    <col min="8" max="9" width="18" customWidth="1"/>
  </cols>
  <sheetData>
    <row r="1" spans="1:10" x14ac:dyDescent="0.3">
      <c r="B1" s="4" t="s">
        <v>65</v>
      </c>
      <c r="C1" s="24" t="s">
        <v>225</v>
      </c>
      <c r="D1" s="24" t="s">
        <v>256</v>
      </c>
      <c r="E1" s="24" t="s">
        <v>226</v>
      </c>
      <c r="F1" s="4" t="s">
        <v>66</v>
      </c>
      <c r="G1" s="4" t="s">
        <v>67</v>
      </c>
      <c r="H1" s="4" t="s">
        <v>259</v>
      </c>
      <c r="I1" s="4" t="s">
        <v>274</v>
      </c>
    </row>
    <row r="2" spans="1:10" x14ac:dyDescent="0.3">
      <c r="A2" t="s">
        <v>9</v>
      </c>
      <c r="B2" s="21">
        <f>C2*E2</f>
        <v>0.69871437412245385</v>
      </c>
      <c r="C2" s="22">
        <v>0.7</v>
      </c>
      <c r="D2" s="22"/>
      <c r="E2" s="23">
        <f>1-276/(13431+136846)</f>
        <v>0.99816339160350553</v>
      </c>
      <c r="F2" s="2" t="s">
        <v>221</v>
      </c>
      <c r="G2" s="2" t="s">
        <v>224</v>
      </c>
      <c r="H2" s="2" t="s">
        <v>260</v>
      </c>
      <c r="I2" s="2" t="s">
        <v>260</v>
      </c>
      <c r="J2" t="s">
        <v>228</v>
      </c>
    </row>
    <row r="3" spans="1:10" x14ac:dyDescent="0.3">
      <c r="A3" t="s">
        <v>37</v>
      </c>
      <c r="B3" s="21">
        <f>C3*E3</f>
        <v>0.52787326000000012</v>
      </c>
      <c r="C3" s="9">
        <f>54.77%</f>
        <v>0.54770000000000008</v>
      </c>
      <c r="D3" s="9"/>
      <c r="E3" s="23">
        <f>1-3.62%</f>
        <v>0.96379999999999999</v>
      </c>
      <c r="F3" s="2" t="s">
        <v>221</v>
      </c>
      <c r="G3" s="2" t="s">
        <v>238</v>
      </c>
      <c r="H3" s="2" t="s">
        <v>260</v>
      </c>
      <c r="I3" s="2" t="s">
        <v>260</v>
      </c>
      <c r="J3" t="s">
        <v>237</v>
      </c>
    </row>
    <row r="4" spans="1:10" x14ac:dyDescent="0.3">
      <c r="A4" t="s">
        <v>42</v>
      </c>
      <c r="B4" s="21">
        <f>C4*E4</f>
        <v>0.28312300000000007</v>
      </c>
      <c r="C4" s="21">
        <f>1-69%</f>
        <v>0.31000000000000005</v>
      </c>
      <c r="D4" s="21"/>
      <c r="E4" s="23">
        <f>1-8.67%</f>
        <v>0.9133</v>
      </c>
      <c r="F4" s="2" t="s">
        <v>221</v>
      </c>
      <c r="G4" s="2" t="s">
        <v>238</v>
      </c>
      <c r="H4" s="2" t="s">
        <v>260</v>
      </c>
      <c r="I4" s="2" t="s">
        <v>260</v>
      </c>
      <c r="J4" t="s">
        <v>240</v>
      </c>
    </row>
    <row r="5" spans="1:10" x14ac:dyDescent="0.3">
      <c r="A5" t="s">
        <v>242</v>
      </c>
      <c r="B5" s="22">
        <f>C5*E5</f>
        <v>0.54900000000000004</v>
      </c>
      <c r="C5" s="22">
        <v>0.61</v>
      </c>
      <c r="D5" s="22"/>
      <c r="E5" s="22">
        <v>0.9</v>
      </c>
      <c r="F5" s="2" t="s">
        <v>100</v>
      </c>
      <c r="G5" s="2">
        <v>2018</v>
      </c>
      <c r="H5" s="2" t="s">
        <v>260</v>
      </c>
      <c r="I5" s="2" t="s">
        <v>260</v>
      </c>
      <c r="J5" t="s">
        <v>244</v>
      </c>
    </row>
    <row r="6" spans="1:10" x14ac:dyDescent="0.3">
      <c r="A6" t="s">
        <v>1</v>
      </c>
      <c r="B6" s="25">
        <f>C6*E6</f>
        <v>0.64185999999999999</v>
      </c>
      <c r="C6" s="3">
        <v>0.67</v>
      </c>
      <c r="D6" s="3"/>
      <c r="E6" s="29">
        <v>0.95799999999999996</v>
      </c>
      <c r="F6" s="2" t="s">
        <v>248</v>
      </c>
      <c r="G6" s="2">
        <v>2018</v>
      </c>
      <c r="H6" s="2" t="s">
        <v>260</v>
      </c>
      <c r="I6" s="2" t="s">
        <v>260</v>
      </c>
      <c r="J6" s="28" t="s">
        <v>252</v>
      </c>
    </row>
    <row r="7" spans="1:10" x14ac:dyDescent="0.3">
      <c r="A7" t="s">
        <v>2</v>
      </c>
      <c r="B7" s="22">
        <v>0.95</v>
      </c>
      <c r="F7" s="2" t="s">
        <v>264</v>
      </c>
      <c r="G7" s="2" t="s">
        <v>264</v>
      </c>
      <c r="H7" s="2" t="s">
        <v>260</v>
      </c>
      <c r="I7" s="2" t="s">
        <v>260</v>
      </c>
      <c r="J7" t="s">
        <v>247</v>
      </c>
    </row>
    <row r="8" spans="1:10" x14ac:dyDescent="0.3">
      <c r="A8" t="s">
        <v>60</v>
      </c>
      <c r="B8" s="21">
        <v>1.2999999999999999E-2</v>
      </c>
      <c r="F8" s="2" t="s">
        <v>100</v>
      </c>
      <c r="G8" s="2">
        <v>2018</v>
      </c>
      <c r="H8" s="2" t="s">
        <v>260</v>
      </c>
      <c r="I8" s="2" t="s">
        <v>260</v>
      </c>
      <c r="J8" t="s">
        <v>253</v>
      </c>
    </row>
    <row r="9" spans="1:10" x14ac:dyDescent="0.3">
      <c r="A9" t="s">
        <v>8</v>
      </c>
      <c r="B9" s="22">
        <f>C9*E9*D9</f>
        <v>0.75951000000000002</v>
      </c>
      <c r="C9" s="3">
        <v>0.9</v>
      </c>
      <c r="D9" s="3">
        <v>0.87</v>
      </c>
      <c r="E9" s="3">
        <v>0.97</v>
      </c>
      <c r="F9" s="2" t="s">
        <v>221</v>
      </c>
      <c r="G9" s="2">
        <v>2015</v>
      </c>
      <c r="H9" s="2" t="s">
        <v>260</v>
      </c>
      <c r="I9" s="2" t="s">
        <v>260</v>
      </c>
      <c r="J9" t="s">
        <v>257</v>
      </c>
    </row>
    <row r="10" spans="1:10" x14ac:dyDescent="0.3">
      <c r="A10" t="s">
        <v>47</v>
      </c>
      <c r="B10" s="22">
        <f>C10*E10</f>
        <v>0.5694999999999999</v>
      </c>
      <c r="C10" s="22">
        <v>0.66999999999999993</v>
      </c>
      <c r="E10" s="22">
        <v>0.85</v>
      </c>
      <c r="F10" s="2" t="s">
        <v>100</v>
      </c>
      <c r="G10" s="2" t="s">
        <v>264</v>
      </c>
      <c r="H10" s="2" t="s">
        <v>261</v>
      </c>
      <c r="I10" s="2"/>
      <c r="J10" t="s">
        <v>263</v>
      </c>
    </row>
    <row r="11" spans="1:10" x14ac:dyDescent="0.3">
      <c r="A11" t="s">
        <v>47</v>
      </c>
      <c r="B11" s="22">
        <f>C11*E11</f>
        <v>0.59499999999999997</v>
      </c>
      <c r="C11" s="22">
        <v>0.7</v>
      </c>
      <c r="E11" s="22">
        <v>0.85</v>
      </c>
      <c r="F11" s="2" t="s">
        <v>100</v>
      </c>
      <c r="G11" s="2" t="s">
        <v>264</v>
      </c>
      <c r="H11" s="2" t="s">
        <v>262</v>
      </c>
      <c r="I11" s="2"/>
      <c r="J11" t="s">
        <v>263</v>
      </c>
    </row>
    <row r="12" spans="1:10" x14ac:dyDescent="0.3">
      <c r="A12" t="s">
        <v>51</v>
      </c>
      <c r="B12" s="22">
        <f>C12*E12</f>
        <v>0.35750000000000004</v>
      </c>
      <c r="C12" s="22">
        <v>0.55000000000000004</v>
      </c>
      <c r="E12" s="3">
        <v>0.65</v>
      </c>
      <c r="F12" s="2" t="s">
        <v>278</v>
      </c>
      <c r="G12" s="2" t="s">
        <v>279</v>
      </c>
      <c r="I12" s="31" t="s">
        <v>48</v>
      </c>
      <c r="J12" s="28" t="s">
        <v>277</v>
      </c>
    </row>
    <row r="13" spans="1:10" x14ac:dyDescent="0.3">
      <c r="A13" t="s">
        <v>51</v>
      </c>
      <c r="B13" s="22">
        <f>C13*E13</f>
        <v>0.30800000000000005</v>
      </c>
      <c r="C13" s="22">
        <v>0.55000000000000004</v>
      </c>
      <c r="E13" s="32">
        <v>0.56000000000000005</v>
      </c>
      <c r="F13" s="2" t="s">
        <v>278</v>
      </c>
      <c r="G13" s="2" t="s">
        <v>279</v>
      </c>
      <c r="I13" s="31" t="s">
        <v>27</v>
      </c>
      <c r="J13" s="28" t="s">
        <v>277</v>
      </c>
    </row>
    <row r="14" spans="1:10" x14ac:dyDescent="0.3">
      <c r="A14" t="s">
        <v>57</v>
      </c>
      <c r="B14" s="21">
        <f>C14*E14</f>
        <v>0.1008</v>
      </c>
      <c r="C14" s="21">
        <f>60%*42%</f>
        <v>0.252</v>
      </c>
      <c r="D14" s="2"/>
      <c r="E14" s="21">
        <f>50%*80%</f>
        <v>0.4</v>
      </c>
      <c r="F14" s="2" t="s">
        <v>100</v>
      </c>
      <c r="G14" s="2" t="s">
        <v>279</v>
      </c>
      <c r="H14" s="2" t="s">
        <v>260</v>
      </c>
      <c r="J14" t="s">
        <v>283</v>
      </c>
    </row>
    <row r="15" spans="1:10" x14ac:dyDescent="0.3">
      <c r="A15" t="s">
        <v>3</v>
      </c>
      <c r="B15" s="22">
        <v>0.95</v>
      </c>
      <c r="J15" t="s">
        <v>291</v>
      </c>
    </row>
    <row r="16" spans="1:10" x14ac:dyDescent="0.3">
      <c r="A16" t="s">
        <v>46</v>
      </c>
      <c r="B16" s="22">
        <f>C16*E16</f>
        <v>0.70811999999999997</v>
      </c>
      <c r="C16" s="21">
        <f>1-15.7%</f>
        <v>0.84299999999999997</v>
      </c>
      <c r="E16" s="21">
        <f>1-16%</f>
        <v>0.84</v>
      </c>
      <c r="F16" s="2" t="s">
        <v>100</v>
      </c>
      <c r="G16" s="2">
        <v>2019</v>
      </c>
      <c r="H16" t="s">
        <v>294</v>
      </c>
      <c r="I16" t="s">
        <v>294</v>
      </c>
      <c r="J16" t="s">
        <v>296</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C4ED3-C34E-4671-A797-C18C18E9EC72}">
  <dimension ref="A2:B19"/>
  <sheetViews>
    <sheetView workbookViewId="0">
      <selection activeCell="H26" sqref="H26"/>
    </sheetView>
  </sheetViews>
  <sheetFormatPr defaultColWidth="11.5546875" defaultRowHeight="14.4" x14ac:dyDescent="0.3"/>
  <cols>
    <col min="1" max="1" width="3" style="2" bestFit="1" customWidth="1"/>
  </cols>
  <sheetData>
    <row r="2" spans="1:2" x14ac:dyDescent="0.3">
      <c r="A2" s="4" t="s">
        <v>70</v>
      </c>
      <c r="B2" s="24" t="s">
        <v>71</v>
      </c>
    </row>
    <row r="3" spans="1:2" x14ac:dyDescent="0.3">
      <c r="A3" s="2">
        <v>1</v>
      </c>
      <c r="B3" s="5" t="s">
        <v>69</v>
      </c>
    </row>
    <row r="4" spans="1:2" x14ac:dyDescent="0.3">
      <c r="A4" s="2">
        <v>2</v>
      </c>
      <c r="B4" s="5" t="s">
        <v>216</v>
      </c>
    </row>
    <row r="5" spans="1:2" x14ac:dyDescent="0.3">
      <c r="A5" s="2">
        <v>3</v>
      </c>
      <c r="B5" s="5" t="s">
        <v>217</v>
      </c>
    </row>
    <row r="6" spans="1:2" x14ac:dyDescent="0.3">
      <c r="A6" s="2">
        <v>4</v>
      </c>
      <c r="B6" s="5" t="s">
        <v>227</v>
      </c>
    </row>
    <row r="7" spans="1:2" x14ac:dyDescent="0.3">
      <c r="A7" s="2">
        <v>5</v>
      </c>
      <c r="B7" s="5" t="s">
        <v>231</v>
      </c>
    </row>
    <row r="8" spans="1:2" x14ac:dyDescent="0.3">
      <c r="A8" s="2">
        <v>6</v>
      </c>
      <c r="B8" s="5" t="s">
        <v>236</v>
      </c>
    </row>
    <row r="9" spans="1:2" x14ac:dyDescent="0.3">
      <c r="A9" s="2">
        <v>7</v>
      </c>
      <c r="B9" s="5" t="s">
        <v>239</v>
      </c>
    </row>
    <row r="10" spans="1:2" x14ac:dyDescent="0.3">
      <c r="A10" s="2">
        <v>8</v>
      </c>
      <c r="B10" s="5" t="s">
        <v>243</v>
      </c>
    </row>
    <row r="11" spans="1:2" x14ac:dyDescent="0.3">
      <c r="A11" s="2">
        <v>9</v>
      </c>
      <c r="B11" s="5" t="s">
        <v>246</v>
      </c>
    </row>
    <row r="12" spans="1:2" x14ac:dyDescent="0.3">
      <c r="A12" s="2">
        <v>10</v>
      </c>
      <c r="B12" s="5" t="s">
        <v>249</v>
      </c>
    </row>
    <row r="13" spans="1:2" x14ac:dyDescent="0.3">
      <c r="A13" s="2">
        <v>11</v>
      </c>
      <c r="B13" s="5" t="s">
        <v>254</v>
      </c>
    </row>
    <row r="14" spans="1:2" x14ac:dyDescent="0.3">
      <c r="A14" s="2">
        <v>12</v>
      </c>
      <c r="B14" s="5" t="s">
        <v>275</v>
      </c>
    </row>
    <row r="15" spans="1:2" x14ac:dyDescent="0.3">
      <c r="A15" s="2">
        <v>13</v>
      </c>
      <c r="B15" s="5" t="s">
        <v>276</v>
      </c>
    </row>
    <row r="16" spans="1:2" x14ac:dyDescent="0.3">
      <c r="A16" s="2">
        <v>14</v>
      </c>
      <c r="B16" s="5" t="s">
        <v>282</v>
      </c>
    </row>
    <row r="17" spans="1:2" x14ac:dyDescent="0.3">
      <c r="A17" s="2">
        <v>15</v>
      </c>
      <c r="B17" s="5" t="s">
        <v>289</v>
      </c>
    </row>
    <row r="18" spans="1:2" x14ac:dyDescent="0.3">
      <c r="A18" s="2">
        <v>16</v>
      </c>
      <c r="B18" s="5" t="s">
        <v>293</v>
      </c>
    </row>
    <row r="19" spans="1:2" x14ac:dyDescent="0.3">
      <c r="A19" s="2">
        <v>17</v>
      </c>
      <c r="B19" s="5" t="s">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Table</vt:lpstr>
      <vt:lpstr>Charpentier-Poncelet_2022</vt:lpstr>
      <vt:lpstr>Nassar_2022</vt:lpstr>
      <vt:lpstr>Other_sources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Titouan Greffe</dc:creator>
  <cp:lastModifiedBy>Marin PELLAN</cp:lastModifiedBy>
  <dcterms:created xsi:type="dcterms:W3CDTF">2023-09-25T13:43:35Z</dcterms:created>
  <dcterms:modified xsi:type="dcterms:W3CDTF">2024-12-20T19:21:36Z</dcterms:modified>
</cp:coreProperties>
</file>